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7050" tabRatio="863" firstSheet="4" activeTab="14"/>
  </bookViews>
  <sheets>
    <sheet name="Control" sheetId="7" r:id="rId1"/>
    <sheet name="Inflation" sheetId="10" r:id="rId2"/>
    <sheet name="Mapping" sheetId="2" state="hidden" r:id="rId3"/>
    <sheet name="Input|Historical Data" sheetId="3" r:id="rId4"/>
    <sheet name="Input|Forecast Data" sheetId="4" r:id="rId5"/>
    <sheet name="Input|Customer Contributions" sheetId="11" r:id="rId6"/>
    <sheet name="Input|VBRC Calc" sheetId="8" r:id="rId7"/>
    <sheet name="Calc|Weightings" sheetId="1" r:id="rId8"/>
    <sheet name="Calc|Overheads" sheetId="22" r:id="rId9"/>
    <sheet name="Calc|Consolidated Capex" sheetId="5" r:id="rId10"/>
    <sheet name="2018 Tax mapping" sheetId="25" state="hidden" r:id="rId11"/>
    <sheet name="Immediate deductions" sheetId="24" r:id="rId12"/>
    <sheet name="Output|Functional" sheetId="16" r:id="rId13"/>
    <sheet name="Output|PTRM" sheetId="18" r:id="rId14"/>
    <sheet name="RP_comparison" sheetId="32" r:id="rId15"/>
    <sheet name="Output|Functional - proposed " sheetId="27" state="hidden" r:id="rId16"/>
    <sheet name="Output|PTRM - proposed" sheetId="26" state="hidden" r:id="rId17"/>
  </sheets>
  <definedNames>
    <definedName name="_xlnm._FilterDatabase" localSheetId="9" hidden="1">'Calc|Consolidated Capex'!$E$7:$M$210</definedName>
    <definedName name="_xlnm._FilterDatabase" localSheetId="4" hidden="1">'Input|Forecast Data'!$D$7:$L$208</definedName>
    <definedName name="_xlnm._FilterDatabase" localSheetId="3" hidden="1">'Input|Historical Data'!$E$8:$AY$3279</definedName>
    <definedName name="_xlnm._FilterDatabase" localSheetId="2" hidden="1">Mapping!$E$10:$M$204</definedName>
  </definedNames>
  <calcPr calcId="162913"/>
</workbook>
</file>

<file path=xl/calcChain.xml><?xml version="1.0" encoding="utf-8"?>
<calcChain xmlns="http://schemas.openxmlformats.org/spreadsheetml/2006/main">
  <c r="M40" i="22" l="1"/>
  <c r="Q14" i="10" l="1"/>
  <c r="J46" i="5" l="1"/>
  <c r="J10" i="5"/>
  <c r="M11" i="22" l="1"/>
  <c r="M51" i="22" l="1"/>
  <c r="M53" i="22" s="1"/>
  <c r="G45" i="22"/>
  <c r="P26" i="10" l="1"/>
  <c r="O26" i="10" l="1"/>
  <c r="N26" i="10" s="1"/>
  <c r="M26" i="10" s="1"/>
  <c r="L26" i="10" s="1"/>
  <c r="M41" i="22"/>
  <c r="M31" i="22" s="1"/>
  <c r="M12" i="22"/>
  <c r="M20" i="22" s="1"/>
  <c r="H83" i="32"/>
  <c r="G83" i="32"/>
  <c r="F83" i="32"/>
  <c r="E83" i="32"/>
  <c r="D83" i="32"/>
  <c r="H82" i="32"/>
  <c r="G82" i="32"/>
  <c r="F82" i="32"/>
  <c r="E82" i="32"/>
  <c r="D82" i="32"/>
  <c r="H81" i="32"/>
  <c r="G81" i="32"/>
  <c r="F81" i="32"/>
  <c r="E81" i="32"/>
  <c r="D81" i="32"/>
  <c r="H80" i="32"/>
  <c r="G80" i="32"/>
  <c r="F80" i="32"/>
  <c r="E80" i="32"/>
  <c r="D80" i="32"/>
  <c r="H79" i="32"/>
  <c r="G79" i="32"/>
  <c r="F79" i="32"/>
  <c r="E79" i="32"/>
  <c r="D79" i="32"/>
  <c r="H78" i="32"/>
  <c r="G78" i="32"/>
  <c r="F78" i="32"/>
  <c r="E78" i="32"/>
  <c r="D78" i="32"/>
  <c r="D44" i="32" a="1"/>
  <c r="D40" i="32" a="1"/>
  <c r="D40" i="32" s="1"/>
  <c r="P35" i="32"/>
  <c r="P34" i="32"/>
  <c r="U30" i="32"/>
  <c r="U41" i="32" s="1" a="1"/>
  <c r="U41" i="32" s="1"/>
  <c r="U61" i="32" s="1"/>
  <c r="T30" i="32"/>
  <c r="T41" i="32" s="1" a="1"/>
  <c r="T41" i="32" s="1"/>
  <c r="T61" i="32" s="1"/>
  <c r="S30" i="32"/>
  <c r="S41" i="32" s="1" a="1"/>
  <c r="S41" i="32" s="1"/>
  <c r="S61" i="32" s="1"/>
  <c r="R30" i="32"/>
  <c r="R41" i="32" s="1" a="1"/>
  <c r="R41" i="32" s="1"/>
  <c r="R61" i="32" s="1"/>
  <c r="Q30" i="32"/>
  <c r="H30" i="32"/>
  <c r="H45" i="32" s="1" a="1"/>
  <c r="H45" i="32" s="1"/>
  <c r="G30" i="32"/>
  <c r="G48" i="32" s="1" a="1"/>
  <c r="G48" i="32" s="1"/>
  <c r="G66" i="32" s="1"/>
  <c r="F30" i="32"/>
  <c r="F52" i="32" s="1" a="1"/>
  <c r="E30" i="32"/>
  <c r="E51" i="32" s="1" a="1"/>
  <c r="E51" i="32" s="1"/>
  <c r="E69" i="32" s="1"/>
  <c r="D30" i="32"/>
  <c r="V28" i="32"/>
  <c r="I28" i="32"/>
  <c r="V27" i="32"/>
  <c r="I27" i="32"/>
  <c r="V25" i="32"/>
  <c r="I25" i="32"/>
  <c r="H20" i="32"/>
  <c r="G20" i="32"/>
  <c r="G55" i="32" s="1" a="1"/>
  <c r="G55" i="32" s="1"/>
  <c r="G73" i="32" s="1"/>
  <c r="F20" i="32"/>
  <c r="F55" i="32" s="1" a="1"/>
  <c r="F55" i="32" s="1"/>
  <c r="F73" i="32" s="1"/>
  <c r="E20" i="32"/>
  <c r="E55" i="32" s="1" a="1"/>
  <c r="D20" i="32"/>
  <c r="D55" i="32" s="1" a="1"/>
  <c r="D55" i="32" s="1"/>
  <c r="D19" i="32"/>
  <c r="I18" i="32"/>
  <c r="I17" i="32"/>
  <c r="H15" i="32"/>
  <c r="H19" i="32" s="1"/>
  <c r="G15" i="32"/>
  <c r="G19" i="32" s="1"/>
  <c r="F15" i="32"/>
  <c r="F19" i="32" s="1"/>
  <c r="E15" i="32"/>
  <c r="D15" i="32"/>
  <c r="I14" i="32"/>
  <c r="I13" i="32"/>
  <c r="I12" i="32"/>
  <c r="I11" i="32"/>
  <c r="I10" i="32"/>
  <c r="I9" i="32"/>
  <c r="I8" i="32"/>
  <c r="I7" i="32"/>
  <c r="M32" i="22" l="1"/>
  <c r="E40" i="32" a="1"/>
  <c r="E44" i="32" a="1"/>
  <c r="G47" i="32" a="1"/>
  <c r="G40" i="32" a="1"/>
  <c r="G40" i="32" s="1"/>
  <c r="F42" i="32" a="1"/>
  <c r="H44" i="32" a="1"/>
  <c r="H44" i="32" s="1"/>
  <c r="H48" i="32" a="1"/>
  <c r="H48" i="32" s="1"/>
  <c r="H66" i="32" s="1"/>
  <c r="G42" i="32" a="1"/>
  <c r="E45" i="32" a="1"/>
  <c r="H40" i="32" a="1"/>
  <c r="H40" i="32" s="1"/>
  <c r="F51" i="32" a="1"/>
  <c r="H55" i="32" a="1"/>
  <c r="H55" i="32" s="1"/>
  <c r="H73" i="32" s="1"/>
  <c r="E41" i="32" a="1"/>
  <c r="G41" i="32" a="1"/>
  <c r="G43" i="32" a="1"/>
  <c r="G43" i="32" s="1"/>
  <c r="G63" i="32" s="1"/>
  <c r="F46" i="32" a="1"/>
  <c r="F46" i="32" s="1"/>
  <c r="F64" i="32" s="1"/>
  <c r="G52" i="32" a="1"/>
  <c r="G52" i="32" s="1"/>
  <c r="G70" i="32" s="1"/>
  <c r="H41" i="32" a="1"/>
  <c r="H41" i="32" s="1"/>
  <c r="H61" i="32" s="1"/>
  <c r="H43" i="32" a="1"/>
  <c r="H43" i="32" s="1"/>
  <c r="H63" i="32" s="1"/>
  <c r="G46" i="32" a="1"/>
  <c r="G46" i="32" s="1"/>
  <c r="G64" i="32" s="1"/>
  <c r="I82" i="32"/>
  <c r="G84" i="32"/>
  <c r="E45" i="32"/>
  <c r="F52" i="32"/>
  <c r="F70" i="32" s="1"/>
  <c r="E41" i="32"/>
  <c r="E61" i="32" s="1"/>
  <c r="F51" i="32"/>
  <c r="F69" i="32" s="1"/>
  <c r="E55" i="32"/>
  <c r="E73" i="32" s="1"/>
  <c r="G41" i="32"/>
  <c r="G61" i="32" s="1"/>
  <c r="E40" i="32"/>
  <c r="D44" i="32"/>
  <c r="F42" i="32"/>
  <c r="E44" i="32"/>
  <c r="G47" i="32"/>
  <c r="G65" i="32" s="1"/>
  <c r="G42" i="32"/>
  <c r="I78" i="32"/>
  <c r="I83" i="32"/>
  <c r="I79" i="32"/>
  <c r="I80" i="32"/>
  <c r="I81" i="32"/>
  <c r="E84" i="32"/>
  <c r="I15" i="32"/>
  <c r="F84" i="32"/>
  <c r="I55" i="32"/>
  <c r="D73" i="32"/>
  <c r="D84" i="32"/>
  <c r="H60" i="32"/>
  <c r="V30" i="32"/>
  <c r="H84" i="32"/>
  <c r="D45" i="32" a="1"/>
  <c r="D45" i="32" s="1"/>
  <c r="D41" i="32" a="1"/>
  <c r="D41" i="32" s="1"/>
  <c r="I30" i="32"/>
  <c r="D51" i="32" a="1"/>
  <c r="D51" i="32" s="1"/>
  <c r="D46" i="32" a="1"/>
  <c r="D46" i="32" s="1"/>
  <c r="D42" i="32" a="1"/>
  <c r="D42" i="32" s="1"/>
  <c r="D47" i="32" a="1"/>
  <c r="D47" i="32" s="1"/>
  <c r="D52" i="32" a="1"/>
  <c r="D52" i="32" s="1"/>
  <c r="D43" i="32" a="1"/>
  <c r="D43" i="32" s="1"/>
  <c r="D48" i="32" a="1"/>
  <c r="D48" i="32" s="1"/>
  <c r="D60" i="32"/>
  <c r="E19" i="32"/>
  <c r="I19" i="32" s="1"/>
  <c r="Q41" i="32" a="1"/>
  <c r="Q41" i="32" s="1"/>
  <c r="H47" i="32" a="1"/>
  <c r="H47" i="32" s="1"/>
  <c r="H65" i="32" s="1"/>
  <c r="E48" i="32" a="1"/>
  <c r="E48" i="32" s="1"/>
  <c r="E66" i="32" s="1"/>
  <c r="G51" i="32" a="1"/>
  <c r="G51" i="32" s="1"/>
  <c r="G69" i="32" s="1"/>
  <c r="H52" i="32" a="1"/>
  <c r="H52" i="32" s="1"/>
  <c r="H70" i="32" s="1"/>
  <c r="F45" i="32" a="1"/>
  <c r="F45" i="32" s="1"/>
  <c r="I20" i="32"/>
  <c r="F40" i="32" a="1"/>
  <c r="F40" i="32" s="1"/>
  <c r="H42" i="32" a="1"/>
  <c r="H42" i="32" s="1"/>
  <c r="H62" i="32" s="1"/>
  <c r="F44" i="32" a="1"/>
  <c r="F44" i="32" s="1"/>
  <c r="G45" i="32" a="1"/>
  <c r="G45" i="32" s="1"/>
  <c r="H46" i="32" a="1"/>
  <c r="H46" i="32" s="1"/>
  <c r="H64" i="32" s="1"/>
  <c r="E47" i="32" a="1"/>
  <c r="E47" i="32" s="1"/>
  <c r="E65" i="32" s="1"/>
  <c r="F48" i="32" a="1"/>
  <c r="F48" i="32" s="1"/>
  <c r="F66" i="32" s="1"/>
  <c r="H51" i="32" a="1"/>
  <c r="H51" i="32" s="1"/>
  <c r="H69" i="32" s="1"/>
  <c r="E52" i="32" a="1"/>
  <c r="E52" i="32" s="1"/>
  <c r="E70" i="32" s="1"/>
  <c r="F41" i="32" a="1"/>
  <c r="F41" i="32" s="1"/>
  <c r="F61" i="32" s="1"/>
  <c r="E43" i="32" a="1"/>
  <c r="E43" i="32" s="1"/>
  <c r="E63" i="32" s="1"/>
  <c r="E42" i="32" a="1"/>
  <c r="E42" i="32" s="1"/>
  <c r="F43" i="32" a="1"/>
  <c r="F43" i="32" s="1"/>
  <c r="F63" i="32" s="1"/>
  <c r="G44" i="32" a="1"/>
  <c r="G44" i="32" s="1"/>
  <c r="G60" i="32" s="1"/>
  <c r="E46" i="32" a="1"/>
  <c r="E46" i="32" s="1"/>
  <c r="E64" i="32" s="1"/>
  <c r="F47" i="32" a="1"/>
  <c r="F47" i="32" s="1"/>
  <c r="F65" i="32" s="1"/>
  <c r="I73" i="32" l="1"/>
  <c r="E60" i="32"/>
  <c r="F62" i="32"/>
  <c r="E62" i="32"/>
  <c r="E67" i="32" s="1"/>
  <c r="E71" i="32" s="1"/>
  <c r="G62" i="32"/>
  <c r="G67" i="32" s="1"/>
  <c r="G71" i="32" s="1"/>
  <c r="I44" i="32"/>
  <c r="I40" i="32"/>
  <c r="I48" i="32"/>
  <c r="D66" i="32"/>
  <c r="I66" i="32" s="1"/>
  <c r="D61" i="32"/>
  <c r="I61" i="32" s="1"/>
  <c r="I41" i="32"/>
  <c r="F49" i="32"/>
  <c r="F53" i="32" s="1"/>
  <c r="F122" i="32" s="1"/>
  <c r="F60" i="32"/>
  <c r="I43" i="32"/>
  <c r="D63" i="32"/>
  <c r="I63" i="32" s="1"/>
  <c r="I45" i="32"/>
  <c r="D49" i="32"/>
  <c r="D70" i="32"/>
  <c r="I70" i="32" s="1"/>
  <c r="I52" i="32"/>
  <c r="G49" i="32"/>
  <c r="G53" i="32" s="1"/>
  <c r="G122" i="32" s="1"/>
  <c r="I84" i="32"/>
  <c r="J84" i="32" s="1"/>
  <c r="I51" i="32"/>
  <c r="D69" i="32"/>
  <c r="I69" i="32" s="1"/>
  <c r="I47" i="32"/>
  <c r="D65" i="32"/>
  <c r="I65" i="32" s="1"/>
  <c r="V41" i="32"/>
  <c r="Q61" i="32"/>
  <c r="V61" i="32" s="1"/>
  <c r="I42" i="32"/>
  <c r="D62" i="32"/>
  <c r="H49" i="32"/>
  <c r="H53" i="32" s="1"/>
  <c r="H122" i="32" s="1"/>
  <c r="E49" i="32"/>
  <c r="E53" i="32" s="1"/>
  <c r="E122" i="32" s="1"/>
  <c r="I46" i="32"/>
  <c r="D64" i="32"/>
  <c r="I64" i="32" s="1"/>
  <c r="H67" i="32"/>
  <c r="H71" i="32" s="1"/>
  <c r="F67" i="32" l="1"/>
  <c r="F71" i="32" s="1"/>
  <c r="I62" i="32"/>
  <c r="I60" i="32"/>
  <c r="I49" i="32"/>
  <c r="J49" i="32" s="1"/>
  <c r="D53" i="32"/>
  <c r="D67" i="32"/>
  <c r="I67" i="32" l="1"/>
  <c r="D71" i="32"/>
  <c r="I53" i="32"/>
  <c r="D122" i="32"/>
  <c r="I71" i="32" l="1"/>
  <c r="J67" i="32"/>
  <c r="I122" i="32"/>
  <c r="J53" i="32"/>
  <c r="J71" i="32" l="1"/>
  <c r="G86" i="5"/>
  <c r="G128" i="5"/>
  <c r="G125" i="5"/>
  <c r="N16" i="22"/>
  <c r="K203" i="4" l="1"/>
  <c r="G203" i="4"/>
  <c r="J84" i="4"/>
  <c r="I84" i="4"/>
  <c r="G84" i="4"/>
  <c r="J203" i="4"/>
  <c r="I203" i="4"/>
  <c r="H203" i="4"/>
  <c r="K84" i="4"/>
  <c r="H84" i="4"/>
  <c r="K60" i="18" l="1"/>
  <c r="J60" i="18"/>
  <c r="I60" i="18"/>
  <c r="H60" i="18"/>
  <c r="G60" i="18"/>
  <c r="K59" i="18"/>
  <c r="I59" i="18"/>
  <c r="H59" i="18"/>
  <c r="G59" i="18"/>
  <c r="K54" i="18"/>
  <c r="J54" i="18"/>
  <c r="I54" i="18"/>
  <c r="H54" i="18"/>
  <c r="G54" i="18"/>
  <c r="K53" i="18"/>
  <c r="J53" i="18"/>
  <c r="I53" i="18"/>
  <c r="H53" i="18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G210" i="4" l="1"/>
  <c r="I210" i="4"/>
  <c r="J210" i="4"/>
  <c r="H210" i="4"/>
  <c r="J59" i="18"/>
  <c r="K210" i="4"/>
  <c r="G53" i="18"/>
  <c r="M17" i="22" l="1"/>
  <c r="N17" i="22" s="1"/>
  <c r="O17" i="22" s="1"/>
  <c r="P17" i="22" s="1"/>
  <c r="Q17" i="22" s="1"/>
  <c r="R17" i="22" s="1"/>
  <c r="S17" i="22" s="1"/>
  <c r="Q22" i="10" l="1"/>
  <c r="Q23" i="10" s="1"/>
  <c r="Q24" i="10" s="1"/>
  <c r="Q25" i="10" s="1"/>
  <c r="O19" i="10"/>
  <c r="O20" i="10" s="1"/>
  <c r="L15" i="10"/>
  <c r="M15" i="10" l="1"/>
  <c r="L16" i="10"/>
  <c r="R64" i="10"/>
  <c r="S64" i="10" s="1"/>
  <c r="T64" i="10" s="1"/>
  <c r="U64" i="10" s="1"/>
  <c r="V64" i="10" s="1"/>
  <c r="R66" i="10"/>
  <c r="S66" i="10" s="1"/>
  <c r="T66" i="10" s="1"/>
  <c r="U66" i="10" s="1"/>
  <c r="V66" i="10" s="1"/>
  <c r="K201" i="4"/>
  <c r="J201" i="4"/>
  <c r="I201" i="4"/>
  <c r="H201" i="4"/>
  <c r="K184" i="4"/>
  <c r="H184" i="4"/>
  <c r="K81" i="4"/>
  <c r="I81" i="4"/>
  <c r="H81" i="4"/>
  <c r="G81" i="4"/>
  <c r="J80" i="4"/>
  <c r="H80" i="4"/>
  <c r="G80" i="4"/>
  <c r="K79" i="4"/>
  <c r="J79" i="4"/>
  <c r="I79" i="4"/>
  <c r="H79" i="4"/>
  <c r="G79" i="4"/>
  <c r="J78" i="4"/>
  <c r="I78" i="4"/>
  <c r="H78" i="4"/>
  <c r="G78" i="4"/>
  <c r="K77" i="4"/>
  <c r="J77" i="4"/>
  <c r="I77" i="4"/>
  <c r="G77" i="4"/>
  <c r="G76" i="4"/>
  <c r="G57" i="4"/>
  <c r="H56" i="4"/>
  <c r="G55" i="4"/>
  <c r="H54" i="4"/>
  <c r="G54" i="4"/>
  <c r="G53" i="4"/>
  <c r="H52" i="4"/>
  <c r="G52" i="4"/>
  <c r="G51" i="4"/>
  <c r="P38" i="27"/>
  <c r="L38" i="27"/>
  <c r="H38" i="27"/>
  <c r="N22" i="27"/>
  <c r="J22" i="27"/>
  <c r="N88" i="27"/>
  <c r="J88" i="27"/>
  <c r="A2" i="27"/>
  <c r="A1" i="27"/>
  <c r="I110" i="26"/>
  <c r="K110" i="26"/>
  <c r="J110" i="26"/>
  <c r="H110" i="26"/>
  <c r="G110" i="26"/>
  <c r="I48" i="26"/>
  <c r="J48" i="26"/>
  <c r="K48" i="26"/>
  <c r="H48" i="26"/>
  <c r="G48" i="26"/>
  <c r="K29" i="26"/>
  <c r="G29" i="26"/>
  <c r="I27" i="26"/>
  <c r="A2" i="26"/>
  <c r="A1" i="26"/>
  <c r="J104" i="27"/>
  <c r="K104" i="27"/>
  <c r="H88" i="27"/>
  <c r="L88" i="27"/>
  <c r="P88" i="27"/>
  <c r="I104" i="27"/>
  <c r="G88" i="27"/>
  <c r="K88" i="27"/>
  <c r="O88" i="27"/>
  <c r="G104" i="27"/>
  <c r="O104" i="27"/>
  <c r="I88" i="27"/>
  <c r="I89" i="27" s="1"/>
  <c r="M88" i="27"/>
  <c r="Q88" i="27"/>
  <c r="H54" i="27"/>
  <c r="H104" i="27"/>
  <c r="I38" i="27"/>
  <c r="M38" i="27"/>
  <c r="Q38" i="27"/>
  <c r="G22" i="27"/>
  <c r="K22" i="27"/>
  <c r="O22" i="27"/>
  <c r="J38" i="27"/>
  <c r="N38" i="27"/>
  <c r="H120" i="27"/>
  <c r="I54" i="27"/>
  <c r="G120" i="27"/>
  <c r="H22" i="27"/>
  <c r="L22" i="27"/>
  <c r="P22" i="27"/>
  <c r="G38" i="27"/>
  <c r="K38" i="27"/>
  <c r="O38" i="27"/>
  <c r="J54" i="27"/>
  <c r="I22" i="27"/>
  <c r="M22" i="27"/>
  <c r="M71" i="27" s="1"/>
  <c r="Q22" i="27"/>
  <c r="G54" i="27"/>
  <c r="K54" i="27"/>
  <c r="H89" i="26"/>
  <c r="J27" i="26"/>
  <c r="H29" i="26"/>
  <c r="I89" i="26"/>
  <c r="J89" i="26"/>
  <c r="I29" i="26"/>
  <c r="G89" i="26"/>
  <c r="K89" i="26"/>
  <c r="H27" i="26"/>
  <c r="J29" i="26"/>
  <c r="J70" i="27"/>
  <c r="H136" i="27"/>
  <c r="I70" i="27"/>
  <c r="J136" i="27"/>
  <c r="N104" i="27"/>
  <c r="G70" i="27"/>
  <c r="H137" i="27"/>
  <c r="I120" i="27"/>
  <c r="K120" i="27"/>
  <c r="O136" i="27"/>
  <c r="O120" i="27"/>
  <c r="M70" i="27"/>
  <c r="K136" i="27"/>
  <c r="H89" i="27"/>
  <c r="Q54" i="27"/>
  <c r="G136" i="27"/>
  <c r="Q104" i="27"/>
  <c r="O70" i="27"/>
  <c r="P70" i="27"/>
  <c r="P54" i="27"/>
  <c r="P104" i="27"/>
  <c r="O54" i="27"/>
  <c r="O71" i="27" s="1"/>
  <c r="Q70" i="27"/>
  <c r="N70" i="27"/>
  <c r="H70" i="27"/>
  <c r="J120" i="27"/>
  <c r="M104" i="27"/>
  <c r="K70" i="27"/>
  <c r="L70" i="27"/>
  <c r="L54" i="27"/>
  <c r="L71" i="27" s="1"/>
  <c r="I136" i="27"/>
  <c r="L104" i="27"/>
  <c r="M54" i="27"/>
  <c r="N54" i="27"/>
  <c r="G27" i="26"/>
  <c r="K27" i="26"/>
  <c r="P120" i="27"/>
  <c r="P136" i="27"/>
  <c r="L120" i="27"/>
  <c r="L136" i="27"/>
  <c r="N136" i="27"/>
  <c r="N120" i="27"/>
  <c r="Q120" i="27"/>
  <c r="Q136" i="27"/>
  <c r="M120" i="27"/>
  <c r="M136" i="27"/>
  <c r="K106" i="18"/>
  <c r="J106" i="18"/>
  <c r="I106" i="18"/>
  <c r="H106" i="18"/>
  <c r="G106" i="18"/>
  <c r="K105" i="18"/>
  <c r="J105" i="18"/>
  <c r="I105" i="18"/>
  <c r="H105" i="18"/>
  <c r="G105" i="18"/>
  <c r="K104" i="18"/>
  <c r="J104" i="18"/>
  <c r="I104" i="18"/>
  <c r="H104" i="18"/>
  <c r="G104" i="18"/>
  <c r="K103" i="18"/>
  <c r="J103" i="18"/>
  <c r="I103" i="18"/>
  <c r="H103" i="18"/>
  <c r="G103" i="18"/>
  <c r="K102" i="18"/>
  <c r="J102" i="18"/>
  <c r="I102" i="18"/>
  <c r="H102" i="18"/>
  <c r="G102" i="18"/>
  <c r="K101" i="18"/>
  <c r="J101" i="18"/>
  <c r="I101" i="18"/>
  <c r="H101" i="18"/>
  <c r="G101" i="18"/>
  <c r="K100" i="18"/>
  <c r="J100" i="18"/>
  <c r="I100" i="18"/>
  <c r="H100" i="18"/>
  <c r="G100" i="18"/>
  <c r="K99" i="18"/>
  <c r="J99" i="18"/>
  <c r="I99" i="18"/>
  <c r="H99" i="18"/>
  <c r="G99" i="18"/>
  <c r="K98" i="18"/>
  <c r="J98" i="18"/>
  <c r="I98" i="18"/>
  <c r="H98" i="18"/>
  <c r="G98" i="18"/>
  <c r="K97" i="18"/>
  <c r="J97" i="18"/>
  <c r="I97" i="18"/>
  <c r="H97" i="18"/>
  <c r="G97" i="18"/>
  <c r="K96" i="18"/>
  <c r="J96" i="18"/>
  <c r="I96" i="18"/>
  <c r="H96" i="18"/>
  <c r="G96" i="18"/>
  <c r="J37" i="24"/>
  <c r="I37" i="24"/>
  <c r="H37" i="24"/>
  <c r="A2" i="24"/>
  <c r="A1" i="24"/>
  <c r="AY981" i="3"/>
  <c r="AW981" i="3"/>
  <c r="AV981" i="3"/>
  <c r="AX981" i="3" s="1"/>
  <c r="AU981" i="3"/>
  <c r="AY980" i="3"/>
  <c r="AW980" i="3"/>
  <c r="AV980" i="3"/>
  <c r="AX980" i="3" s="1"/>
  <c r="AU980" i="3"/>
  <c r="AY979" i="3"/>
  <c r="AW979" i="3"/>
  <c r="AV979" i="3"/>
  <c r="AX979" i="3" s="1"/>
  <c r="AU979" i="3"/>
  <c r="AY978" i="3"/>
  <c r="AW978" i="3"/>
  <c r="AV978" i="3"/>
  <c r="AX978" i="3" s="1"/>
  <c r="AU978" i="3"/>
  <c r="AY977" i="3"/>
  <c r="AW977" i="3"/>
  <c r="AV977" i="3"/>
  <c r="AX977" i="3" s="1"/>
  <c r="AU977" i="3"/>
  <c r="AY976" i="3"/>
  <c r="AW976" i="3"/>
  <c r="AV976" i="3"/>
  <c r="AX976" i="3" s="1"/>
  <c r="AU976" i="3"/>
  <c r="AY975" i="3"/>
  <c r="AW975" i="3"/>
  <c r="AV975" i="3"/>
  <c r="AX975" i="3" s="1"/>
  <c r="AU975" i="3"/>
  <c r="AY974" i="3"/>
  <c r="AW974" i="3"/>
  <c r="AV974" i="3"/>
  <c r="AX974" i="3" s="1"/>
  <c r="AU974" i="3"/>
  <c r="AY973" i="3"/>
  <c r="AW973" i="3"/>
  <c r="AV973" i="3"/>
  <c r="AX973" i="3" s="1"/>
  <c r="AU973" i="3"/>
  <c r="AY972" i="3"/>
  <c r="AW972" i="3"/>
  <c r="AV972" i="3"/>
  <c r="AX972" i="3" s="1"/>
  <c r="AU972" i="3"/>
  <c r="AY971" i="3"/>
  <c r="AW971" i="3"/>
  <c r="AV971" i="3"/>
  <c r="AX971" i="3" s="1"/>
  <c r="AU971" i="3"/>
  <c r="AY970" i="3"/>
  <c r="AW970" i="3"/>
  <c r="AV970" i="3"/>
  <c r="AX970" i="3" s="1"/>
  <c r="AU970" i="3"/>
  <c r="AY969" i="3"/>
  <c r="AW969" i="3"/>
  <c r="AV969" i="3"/>
  <c r="AX969" i="3" s="1"/>
  <c r="AU969" i="3"/>
  <c r="AY968" i="3"/>
  <c r="AW968" i="3"/>
  <c r="AV968" i="3"/>
  <c r="AX968" i="3" s="1"/>
  <c r="AU968" i="3"/>
  <c r="AY967" i="3"/>
  <c r="AW967" i="3"/>
  <c r="AV967" i="3"/>
  <c r="AX967" i="3"/>
  <c r="AU967" i="3"/>
  <c r="AY966" i="3"/>
  <c r="AW966" i="3"/>
  <c r="AV966" i="3"/>
  <c r="AX966" i="3" s="1"/>
  <c r="AU966" i="3"/>
  <c r="AY965" i="3"/>
  <c r="AW965" i="3"/>
  <c r="AV965" i="3"/>
  <c r="AX965" i="3" s="1"/>
  <c r="AU965" i="3"/>
  <c r="AY964" i="3"/>
  <c r="AW964" i="3"/>
  <c r="AV964" i="3"/>
  <c r="AX964" i="3" s="1"/>
  <c r="AU964" i="3"/>
  <c r="AY963" i="3"/>
  <c r="AW963" i="3"/>
  <c r="AV963" i="3"/>
  <c r="AX963" i="3" s="1"/>
  <c r="AU963" i="3"/>
  <c r="AY962" i="3"/>
  <c r="AW962" i="3"/>
  <c r="AV962" i="3"/>
  <c r="AX962" i="3" s="1"/>
  <c r="AU962" i="3"/>
  <c r="AY961" i="3"/>
  <c r="AW961" i="3"/>
  <c r="AV961" i="3"/>
  <c r="AX961" i="3" s="1"/>
  <c r="AU961" i="3"/>
  <c r="AY960" i="3"/>
  <c r="AW960" i="3"/>
  <c r="AV960" i="3"/>
  <c r="AX960" i="3" s="1"/>
  <c r="AU960" i="3"/>
  <c r="AY959" i="3"/>
  <c r="AW959" i="3"/>
  <c r="AV959" i="3"/>
  <c r="AX959" i="3" s="1"/>
  <c r="AU959" i="3"/>
  <c r="AY958" i="3"/>
  <c r="AW958" i="3"/>
  <c r="AV958" i="3"/>
  <c r="AX958" i="3" s="1"/>
  <c r="AU958" i="3"/>
  <c r="AY957" i="3"/>
  <c r="AW957" i="3"/>
  <c r="AV957" i="3"/>
  <c r="AX957" i="3" s="1"/>
  <c r="AU957" i="3"/>
  <c r="AY956" i="3"/>
  <c r="AW956" i="3"/>
  <c r="AV956" i="3"/>
  <c r="AX956" i="3" s="1"/>
  <c r="AU956" i="3"/>
  <c r="AY955" i="3"/>
  <c r="AW955" i="3"/>
  <c r="AV955" i="3"/>
  <c r="AX955" i="3" s="1"/>
  <c r="AU955" i="3"/>
  <c r="AY954" i="3"/>
  <c r="AW954" i="3"/>
  <c r="AV954" i="3"/>
  <c r="AX954" i="3" s="1"/>
  <c r="AU954" i="3"/>
  <c r="AY953" i="3"/>
  <c r="AW953" i="3"/>
  <c r="AV953" i="3"/>
  <c r="AX953" i="3" s="1"/>
  <c r="AU953" i="3"/>
  <c r="AY952" i="3"/>
  <c r="AW952" i="3"/>
  <c r="AV952" i="3"/>
  <c r="AX952" i="3" s="1"/>
  <c r="AU952" i="3"/>
  <c r="AY951" i="3"/>
  <c r="AW951" i="3"/>
  <c r="AV951" i="3"/>
  <c r="AX951" i="3"/>
  <c r="AU951" i="3"/>
  <c r="AY950" i="3"/>
  <c r="AW950" i="3"/>
  <c r="AV950" i="3"/>
  <c r="AX950" i="3" s="1"/>
  <c r="AU950" i="3"/>
  <c r="AY949" i="3"/>
  <c r="AW949" i="3"/>
  <c r="AV949" i="3"/>
  <c r="AX949" i="3" s="1"/>
  <c r="AU949" i="3"/>
  <c r="AY948" i="3"/>
  <c r="AW948" i="3"/>
  <c r="AV948" i="3"/>
  <c r="AX948" i="3" s="1"/>
  <c r="AU948" i="3"/>
  <c r="AY947" i="3"/>
  <c r="AW947" i="3"/>
  <c r="AV947" i="3"/>
  <c r="AX947" i="3" s="1"/>
  <c r="AU947" i="3"/>
  <c r="AY946" i="3"/>
  <c r="AW946" i="3"/>
  <c r="AV946" i="3"/>
  <c r="AX946" i="3" s="1"/>
  <c r="AU946" i="3"/>
  <c r="AY945" i="3"/>
  <c r="AW945" i="3"/>
  <c r="AV945" i="3"/>
  <c r="AX945" i="3" s="1"/>
  <c r="AU945" i="3"/>
  <c r="AY944" i="3"/>
  <c r="AW944" i="3"/>
  <c r="AV944" i="3"/>
  <c r="AX944" i="3" s="1"/>
  <c r="AU944" i="3"/>
  <c r="AY943" i="3"/>
  <c r="AW943" i="3"/>
  <c r="AV943" i="3"/>
  <c r="AX943" i="3" s="1"/>
  <c r="AU943" i="3"/>
  <c r="AY942" i="3"/>
  <c r="AW942" i="3"/>
  <c r="AV942" i="3"/>
  <c r="AX942" i="3" s="1"/>
  <c r="AU942" i="3"/>
  <c r="AY941" i="3"/>
  <c r="AW941" i="3"/>
  <c r="AV941" i="3"/>
  <c r="AX941" i="3"/>
  <c r="AU941" i="3"/>
  <c r="AY940" i="3"/>
  <c r="AW940" i="3"/>
  <c r="AV940" i="3"/>
  <c r="AX940" i="3" s="1"/>
  <c r="AU940" i="3"/>
  <c r="AY939" i="3"/>
  <c r="AW939" i="3"/>
  <c r="AV939" i="3"/>
  <c r="AX939" i="3" s="1"/>
  <c r="AU939" i="3"/>
  <c r="AY938" i="3"/>
  <c r="AW938" i="3"/>
  <c r="AV938" i="3"/>
  <c r="AX938" i="3" s="1"/>
  <c r="AU938" i="3"/>
  <c r="AY937" i="3"/>
  <c r="AW937" i="3"/>
  <c r="AV937" i="3"/>
  <c r="AX937" i="3" s="1"/>
  <c r="AU937" i="3"/>
  <c r="AY936" i="3"/>
  <c r="AW936" i="3"/>
  <c r="AV936" i="3"/>
  <c r="AX936" i="3" s="1"/>
  <c r="AU936" i="3"/>
  <c r="AY935" i="3"/>
  <c r="AW935" i="3"/>
  <c r="AV935" i="3"/>
  <c r="AX935" i="3" s="1"/>
  <c r="AU935" i="3"/>
  <c r="AY934" i="3"/>
  <c r="AW934" i="3"/>
  <c r="AV934" i="3"/>
  <c r="AX934" i="3" s="1"/>
  <c r="AU934" i="3"/>
  <c r="AY933" i="3"/>
  <c r="AW933" i="3"/>
  <c r="AV933" i="3"/>
  <c r="AX933" i="3" s="1"/>
  <c r="AU933" i="3"/>
  <c r="AY932" i="3"/>
  <c r="AW932" i="3"/>
  <c r="AV932" i="3"/>
  <c r="AX932" i="3" s="1"/>
  <c r="AU932" i="3"/>
  <c r="AY931" i="3"/>
  <c r="AW931" i="3"/>
  <c r="AV931" i="3"/>
  <c r="AX931" i="3" s="1"/>
  <c r="AU931" i="3"/>
  <c r="AY930" i="3"/>
  <c r="AW930" i="3"/>
  <c r="AV930" i="3"/>
  <c r="AX930" i="3" s="1"/>
  <c r="AU930" i="3"/>
  <c r="AY929" i="3"/>
  <c r="AW929" i="3"/>
  <c r="AV929" i="3"/>
  <c r="AX929" i="3" s="1"/>
  <c r="AU929" i="3"/>
  <c r="AY928" i="3"/>
  <c r="AW928" i="3"/>
  <c r="AV928" i="3"/>
  <c r="AX928" i="3" s="1"/>
  <c r="AU928" i="3"/>
  <c r="AY927" i="3"/>
  <c r="AW927" i="3"/>
  <c r="AV927" i="3"/>
  <c r="AX927" i="3" s="1"/>
  <c r="AU927" i="3"/>
  <c r="AY926" i="3"/>
  <c r="AW926" i="3"/>
  <c r="AV926" i="3"/>
  <c r="AX926" i="3" s="1"/>
  <c r="AU926" i="3"/>
  <c r="AY925" i="3"/>
  <c r="AW925" i="3"/>
  <c r="AV925" i="3"/>
  <c r="AX925" i="3" s="1"/>
  <c r="AU925" i="3"/>
  <c r="AY924" i="3"/>
  <c r="AW924" i="3"/>
  <c r="AV924" i="3"/>
  <c r="AX924" i="3" s="1"/>
  <c r="AU924" i="3"/>
  <c r="AY923" i="3"/>
  <c r="AW923" i="3"/>
  <c r="AV923" i="3"/>
  <c r="AX923" i="3" s="1"/>
  <c r="AU923" i="3"/>
  <c r="AY922" i="3"/>
  <c r="AW922" i="3"/>
  <c r="AV922" i="3"/>
  <c r="AX922" i="3" s="1"/>
  <c r="AU922" i="3"/>
  <c r="AY921" i="3"/>
  <c r="AW921" i="3"/>
  <c r="AV921" i="3"/>
  <c r="AX921" i="3"/>
  <c r="AU921" i="3"/>
  <c r="AY920" i="3"/>
  <c r="AW920" i="3"/>
  <c r="AV920" i="3"/>
  <c r="AX920" i="3" s="1"/>
  <c r="AU920" i="3"/>
  <c r="AY919" i="3"/>
  <c r="AW919" i="3"/>
  <c r="AV919" i="3"/>
  <c r="AX919" i="3" s="1"/>
  <c r="AU919" i="3"/>
  <c r="AY918" i="3"/>
  <c r="AW918" i="3"/>
  <c r="AV918" i="3"/>
  <c r="AX918" i="3" s="1"/>
  <c r="AU918" i="3"/>
  <c r="AY917" i="3"/>
  <c r="AW917" i="3"/>
  <c r="AV917" i="3"/>
  <c r="AX917" i="3" s="1"/>
  <c r="AU917" i="3"/>
  <c r="AY916" i="3"/>
  <c r="AW916" i="3"/>
  <c r="AV916" i="3"/>
  <c r="AX916" i="3" s="1"/>
  <c r="AU916" i="3"/>
  <c r="AY915" i="3"/>
  <c r="AW915" i="3"/>
  <c r="AV915" i="3"/>
  <c r="AX915" i="3" s="1"/>
  <c r="AU915" i="3"/>
  <c r="AY914" i="3"/>
  <c r="AW914" i="3"/>
  <c r="AV914" i="3"/>
  <c r="AX914" i="3" s="1"/>
  <c r="AU914" i="3"/>
  <c r="AY913" i="3"/>
  <c r="AW913" i="3"/>
  <c r="AV913" i="3"/>
  <c r="AX913" i="3" s="1"/>
  <c r="AU913" i="3"/>
  <c r="AY912" i="3"/>
  <c r="AW912" i="3"/>
  <c r="AV912" i="3"/>
  <c r="AX912" i="3" s="1"/>
  <c r="AU912" i="3"/>
  <c r="AY911" i="3"/>
  <c r="AW911" i="3"/>
  <c r="AV911" i="3"/>
  <c r="AX911" i="3" s="1"/>
  <c r="AU911" i="3"/>
  <c r="AY910" i="3"/>
  <c r="AW910" i="3"/>
  <c r="AV910" i="3"/>
  <c r="AX910" i="3" s="1"/>
  <c r="AU910" i="3"/>
  <c r="AY909" i="3"/>
  <c r="AW909" i="3"/>
  <c r="AV909" i="3"/>
  <c r="AX909" i="3" s="1"/>
  <c r="AU909" i="3"/>
  <c r="AY908" i="3"/>
  <c r="AW908" i="3"/>
  <c r="AV908" i="3"/>
  <c r="AX908" i="3" s="1"/>
  <c r="AU908" i="3"/>
  <c r="AY907" i="3"/>
  <c r="AW907" i="3"/>
  <c r="AV907" i="3"/>
  <c r="AX907" i="3" s="1"/>
  <c r="AU907" i="3"/>
  <c r="AY906" i="3"/>
  <c r="AW906" i="3"/>
  <c r="AV906" i="3"/>
  <c r="AX906" i="3" s="1"/>
  <c r="AU906" i="3"/>
  <c r="AY905" i="3"/>
  <c r="AW905" i="3"/>
  <c r="AV905" i="3"/>
  <c r="AX905" i="3"/>
  <c r="AU905" i="3"/>
  <c r="AY904" i="3"/>
  <c r="AW904" i="3"/>
  <c r="AV904" i="3"/>
  <c r="AX904" i="3" s="1"/>
  <c r="AU904" i="3"/>
  <c r="AY903" i="3"/>
  <c r="AW903" i="3"/>
  <c r="AV903" i="3"/>
  <c r="AX903" i="3" s="1"/>
  <c r="AU903" i="3"/>
  <c r="AY902" i="3"/>
  <c r="AW902" i="3"/>
  <c r="AV902" i="3"/>
  <c r="AX902" i="3" s="1"/>
  <c r="AU902" i="3"/>
  <c r="AY901" i="3"/>
  <c r="AW901" i="3"/>
  <c r="AV901" i="3"/>
  <c r="AX901" i="3" s="1"/>
  <c r="AU901" i="3"/>
  <c r="AY900" i="3"/>
  <c r="AW900" i="3"/>
  <c r="AV900" i="3"/>
  <c r="AX900" i="3" s="1"/>
  <c r="AU900" i="3"/>
  <c r="AY899" i="3"/>
  <c r="AW899" i="3"/>
  <c r="AV899" i="3"/>
  <c r="AX899" i="3" s="1"/>
  <c r="AU899" i="3"/>
  <c r="AY898" i="3"/>
  <c r="AW898" i="3"/>
  <c r="AV898" i="3"/>
  <c r="AX898" i="3" s="1"/>
  <c r="AU898" i="3"/>
  <c r="AY897" i="3"/>
  <c r="AW897" i="3"/>
  <c r="AV897" i="3"/>
  <c r="AX897" i="3" s="1"/>
  <c r="AU897" i="3"/>
  <c r="AY896" i="3"/>
  <c r="AW896" i="3"/>
  <c r="AV896" i="3"/>
  <c r="AX896" i="3" s="1"/>
  <c r="AU896" i="3"/>
  <c r="AY895" i="3"/>
  <c r="AW895" i="3"/>
  <c r="AV895" i="3"/>
  <c r="AX895" i="3" s="1"/>
  <c r="AU895" i="3"/>
  <c r="AY894" i="3"/>
  <c r="AW894" i="3"/>
  <c r="AV894" i="3"/>
  <c r="AX894" i="3" s="1"/>
  <c r="AU894" i="3"/>
  <c r="AY893" i="3"/>
  <c r="AW893" i="3"/>
  <c r="AV893" i="3"/>
  <c r="AX893" i="3" s="1"/>
  <c r="AU893" i="3"/>
  <c r="AY892" i="3"/>
  <c r="AW892" i="3"/>
  <c r="AV892" i="3"/>
  <c r="AX892" i="3" s="1"/>
  <c r="AU892" i="3"/>
  <c r="AY891" i="3"/>
  <c r="AW891" i="3"/>
  <c r="AV891" i="3"/>
  <c r="AX891" i="3" s="1"/>
  <c r="AU891" i="3"/>
  <c r="AY890" i="3"/>
  <c r="AW890" i="3"/>
  <c r="AV890" i="3"/>
  <c r="AX890" i="3" s="1"/>
  <c r="AU890" i="3"/>
  <c r="AY889" i="3"/>
  <c r="AW889" i="3"/>
  <c r="AV889" i="3"/>
  <c r="AX889" i="3" s="1"/>
  <c r="AU889" i="3"/>
  <c r="AY888" i="3"/>
  <c r="AW888" i="3"/>
  <c r="AV888" i="3"/>
  <c r="AX888" i="3" s="1"/>
  <c r="AU888" i="3"/>
  <c r="AY887" i="3"/>
  <c r="AW887" i="3"/>
  <c r="AV887" i="3"/>
  <c r="AX887" i="3" s="1"/>
  <c r="AU887" i="3"/>
  <c r="AY886" i="3"/>
  <c r="AW886" i="3"/>
  <c r="AV886" i="3"/>
  <c r="AX886" i="3" s="1"/>
  <c r="AU886" i="3"/>
  <c r="AY885" i="3"/>
  <c r="AW885" i="3"/>
  <c r="AV885" i="3"/>
  <c r="AX885" i="3" s="1"/>
  <c r="AU885" i="3"/>
  <c r="AY884" i="3"/>
  <c r="AW884" i="3"/>
  <c r="AV884" i="3"/>
  <c r="AX884" i="3" s="1"/>
  <c r="AU884" i="3"/>
  <c r="AY883" i="3"/>
  <c r="AW883" i="3"/>
  <c r="AV883" i="3"/>
  <c r="AX883" i="3" s="1"/>
  <c r="AU883" i="3"/>
  <c r="AY882" i="3"/>
  <c r="AW882" i="3"/>
  <c r="AV882" i="3"/>
  <c r="AX882" i="3" s="1"/>
  <c r="AU882" i="3"/>
  <c r="AY881" i="3"/>
  <c r="AW881" i="3"/>
  <c r="AV881" i="3"/>
  <c r="AX881" i="3" s="1"/>
  <c r="AU881" i="3"/>
  <c r="AY880" i="3"/>
  <c r="AW880" i="3"/>
  <c r="AV880" i="3"/>
  <c r="AX880" i="3" s="1"/>
  <c r="AU880" i="3"/>
  <c r="AY879" i="3"/>
  <c r="AW879" i="3"/>
  <c r="AV879" i="3"/>
  <c r="AX879" i="3"/>
  <c r="AU879" i="3"/>
  <c r="AY878" i="3"/>
  <c r="AW878" i="3"/>
  <c r="AV878" i="3"/>
  <c r="AX878" i="3" s="1"/>
  <c r="AU878" i="3"/>
  <c r="AY877" i="3"/>
  <c r="AW877" i="3"/>
  <c r="AV877" i="3"/>
  <c r="AX877" i="3" s="1"/>
  <c r="AU877" i="3"/>
  <c r="AY876" i="3"/>
  <c r="AW876" i="3"/>
  <c r="AV876" i="3"/>
  <c r="AX876" i="3" s="1"/>
  <c r="AU876" i="3"/>
  <c r="AY875" i="3"/>
  <c r="AW875" i="3"/>
  <c r="AV875" i="3"/>
  <c r="AX875" i="3" s="1"/>
  <c r="AU875" i="3"/>
  <c r="AY874" i="3"/>
  <c r="AW874" i="3"/>
  <c r="AV874" i="3"/>
  <c r="AX874" i="3" s="1"/>
  <c r="AU874" i="3"/>
  <c r="AY873" i="3"/>
  <c r="AW873" i="3"/>
  <c r="AV873" i="3"/>
  <c r="AX873" i="3" s="1"/>
  <c r="AU873" i="3"/>
  <c r="AY872" i="3"/>
  <c r="AW872" i="3"/>
  <c r="AV872" i="3"/>
  <c r="AX872" i="3" s="1"/>
  <c r="AU872" i="3"/>
  <c r="AY871" i="3"/>
  <c r="AW871" i="3"/>
  <c r="AV871" i="3"/>
  <c r="AX871" i="3" s="1"/>
  <c r="AU871" i="3"/>
  <c r="AY870" i="3"/>
  <c r="AW870" i="3"/>
  <c r="AV870" i="3"/>
  <c r="AX870" i="3" s="1"/>
  <c r="AU870" i="3"/>
  <c r="AY869" i="3"/>
  <c r="AW869" i="3"/>
  <c r="AV869" i="3"/>
  <c r="AX869" i="3" s="1"/>
  <c r="AU869" i="3"/>
  <c r="AY868" i="3"/>
  <c r="AW868" i="3"/>
  <c r="AV868" i="3"/>
  <c r="AX868" i="3" s="1"/>
  <c r="AU868" i="3"/>
  <c r="AY867" i="3"/>
  <c r="AW867" i="3"/>
  <c r="AV867" i="3"/>
  <c r="AX867" i="3" s="1"/>
  <c r="AU867" i="3"/>
  <c r="AY866" i="3"/>
  <c r="AW866" i="3"/>
  <c r="AV866" i="3"/>
  <c r="AX866" i="3" s="1"/>
  <c r="AU866" i="3"/>
  <c r="AY865" i="3"/>
  <c r="AW865" i="3"/>
  <c r="AV865" i="3"/>
  <c r="AX865" i="3" s="1"/>
  <c r="AU865" i="3"/>
  <c r="AY864" i="3"/>
  <c r="AW864" i="3"/>
  <c r="AV864" i="3"/>
  <c r="AX864" i="3" s="1"/>
  <c r="AU864" i="3"/>
  <c r="AY863" i="3"/>
  <c r="AW863" i="3"/>
  <c r="AV863" i="3"/>
  <c r="AX863" i="3" s="1"/>
  <c r="AU863" i="3"/>
  <c r="AY862" i="3"/>
  <c r="AW862" i="3"/>
  <c r="AV862" i="3"/>
  <c r="AX862" i="3" s="1"/>
  <c r="AU862" i="3"/>
  <c r="AY861" i="3"/>
  <c r="AW861" i="3"/>
  <c r="AV861" i="3"/>
  <c r="AX861" i="3" s="1"/>
  <c r="AU861" i="3"/>
  <c r="AY860" i="3"/>
  <c r="AW860" i="3"/>
  <c r="AV860" i="3"/>
  <c r="AX860" i="3" s="1"/>
  <c r="AU860" i="3"/>
  <c r="AY859" i="3"/>
  <c r="AW859" i="3"/>
  <c r="AV859" i="3"/>
  <c r="AX859" i="3" s="1"/>
  <c r="AU859" i="3"/>
  <c r="AY858" i="3"/>
  <c r="AW858" i="3"/>
  <c r="AV858" i="3"/>
  <c r="AX858" i="3" s="1"/>
  <c r="AU858" i="3"/>
  <c r="AY857" i="3"/>
  <c r="AW857" i="3"/>
  <c r="AV857" i="3"/>
  <c r="AX857" i="3" s="1"/>
  <c r="AU857" i="3"/>
  <c r="AY856" i="3"/>
  <c r="AW856" i="3"/>
  <c r="AV856" i="3"/>
  <c r="AX856" i="3" s="1"/>
  <c r="AU856" i="3"/>
  <c r="AY855" i="3"/>
  <c r="AW855" i="3"/>
  <c r="AV855" i="3"/>
  <c r="AX855" i="3" s="1"/>
  <c r="AU855" i="3"/>
  <c r="AY854" i="3"/>
  <c r="AW854" i="3"/>
  <c r="AV854" i="3"/>
  <c r="AX854" i="3" s="1"/>
  <c r="AU854" i="3"/>
  <c r="AY853" i="3"/>
  <c r="AW853" i="3"/>
  <c r="AV853" i="3"/>
  <c r="AX853" i="3" s="1"/>
  <c r="AU853" i="3"/>
  <c r="AY852" i="3"/>
  <c r="AW852" i="3"/>
  <c r="AV852" i="3"/>
  <c r="AX852" i="3" s="1"/>
  <c r="AU852" i="3"/>
  <c r="AY851" i="3"/>
  <c r="AW851" i="3"/>
  <c r="AV851" i="3"/>
  <c r="AX851" i="3"/>
  <c r="AU851" i="3"/>
  <c r="AY850" i="3"/>
  <c r="AW850" i="3"/>
  <c r="AV850" i="3"/>
  <c r="AX850" i="3" s="1"/>
  <c r="AU850" i="3"/>
  <c r="AY849" i="3"/>
  <c r="AW849" i="3"/>
  <c r="AV849" i="3"/>
  <c r="AX849" i="3" s="1"/>
  <c r="AU849" i="3"/>
  <c r="AY848" i="3"/>
  <c r="AW848" i="3"/>
  <c r="AV848" i="3"/>
  <c r="AX848" i="3" s="1"/>
  <c r="AU848" i="3"/>
  <c r="AY847" i="3"/>
  <c r="AW847" i="3"/>
  <c r="AV847" i="3"/>
  <c r="AX847" i="3" s="1"/>
  <c r="AU847" i="3"/>
  <c r="AY846" i="3"/>
  <c r="AW846" i="3"/>
  <c r="AV846" i="3"/>
  <c r="AX846" i="3" s="1"/>
  <c r="AU846" i="3"/>
  <c r="AY845" i="3"/>
  <c r="AW845" i="3"/>
  <c r="AV845" i="3"/>
  <c r="AX845" i="3" s="1"/>
  <c r="AU845" i="3"/>
  <c r="AY844" i="3"/>
  <c r="AW844" i="3"/>
  <c r="AV844" i="3"/>
  <c r="AX844" i="3" s="1"/>
  <c r="AU844" i="3"/>
  <c r="AY843" i="3"/>
  <c r="AW843" i="3"/>
  <c r="AV843" i="3"/>
  <c r="AX843" i="3" s="1"/>
  <c r="AU843" i="3"/>
  <c r="AY842" i="3"/>
  <c r="AW842" i="3"/>
  <c r="AV842" i="3"/>
  <c r="AX842" i="3" s="1"/>
  <c r="AU842" i="3"/>
  <c r="AY841" i="3"/>
  <c r="AW841" i="3"/>
  <c r="AV841" i="3"/>
  <c r="AX841" i="3" s="1"/>
  <c r="AU841" i="3"/>
  <c r="AY840" i="3"/>
  <c r="AW840" i="3"/>
  <c r="AV840" i="3"/>
  <c r="AX840" i="3" s="1"/>
  <c r="AU840" i="3"/>
  <c r="AY839" i="3"/>
  <c r="AW839" i="3"/>
  <c r="AV839" i="3"/>
  <c r="AX839" i="3" s="1"/>
  <c r="AU839" i="3"/>
  <c r="AY838" i="3"/>
  <c r="AW838" i="3"/>
  <c r="AV838" i="3"/>
  <c r="AX838" i="3" s="1"/>
  <c r="AU838" i="3"/>
  <c r="AY837" i="3"/>
  <c r="AW837" i="3"/>
  <c r="AV837" i="3"/>
  <c r="AX837" i="3" s="1"/>
  <c r="AU837" i="3"/>
  <c r="AY836" i="3"/>
  <c r="AW836" i="3"/>
  <c r="AV836" i="3"/>
  <c r="AX836" i="3" s="1"/>
  <c r="AU836" i="3"/>
  <c r="AY835" i="3"/>
  <c r="AW835" i="3"/>
  <c r="AV835" i="3"/>
  <c r="AX835" i="3" s="1"/>
  <c r="AU835" i="3"/>
  <c r="AY834" i="3"/>
  <c r="AW834" i="3"/>
  <c r="AV834" i="3"/>
  <c r="AX834" i="3" s="1"/>
  <c r="AU834" i="3"/>
  <c r="AY833" i="3"/>
  <c r="AW833" i="3"/>
  <c r="AV833" i="3"/>
  <c r="AX833" i="3" s="1"/>
  <c r="AU833" i="3"/>
  <c r="AY832" i="3"/>
  <c r="AW832" i="3"/>
  <c r="AV832" i="3"/>
  <c r="AX832" i="3" s="1"/>
  <c r="AU832" i="3"/>
  <c r="AY831" i="3"/>
  <c r="AW831" i="3"/>
  <c r="AV831" i="3"/>
  <c r="AX831" i="3"/>
  <c r="AU831" i="3"/>
  <c r="AY830" i="3"/>
  <c r="AW830" i="3"/>
  <c r="AV830" i="3"/>
  <c r="AX830" i="3" s="1"/>
  <c r="AU830" i="3"/>
  <c r="AY829" i="3"/>
  <c r="AW829" i="3"/>
  <c r="AV829" i="3"/>
  <c r="AX829" i="3" s="1"/>
  <c r="AU829" i="3"/>
  <c r="AY828" i="3"/>
  <c r="AW828" i="3"/>
  <c r="AV828" i="3"/>
  <c r="AX828" i="3" s="1"/>
  <c r="AU828" i="3"/>
  <c r="AY827" i="3"/>
  <c r="AW827" i="3"/>
  <c r="AV827" i="3"/>
  <c r="AX827" i="3" s="1"/>
  <c r="AU827" i="3"/>
  <c r="AY826" i="3"/>
  <c r="AW826" i="3"/>
  <c r="AV826" i="3"/>
  <c r="AX826" i="3" s="1"/>
  <c r="AU826" i="3"/>
  <c r="AY825" i="3"/>
  <c r="AW825" i="3"/>
  <c r="AV825" i="3"/>
  <c r="AX825" i="3" s="1"/>
  <c r="AU825" i="3"/>
  <c r="AY824" i="3"/>
  <c r="AW824" i="3"/>
  <c r="AV824" i="3"/>
  <c r="AX824" i="3" s="1"/>
  <c r="AU824" i="3"/>
  <c r="AY823" i="3"/>
  <c r="AW823" i="3"/>
  <c r="AV823" i="3"/>
  <c r="AX823" i="3" s="1"/>
  <c r="AU823" i="3"/>
  <c r="AY822" i="3"/>
  <c r="AW822" i="3"/>
  <c r="AV822" i="3"/>
  <c r="AX822" i="3" s="1"/>
  <c r="AU822" i="3"/>
  <c r="AY821" i="3"/>
  <c r="AW821" i="3"/>
  <c r="AV821" i="3"/>
  <c r="AX821" i="3" s="1"/>
  <c r="AU821" i="3"/>
  <c r="AY820" i="3"/>
  <c r="AW820" i="3"/>
  <c r="AV820" i="3"/>
  <c r="AX820" i="3" s="1"/>
  <c r="AU820" i="3"/>
  <c r="AY819" i="3"/>
  <c r="AW819" i="3"/>
  <c r="AV819" i="3"/>
  <c r="AX819" i="3" s="1"/>
  <c r="AU819" i="3"/>
  <c r="AY818" i="3"/>
  <c r="AW818" i="3"/>
  <c r="AV818" i="3"/>
  <c r="AX818" i="3" s="1"/>
  <c r="AU818" i="3"/>
  <c r="AY817" i="3"/>
  <c r="AW817" i="3"/>
  <c r="AV817" i="3"/>
  <c r="AX817" i="3" s="1"/>
  <c r="AU817" i="3"/>
  <c r="AY816" i="3"/>
  <c r="AW816" i="3"/>
  <c r="AV816" i="3"/>
  <c r="AX816" i="3" s="1"/>
  <c r="AU816" i="3"/>
  <c r="AY815" i="3"/>
  <c r="AW815" i="3"/>
  <c r="AV815" i="3"/>
  <c r="AX815" i="3" s="1"/>
  <c r="AU815" i="3"/>
  <c r="AY814" i="3"/>
  <c r="AW814" i="3"/>
  <c r="AV814" i="3"/>
  <c r="AX814" i="3" s="1"/>
  <c r="AU814" i="3"/>
  <c r="AY813" i="3"/>
  <c r="AW813" i="3"/>
  <c r="AV813" i="3"/>
  <c r="AX813" i="3" s="1"/>
  <c r="AU813" i="3"/>
  <c r="AY812" i="3"/>
  <c r="AW812" i="3"/>
  <c r="AV812" i="3"/>
  <c r="AX812" i="3" s="1"/>
  <c r="AU812" i="3"/>
  <c r="AY811" i="3"/>
  <c r="AW811" i="3"/>
  <c r="AV811" i="3"/>
  <c r="AX811" i="3" s="1"/>
  <c r="AU811" i="3"/>
  <c r="AY810" i="3"/>
  <c r="AW810" i="3"/>
  <c r="AV810" i="3"/>
  <c r="AX810" i="3" s="1"/>
  <c r="AU810" i="3"/>
  <c r="AY809" i="3"/>
  <c r="AW809" i="3"/>
  <c r="AV809" i="3"/>
  <c r="AX809" i="3" s="1"/>
  <c r="AU809" i="3"/>
  <c r="AY808" i="3"/>
  <c r="AW808" i="3"/>
  <c r="AV808" i="3"/>
  <c r="AX808" i="3" s="1"/>
  <c r="AU808" i="3"/>
  <c r="AY807" i="3"/>
  <c r="AW807" i="3"/>
  <c r="AV807" i="3"/>
  <c r="AX807" i="3"/>
  <c r="AU807" i="3"/>
  <c r="AY806" i="3"/>
  <c r="AW806" i="3"/>
  <c r="AV806" i="3"/>
  <c r="AX806" i="3" s="1"/>
  <c r="AU806" i="3"/>
  <c r="AY805" i="3"/>
  <c r="AW805" i="3"/>
  <c r="AV805" i="3"/>
  <c r="AX805" i="3" s="1"/>
  <c r="AU805" i="3"/>
  <c r="AY804" i="3"/>
  <c r="AW804" i="3"/>
  <c r="AV804" i="3"/>
  <c r="AX804" i="3" s="1"/>
  <c r="AU804" i="3"/>
  <c r="AY803" i="3"/>
  <c r="AW803" i="3"/>
  <c r="AV803" i="3"/>
  <c r="AX803" i="3" s="1"/>
  <c r="AU803" i="3"/>
  <c r="AY802" i="3"/>
  <c r="AW802" i="3"/>
  <c r="AV802" i="3"/>
  <c r="AX802" i="3" s="1"/>
  <c r="AU802" i="3"/>
  <c r="AY801" i="3"/>
  <c r="AW801" i="3"/>
  <c r="AV801" i="3"/>
  <c r="AX801" i="3" s="1"/>
  <c r="AU801" i="3"/>
  <c r="AY800" i="3"/>
  <c r="AW800" i="3"/>
  <c r="AV800" i="3"/>
  <c r="AX800" i="3" s="1"/>
  <c r="AU800" i="3"/>
  <c r="AY799" i="3"/>
  <c r="AW799" i="3"/>
  <c r="AV799" i="3"/>
  <c r="AX799" i="3" s="1"/>
  <c r="AU799" i="3"/>
  <c r="AY798" i="3"/>
  <c r="AW798" i="3"/>
  <c r="AV798" i="3"/>
  <c r="AX798" i="3" s="1"/>
  <c r="AU798" i="3"/>
  <c r="AY797" i="3"/>
  <c r="AW797" i="3"/>
  <c r="AV797" i="3"/>
  <c r="AX797" i="3" s="1"/>
  <c r="AU797" i="3"/>
  <c r="AY796" i="3"/>
  <c r="AW796" i="3"/>
  <c r="AV796" i="3"/>
  <c r="AX796" i="3" s="1"/>
  <c r="AU796" i="3"/>
  <c r="AY795" i="3"/>
  <c r="AW795" i="3"/>
  <c r="AV795" i="3"/>
  <c r="AX795" i="3" s="1"/>
  <c r="AU795" i="3"/>
  <c r="AY794" i="3"/>
  <c r="AW794" i="3"/>
  <c r="AV794" i="3"/>
  <c r="AX794" i="3" s="1"/>
  <c r="AU794" i="3"/>
  <c r="AY793" i="3"/>
  <c r="AW793" i="3"/>
  <c r="AV793" i="3"/>
  <c r="AX793" i="3" s="1"/>
  <c r="AU793" i="3"/>
  <c r="AY792" i="3"/>
  <c r="AW792" i="3"/>
  <c r="AV792" i="3"/>
  <c r="AX792" i="3" s="1"/>
  <c r="AU792" i="3"/>
  <c r="AY791" i="3"/>
  <c r="AW791" i="3"/>
  <c r="AV791" i="3"/>
  <c r="AX791" i="3" s="1"/>
  <c r="AU791" i="3"/>
  <c r="AY790" i="3"/>
  <c r="AW790" i="3"/>
  <c r="AV790" i="3"/>
  <c r="AX790" i="3" s="1"/>
  <c r="AU790" i="3"/>
  <c r="AY789" i="3"/>
  <c r="AW789" i="3"/>
  <c r="AV789" i="3"/>
  <c r="AX789" i="3" s="1"/>
  <c r="AU789" i="3"/>
  <c r="AY788" i="3"/>
  <c r="AW788" i="3"/>
  <c r="AV788" i="3"/>
  <c r="AX788" i="3" s="1"/>
  <c r="AU788" i="3"/>
  <c r="AY787" i="3"/>
  <c r="AW787" i="3"/>
  <c r="AV787" i="3"/>
  <c r="AX787" i="3"/>
  <c r="AU787" i="3"/>
  <c r="AY786" i="3"/>
  <c r="AW786" i="3"/>
  <c r="AV786" i="3"/>
  <c r="AX786" i="3" s="1"/>
  <c r="AU786" i="3"/>
  <c r="AY785" i="3"/>
  <c r="AW785" i="3"/>
  <c r="AV785" i="3"/>
  <c r="AX785" i="3" s="1"/>
  <c r="AU785" i="3"/>
  <c r="AY784" i="3"/>
  <c r="AW784" i="3"/>
  <c r="AV784" i="3"/>
  <c r="AX784" i="3" s="1"/>
  <c r="AU784" i="3"/>
  <c r="AY783" i="3"/>
  <c r="AW783" i="3"/>
  <c r="AV783" i="3"/>
  <c r="AX783" i="3" s="1"/>
  <c r="AU783" i="3"/>
  <c r="AY782" i="3"/>
  <c r="AW782" i="3"/>
  <c r="AV782" i="3"/>
  <c r="AX782" i="3" s="1"/>
  <c r="AU782" i="3"/>
  <c r="AY781" i="3"/>
  <c r="AW781" i="3"/>
  <c r="AV781" i="3"/>
  <c r="AX781" i="3" s="1"/>
  <c r="AU781" i="3"/>
  <c r="AY780" i="3"/>
  <c r="AW780" i="3"/>
  <c r="AV780" i="3"/>
  <c r="AX780" i="3" s="1"/>
  <c r="AU780" i="3"/>
  <c r="AY779" i="3"/>
  <c r="AW779" i="3"/>
  <c r="AV779" i="3"/>
  <c r="AX779" i="3" s="1"/>
  <c r="AU779" i="3"/>
  <c r="AY778" i="3"/>
  <c r="AW778" i="3"/>
  <c r="AV778" i="3"/>
  <c r="AX778" i="3" s="1"/>
  <c r="AU778" i="3"/>
  <c r="AY777" i="3"/>
  <c r="AW777" i="3"/>
  <c r="AV777" i="3"/>
  <c r="AX777" i="3" s="1"/>
  <c r="AU777" i="3"/>
  <c r="AY776" i="3"/>
  <c r="AW776" i="3"/>
  <c r="AV776" i="3"/>
  <c r="AX776" i="3" s="1"/>
  <c r="AU776" i="3"/>
  <c r="AY775" i="3"/>
  <c r="AW775" i="3"/>
  <c r="AV775" i="3"/>
  <c r="AX775" i="3" s="1"/>
  <c r="AU775" i="3"/>
  <c r="AY774" i="3"/>
  <c r="AW774" i="3"/>
  <c r="AV774" i="3"/>
  <c r="AX774" i="3" s="1"/>
  <c r="AU774" i="3"/>
  <c r="AY773" i="3"/>
  <c r="AW773" i="3"/>
  <c r="AV773" i="3"/>
  <c r="AX773" i="3" s="1"/>
  <c r="AU773" i="3"/>
  <c r="AY772" i="3"/>
  <c r="AW772" i="3"/>
  <c r="AV772" i="3"/>
  <c r="AX772" i="3" s="1"/>
  <c r="AU772" i="3"/>
  <c r="AY771" i="3"/>
  <c r="AW771" i="3"/>
  <c r="AV771" i="3"/>
  <c r="AX771" i="3" s="1"/>
  <c r="AU771" i="3"/>
  <c r="AY770" i="3"/>
  <c r="AW770" i="3"/>
  <c r="AV770" i="3"/>
  <c r="AX770" i="3" s="1"/>
  <c r="AU770" i="3"/>
  <c r="AY769" i="3"/>
  <c r="AW769" i="3"/>
  <c r="AV769" i="3"/>
  <c r="AX769" i="3" s="1"/>
  <c r="AU769" i="3"/>
  <c r="AY768" i="3"/>
  <c r="AW768" i="3"/>
  <c r="AV768" i="3"/>
  <c r="AX768" i="3" s="1"/>
  <c r="AU768" i="3"/>
  <c r="AY767" i="3"/>
  <c r="AW767" i="3"/>
  <c r="AV767" i="3"/>
  <c r="AX767" i="3" s="1"/>
  <c r="AU767" i="3"/>
  <c r="AY766" i="3"/>
  <c r="AW766" i="3"/>
  <c r="AV766" i="3"/>
  <c r="AX766" i="3" s="1"/>
  <c r="AU766" i="3"/>
  <c r="AY765" i="3"/>
  <c r="AW765" i="3"/>
  <c r="AV765" i="3"/>
  <c r="AX765" i="3" s="1"/>
  <c r="AU765" i="3"/>
  <c r="AY764" i="3"/>
  <c r="AW764" i="3"/>
  <c r="AV764" i="3"/>
  <c r="AX764" i="3" s="1"/>
  <c r="AU764" i="3"/>
  <c r="AY763" i="3"/>
  <c r="AW763" i="3"/>
  <c r="AV763" i="3"/>
  <c r="AX763" i="3" s="1"/>
  <c r="AU763" i="3"/>
  <c r="AY762" i="3"/>
  <c r="AW762" i="3"/>
  <c r="AV762" i="3"/>
  <c r="AX762" i="3" s="1"/>
  <c r="AU762" i="3"/>
  <c r="AY761" i="3"/>
  <c r="AW761" i="3"/>
  <c r="AV761" i="3"/>
  <c r="AX761" i="3" s="1"/>
  <c r="AU761" i="3"/>
  <c r="AY760" i="3"/>
  <c r="AW760" i="3"/>
  <c r="AV760" i="3"/>
  <c r="AX760" i="3" s="1"/>
  <c r="AU760" i="3"/>
  <c r="AY759" i="3"/>
  <c r="AW759" i="3"/>
  <c r="AV759" i="3"/>
  <c r="AX759" i="3" s="1"/>
  <c r="AU759" i="3"/>
  <c r="AY758" i="3"/>
  <c r="AW758" i="3"/>
  <c r="AV758" i="3"/>
  <c r="AX758" i="3" s="1"/>
  <c r="AU758" i="3"/>
  <c r="AY757" i="3"/>
  <c r="AW757" i="3"/>
  <c r="AV757" i="3"/>
  <c r="AX757" i="3" s="1"/>
  <c r="AU757" i="3"/>
  <c r="AY756" i="3"/>
  <c r="AW756" i="3"/>
  <c r="AV756" i="3"/>
  <c r="AX756" i="3" s="1"/>
  <c r="AU756" i="3"/>
  <c r="AY755" i="3"/>
  <c r="AW755" i="3"/>
  <c r="AV755" i="3"/>
  <c r="AX755" i="3"/>
  <c r="AU755" i="3"/>
  <c r="AY754" i="3"/>
  <c r="AW754" i="3"/>
  <c r="AV754" i="3"/>
  <c r="AX754" i="3" s="1"/>
  <c r="AU754" i="3"/>
  <c r="AY753" i="3"/>
  <c r="AW753" i="3"/>
  <c r="AV753" i="3"/>
  <c r="AX753" i="3" s="1"/>
  <c r="AU753" i="3"/>
  <c r="AY752" i="3"/>
  <c r="AW752" i="3"/>
  <c r="AV752" i="3"/>
  <c r="AX752" i="3" s="1"/>
  <c r="AU752" i="3"/>
  <c r="AY751" i="3"/>
  <c r="AW751" i="3"/>
  <c r="AV751" i="3"/>
  <c r="AX751" i="3" s="1"/>
  <c r="AU751" i="3"/>
  <c r="AY750" i="3"/>
  <c r="AW750" i="3"/>
  <c r="AV750" i="3"/>
  <c r="AX750" i="3" s="1"/>
  <c r="AU750" i="3"/>
  <c r="AY749" i="3"/>
  <c r="AW749" i="3"/>
  <c r="AV749" i="3"/>
  <c r="AX749" i="3" s="1"/>
  <c r="AU749" i="3"/>
  <c r="AY748" i="3"/>
  <c r="AW748" i="3"/>
  <c r="AV748" i="3"/>
  <c r="AX748" i="3" s="1"/>
  <c r="AU748" i="3"/>
  <c r="AY747" i="3"/>
  <c r="AW747" i="3"/>
  <c r="AV747" i="3"/>
  <c r="AX747" i="3" s="1"/>
  <c r="AU747" i="3"/>
  <c r="AY746" i="3"/>
  <c r="AW746" i="3"/>
  <c r="AV746" i="3"/>
  <c r="AX746" i="3" s="1"/>
  <c r="AU746" i="3"/>
  <c r="AY745" i="3"/>
  <c r="AW745" i="3"/>
  <c r="AV745" i="3"/>
  <c r="AX745" i="3" s="1"/>
  <c r="AU745" i="3"/>
  <c r="AY744" i="3"/>
  <c r="AW744" i="3"/>
  <c r="AV744" i="3"/>
  <c r="AX744" i="3" s="1"/>
  <c r="AU744" i="3"/>
  <c r="AY743" i="3"/>
  <c r="AW743" i="3"/>
  <c r="AV743" i="3"/>
  <c r="AX743" i="3"/>
  <c r="AU743" i="3"/>
  <c r="AY742" i="3"/>
  <c r="AW742" i="3"/>
  <c r="AV742" i="3"/>
  <c r="AX742" i="3" s="1"/>
  <c r="AU742" i="3"/>
  <c r="AY741" i="3"/>
  <c r="AW741" i="3"/>
  <c r="AV741" i="3"/>
  <c r="AX741" i="3" s="1"/>
  <c r="AU741" i="3"/>
  <c r="AY740" i="3"/>
  <c r="AW740" i="3"/>
  <c r="AV740" i="3"/>
  <c r="AX740" i="3" s="1"/>
  <c r="AU740" i="3"/>
  <c r="AY739" i="3"/>
  <c r="AW739" i="3"/>
  <c r="AV739" i="3"/>
  <c r="AX739" i="3" s="1"/>
  <c r="AU739" i="3"/>
  <c r="AY738" i="3"/>
  <c r="AW738" i="3"/>
  <c r="AV738" i="3"/>
  <c r="AX738" i="3" s="1"/>
  <c r="AU738" i="3"/>
  <c r="AY737" i="3"/>
  <c r="AW737" i="3"/>
  <c r="AV737" i="3"/>
  <c r="AX737" i="3" s="1"/>
  <c r="AU737" i="3"/>
  <c r="AY736" i="3"/>
  <c r="AW736" i="3"/>
  <c r="AV736" i="3"/>
  <c r="AX736" i="3" s="1"/>
  <c r="AU736" i="3"/>
  <c r="AY735" i="3"/>
  <c r="AW735" i="3"/>
  <c r="AV735" i="3"/>
  <c r="AX735" i="3" s="1"/>
  <c r="AU735" i="3"/>
  <c r="AY734" i="3"/>
  <c r="AW734" i="3"/>
  <c r="AV734" i="3"/>
  <c r="AX734" i="3" s="1"/>
  <c r="AU734" i="3"/>
  <c r="AY733" i="3"/>
  <c r="AW733" i="3"/>
  <c r="AV733" i="3"/>
  <c r="AX733" i="3" s="1"/>
  <c r="AU733" i="3"/>
  <c r="AY732" i="3"/>
  <c r="AW732" i="3"/>
  <c r="AV732" i="3"/>
  <c r="AX732" i="3" s="1"/>
  <c r="AU732" i="3"/>
  <c r="AY731" i="3"/>
  <c r="AW731" i="3"/>
  <c r="AV731" i="3"/>
  <c r="AX731" i="3" s="1"/>
  <c r="AU731" i="3"/>
  <c r="AY730" i="3"/>
  <c r="AW730" i="3"/>
  <c r="AV730" i="3"/>
  <c r="AX730" i="3" s="1"/>
  <c r="AU730" i="3"/>
  <c r="AY729" i="3"/>
  <c r="AW729" i="3"/>
  <c r="AV729" i="3"/>
  <c r="AX729" i="3" s="1"/>
  <c r="AU729" i="3"/>
  <c r="AY728" i="3"/>
  <c r="AW728" i="3"/>
  <c r="AV728" i="3"/>
  <c r="AX728" i="3" s="1"/>
  <c r="AU728" i="3"/>
  <c r="AY727" i="3"/>
  <c r="AW727" i="3"/>
  <c r="AV727" i="3"/>
  <c r="AX727" i="3" s="1"/>
  <c r="AU727" i="3"/>
  <c r="AY726" i="3"/>
  <c r="AW726" i="3"/>
  <c r="AV726" i="3"/>
  <c r="AX726" i="3" s="1"/>
  <c r="AU726" i="3"/>
  <c r="AY725" i="3"/>
  <c r="AW725" i="3"/>
  <c r="AV725" i="3"/>
  <c r="AX725" i="3" s="1"/>
  <c r="AU725" i="3"/>
  <c r="AY724" i="3"/>
  <c r="AW724" i="3"/>
  <c r="AV724" i="3"/>
  <c r="AX724" i="3" s="1"/>
  <c r="AU724" i="3"/>
  <c r="AY723" i="3"/>
  <c r="AW723" i="3"/>
  <c r="AV723" i="3"/>
  <c r="AX723" i="3"/>
  <c r="AU723" i="3"/>
  <c r="AY722" i="3"/>
  <c r="AW722" i="3"/>
  <c r="AV722" i="3"/>
  <c r="AX722" i="3" s="1"/>
  <c r="AU722" i="3"/>
  <c r="AY721" i="3"/>
  <c r="AW721" i="3"/>
  <c r="AV721" i="3"/>
  <c r="AX721" i="3" s="1"/>
  <c r="AU721" i="3"/>
  <c r="AY720" i="3"/>
  <c r="AW720" i="3"/>
  <c r="AV720" i="3"/>
  <c r="AX720" i="3" s="1"/>
  <c r="AU720" i="3"/>
  <c r="AY719" i="3"/>
  <c r="AW719" i="3"/>
  <c r="AV719" i="3"/>
  <c r="AX719" i="3" s="1"/>
  <c r="AU719" i="3"/>
  <c r="AY718" i="3"/>
  <c r="AW718" i="3"/>
  <c r="AV718" i="3"/>
  <c r="AX718" i="3" s="1"/>
  <c r="AU718" i="3"/>
  <c r="AY717" i="3"/>
  <c r="AW717" i="3"/>
  <c r="AV717" i="3"/>
  <c r="AX717" i="3" s="1"/>
  <c r="AU717" i="3"/>
  <c r="AY716" i="3"/>
  <c r="AW716" i="3"/>
  <c r="AV716" i="3"/>
  <c r="AX716" i="3" s="1"/>
  <c r="AU716" i="3"/>
  <c r="AY715" i="3"/>
  <c r="AW715" i="3"/>
  <c r="AV715" i="3"/>
  <c r="AX715" i="3" s="1"/>
  <c r="AU715" i="3"/>
  <c r="AY714" i="3"/>
  <c r="AW714" i="3"/>
  <c r="AV714" i="3"/>
  <c r="AX714" i="3" s="1"/>
  <c r="AU714" i="3"/>
  <c r="AY713" i="3"/>
  <c r="AW713" i="3"/>
  <c r="AV713" i="3"/>
  <c r="AX713" i="3" s="1"/>
  <c r="AU713" i="3"/>
  <c r="AY712" i="3"/>
  <c r="AW712" i="3"/>
  <c r="AV712" i="3"/>
  <c r="AX712" i="3" s="1"/>
  <c r="AU712" i="3"/>
  <c r="AY711" i="3"/>
  <c r="AW711" i="3"/>
  <c r="AV711" i="3"/>
  <c r="AX711" i="3" s="1"/>
  <c r="AU711" i="3"/>
  <c r="AY710" i="3"/>
  <c r="AW710" i="3"/>
  <c r="AV710" i="3"/>
  <c r="AX710" i="3" s="1"/>
  <c r="AU710" i="3"/>
  <c r="AY709" i="3"/>
  <c r="AW709" i="3"/>
  <c r="AV709" i="3"/>
  <c r="AX709" i="3" s="1"/>
  <c r="AU709" i="3"/>
  <c r="AY708" i="3"/>
  <c r="AW708" i="3"/>
  <c r="AV708" i="3"/>
  <c r="AX708" i="3" s="1"/>
  <c r="AU708" i="3"/>
  <c r="AY707" i="3"/>
  <c r="AW707" i="3"/>
  <c r="AV707" i="3"/>
  <c r="AX707" i="3" s="1"/>
  <c r="AU707" i="3"/>
  <c r="AY706" i="3"/>
  <c r="AW706" i="3"/>
  <c r="AV706" i="3"/>
  <c r="AX706" i="3" s="1"/>
  <c r="AU706" i="3"/>
  <c r="AY705" i="3"/>
  <c r="AW705" i="3"/>
  <c r="AV705" i="3"/>
  <c r="AX705" i="3" s="1"/>
  <c r="AU705" i="3"/>
  <c r="AY704" i="3"/>
  <c r="AW704" i="3"/>
  <c r="AV704" i="3"/>
  <c r="AX704" i="3" s="1"/>
  <c r="AU704" i="3"/>
  <c r="AY703" i="3"/>
  <c r="AW703" i="3"/>
  <c r="AV703" i="3"/>
  <c r="AX703" i="3" s="1"/>
  <c r="AU703" i="3"/>
  <c r="AY702" i="3"/>
  <c r="AW702" i="3"/>
  <c r="AV702" i="3"/>
  <c r="AX702" i="3" s="1"/>
  <c r="AU702" i="3"/>
  <c r="AY701" i="3"/>
  <c r="AW701" i="3"/>
  <c r="AV701" i="3"/>
  <c r="AX701" i="3" s="1"/>
  <c r="AU701" i="3"/>
  <c r="AY700" i="3"/>
  <c r="AW700" i="3"/>
  <c r="AV700" i="3"/>
  <c r="AX700" i="3" s="1"/>
  <c r="AU700" i="3"/>
  <c r="AY699" i="3"/>
  <c r="AW699" i="3"/>
  <c r="AV699" i="3"/>
  <c r="AX699" i="3" s="1"/>
  <c r="AU699" i="3"/>
  <c r="AY698" i="3"/>
  <c r="AW698" i="3"/>
  <c r="AV698" i="3"/>
  <c r="AX698" i="3" s="1"/>
  <c r="AU698" i="3"/>
  <c r="AY697" i="3"/>
  <c r="AW697" i="3"/>
  <c r="AV697" i="3"/>
  <c r="AX697" i="3" s="1"/>
  <c r="AU697" i="3"/>
  <c r="AY696" i="3"/>
  <c r="AW696" i="3"/>
  <c r="AV696" i="3"/>
  <c r="AX696" i="3" s="1"/>
  <c r="AU696" i="3"/>
  <c r="AY695" i="3"/>
  <c r="AW695" i="3"/>
  <c r="AV695" i="3"/>
  <c r="AX695" i="3" s="1"/>
  <c r="AU695" i="3"/>
  <c r="AY694" i="3"/>
  <c r="AW694" i="3"/>
  <c r="AV694" i="3"/>
  <c r="AX694" i="3" s="1"/>
  <c r="AU694" i="3"/>
  <c r="AY693" i="3"/>
  <c r="AW693" i="3"/>
  <c r="AV693" i="3"/>
  <c r="AX693" i="3" s="1"/>
  <c r="AU693" i="3"/>
  <c r="AY692" i="3"/>
  <c r="AW692" i="3"/>
  <c r="AV692" i="3"/>
  <c r="AX692" i="3" s="1"/>
  <c r="AU692" i="3"/>
  <c r="AY691" i="3"/>
  <c r="AW691" i="3"/>
  <c r="AV691" i="3"/>
  <c r="AX691" i="3"/>
  <c r="AU691" i="3"/>
  <c r="AY690" i="3"/>
  <c r="AW690" i="3"/>
  <c r="AV690" i="3"/>
  <c r="AX690" i="3" s="1"/>
  <c r="AU690" i="3"/>
  <c r="AY689" i="3"/>
  <c r="AW689" i="3"/>
  <c r="AV689" i="3"/>
  <c r="AX689" i="3" s="1"/>
  <c r="AU689" i="3"/>
  <c r="AY688" i="3"/>
  <c r="AW688" i="3"/>
  <c r="AV688" i="3"/>
  <c r="AX688" i="3" s="1"/>
  <c r="AU688" i="3"/>
  <c r="AY687" i="3"/>
  <c r="AW687" i="3"/>
  <c r="AV687" i="3"/>
  <c r="AX687" i="3" s="1"/>
  <c r="AU687" i="3"/>
  <c r="AY686" i="3"/>
  <c r="AW686" i="3"/>
  <c r="AV686" i="3"/>
  <c r="AX686" i="3" s="1"/>
  <c r="AU686" i="3"/>
  <c r="AY685" i="3"/>
  <c r="AW685" i="3"/>
  <c r="AV685" i="3"/>
  <c r="AX685" i="3" s="1"/>
  <c r="AU685" i="3"/>
  <c r="AY684" i="3"/>
  <c r="AW684" i="3"/>
  <c r="AV684" i="3"/>
  <c r="AX684" i="3" s="1"/>
  <c r="AU684" i="3"/>
  <c r="AY683" i="3"/>
  <c r="AW683" i="3"/>
  <c r="AV683" i="3"/>
  <c r="AX683" i="3" s="1"/>
  <c r="AU683" i="3"/>
  <c r="AY682" i="3"/>
  <c r="AW682" i="3"/>
  <c r="AV682" i="3"/>
  <c r="AX682" i="3" s="1"/>
  <c r="AU682" i="3"/>
  <c r="AY681" i="3"/>
  <c r="AW681" i="3"/>
  <c r="AV681" i="3"/>
  <c r="AX681" i="3"/>
  <c r="AU681" i="3"/>
  <c r="AY680" i="3"/>
  <c r="AW680" i="3"/>
  <c r="AV680" i="3"/>
  <c r="AX680" i="3" s="1"/>
  <c r="AU680" i="3"/>
  <c r="AY679" i="3"/>
  <c r="AW679" i="3"/>
  <c r="AV679" i="3"/>
  <c r="AX679" i="3" s="1"/>
  <c r="AU679" i="3"/>
  <c r="AY678" i="3"/>
  <c r="AW678" i="3"/>
  <c r="AV678" i="3"/>
  <c r="AX678" i="3" s="1"/>
  <c r="AU678" i="3"/>
  <c r="AY677" i="3"/>
  <c r="AW677" i="3"/>
  <c r="AV677" i="3"/>
  <c r="AX677" i="3" s="1"/>
  <c r="AY676" i="3"/>
  <c r="AW676" i="3"/>
  <c r="AV676" i="3"/>
  <c r="AX676" i="3" s="1"/>
  <c r="AY675" i="3"/>
  <c r="AW675" i="3"/>
  <c r="AV675" i="3"/>
  <c r="AX675" i="3" s="1"/>
  <c r="AY674" i="3"/>
  <c r="AW674" i="3"/>
  <c r="AV674" i="3"/>
  <c r="AX674" i="3" s="1"/>
  <c r="AY673" i="3"/>
  <c r="AW673" i="3"/>
  <c r="AV673" i="3"/>
  <c r="AX673" i="3" s="1"/>
  <c r="AY672" i="3"/>
  <c r="AW672" i="3"/>
  <c r="AV672" i="3"/>
  <c r="AX672" i="3" s="1"/>
  <c r="AY671" i="3"/>
  <c r="AW671" i="3"/>
  <c r="AV671" i="3"/>
  <c r="AX671" i="3" s="1"/>
  <c r="AY670" i="3"/>
  <c r="AW670" i="3"/>
  <c r="AV670" i="3"/>
  <c r="AX670" i="3" s="1"/>
  <c r="AY669" i="3"/>
  <c r="AW669" i="3"/>
  <c r="AV669" i="3"/>
  <c r="AX669" i="3" s="1"/>
  <c r="AY668" i="3"/>
  <c r="AW668" i="3"/>
  <c r="AV668" i="3"/>
  <c r="AX668" i="3" s="1"/>
  <c r="AU668" i="3"/>
  <c r="AY667" i="3"/>
  <c r="AW667" i="3"/>
  <c r="AV667" i="3"/>
  <c r="AX667" i="3" s="1"/>
  <c r="AU667" i="3"/>
  <c r="AY666" i="3"/>
  <c r="AW666" i="3"/>
  <c r="AV666" i="3"/>
  <c r="AX666" i="3" s="1"/>
  <c r="AU666" i="3"/>
  <c r="AY665" i="3"/>
  <c r="AW665" i="3"/>
  <c r="AV665" i="3"/>
  <c r="AX665" i="3" s="1"/>
  <c r="AU665" i="3"/>
  <c r="AY664" i="3"/>
  <c r="AW664" i="3"/>
  <c r="AV664" i="3"/>
  <c r="AX664" i="3" s="1"/>
  <c r="AU664" i="3"/>
  <c r="AY663" i="3"/>
  <c r="AW663" i="3"/>
  <c r="AV663" i="3"/>
  <c r="AX663" i="3" s="1"/>
  <c r="AU663" i="3"/>
  <c r="AY662" i="3"/>
  <c r="AW662" i="3"/>
  <c r="AV662" i="3"/>
  <c r="AX662" i="3" s="1"/>
  <c r="AU662" i="3"/>
  <c r="AY661" i="3"/>
  <c r="AW661" i="3"/>
  <c r="AV661" i="3"/>
  <c r="AX661" i="3" s="1"/>
  <c r="AU661" i="3"/>
  <c r="AY660" i="3"/>
  <c r="AW660" i="3"/>
  <c r="AV660" i="3"/>
  <c r="AX660" i="3" s="1"/>
  <c r="AU660" i="3"/>
  <c r="AY659" i="3"/>
  <c r="AW659" i="3"/>
  <c r="AV659" i="3"/>
  <c r="AX659" i="3" s="1"/>
  <c r="AU659" i="3"/>
  <c r="AY658" i="3"/>
  <c r="AW658" i="3"/>
  <c r="AV658" i="3"/>
  <c r="AX658" i="3" s="1"/>
  <c r="AU658" i="3"/>
  <c r="AY657" i="3"/>
  <c r="AW657" i="3"/>
  <c r="AV657" i="3"/>
  <c r="AX657" i="3" s="1"/>
  <c r="AU657" i="3"/>
  <c r="AY656" i="3"/>
  <c r="AW656" i="3"/>
  <c r="AV656" i="3"/>
  <c r="AX656" i="3" s="1"/>
  <c r="AU656" i="3"/>
  <c r="AY655" i="3"/>
  <c r="AW655" i="3"/>
  <c r="AV655" i="3"/>
  <c r="AX655" i="3" s="1"/>
  <c r="AU655" i="3"/>
  <c r="AY654" i="3"/>
  <c r="AW654" i="3"/>
  <c r="AV654" i="3"/>
  <c r="AX654" i="3" s="1"/>
  <c r="AU654" i="3"/>
  <c r="AY653" i="3"/>
  <c r="AW653" i="3"/>
  <c r="AV653" i="3"/>
  <c r="AX653" i="3" s="1"/>
  <c r="AU653" i="3"/>
  <c r="AY652" i="3"/>
  <c r="AW652" i="3"/>
  <c r="AV652" i="3"/>
  <c r="AX652" i="3" s="1"/>
  <c r="AY651" i="3"/>
  <c r="AW651" i="3"/>
  <c r="AV651" i="3"/>
  <c r="AX651" i="3" s="1"/>
  <c r="AY650" i="3"/>
  <c r="AW650" i="3"/>
  <c r="AV650" i="3"/>
  <c r="AX650" i="3" s="1"/>
  <c r="AY649" i="3"/>
  <c r="AW649" i="3"/>
  <c r="AV649" i="3"/>
  <c r="AX649" i="3" s="1"/>
  <c r="AY648" i="3"/>
  <c r="AW648" i="3"/>
  <c r="AV648" i="3"/>
  <c r="AX648" i="3" s="1"/>
  <c r="AY647" i="3"/>
  <c r="AW647" i="3"/>
  <c r="AV647" i="3"/>
  <c r="AX647" i="3" s="1"/>
  <c r="AY646" i="3"/>
  <c r="AW646" i="3"/>
  <c r="AV646" i="3"/>
  <c r="AX646" i="3" s="1"/>
  <c r="AY645" i="3"/>
  <c r="AW645" i="3"/>
  <c r="AV645" i="3"/>
  <c r="AX645" i="3" s="1"/>
  <c r="AY644" i="3"/>
  <c r="AW644" i="3"/>
  <c r="AV644" i="3"/>
  <c r="AX644" i="3" s="1"/>
  <c r="AY643" i="3"/>
  <c r="AW643" i="3"/>
  <c r="AV643" i="3"/>
  <c r="AX643" i="3" s="1"/>
  <c r="AU643" i="3"/>
  <c r="AY642" i="3"/>
  <c r="AW642" i="3"/>
  <c r="AV642" i="3"/>
  <c r="AX642" i="3" s="1"/>
  <c r="AU642" i="3"/>
  <c r="AY641" i="3"/>
  <c r="AW641" i="3"/>
  <c r="AV641" i="3"/>
  <c r="AX641" i="3" s="1"/>
  <c r="AU641" i="3"/>
  <c r="AY640" i="3"/>
  <c r="AW640" i="3"/>
  <c r="AV640" i="3"/>
  <c r="AX640" i="3" s="1"/>
  <c r="AU640" i="3"/>
  <c r="AY639" i="3"/>
  <c r="AW639" i="3"/>
  <c r="AV639" i="3"/>
  <c r="AX639" i="3" s="1"/>
  <c r="AU639" i="3"/>
  <c r="AY638" i="3"/>
  <c r="AW638" i="3"/>
  <c r="AV638" i="3"/>
  <c r="AX638" i="3" s="1"/>
  <c r="AU638" i="3"/>
  <c r="AY637" i="3"/>
  <c r="AW637" i="3"/>
  <c r="AV637" i="3"/>
  <c r="AX637" i="3" s="1"/>
  <c r="AU637" i="3"/>
  <c r="AY636" i="3"/>
  <c r="AW636" i="3"/>
  <c r="AV636" i="3"/>
  <c r="AX636" i="3" s="1"/>
  <c r="AU636" i="3"/>
  <c r="AY635" i="3"/>
  <c r="AW635" i="3"/>
  <c r="AV635" i="3"/>
  <c r="AX635" i="3" s="1"/>
  <c r="AU635" i="3"/>
  <c r="AY634" i="3"/>
  <c r="AW634" i="3"/>
  <c r="AV634" i="3"/>
  <c r="AX634" i="3" s="1"/>
  <c r="AU634" i="3"/>
  <c r="AY633" i="3"/>
  <c r="AW633" i="3"/>
  <c r="AV633" i="3"/>
  <c r="AX633" i="3" s="1"/>
  <c r="AU633" i="3"/>
  <c r="AY632" i="3"/>
  <c r="AW632" i="3"/>
  <c r="AV632" i="3"/>
  <c r="AX632" i="3" s="1"/>
  <c r="AU632" i="3"/>
  <c r="AY631" i="3"/>
  <c r="AW631" i="3"/>
  <c r="AV631" i="3"/>
  <c r="AX631" i="3" s="1"/>
  <c r="AU631" i="3"/>
  <c r="AY630" i="3"/>
  <c r="AW630" i="3"/>
  <c r="AV630" i="3"/>
  <c r="AX630" i="3" s="1"/>
  <c r="AU630" i="3"/>
  <c r="AY629" i="3"/>
  <c r="AW629" i="3"/>
  <c r="AV629" i="3"/>
  <c r="AX629" i="3" s="1"/>
  <c r="AU629" i="3"/>
  <c r="AY628" i="3"/>
  <c r="AW628" i="3"/>
  <c r="AV628" i="3"/>
  <c r="AX628" i="3" s="1"/>
  <c r="AU628" i="3"/>
  <c r="AY627" i="3"/>
  <c r="AW627" i="3"/>
  <c r="AV627" i="3"/>
  <c r="AX627" i="3" s="1"/>
  <c r="AU627" i="3"/>
  <c r="AY626" i="3"/>
  <c r="AW626" i="3"/>
  <c r="AV626" i="3"/>
  <c r="AX626" i="3" s="1"/>
  <c r="AU626" i="3"/>
  <c r="AY625" i="3"/>
  <c r="AW625" i="3"/>
  <c r="AV625" i="3"/>
  <c r="AX625" i="3"/>
  <c r="AU625" i="3"/>
  <c r="AY624" i="3"/>
  <c r="AW624" i="3"/>
  <c r="AV624" i="3"/>
  <c r="AX624" i="3" s="1"/>
  <c r="AU624" i="3"/>
  <c r="AY623" i="3"/>
  <c r="AW623" i="3"/>
  <c r="AV623" i="3"/>
  <c r="AX623" i="3" s="1"/>
  <c r="AU623" i="3"/>
  <c r="AY622" i="3"/>
  <c r="AW622" i="3"/>
  <c r="AV622" i="3"/>
  <c r="AX622" i="3" s="1"/>
  <c r="AU622" i="3"/>
  <c r="AY621" i="3"/>
  <c r="AW621" i="3"/>
  <c r="AV621" i="3"/>
  <c r="AX621" i="3" s="1"/>
  <c r="AU621" i="3"/>
  <c r="AY620" i="3"/>
  <c r="AW620" i="3"/>
  <c r="AV620" i="3"/>
  <c r="AX620" i="3" s="1"/>
  <c r="AU620" i="3"/>
  <c r="AY619" i="3"/>
  <c r="AW619" i="3"/>
  <c r="AV619" i="3"/>
  <c r="AX619" i="3" s="1"/>
  <c r="AU619" i="3"/>
  <c r="AY618" i="3"/>
  <c r="AW618" i="3"/>
  <c r="AV618" i="3"/>
  <c r="AX618" i="3" s="1"/>
  <c r="AU618" i="3"/>
  <c r="AY617" i="3"/>
  <c r="AW617" i="3"/>
  <c r="AV617" i="3"/>
  <c r="AX617" i="3" s="1"/>
  <c r="AU617" i="3"/>
  <c r="AY616" i="3"/>
  <c r="AW616" i="3"/>
  <c r="AV616" i="3"/>
  <c r="AX616" i="3" s="1"/>
  <c r="AU616" i="3"/>
  <c r="AY615" i="3"/>
  <c r="AW615" i="3"/>
  <c r="AV615" i="3"/>
  <c r="AX615" i="3" s="1"/>
  <c r="AU615" i="3"/>
  <c r="AY614" i="3"/>
  <c r="AW614" i="3"/>
  <c r="AV614" i="3"/>
  <c r="AX614" i="3" s="1"/>
  <c r="AU614" i="3"/>
  <c r="AY613" i="3"/>
  <c r="AW613" i="3"/>
  <c r="AV613" i="3"/>
  <c r="AX613" i="3"/>
  <c r="AU613" i="3"/>
  <c r="AY612" i="3"/>
  <c r="AW612" i="3"/>
  <c r="AV612" i="3"/>
  <c r="AX612" i="3" s="1"/>
  <c r="AU612" i="3"/>
  <c r="AY611" i="3"/>
  <c r="AW611" i="3"/>
  <c r="AV611" i="3"/>
  <c r="AX611" i="3" s="1"/>
  <c r="AU611" i="3"/>
  <c r="AY610" i="3"/>
  <c r="AW610" i="3"/>
  <c r="AV610" i="3"/>
  <c r="AX610" i="3" s="1"/>
  <c r="AU610" i="3"/>
  <c r="AY609" i="3"/>
  <c r="AW609" i="3"/>
  <c r="AV609" i="3"/>
  <c r="AX609" i="3" s="1"/>
  <c r="AU609" i="3"/>
  <c r="AY608" i="3"/>
  <c r="AW608" i="3"/>
  <c r="AV608" i="3"/>
  <c r="AX608" i="3" s="1"/>
  <c r="AU608" i="3"/>
  <c r="AY607" i="3"/>
  <c r="AW607" i="3"/>
  <c r="AV607" i="3"/>
  <c r="AX607" i="3" s="1"/>
  <c r="AU607" i="3"/>
  <c r="AY606" i="3"/>
  <c r="AW606" i="3"/>
  <c r="AV606" i="3"/>
  <c r="AX606" i="3" s="1"/>
  <c r="AU606" i="3"/>
  <c r="AY605" i="3"/>
  <c r="AW605" i="3"/>
  <c r="AV605" i="3"/>
  <c r="AX605" i="3" s="1"/>
  <c r="AU605" i="3"/>
  <c r="AY604" i="3"/>
  <c r="AW604" i="3"/>
  <c r="AV604" i="3"/>
  <c r="AX604" i="3" s="1"/>
  <c r="AU604" i="3"/>
  <c r="AY603" i="3"/>
  <c r="AW603" i="3"/>
  <c r="AV603" i="3"/>
  <c r="AX603" i="3" s="1"/>
  <c r="AU603" i="3"/>
  <c r="AY602" i="3"/>
  <c r="AW602" i="3"/>
  <c r="AV602" i="3"/>
  <c r="AX602" i="3" s="1"/>
  <c r="AU602" i="3"/>
  <c r="AY601" i="3"/>
  <c r="AW601" i="3"/>
  <c r="AV601" i="3"/>
  <c r="AX601" i="3" s="1"/>
  <c r="AU601" i="3"/>
  <c r="AY600" i="3"/>
  <c r="AW600" i="3"/>
  <c r="AV600" i="3"/>
  <c r="AX600" i="3" s="1"/>
  <c r="AU600" i="3"/>
  <c r="AY599" i="3"/>
  <c r="AW599" i="3"/>
  <c r="AV599" i="3"/>
  <c r="AX599" i="3" s="1"/>
  <c r="AU599" i="3"/>
  <c r="AY598" i="3"/>
  <c r="AW598" i="3"/>
  <c r="AV598" i="3"/>
  <c r="AX598" i="3" s="1"/>
  <c r="AU598" i="3"/>
  <c r="AY597" i="3"/>
  <c r="AW597" i="3"/>
  <c r="AV597" i="3"/>
  <c r="AX597" i="3" s="1"/>
  <c r="AU597" i="3"/>
  <c r="AY596" i="3"/>
  <c r="AW596" i="3"/>
  <c r="AV596" i="3"/>
  <c r="AX596" i="3" s="1"/>
  <c r="AU596" i="3"/>
  <c r="AY595" i="3"/>
  <c r="AW595" i="3"/>
  <c r="AV595" i="3"/>
  <c r="AX595" i="3" s="1"/>
  <c r="AU595" i="3"/>
  <c r="AY594" i="3"/>
  <c r="AW594" i="3"/>
  <c r="AV594" i="3"/>
  <c r="AX594" i="3" s="1"/>
  <c r="AU594" i="3"/>
  <c r="AY593" i="3"/>
  <c r="AW593" i="3"/>
  <c r="AV593" i="3"/>
  <c r="AX593" i="3" s="1"/>
  <c r="AU593" i="3"/>
  <c r="AY592" i="3"/>
  <c r="AW592" i="3"/>
  <c r="AV592" i="3"/>
  <c r="AX592" i="3" s="1"/>
  <c r="AU592" i="3"/>
  <c r="AY591" i="3"/>
  <c r="AW591" i="3"/>
  <c r="AV591" i="3"/>
  <c r="AX591" i="3" s="1"/>
  <c r="AU591" i="3"/>
  <c r="AY590" i="3"/>
  <c r="AW590" i="3"/>
  <c r="AV590" i="3"/>
  <c r="AX590" i="3" s="1"/>
  <c r="AU590" i="3"/>
  <c r="AY589" i="3"/>
  <c r="AW589" i="3"/>
  <c r="AV589" i="3"/>
  <c r="AX589" i="3" s="1"/>
  <c r="AU589" i="3"/>
  <c r="AY588" i="3"/>
  <c r="AW588" i="3"/>
  <c r="AV588" i="3"/>
  <c r="AX588" i="3" s="1"/>
  <c r="AU588" i="3"/>
  <c r="AY587" i="3"/>
  <c r="AW587" i="3"/>
  <c r="AV587" i="3"/>
  <c r="AX587" i="3" s="1"/>
  <c r="AU587" i="3"/>
  <c r="AY586" i="3"/>
  <c r="AW586" i="3"/>
  <c r="AV586" i="3"/>
  <c r="AX586" i="3" s="1"/>
  <c r="AU586" i="3"/>
  <c r="AY585" i="3"/>
  <c r="AW585" i="3"/>
  <c r="AV585" i="3"/>
  <c r="AX585" i="3" s="1"/>
  <c r="AU585" i="3"/>
  <c r="AY584" i="3"/>
  <c r="AW584" i="3"/>
  <c r="AV584" i="3"/>
  <c r="AX584" i="3" s="1"/>
  <c r="AU584" i="3"/>
  <c r="AY583" i="3"/>
  <c r="AW583" i="3"/>
  <c r="AV583" i="3"/>
  <c r="AX583" i="3" s="1"/>
  <c r="AU583" i="3"/>
  <c r="AY582" i="3"/>
  <c r="AW582" i="3"/>
  <c r="AV582" i="3"/>
  <c r="AX582" i="3" s="1"/>
  <c r="AU582" i="3"/>
  <c r="AY581" i="3"/>
  <c r="AW581" i="3"/>
  <c r="AV581" i="3"/>
  <c r="AX581" i="3" s="1"/>
  <c r="AU581" i="3"/>
  <c r="AY580" i="3"/>
  <c r="AW580" i="3"/>
  <c r="AV580" i="3"/>
  <c r="AX580" i="3" s="1"/>
  <c r="AU580" i="3"/>
  <c r="AY579" i="3"/>
  <c r="AW579" i="3"/>
  <c r="AV579" i="3"/>
  <c r="AX579" i="3" s="1"/>
  <c r="AU579" i="3"/>
  <c r="AY578" i="3"/>
  <c r="AW578" i="3"/>
  <c r="AV578" i="3"/>
  <c r="AX578" i="3" s="1"/>
  <c r="AU578" i="3"/>
  <c r="AY577" i="3"/>
  <c r="AW577" i="3"/>
  <c r="AV577" i="3"/>
  <c r="AX577" i="3" s="1"/>
  <c r="AU577" i="3"/>
  <c r="AY576" i="3"/>
  <c r="AW576" i="3"/>
  <c r="AV576" i="3"/>
  <c r="AX576" i="3" s="1"/>
  <c r="AU576" i="3"/>
  <c r="AY575" i="3"/>
  <c r="AW575" i="3"/>
  <c r="AV575" i="3"/>
  <c r="AX575" i="3" s="1"/>
  <c r="AU575" i="3"/>
  <c r="AY574" i="3"/>
  <c r="AW574" i="3"/>
  <c r="AV574" i="3"/>
  <c r="AX574" i="3" s="1"/>
  <c r="AU574" i="3"/>
  <c r="AY573" i="3"/>
  <c r="AW573" i="3"/>
  <c r="AV573" i="3"/>
  <c r="AX573" i="3"/>
  <c r="AU573" i="3"/>
  <c r="AY572" i="3"/>
  <c r="AW572" i="3"/>
  <c r="AV572" i="3"/>
  <c r="AX572" i="3" s="1"/>
  <c r="AU572" i="3"/>
  <c r="AY571" i="3"/>
  <c r="AW571" i="3"/>
  <c r="AV571" i="3"/>
  <c r="AX571" i="3" s="1"/>
  <c r="AU571" i="3"/>
  <c r="AY570" i="3"/>
  <c r="AW570" i="3"/>
  <c r="AV570" i="3"/>
  <c r="AX570" i="3" s="1"/>
  <c r="AU570" i="3"/>
  <c r="AY569" i="3"/>
  <c r="AW569" i="3"/>
  <c r="AV569" i="3"/>
  <c r="AX569" i="3" s="1"/>
  <c r="AU569" i="3"/>
  <c r="AY568" i="3"/>
  <c r="AW568" i="3"/>
  <c r="AV568" i="3"/>
  <c r="AX568" i="3" s="1"/>
  <c r="AU568" i="3"/>
  <c r="AY567" i="3"/>
  <c r="AW567" i="3"/>
  <c r="AV567" i="3"/>
  <c r="AX567" i="3" s="1"/>
  <c r="AU567" i="3"/>
  <c r="AY566" i="3"/>
  <c r="AW566" i="3"/>
  <c r="AV566" i="3"/>
  <c r="AX566" i="3" s="1"/>
  <c r="AU566" i="3"/>
  <c r="AY565" i="3"/>
  <c r="AW565" i="3"/>
  <c r="AV565" i="3"/>
  <c r="AX565" i="3" s="1"/>
  <c r="AU565" i="3"/>
  <c r="AY564" i="3"/>
  <c r="AW564" i="3"/>
  <c r="AV564" i="3"/>
  <c r="AX564" i="3" s="1"/>
  <c r="AU564" i="3"/>
  <c r="AY563" i="3"/>
  <c r="AW563" i="3"/>
  <c r="AV563" i="3"/>
  <c r="AX563" i="3" s="1"/>
  <c r="AU563" i="3"/>
  <c r="AY562" i="3"/>
  <c r="AW562" i="3"/>
  <c r="AV562" i="3"/>
  <c r="AX562" i="3" s="1"/>
  <c r="AU562" i="3"/>
  <c r="AY561" i="3"/>
  <c r="AW561" i="3"/>
  <c r="AV561" i="3"/>
  <c r="AX561" i="3" s="1"/>
  <c r="AU561" i="3"/>
  <c r="AY560" i="3"/>
  <c r="AW560" i="3"/>
  <c r="AV560" i="3"/>
  <c r="AX560" i="3" s="1"/>
  <c r="AU560" i="3"/>
  <c r="AY559" i="3"/>
  <c r="AW559" i="3"/>
  <c r="AV559" i="3"/>
  <c r="AX559" i="3" s="1"/>
  <c r="AU559" i="3"/>
  <c r="AY558" i="3"/>
  <c r="AW558" i="3"/>
  <c r="AV558" i="3"/>
  <c r="AX558" i="3" s="1"/>
  <c r="AU558" i="3"/>
  <c r="AY557" i="3"/>
  <c r="AW557" i="3"/>
  <c r="AV557" i="3"/>
  <c r="AX557" i="3"/>
  <c r="AU557" i="3"/>
  <c r="AY556" i="3"/>
  <c r="AW556" i="3"/>
  <c r="AV556" i="3"/>
  <c r="AX556" i="3" s="1"/>
  <c r="AU556" i="3"/>
  <c r="AY555" i="3"/>
  <c r="AW555" i="3"/>
  <c r="AV555" i="3"/>
  <c r="AX555" i="3" s="1"/>
  <c r="AU555" i="3"/>
  <c r="AY554" i="3"/>
  <c r="AW554" i="3"/>
  <c r="AV554" i="3"/>
  <c r="AX554" i="3" s="1"/>
  <c r="AU554" i="3"/>
  <c r="AY553" i="3"/>
  <c r="AW553" i="3"/>
  <c r="AV553" i="3"/>
  <c r="AX553" i="3" s="1"/>
  <c r="AU553" i="3"/>
  <c r="AY552" i="3"/>
  <c r="AW552" i="3"/>
  <c r="AV552" i="3"/>
  <c r="AX552" i="3" s="1"/>
  <c r="AU552" i="3"/>
  <c r="AY551" i="3"/>
  <c r="AW551" i="3"/>
  <c r="AV551" i="3"/>
  <c r="AX551" i="3" s="1"/>
  <c r="AU551" i="3"/>
  <c r="AY550" i="3"/>
  <c r="AW550" i="3"/>
  <c r="AV550" i="3"/>
  <c r="AX550" i="3" s="1"/>
  <c r="AU550" i="3"/>
  <c r="AY549" i="3"/>
  <c r="AW549" i="3"/>
  <c r="AV549" i="3"/>
  <c r="AX549" i="3" s="1"/>
  <c r="AU549" i="3"/>
  <c r="AY548" i="3"/>
  <c r="AW548" i="3"/>
  <c r="AV548" i="3"/>
  <c r="AX548" i="3" s="1"/>
  <c r="AU548" i="3"/>
  <c r="AY547" i="3"/>
  <c r="AW547" i="3"/>
  <c r="AV547" i="3"/>
  <c r="AX547" i="3" s="1"/>
  <c r="AU547" i="3"/>
  <c r="AY546" i="3"/>
  <c r="AW546" i="3"/>
  <c r="AV546" i="3"/>
  <c r="AX546" i="3" s="1"/>
  <c r="AU546" i="3"/>
  <c r="AY545" i="3"/>
  <c r="AW545" i="3"/>
  <c r="AV545" i="3"/>
  <c r="AX545" i="3" s="1"/>
  <c r="AU545" i="3"/>
  <c r="AY544" i="3"/>
  <c r="AW544" i="3"/>
  <c r="AV544" i="3"/>
  <c r="AX544" i="3" s="1"/>
  <c r="AU544" i="3"/>
  <c r="AY543" i="3"/>
  <c r="AW543" i="3"/>
  <c r="AV543" i="3"/>
  <c r="AX543" i="3" s="1"/>
  <c r="AU543" i="3"/>
  <c r="AY542" i="3"/>
  <c r="AW542" i="3"/>
  <c r="AV542" i="3"/>
  <c r="AX542" i="3" s="1"/>
  <c r="AU542" i="3"/>
  <c r="AY541" i="3"/>
  <c r="AW541" i="3"/>
  <c r="AV541" i="3"/>
  <c r="AX541" i="3" s="1"/>
  <c r="AU541" i="3"/>
  <c r="AY540" i="3"/>
  <c r="AW540" i="3"/>
  <c r="AV540" i="3"/>
  <c r="AX540" i="3" s="1"/>
  <c r="AU540" i="3"/>
  <c r="AY539" i="3"/>
  <c r="AW539" i="3"/>
  <c r="AV539" i="3"/>
  <c r="AX539" i="3" s="1"/>
  <c r="AU539" i="3"/>
  <c r="AY538" i="3"/>
  <c r="AW538" i="3"/>
  <c r="AV538" i="3"/>
  <c r="AX538" i="3" s="1"/>
  <c r="AU538" i="3"/>
  <c r="AY537" i="3"/>
  <c r="AW537" i="3"/>
  <c r="AV537" i="3"/>
  <c r="AX537" i="3" s="1"/>
  <c r="AU537" i="3"/>
  <c r="AY536" i="3"/>
  <c r="AW536" i="3"/>
  <c r="AV536" i="3"/>
  <c r="AX536" i="3" s="1"/>
  <c r="AU536" i="3"/>
  <c r="AY535" i="3"/>
  <c r="AW535" i="3"/>
  <c r="AV535" i="3"/>
  <c r="AX535" i="3" s="1"/>
  <c r="AU535" i="3"/>
  <c r="AY534" i="3"/>
  <c r="AW534" i="3"/>
  <c r="AV534" i="3"/>
  <c r="AX534" i="3" s="1"/>
  <c r="AU534" i="3"/>
  <c r="AY533" i="3"/>
  <c r="AW533" i="3"/>
  <c r="AV533" i="3"/>
  <c r="AX533" i="3" s="1"/>
  <c r="AU533" i="3"/>
  <c r="AY532" i="3"/>
  <c r="AW532" i="3"/>
  <c r="AV532" i="3"/>
  <c r="AX532" i="3" s="1"/>
  <c r="AU532" i="3"/>
  <c r="AY531" i="3"/>
  <c r="AW531" i="3"/>
  <c r="AV531" i="3"/>
  <c r="AX531" i="3" s="1"/>
  <c r="AU531" i="3"/>
  <c r="AY530" i="3"/>
  <c r="AW530" i="3"/>
  <c r="AV530" i="3"/>
  <c r="AX530" i="3" s="1"/>
  <c r="AU530" i="3"/>
  <c r="AY529" i="3"/>
  <c r="AW529" i="3"/>
  <c r="AV529" i="3"/>
  <c r="AX529" i="3" s="1"/>
  <c r="AU529" i="3"/>
  <c r="AY528" i="3"/>
  <c r="AW528" i="3"/>
  <c r="AV528" i="3"/>
  <c r="AX528" i="3" s="1"/>
  <c r="AU528" i="3"/>
  <c r="AY527" i="3"/>
  <c r="AW527" i="3"/>
  <c r="AV527" i="3"/>
  <c r="AX527" i="3" s="1"/>
  <c r="AU527" i="3"/>
  <c r="AY526" i="3"/>
  <c r="AW526" i="3"/>
  <c r="AV526" i="3"/>
  <c r="AX526" i="3" s="1"/>
  <c r="AU526" i="3"/>
  <c r="AY525" i="3"/>
  <c r="AW525" i="3"/>
  <c r="AV525" i="3"/>
  <c r="AX525" i="3" s="1"/>
  <c r="AU525" i="3"/>
  <c r="AY524" i="3"/>
  <c r="AW524" i="3"/>
  <c r="AV524" i="3"/>
  <c r="AX524" i="3" s="1"/>
  <c r="AU524" i="3"/>
  <c r="AY523" i="3"/>
  <c r="AW523" i="3"/>
  <c r="AV523" i="3"/>
  <c r="AX523" i="3"/>
  <c r="AU523" i="3"/>
  <c r="AY522" i="3"/>
  <c r="AW522" i="3"/>
  <c r="AV522" i="3"/>
  <c r="AX522" i="3" s="1"/>
  <c r="AU522" i="3"/>
  <c r="AY521" i="3"/>
  <c r="AW521" i="3"/>
  <c r="AV521" i="3"/>
  <c r="AX521" i="3" s="1"/>
  <c r="AU521" i="3"/>
  <c r="AY520" i="3"/>
  <c r="AW520" i="3"/>
  <c r="AV520" i="3"/>
  <c r="AX520" i="3" s="1"/>
  <c r="AU520" i="3"/>
  <c r="AY519" i="3"/>
  <c r="AW519" i="3"/>
  <c r="AV519" i="3"/>
  <c r="AX519" i="3" s="1"/>
  <c r="AU519" i="3"/>
  <c r="AY518" i="3"/>
  <c r="AW518" i="3"/>
  <c r="AV518" i="3"/>
  <c r="AX518" i="3" s="1"/>
  <c r="AU518" i="3"/>
  <c r="AY517" i="3"/>
  <c r="AW517" i="3"/>
  <c r="AV517" i="3"/>
  <c r="AX517" i="3" s="1"/>
  <c r="AU517" i="3"/>
  <c r="AY516" i="3"/>
  <c r="AW516" i="3"/>
  <c r="AV516" i="3"/>
  <c r="AX516" i="3" s="1"/>
  <c r="AU516" i="3"/>
  <c r="AY515" i="3"/>
  <c r="AW515" i="3"/>
  <c r="AV515" i="3"/>
  <c r="AX515" i="3"/>
  <c r="AU515" i="3"/>
  <c r="AY514" i="3"/>
  <c r="AW514" i="3"/>
  <c r="AV514" i="3"/>
  <c r="AX514" i="3" s="1"/>
  <c r="AU514" i="3"/>
  <c r="AY513" i="3"/>
  <c r="AW513" i="3"/>
  <c r="AV513" i="3"/>
  <c r="AX513" i="3" s="1"/>
  <c r="AU513" i="3"/>
  <c r="AY512" i="3"/>
  <c r="AW512" i="3"/>
  <c r="AV512" i="3"/>
  <c r="AX512" i="3" s="1"/>
  <c r="AU512" i="3"/>
  <c r="AY511" i="3"/>
  <c r="AW511" i="3"/>
  <c r="AV511" i="3"/>
  <c r="AX511" i="3" s="1"/>
  <c r="AU511" i="3"/>
  <c r="AY510" i="3"/>
  <c r="AW510" i="3"/>
  <c r="AV510" i="3"/>
  <c r="AX510" i="3" s="1"/>
  <c r="AU510" i="3"/>
  <c r="AY509" i="3"/>
  <c r="AW509" i="3"/>
  <c r="AV509" i="3"/>
  <c r="AX509" i="3" s="1"/>
  <c r="AU509" i="3"/>
  <c r="AY508" i="3"/>
  <c r="AW508" i="3"/>
  <c r="AV508" i="3"/>
  <c r="AX508" i="3" s="1"/>
  <c r="AU508" i="3"/>
  <c r="AY507" i="3"/>
  <c r="AW507" i="3"/>
  <c r="AV507" i="3"/>
  <c r="AX507" i="3" s="1"/>
  <c r="AU507" i="3"/>
  <c r="AY506" i="3"/>
  <c r="AW506" i="3"/>
  <c r="AV506" i="3"/>
  <c r="AX506" i="3" s="1"/>
  <c r="AU506" i="3"/>
  <c r="AY505" i="3"/>
  <c r="AW505" i="3"/>
  <c r="AV505" i="3"/>
  <c r="AX505" i="3" s="1"/>
  <c r="AU505" i="3"/>
  <c r="AY504" i="3"/>
  <c r="AW504" i="3"/>
  <c r="AV504" i="3"/>
  <c r="AX504" i="3" s="1"/>
  <c r="AU504" i="3"/>
  <c r="AY503" i="3"/>
  <c r="AW503" i="3"/>
  <c r="AV503" i="3"/>
  <c r="AX503" i="3" s="1"/>
  <c r="AU503" i="3"/>
  <c r="AY502" i="3"/>
  <c r="AW502" i="3"/>
  <c r="AV502" i="3"/>
  <c r="AX502" i="3" s="1"/>
  <c r="AU502" i="3"/>
  <c r="AY501" i="3"/>
  <c r="AW501" i="3"/>
  <c r="AV501" i="3"/>
  <c r="AX501" i="3" s="1"/>
  <c r="AU501" i="3"/>
  <c r="AY500" i="3"/>
  <c r="AW500" i="3"/>
  <c r="AV500" i="3"/>
  <c r="AX500" i="3" s="1"/>
  <c r="AU500" i="3"/>
  <c r="AY499" i="3"/>
  <c r="AW499" i="3"/>
  <c r="AV499" i="3"/>
  <c r="AX499" i="3" s="1"/>
  <c r="AU499" i="3"/>
  <c r="AY498" i="3"/>
  <c r="AW498" i="3"/>
  <c r="AV498" i="3"/>
  <c r="AX498" i="3" s="1"/>
  <c r="AU498" i="3"/>
  <c r="AY497" i="3"/>
  <c r="AW497" i="3"/>
  <c r="AV497" i="3"/>
  <c r="AX497" i="3" s="1"/>
  <c r="AU497" i="3"/>
  <c r="AY496" i="3"/>
  <c r="AW496" i="3"/>
  <c r="AV496" i="3"/>
  <c r="AX496" i="3" s="1"/>
  <c r="AU496" i="3"/>
  <c r="AY495" i="3"/>
  <c r="AW495" i="3"/>
  <c r="AV495" i="3"/>
  <c r="AX495" i="3" s="1"/>
  <c r="AU495" i="3"/>
  <c r="AY494" i="3"/>
  <c r="AW494" i="3"/>
  <c r="AV494" i="3"/>
  <c r="AX494" i="3" s="1"/>
  <c r="AU494" i="3"/>
  <c r="AY493" i="3"/>
  <c r="AW493" i="3"/>
  <c r="AV493" i="3"/>
  <c r="AX493" i="3" s="1"/>
  <c r="AU493" i="3"/>
  <c r="AY492" i="3"/>
  <c r="AW492" i="3"/>
  <c r="AV492" i="3"/>
  <c r="AX492" i="3" s="1"/>
  <c r="AU492" i="3"/>
  <c r="AY491" i="3"/>
  <c r="AW491" i="3"/>
  <c r="AV491" i="3"/>
  <c r="AX491" i="3" s="1"/>
  <c r="AU491" i="3"/>
  <c r="AY490" i="3"/>
  <c r="AW490" i="3"/>
  <c r="AV490" i="3"/>
  <c r="AX490" i="3" s="1"/>
  <c r="AU490" i="3"/>
  <c r="AY489" i="3"/>
  <c r="AW489" i="3"/>
  <c r="AV489" i="3"/>
  <c r="AX489" i="3" s="1"/>
  <c r="AU489" i="3"/>
  <c r="AY488" i="3"/>
  <c r="AW488" i="3"/>
  <c r="AV488" i="3"/>
  <c r="AX488" i="3" s="1"/>
  <c r="AU488" i="3"/>
  <c r="AY487" i="3"/>
  <c r="AW487" i="3"/>
  <c r="AV487" i="3"/>
  <c r="AX487" i="3" s="1"/>
  <c r="AU487" i="3"/>
  <c r="AY486" i="3"/>
  <c r="AW486" i="3"/>
  <c r="AV486" i="3"/>
  <c r="AX486" i="3" s="1"/>
  <c r="AU486" i="3"/>
  <c r="AY485" i="3"/>
  <c r="AW485" i="3"/>
  <c r="AV485" i="3"/>
  <c r="AX485" i="3" s="1"/>
  <c r="AU485" i="3"/>
  <c r="AY484" i="3"/>
  <c r="AW484" i="3"/>
  <c r="AV484" i="3"/>
  <c r="AX484" i="3" s="1"/>
  <c r="AU484" i="3"/>
  <c r="AY483" i="3"/>
  <c r="AW483" i="3"/>
  <c r="AV483" i="3"/>
  <c r="AX483" i="3" s="1"/>
  <c r="AU483" i="3"/>
  <c r="AY482" i="3"/>
  <c r="AW482" i="3"/>
  <c r="AV482" i="3"/>
  <c r="AX482" i="3" s="1"/>
  <c r="AU482" i="3"/>
  <c r="AY481" i="3"/>
  <c r="AW481" i="3"/>
  <c r="AV481" i="3"/>
  <c r="AX481" i="3" s="1"/>
  <c r="AU481" i="3"/>
  <c r="AY480" i="3"/>
  <c r="AW480" i="3"/>
  <c r="AV480" i="3"/>
  <c r="AX480" i="3" s="1"/>
  <c r="AU480" i="3"/>
  <c r="AY479" i="3"/>
  <c r="AW479" i="3"/>
  <c r="AV479" i="3"/>
  <c r="AX479" i="3" s="1"/>
  <c r="AU479" i="3"/>
  <c r="AY478" i="3"/>
  <c r="AW478" i="3"/>
  <c r="AV478" i="3"/>
  <c r="AX478" i="3" s="1"/>
  <c r="AU478" i="3"/>
  <c r="AY477" i="3"/>
  <c r="AW477" i="3"/>
  <c r="AV477" i="3"/>
  <c r="AX477" i="3" s="1"/>
  <c r="AU477" i="3"/>
  <c r="AY476" i="3"/>
  <c r="AW476" i="3"/>
  <c r="AV476" i="3"/>
  <c r="AX476" i="3" s="1"/>
  <c r="AU476" i="3"/>
  <c r="AY475" i="3"/>
  <c r="AW475" i="3"/>
  <c r="AV475" i="3"/>
  <c r="AX475" i="3"/>
  <c r="AU475" i="3"/>
  <c r="AY474" i="3"/>
  <c r="AW474" i="3"/>
  <c r="AV474" i="3"/>
  <c r="AX474" i="3" s="1"/>
  <c r="AU474" i="3"/>
  <c r="AY473" i="3"/>
  <c r="AW473" i="3"/>
  <c r="AV473" i="3"/>
  <c r="AX473" i="3" s="1"/>
  <c r="AU473" i="3"/>
  <c r="AY472" i="3"/>
  <c r="AW472" i="3"/>
  <c r="AV472" i="3"/>
  <c r="AX472" i="3" s="1"/>
  <c r="AU472" i="3"/>
  <c r="AY471" i="3"/>
  <c r="AW471" i="3"/>
  <c r="AV471" i="3"/>
  <c r="AX471" i="3" s="1"/>
  <c r="AU471" i="3"/>
  <c r="AY470" i="3"/>
  <c r="AW470" i="3"/>
  <c r="AV470" i="3"/>
  <c r="AX470" i="3" s="1"/>
  <c r="AU470" i="3"/>
  <c r="AY469" i="3"/>
  <c r="AW469" i="3"/>
  <c r="AV469" i="3"/>
  <c r="AX469" i="3" s="1"/>
  <c r="AU469" i="3"/>
  <c r="AY468" i="3"/>
  <c r="AW468" i="3"/>
  <c r="AV468" i="3"/>
  <c r="AX468" i="3" s="1"/>
  <c r="AU468" i="3"/>
  <c r="AY467" i="3"/>
  <c r="AW467" i="3"/>
  <c r="AV467" i="3"/>
  <c r="AX467" i="3" s="1"/>
  <c r="AU467" i="3"/>
  <c r="AY466" i="3"/>
  <c r="AW466" i="3"/>
  <c r="AV466" i="3"/>
  <c r="AX466" i="3" s="1"/>
  <c r="AU466" i="3"/>
  <c r="AY465" i="3"/>
  <c r="AW465" i="3"/>
  <c r="AV465" i="3"/>
  <c r="AX465" i="3" s="1"/>
  <c r="AU465" i="3"/>
  <c r="AY464" i="3"/>
  <c r="AW464" i="3"/>
  <c r="AV464" i="3"/>
  <c r="AX464" i="3" s="1"/>
  <c r="AU464" i="3"/>
  <c r="AY463" i="3"/>
  <c r="AW463" i="3"/>
  <c r="AV463" i="3"/>
  <c r="AX463" i="3"/>
  <c r="AU463" i="3"/>
  <c r="AY462" i="3"/>
  <c r="AW462" i="3"/>
  <c r="AV462" i="3"/>
  <c r="AX462" i="3" s="1"/>
  <c r="AU462" i="3"/>
  <c r="AY461" i="3"/>
  <c r="AW461" i="3"/>
  <c r="AV461" i="3"/>
  <c r="AX461" i="3" s="1"/>
  <c r="AU461" i="3"/>
  <c r="AY460" i="3"/>
  <c r="AW460" i="3"/>
  <c r="AV460" i="3"/>
  <c r="AX460" i="3" s="1"/>
  <c r="AU460" i="3"/>
  <c r="AY459" i="3"/>
  <c r="AW459" i="3"/>
  <c r="AV459" i="3"/>
  <c r="AX459" i="3" s="1"/>
  <c r="AU459" i="3"/>
  <c r="AY458" i="3"/>
  <c r="AW458" i="3"/>
  <c r="AV458" i="3"/>
  <c r="AX458" i="3" s="1"/>
  <c r="AU458" i="3"/>
  <c r="AY457" i="3"/>
  <c r="AW457" i="3"/>
  <c r="AV457" i="3"/>
  <c r="AX457" i="3" s="1"/>
  <c r="AU457" i="3"/>
  <c r="AY456" i="3"/>
  <c r="AW456" i="3"/>
  <c r="AV456" i="3"/>
  <c r="AX456" i="3" s="1"/>
  <c r="AU456" i="3"/>
  <c r="AY455" i="3"/>
  <c r="AW455" i="3"/>
  <c r="AV455" i="3"/>
  <c r="AX455" i="3" s="1"/>
  <c r="AU455" i="3"/>
  <c r="AY454" i="3"/>
  <c r="AW454" i="3"/>
  <c r="AV454" i="3"/>
  <c r="AX454" i="3" s="1"/>
  <c r="AU454" i="3"/>
  <c r="AY453" i="3"/>
  <c r="AW453" i="3"/>
  <c r="AV453" i="3"/>
  <c r="AX453" i="3" s="1"/>
  <c r="AU453" i="3"/>
  <c r="AY452" i="3"/>
  <c r="AW452" i="3"/>
  <c r="AV452" i="3"/>
  <c r="AX452" i="3" s="1"/>
  <c r="AU452" i="3"/>
  <c r="AY451" i="3"/>
  <c r="AW451" i="3"/>
  <c r="AV451" i="3"/>
  <c r="AX451" i="3"/>
  <c r="AU451" i="3"/>
  <c r="AY450" i="3"/>
  <c r="AW450" i="3"/>
  <c r="AV450" i="3"/>
  <c r="AX450" i="3"/>
  <c r="AU450" i="3"/>
  <c r="AY449" i="3"/>
  <c r="AW449" i="3"/>
  <c r="AV449" i="3"/>
  <c r="AX449" i="3" s="1"/>
  <c r="AU449" i="3"/>
  <c r="AY448" i="3"/>
  <c r="AW448" i="3"/>
  <c r="AV448" i="3"/>
  <c r="AX448" i="3" s="1"/>
  <c r="AU448" i="3"/>
  <c r="AY447" i="3"/>
  <c r="AW447" i="3"/>
  <c r="AV447" i="3"/>
  <c r="AX447" i="3" s="1"/>
  <c r="AU447" i="3"/>
  <c r="AY446" i="3"/>
  <c r="AW446" i="3"/>
  <c r="AV446" i="3"/>
  <c r="AX446" i="3" s="1"/>
  <c r="AU446" i="3"/>
  <c r="AY445" i="3"/>
  <c r="AW445" i="3"/>
  <c r="AV445" i="3"/>
  <c r="AX445" i="3" s="1"/>
  <c r="AU445" i="3"/>
  <c r="AY444" i="3"/>
  <c r="AW444" i="3"/>
  <c r="AV444" i="3"/>
  <c r="AX444" i="3" s="1"/>
  <c r="AU444" i="3"/>
  <c r="AY443" i="3"/>
  <c r="AW443" i="3"/>
  <c r="AV443" i="3"/>
  <c r="AX443" i="3" s="1"/>
  <c r="AU443" i="3"/>
  <c r="AY442" i="3"/>
  <c r="AW442" i="3"/>
  <c r="AV442" i="3"/>
  <c r="AX442" i="3" s="1"/>
  <c r="AU442" i="3"/>
  <c r="AY441" i="3"/>
  <c r="AW441" i="3"/>
  <c r="AV441" i="3"/>
  <c r="AX441" i="3" s="1"/>
  <c r="AU441" i="3"/>
  <c r="AY440" i="3"/>
  <c r="AW440" i="3"/>
  <c r="AV440" i="3"/>
  <c r="AX440" i="3" s="1"/>
  <c r="AU440" i="3"/>
  <c r="AY439" i="3"/>
  <c r="AW439" i="3"/>
  <c r="AV439" i="3"/>
  <c r="AX439" i="3"/>
  <c r="AU439" i="3"/>
  <c r="AY438" i="3"/>
  <c r="AW438" i="3"/>
  <c r="AV438" i="3"/>
  <c r="AX438" i="3" s="1"/>
  <c r="AU438" i="3"/>
  <c r="AY437" i="3"/>
  <c r="AW437" i="3"/>
  <c r="AV437" i="3"/>
  <c r="AX437" i="3" s="1"/>
  <c r="AU437" i="3"/>
  <c r="AY436" i="3"/>
  <c r="AW436" i="3"/>
  <c r="AV436" i="3"/>
  <c r="AX436" i="3" s="1"/>
  <c r="AU436" i="3"/>
  <c r="AY435" i="3"/>
  <c r="AW435" i="3"/>
  <c r="AV435" i="3"/>
  <c r="AX435" i="3" s="1"/>
  <c r="AU435" i="3"/>
  <c r="AY434" i="3"/>
  <c r="AW434" i="3"/>
  <c r="AV434" i="3"/>
  <c r="AX434" i="3" s="1"/>
  <c r="AU434" i="3"/>
  <c r="AY433" i="3"/>
  <c r="AW433" i="3"/>
  <c r="AV433" i="3"/>
  <c r="AX433" i="3" s="1"/>
  <c r="AU433" i="3"/>
  <c r="AY432" i="3"/>
  <c r="AW432" i="3"/>
  <c r="AV432" i="3"/>
  <c r="AX432" i="3" s="1"/>
  <c r="AU432" i="3"/>
  <c r="AY431" i="3"/>
  <c r="AW431" i="3"/>
  <c r="AV431" i="3"/>
  <c r="AX431" i="3" s="1"/>
  <c r="AU431" i="3"/>
  <c r="AY430" i="3"/>
  <c r="AW430" i="3"/>
  <c r="AV430" i="3"/>
  <c r="AX430" i="3" s="1"/>
  <c r="AU430" i="3"/>
  <c r="AY429" i="3"/>
  <c r="AW429" i="3"/>
  <c r="AV429" i="3"/>
  <c r="AX429" i="3" s="1"/>
  <c r="AU429" i="3"/>
  <c r="AY428" i="3"/>
  <c r="AW428" i="3"/>
  <c r="AV428" i="3"/>
  <c r="AX428" i="3" s="1"/>
  <c r="AU428" i="3"/>
  <c r="AY427" i="3"/>
  <c r="AW427" i="3"/>
  <c r="AV427" i="3"/>
  <c r="AX427" i="3" s="1"/>
  <c r="AU427" i="3"/>
  <c r="AY426" i="3"/>
  <c r="AW426" i="3"/>
  <c r="AV426" i="3"/>
  <c r="AX426" i="3" s="1"/>
  <c r="AU426" i="3"/>
  <c r="AY425" i="3"/>
  <c r="AW425" i="3"/>
  <c r="AV425" i="3"/>
  <c r="AX425" i="3" s="1"/>
  <c r="AU425" i="3"/>
  <c r="AY424" i="3"/>
  <c r="AW424" i="3"/>
  <c r="AV424" i="3"/>
  <c r="AX424" i="3" s="1"/>
  <c r="AU424" i="3"/>
  <c r="AY423" i="3"/>
  <c r="AW423" i="3"/>
  <c r="AV423" i="3"/>
  <c r="AX423" i="3" s="1"/>
  <c r="AU423" i="3"/>
  <c r="AY422" i="3"/>
  <c r="AW422" i="3"/>
  <c r="AV422" i="3"/>
  <c r="AX422" i="3" s="1"/>
  <c r="AU422" i="3"/>
  <c r="AY421" i="3"/>
  <c r="AW421" i="3"/>
  <c r="AV421" i="3"/>
  <c r="AX421" i="3" s="1"/>
  <c r="AU421" i="3"/>
  <c r="AY420" i="3"/>
  <c r="AW420" i="3"/>
  <c r="AV420" i="3"/>
  <c r="AX420" i="3" s="1"/>
  <c r="AU420" i="3"/>
  <c r="AY419" i="3"/>
  <c r="AW419" i="3"/>
  <c r="AV419" i="3"/>
  <c r="AX419" i="3" s="1"/>
  <c r="AU419" i="3"/>
  <c r="AY418" i="3"/>
  <c r="AW418" i="3"/>
  <c r="AV418" i="3"/>
  <c r="AX418" i="3" s="1"/>
  <c r="AU418" i="3"/>
  <c r="AY417" i="3"/>
  <c r="AW417" i="3"/>
  <c r="AV417" i="3"/>
  <c r="AX417" i="3" s="1"/>
  <c r="AU417" i="3"/>
  <c r="AY416" i="3"/>
  <c r="AW416" i="3"/>
  <c r="AV416" i="3"/>
  <c r="AX416" i="3" s="1"/>
  <c r="AU416" i="3"/>
  <c r="AY415" i="3"/>
  <c r="AW415" i="3"/>
  <c r="AV415" i="3"/>
  <c r="AX415" i="3" s="1"/>
  <c r="AU415" i="3"/>
  <c r="AY414" i="3"/>
  <c r="AW414" i="3"/>
  <c r="AV414" i="3"/>
  <c r="AX414" i="3" s="1"/>
  <c r="AU414" i="3"/>
  <c r="AY413" i="3"/>
  <c r="AW413" i="3"/>
  <c r="AV413" i="3"/>
  <c r="AX413" i="3"/>
  <c r="AU413" i="3"/>
  <c r="AY412" i="3"/>
  <c r="AW412" i="3"/>
  <c r="AV412" i="3"/>
  <c r="AX412" i="3" s="1"/>
  <c r="AU412" i="3"/>
  <c r="AY411" i="3"/>
  <c r="AW411" i="3"/>
  <c r="AV411" i="3"/>
  <c r="AX411" i="3" s="1"/>
  <c r="AU411" i="3"/>
  <c r="AY410" i="3"/>
  <c r="AW410" i="3"/>
  <c r="AV410" i="3"/>
  <c r="AX410" i="3" s="1"/>
  <c r="AU410" i="3"/>
  <c r="AY409" i="3"/>
  <c r="AW409" i="3"/>
  <c r="AV409" i="3"/>
  <c r="AX409" i="3" s="1"/>
  <c r="AU409" i="3"/>
  <c r="AY408" i="3"/>
  <c r="AW408" i="3"/>
  <c r="AV408" i="3"/>
  <c r="AX408" i="3" s="1"/>
  <c r="AU408" i="3"/>
  <c r="AY407" i="3"/>
  <c r="AW407" i="3"/>
  <c r="AV407" i="3"/>
  <c r="AX407" i="3" s="1"/>
  <c r="AU407" i="3"/>
  <c r="AY406" i="3"/>
  <c r="AW406" i="3"/>
  <c r="AV406" i="3"/>
  <c r="AX406" i="3" s="1"/>
  <c r="AU406" i="3"/>
  <c r="AY405" i="3"/>
  <c r="AW405" i="3"/>
  <c r="AV405" i="3"/>
  <c r="AX405" i="3"/>
  <c r="AU405" i="3"/>
  <c r="AY404" i="3"/>
  <c r="AW404" i="3"/>
  <c r="AV404" i="3"/>
  <c r="AX404" i="3" s="1"/>
  <c r="AU404" i="3"/>
  <c r="AY403" i="3"/>
  <c r="AW403" i="3"/>
  <c r="AV403" i="3"/>
  <c r="AX403" i="3" s="1"/>
  <c r="AU403" i="3"/>
  <c r="AY402" i="3"/>
  <c r="AW402" i="3"/>
  <c r="AV402" i="3"/>
  <c r="AX402" i="3" s="1"/>
  <c r="AU402" i="3"/>
  <c r="AY401" i="3"/>
  <c r="AW401" i="3"/>
  <c r="AV401" i="3"/>
  <c r="AX401" i="3" s="1"/>
  <c r="AU401" i="3"/>
  <c r="AY400" i="3"/>
  <c r="AW400" i="3"/>
  <c r="AV400" i="3"/>
  <c r="AX400" i="3" s="1"/>
  <c r="AU400" i="3"/>
  <c r="AY399" i="3"/>
  <c r="AW399" i="3"/>
  <c r="AV399" i="3"/>
  <c r="AX399" i="3" s="1"/>
  <c r="AU399" i="3"/>
  <c r="AY398" i="3"/>
  <c r="AW398" i="3"/>
  <c r="AV398" i="3"/>
  <c r="AX398" i="3" s="1"/>
  <c r="AU398" i="3"/>
  <c r="AY397" i="3"/>
  <c r="AW397" i="3"/>
  <c r="AV397" i="3"/>
  <c r="AX397" i="3" s="1"/>
  <c r="AU397" i="3"/>
  <c r="AY396" i="3"/>
  <c r="AW396" i="3"/>
  <c r="AV396" i="3"/>
  <c r="AX396" i="3" s="1"/>
  <c r="AU396" i="3"/>
  <c r="AY395" i="3"/>
  <c r="AW395" i="3"/>
  <c r="AV395" i="3"/>
  <c r="AX395" i="3" s="1"/>
  <c r="AU395" i="3"/>
  <c r="AY394" i="3"/>
  <c r="AW394" i="3"/>
  <c r="AV394" i="3"/>
  <c r="AX394" i="3" s="1"/>
  <c r="AU394" i="3"/>
  <c r="AY393" i="3"/>
  <c r="AW393" i="3"/>
  <c r="AV393" i="3"/>
  <c r="AX393" i="3" s="1"/>
  <c r="AU393" i="3"/>
  <c r="AY392" i="3"/>
  <c r="AW392" i="3"/>
  <c r="AV392" i="3"/>
  <c r="AX392" i="3" s="1"/>
  <c r="AU392" i="3"/>
  <c r="AY391" i="3"/>
  <c r="AW391" i="3"/>
  <c r="AV391" i="3"/>
  <c r="AX391" i="3"/>
  <c r="AU391" i="3"/>
  <c r="AY390" i="3"/>
  <c r="AW390" i="3"/>
  <c r="AV390" i="3"/>
  <c r="AX390" i="3" s="1"/>
  <c r="AU390" i="3"/>
  <c r="AY389" i="3"/>
  <c r="AW389" i="3"/>
  <c r="AV389" i="3"/>
  <c r="AX389" i="3" s="1"/>
  <c r="AU389" i="3"/>
  <c r="AY388" i="3"/>
  <c r="AW388" i="3"/>
  <c r="AV388" i="3"/>
  <c r="AX388" i="3" s="1"/>
  <c r="AU388" i="3"/>
  <c r="AY387" i="3"/>
  <c r="AW387" i="3"/>
  <c r="AV387" i="3"/>
  <c r="AX387" i="3" s="1"/>
  <c r="AU387" i="3"/>
  <c r="AY386" i="3"/>
  <c r="AW386" i="3"/>
  <c r="AV386" i="3"/>
  <c r="AX386" i="3" s="1"/>
  <c r="AU386" i="3"/>
  <c r="AY385" i="3"/>
  <c r="AW385" i="3"/>
  <c r="AV385" i="3"/>
  <c r="AX385" i="3" s="1"/>
  <c r="AU385" i="3"/>
  <c r="AY384" i="3"/>
  <c r="AW384" i="3"/>
  <c r="AV384" i="3"/>
  <c r="AX384" i="3"/>
  <c r="AU384" i="3"/>
  <c r="AY383" i="3"/>
  <c r="AW383" i="3"/>
  <c r="AV383" i="3"/>
  <c r="AX383" i="3" s="1"/>
  <c r="AU383" i="3"/>
  <c r="AY382" i="3"/>
  <c r="AW382" i="3"/>
  <c r="AV382" i="3"/>
  <c r="AX382" i="3" s="1"/>
  <c r="AU382" i="3"/>
  <c r="AY381" i="3"/>
  <c r="AW381" i="3"/>
  <c r="AV381" i="3"/>
  <c r="AX381" i="3" s="1"/>
  <c r="AU381" i="3"/>
  <c r="AY380" i="3"/>
  <c r="AW380" i="3"/>
  <c r="AV380" i="3"/>
  <c r="AX380" i="3" s="1"/>
  <c r="AU380" i="3"/>
  <c r="AY379" i="3"/>
  <c r="AW379" i="3"/>
  <c r="AV379" i="3"/>
  <c r="AX379" i="3" s="1"/>
  <c r="AU379" i="3"/>
  <c r="AY378" i="3"/>
  <c r="AW378" i="3"/>
  <c r="AV378" i="3"/>
  <c r="AX378" i="3" s="1"/>
  <c r="AU378" i="3"/>
  <c r="AY377" i="3"/>
  <c r="AW377" i="3"/>
  <c r="AV377" i="3"/>
  <c r="AX377" i="3" s="1"/>
  <c r="AU377" i="3"/>
  <c r="AY376" i="3"/>
  <c r="AW376" i="3"/>
  <c r="AV376" i="3"/>
  <c r="AX376" i="3" s="1"/>
  <c r="AU376" i="3"/>
  <c r="AY375" i="3"/>
  <c r="AW375" i="3"/>
  <c r="AV375" i="3"/>
  <c r="AX375" i="3" s="1"/>
  <c r="AU375" i="3"/>
  <c r="AY374" i="3"/>
  <c r="AW374" i="3"/>
  <c r="AV374" i="3"/>
  <c r="AX374" i="3" s="1"/>
  <c r="AU374" i="3"/>
  <c r="AY373" i="3"/>
  <c r="AW373" i="3"/>
  <c r="AV373" i="3"/>
  <c r="AX373" i="3" s="1"/>
  <c r="AU373" i="3"/>
  <c r="AY372" i="3"/>
  <c r="AW372" i="3"/>
  <c r="AV372" i="3"/>
  <c r="AX372" i="3" s="1"/>
  <c r="AU372" i="3"/>
  <c r="AY371" i="3"/>
  <c r="AW371" i="3"/>
  <c r="AV371" i="3"/>
  <c r="AX371" i="3" s="1"/>
  <c r="AU371" i="3"/>
  <c r="AY370" i="3"/>
  <c r="AW370" i="3"/>
  <c r="AV370" i="3"/>
  <c r="AX370" i="3" s="1"/>
  <c r="AU370" i="3"/>
  <c r="AY369" i="3"/>
  <c r="AW369" i="3"/>
  <c r="AV369" i="3"/>
  <c r="AX369" i="3" s="1"/>
  <c r="AU369" i="3"/>
  <c r="AY368" i="3"/>
  <c r="AW368" i="3"/>
  <c r="AV368" i="3"/>
  <c r="AX368" i="3" s="1"/>
  <c r="AU368" i="3"/>
  <c r="AY367" i="3"/>
  <c r="AW367" i="3"/>
  <c r="AV367" i="3"/>
  <c r="AX367" i="3" s="1"/>
  <c r="AU367" i="3"/>
  <c r="AY366" i="3"/>
  <c r="AW366" i="3"/>
  <c r="AV366" i="3"/>
  <c r="AX366" i="3" s="1"/>
  <c r="AU366" i="3"/>
  <c r="AY365" i="3"/>
  <c r="AW365" i="3"/>
  <c r="AV365" i="3"/>
  <c r="AX365" i="3" s="1"/>
  <c r="AU365" i="3"/>
  <c r="AY364" i="3"/>
  <c r="AW364" i="3"/>
  <c r="AV364" i="3"/>
  <c r="AX364" i="3" s="1"/>
  <c r="AU364" i="3"/>
  <c r="AY363" i="3"/>
  <c r="AW363" i="3"/>
  <c r="AV363" i="3"/>
  <c r="AX363" i="3"/>
  <c r="AU363" i="3"/>
  <c r="AY362" i="3"/>
  <c r="AW362" i="3"/>
  <c r="AV362" i="3"/>
  <c r="AX362" i="3" s="1"/>
  <c r="AU362" i="3"/>
  <c r="AY361" i="3"/>
  <c r="AW361" i="3"/>
  <c r="AV361" i="3"/>
  <c r="AX361" i="3" s="1"/>
  <c r="AU361" i="3"/>
  <c r="AY360" i="3"/>
  <c r="AW360" i="3"/>
  <c r="AV360" i="3"/>
  <c r="AX360" i="3" s="1"/>
  <c r="AU360" i="3"/>
  <c r="AY359" i="3"/>
  <c r="AW359" i="3"/>
  <c r="AV359" i="3"/>
  <c r="AX359" i="3"/>
  <c r="AU359" i="3"/>
  <c r="AY358" i="3"/>
  <c r="AW358" i="3"/>
  <c r="AV358" i="3"/>
  <c r="AX358" i="3" s="1"/>
  <c r="AU358" i="3"/>
  <c r="AY357" i="3"/>
  <c r="AW357" i="3"/>
  <c r="AV357" i="3"/>
  <c r="AX357" i="3" s="1"/>
  <c r="AU357" i="3"/>
  <c r="AY356" i="3"/>
  <c r="AW356" i="3"/>
  <c r="AV356" i="3"/>
  <c r="AX356" i="3" s="1"/>
  <c r="AU356" i="3"/>
  <c r="AY355" i="3"/>
  <c r="AW355" i="3"/>
  <c r="AV355" i="3"/>
  <c r="AX355" i="3" s="1"/>
  <c r="AU355" i="3"/>
  <c r="AY354" i="3"/>
  <c r="AW354" i="3"/>
  <c r="AV354" i="3"/>
  <c r="AX354" i="3" s="1"/>
  <c r="AU354" i="3"/>
  <c r="AY353" i="3"/>
  <c r="AW353" i="3"/>
  <c r="AV353" i="3"/>
  <c r="AX353" i="3" s="1"/>
  <c r="AU353" i="3"/>
  <c r="AY352" i="3"/>
  <c r="AW352" i="3"/>
  <c r="AV352" i="3"/>
  <c r="AX352" i="3" s="1"/>
  <c r="AU352" i="3"/>
  <c r="AY351" i="3"/>
  <c r="AW351" i="3"/>
  <c r="AV351" i="3"/>
  <c r="AX351" i="3" s="1"/>
  <c r="AU351" i="3"/>
  <c r="AY350" i="3"/>
  <c r="AW350" i="3"/>
  <c r="AV350" i="3"/>
  <c r="AX350" i="3" s="1"/>
  <c r="AU350" i="3"/>
  <c r="AY349" i="3"/>
  <c r="AW349" i="3"/>
  <c r="AV349" i="3"/>
  <c r="AX349" i="3" s="1"/>
  <c r="AY348" i="3"/>
  <c r="AW348" i="3"/>
  <c r="AV348" i="3"/>
  <c r="AX348" i="3" s="1"/>
  <c r="AY347" i="3"/>
  <c r="AW347" i="3"/>
  <c r="AV347" i="3"/>
  <c r="AX347" i="3" s="1"/>
  <c r="AY346" i="3"/>
  <c r="AW346" i="3"/>
  <c r="AV346" i="3"/>
  <c r="AX346" i="3" s="1"/>
  <c r="AU346" i="3"/>
  <c r="AY345" i="3"/>
  <c r="AW345" i="3"/>
  <c r="AV345" i="3"/>
  <c r="AX345" i="3" s="1"/>
  <c r="AU345" i="3"/>
  <c r="AY344" i="3"/>
  <c r="AW344" i="3"/>
  <c r="AV344" i="3"/>
  <c r="AX344" i="3" s="1"/>
  <c r="AU344" i="3"/>
  <c r="AY343" i="3"/>
  <c r="AW343" i="3"/>
  <c r="AV343" i="3"/>
  <c r="AX343" i="3" s="1"/>
  <c r="AU343" i="3"/>
  <c r="AY342" i="3"/>
  <c r="AW342" i="3"/>
  <c r="AV342" i="3"/>
  <c r="AX342" i="3" s="1"/>
  <c r="AU342" i="3"/>
  <c r="AY341" i="3"/>
  <c r="AW341" i="3"/>
  <c r="AV341" i="3"/>
  <c r="AX341" i="3" s="1"/>
  <c r="AU341" i="3"/>
  <c r="AY340" i="3"/>
  <c r="AW340" i="3"/>
  <c r="AV340" i="3"/>
  <c r="AX340" i="3" s="1"/>
  <c r="AU340" i="3"/>
  <c r="AY339" i="3"/>
  <c r="AW339" i="3"/>
  <c r="AV339" i="3"/>
  <c r="AX339" i="3" s="1"/>
  <c r="AU339" i="3"/>
  <c r="AY338" i="3"/>
  <c r="AW338" i="3"/>
  <c r="AV338" i="3"/>
  <c r="AX338" i="3" s="1"/>
  <c r="AU338" i="3"/>
  <c r="AY337" i="3"/>
  <c r="AW337" i="3"/>
  <c r="AV337" i="3"/>
  <c r="AX337" i="3" s="1"/>
  <c r="AU337" i="3"/>
  <c r="AY336" i="3"/>
  <c r="AW336" i="3"/>
  <c r="AV336" i="3"/>
  <c r="AX336" i="3" s="1"/>
  <c r="AU336" i="3"/>
  <c r="AY335" i="3"/>
  <c r="AW335" i="3"/>
  <c r="AV335" i="3"/>
  <c r="AX335" i="3" s="1"/>
  <c r="AU335" i="3"/>
  <c r="AY334" i="3"/>
  <c r="AW334" i="3"/>
  <c r="AV334" i="3"/>
  <c r="AX334" i="3" s="1"/>
  <c r="AU334" i="3"/>
  <c r="AY333" i="3"/>
  <c r="AW333" i="3"/>
  <c r="AV333" i="3"/>
  <c r="AX333" i="3" s="1"/>
  <c r="AU333" i="3"/>
  <c r="AY332" i="3"/>
  <c r="AW332" i="3"/>
  <c r="AV332" i="3"/>
  <c r="AX332" i="3" s="1"/>
  <c r="AU332" i="3"/>
  <c r="AY331" i="3"/>
  <c r="AW331" i="3"/>
  <c r="AV331" i="3"/>
  <c r="AX331" i="3" s="1"/>
  <c r="AU331" i="3"/>
  <c r="AY330" i="3"/>
  <c r="AW330" i="3"/>
  <c r="AV330" i="3"/>
  <c r="AX330" i="3" s="1"/>
  <c r="AU330" i="3"/>
  <c r="AY329" i="3"/>
  <c r="AW329" i="3"/>
  <c r="AV329" i="3"/>
  <c r="AX329" i="3" s="1"/>
  <c r="AU329" i="3"/>
  <c r="AY328" i="3"/>
  <c r="AW328" i="3"/>
  <c r="AV328" i="3"/>
  <c r="AX328" i="3" s="1"/>
  <c r="AU328" i="3"/>
  <c r="AY327" i="3"/>
  <c r="AW327" i="3"/>
  <c r="AV327" i="3"/>
  <c r="AX327" i="3" s="1"/>
  <c r="AU327" i="3"/>
  <c r="AY326" i="3"/>
  <c r="AW326" i="3"/>
  <c r="AV326" i="3"/>
  <c r="AX326" i="3" s="1"/>
  <c r="AU326" i="3"/>
  <c r="AY325" i="3"/>
  <c r="AW325" i="3"/>
  <c r="AV325" i="3"/>
  <c r="AX325" i="3" s="1"/>
  <c r="AU325" i="3"/>
  <c r="AY324" i="3"/>
  <c r="AW324" i="3"/>
  <c r="AV324" i="3"/>
  <c r="AX324" i="3" s="1"/>
  <c r="AU324" i="3"/>
  <c r="AY323" i="3"/>
  <c r="AW323" i="3"/>
  <c r="AV323" i="3"/>
  <c r="AX323" i="3" s="1"/>
  <c r="AU323" i="3"/>
  <c r="AY322" i="3"/>
  <c r="AW322" i="3"/>
  <c r="AV322" i="3"/>
  <c r="AX322" i="3" s="1"/>
  <c r="AU322" i="3"/>
  <c r="AY321" i="3"/>
  <c r="AW321" i="3"/>
  <c r="AV321" i="3"/>
  <c r="AX321" i="3"/>
  <c r="AU321" i="3"/>
  <c r="AY320" i="3"/>
  <c r="AW320" i="3"/>
  <c r="AV320" i="3"/>
  <c r="AX320" i="3" s="1"/>
  <c r="AU320" i="3"/>
  <c r="AY319" i="3"/>
  <c r="AW319" i="3"/>
  <c r="AV319" i="3"/>
  <c r="AX319" i="3" s="1"/>
  <c r="AU319" i="3"/>
  <c r="AY318" i="3"/>
  <c r="AW318" i="3"/>
  <c r="AV318" i="3"/>
  <c r="AX318" i="3" s="1"/>
  <c r="AU318" i="3"/>
  <c r="AY317" i="3"/>
  <c r="AW317" i="3"/>
  <c r="AV317" i="3"/>
  <c r="AX317" i="3" s="1"/>
  <c r="AU317" i="3"/>
  <c r="AY316" i="3"/>
  <c r="AW316" i="3"/>
  <c r="AV316" i="3"/>
  <c r="AX316" i="3"/>
  <c r="AU316" i="3"/>
  <c r="AY315" i="3"/>
  <c r="AW315" i="3"/>
  <c r="AV315" i="3"/>
  <c r="AX315" i="3" s="1"/>
  <c r="AU315" i="3"/>
  <c r="AY314" i="3"/>
  <c r="AW314" i="3"/>
  <c r="AV314" i="3"/>
  <c r="AX314" i="3" s="1"/>
  <c r="AU314" i="3"/>
  <c r="AY313" i="3"/>
  <c r="AW313" i="3"/>
  <c r="AV313" i="3"/>
  <c r="AX313" i="3" s="1"/>
  <c r="AU313" i="3"/>
  <c r="AY312" i="3"/>
  <c r="AW312" i="3"/>
  <c r="AV312" i="3"/>
  <c r="AX312" i="3" s="1"/>
  <c r="AU312" i="3"/>
  <c r="AY311" i="3"/>
  <c r="AW311" i="3"/>
  <c r="AV311" i="3"/>
  <c r="AX311" i="3" s="1"/>
  <c r="AU311" i="3"/>
  <c r="AY310" i="3"/>
  <c r="AW310" i="3"/>
  <c r="AV310" i="3"/>
  <c r="AX310" i="3" s="1"/>
  <c r="AU310" i="3"/>
  <c r="AY309" i="3"/>
  <c r="AW309" i="3"/>
  <c r="AV309" i="3"/>
  <c r="AX309" i="3" s="1"/>
  <c r="AU309" i="3"/>
  <c r="AY308" i="3"/>
  <c r="AW308" i="3"/>
  <c r="AV308" i="3"/>
  <c r="AX308" i="3" s="1"/>
  <c r="AU308" i="3"/>
  <c r="AY307" i="3"/>
  <c r="AW307" i="3"/>
  <c r="AV307" i="3"/>
  <c r="AX307" i="3" s="1"/>
  <c r="AU307" i="3"/>
  <c r="AY306" i="3"/>
  <c r="AW306" i="3"/>
  <c r="AV306" i="3"/>
  <c r="AX306" i="3" s="1"/>
  <c r="AU306" i="3"/>
  <c r="AY305" i="3"/>
  <c r="AW305" i="3"/>
  <c r="AV305" i="3"/>
  <c r="AX305" i="3" s="1"/>
  <c r="AU305" i="3"/>
  <c r="AY304" i="3"/>
  <c r="AW304" i="3"/>
  <c r="AV304" i="3"/>
  <c r="AX304" i="3" s="1"/>
  <c r="AU304" i="3"/>
  <c r="AY303" i="3"/>
  <c r="AW303" i="3"/>
  <c r="AV303" i="3"/>
  <c r="AX303" i="3" s="1"/>
  <c r="AU303" i="3"/>
  <c r="AY302" i="3"/>
  <c r="AW302" i="3"/>
  <c r="AV302" i="3"/>
  <c r="AX302" i="3" s="1"/>
  <c r="AU302" i="3"/>
  <c r="AY301" i="3"/>
  <c r="AW301" i="3"/>
  <c r="AV301" i="3"/>
  <c r="AX301" i="3" s="1"/>
  <c r="AU301" i="3"/>
  <c r="AY300" i="3"/>
  <c r="AW300" i="3"/>
  <c r="AV300" i="3"/>
  <c r="AX300" i="3" s="1"/>
  <c r="AU300" i="3"/>
  <c r="AY299" i="3"/>
  <c r="AW299" i="3"/>
  <c r="AV299" i="3"/>
  <c r="AX299" i="3" s="1"/>
  <c r="AU299" i="3"/>
  <c r="AY298" i="3"/>
  <c r="AW298" i="3"/>
  <c r="AV298" i="3"/>
  <c r="AX298" i="3" s="1"/>
  <c r="AU298" i="3"/>
  <c r="AY297" i="3"/>
  <c r="AW297" i="3"/>
  <c r="AV297" i="3"/>
  <c r="AX297" i="3" s="1"/>
  <c r="AU297" i="3"/>
  <c r="AY296" i="3"/>
  <c r="AW296" i="3"/>
  <c r="AV296" i="3"/>
  <c r="AX296" i="3" s="1"/>
  <c r="AU296" i="3"/>
  <c r="AY295" i="3"/>
  <c r="AW295" i="3"/>
  <c r="AV295" i="3"/>
  <c r="AX295" i="3" s="1"/>
  <c r="AU295" i="3"/>
  <c r="AY294" i="3"/>
  <c r="AW294" i="3"/>
  <c r="AV294" i="3"/>
  <c r="AX294" i="3" s="1"/>
  <c r="AU294" i="3"/>
  <c r="AY293" i="3"/>
  <c r="AW293" i="3"/>
  <c r="AV293" i="3"/>
  <c r="AX293" i="3"/>
  <c r="AU293" i="3"/>
  <c r="AY292" i="3"/>
  <c r="AW292" i="3"/>
  <c r="AV292" i="3"/>
  <c r="AX292" i="3" s="1"/>
  <c r="AU292" i="3"/>
  <c r="AY291" i="3"/>
  <c r="AW291" i="3"/>
  <c r="AV291" i="3"/>
  <c r="AX291" i="3" s="1"/>
  <c r="AU291" i="3"/>
  <c r="AY290" i="3"/>
  <c r="AW290" i="3"/>
  <c r="AV290" i="3"/>
  <c r="AX290" i="3" s="1"/>
  <c r="AU290" i="3"/>
  <c r="AY289" i="3"/>
  <c r="AW289" i="3"/>
  <c r="AV289" i="3"/>
  <c r="AX289" i="3" s="1"/>
  <c r="AU289" i="3"/>
  <c r="AY288" i="3"/>
  <c r="AW288" i="3"/>
  <c r="AV288" i="3"/>
  <c r="AX288" i="3" s="1"/>
  <c r="AU288" i="3"/>
  <c r="AY287" i="3"/>
  <c r="AW287" i="3"/>
  <c r="AV287" i="3"/>
  <c r="AX287" i="3" s="1"/>
  <c r="AU287" i="3"/>
  <c r="AY286" i="3"/>
  <c r="AW286" i="3"/>
  <c r="AV286" i="3"/>
  <c r="AX286" i="3" s="1"/>
  <c r="AU286" i="3"/>
  <c r="AY285" i="3"/>
  <c r="AW285" i="3"/>
  <c r="AV285" i="3"/>
  <c r="AX285" i="3" s="1"/>
  <c r="AU285" i="3"/>
  <c r="AY284" i="3"/>
  <c r="AW284" i="3"/>
  <c r="AV284" i="3"/>
  <c r="AX284" i="3" s="1"/>
  <c r="AU284" i="3"/>
  <c r="AY283" i="3"/>
  <c r="AW283" i="3"/>
  <c r="AV283" i="3"/>
  <c r="AX283" i="3" s="1"/>
  <c r="AU283" i="3"/>
  <c r="AY282" i="3"/>
  <c r="AW282" i="3"/>
  <c r="AV282" i="3"/>
  <c r="AX282" i="3" s="1"/>
  <c r="AU282" i="3"/>
  <c r="AY281" i="3"/>
  <c r="AW281" i="3"/>
  <c r="AV281" i="3"/>
  <c r="AX281" i="3" s="1"/>
  <c r="AU281" i="3"/>
  <c r="AY280" i="3"/>
  <c r="AW280" i="3"/>
  <c r="AV280" i="3"/>
  <c r="AX280" i="3" s="1"/>
  <c r="AU280" i="3"/>
  <c r="AY279" i="3"/>
  <c r="AW279" i="3"/>
  <c r="AV279" i="3"/>
  <c r="AX279" i="3" s="1"/>
  <c r="AU279" i="3"/>
  <c r="AY278" i="3"/>
  <c r="AW278" i="3"/>
  <c r="AV278" i="3"/>
  <c r="AX278" i="3"/>
  <c r="AU278" i="3"/>
  <c r="AY277" i="3"/>
  <c r="AW277" i="3"/>
  <c r="AV277" i="3"/>
  <c r="AX277" i="3" s="1"/>
  <c r="AU277" i="3"/>
  <c r="AY276" i="3"/>
  <c r="AW276" i="3"/>
  <c r="AV276" i="3"/>
  <c r="AX276" i="3" s="1"/>
  <c r="AU276" i="3"/>
  <c r="AY275" i="3"/>
  <c r="AW275" i="3"/>
  <c r="AV275" i="3"/>
  <c r="AX275" i="3" s="1"/>
  <c r="AU275" i="3"/>
  <c r="AY274" i="3"/>
  <c r="AW274" i="3"/>
  <c r="AV274" i="3"/>
  <c r="AX274" i="3" s="1"/>
  <c r="AU274" i="3"/>
  <c r="AY273" i="3"/>
  <c r="AW273" i="3"/>
  <c r="AV273" i="3"/>
  <c r="AX273" i="3" s="1"/>
  <c r="AU273" i="3"/>
  <c r="AY272" i="3"/>
  <c r="AW272" i="3"/>
  <c r="AV272" i="3"/>
  <c r="AX272" i="3" s="1"/>
  <c r="AU272" i="3"/>
  <c r="AY271" i="3"/>
  <c r="AW271" i="3"/>
  <c r="AV271" i="3"/>
  <c r="AX271" i="3" s="1"/>
  <c r="AU271" i="3"/>
  <c r="AY270" i="3"/>
  <c r="AW270" i="3"/>
  <c r="AV270" i="3"/>
  <c r="AX270" i="3" s="1"/>
  <c r="AU270" i="3"/>
  <c r="AY269" i="3"/>
  <c r="AW269" i="3"/>
  <c r="AV269" i="3"/>
  <c r="AX269" i="3" s="1"/>
  <c r="AU269" i="3"/>
  <c r="AY268" i="3"/>
  <c r="AW268" i="3"/>
  <c r="AV268" i="3"/>
  <c r="AX268" i="3" s="1"/>
  <c r="AU268" i="3"/>
  <c r="AY267" i="3"/>
  <c r="AW267" i="3"/>
  <c r="AV267" i="3"/>
  <c r="AX267" i="3" s="1"/>
  <c r="AU267" i="3"/>
  <c r="AY266" i="3"/>
  <c r="AW266" i="3"/>
  <c r="AV266" i="3"/>
  <c r="AX266" i="3" s="1"/>
  <c r="AU266" i="3"/>
  <c r="AY265" i="3"/>
  <c r="AW265" i="3"/>
  <c r="AV265" i="3"/>
  <c r="AX265" i="3" s="1"/>
  <c r="AU265" i="3"/>
  <c r="AY264" i="3"/>
  <c r="AW264" i="3"/>
  <c r="AV264" i="3"/>
  <c r="AX264" i="3" s="1"/>
  <c r="AU264" i="3"/>
  <c r="AY263" i="3"/>
  <c r="AW263" i="3"/>
  <c r="AV263" i="3"/>
  <c r="AX263" i="3" s="1"/>
  <c r="AU263" i="3"/>
  <c r="AY262" i="3"/>
  <c r="AW262" i="3"/>
  <c r="AV262" i="3"/>
  <c r="AX262" i="3" s="1"/>
  <c r="AU262" i="3"/>
  <c r="AY261" i="3"/>
  <c r="AW261" i="3"/>
  <c r="AV261" i="3"/>
  <c r="AX261" i="3" s="1"/>
  <c r="AU261" i="3"/>
  <c r="AY260" i="3"/>
  <c r="AW260" i="3"/>
  <c r="AV260" i="3"/>
  <c r="AX260" i="3" s="1"/>
  <c r="AU260" i="3"/>
  <c r="AY259" i="3"/>
  <c r="AW259" i="3"/>
  <c r="AV259" i="3"/>
  <c r="AX259" i="3" s="1"/>
  <c r="AU259" i="3"/>
  <c r="AY258" i="3"/>
  <c r="AW258" i="3"/>
  <c r="AV258" i="3"/>
  <c r="AX258" i="3" s="1"/>
  <c r="AU258" i="3"/>
  <c r="AY257" i="3"/>
  <c r="AW257" i="3"/>
  <c r="AV257" i="3"/>
  <c r="AX257" i="3" s="1"/>
  <c r="AU257" i="3"/>
  <c r="AY256" i="3"/>
  <c r="AW256" i="3"/>
  <c r="AV256" i="3"/>
  <c r="AX256" i="3" s="1"/>
  <c r="AU256" i="3"/>
  <c r="AY255" i="3"/>
  <c r="AW255" i="3"/>
  <c r="AV255" i="3"/>
  <c r="AX255" i="3" s="1"/>
  <c r="AU255" i="3"/>
  <c r="AY254" i="3"/>
  <c r="AW254" i="3"/>
  <c r="AV254" i="3"/>
  <c r="AX254" i="3" s="1"/>
  <c r="AU254" i="3"/>
  <c r="AY253" i="3"/>
  <c r="AW253" i="3"/>
  <c r="AV253" i="3"/>
  <c r="AX253" i="3" s="1"/>
  <c r="AU253" i="3"/>
  <c r="AY252" i="3"/>
  <c r="AW252" i="3"/>
  <c r="AV252" i="3"/>
  <c r="AX252" i="3" s="1"/>
  <c r="AU252" i="3"/>
  <c r="AY251" i="3"/>
  <c r="AW251" i="3"/>
  <c r="AV251" i="3"/>
  <c r="AX251" i="3" s="1"/>
  <c r="AU251" i="3"/>
  <c r="AY250" i="3"/>
  <c r="AW250" i="3"/>
  <c r="AV250" i="3"/>
  <c r="AX250" i="3" s="1"/>
  <c r="AU250" i="3"/>
  <c r="AY249" i="3"/>
  <c r="AW249" i="3"/>
  <c r="AV249" i="3"/>
  <c r="AX249" i="3" s="1"/>
  <c r="AU249" i="3"/>
  <c r="AY248" i="3"/>
  <c r="AW248" i="3"/>
  <c r="AV248" i="3"/>
  <c r="AX248" i="3"/>
  <c r="AU248" i="3"/>
  <c r="AY247" i="3"/>
  <c r="AW247" i="3"/>
  <c r="AV247" i="3"/>
  <c r="AX247" i="3" s="1"/>
  <c r="AU247" i="3"/>
  <c r="AY246" i="3"/>
  <c r="AW246" i="3"/>
  <c r="AV246" i="3"/>
  <c r="AX246" i="3" s="1"/>
  <c r="AU246" i="3"/>
  <c r="AY245" i="3"/>
  <c r="AW245" i="3"/>
  <c r="AV245" i="3"/>
  <c r="AX245" i="3" s="1"/>
  <c r="AU245" i="3"/>
  <c r="AY244" i="3"/>
  <c r="AW244" i="3"/>
  <c r="AV244" i="3"/>
  <c r="AX244" i="3" s="1"/>
  <c r="AU244" i="3"/>
  <c r="AY243" i="3"/>
  <c r="AW243" i="3"/>
  <c r="AV243" i="3"/>
  <c r="AX243" i="3" s="1"/>
  <c r="AU243" i="3"/>
  <c r="AY242" i="3"/>
  <c r="AW242" i="3"/>
  <c r="AV242" i="3"/>
  <c r="AX242" i="3" s="1"/>
  <c r="AU242" i="3"/>
  <c r="AY241" i="3"/>
  <c r="AW241" i="3"/>
  <c r="AV241" i="3"/>
  <c r="AX241" i="3" s="1"/>
  <c r="AU241" i="3"/>
  <c r="AY240" i="3"/>
  <c r="AW240" i="3"/>
  <c r="AV240" i="3"/>
  <c r="AX240" i="3" s="1"/>
  <c r="AU240" i="3"/>
  <c r="AY239" i="3"/>
  <c r="AW239" i="3"/>
  <c r="AV239" i="3"/>
  <c r="AX239" i="3" s="1"/>
  <c r="AU239" i="3"/>
  <c r="AY238" i="3"/>
  <c r="AW238" i="3"/>
  <c r="AV238" i="3"/>
  <c r="AX238" i="3" s="1"/>
  <c r="AU238" i="3"/>
  <c r="AY237" i="3"/>
  <c r="AW237" i="3"/>
  <c r="AV237" i="3"/>
  <c r="AX237" i="3" s="1"/>
  <c r="AU237" i="3"/>
  <c r="AY236" i="3"/>
  <c r="AW236" i="3"/>
  <c r="AV236" i="3"/>
  <c r="AX236" i="3" s="1"/>
  <c r="AU236" i="3"/>
  <c r="AY235" i="3"/>
  <c r="AW235" i="3"/>
  <c r="AV235" i="3"/>
  <c r="AX235" i="3" s="1"/>
  <c r="AU235" i="3"/>
  <c r="AY234" i="3"/>
  <c r="AW234" i="3"/>
  <c r="AV234" i="3"/>
  <c r="AX234" i="3" s="1"/>
  <c r="AU234" i="3"/>
  <c r="AY233" i="3"/>
  <c r="AW233" i="3"/>
  <c r="AV233" i="3"/>
  <c r="AX233" i="3"/>
  <c r="AU233" i="3"/>
  <c r="AY232" i="3"/>
  <c r="AW232" i="3"/>
  <c r="AV232" i="3"/>
  <c r="AX232" i="3" s="1"/>
  <c r="AU232" i="3"/>
  <c r="AY231" i="3"/>
  <c r="AW231" i="3"/>
  <c r="AV231" i="3"/>
  <c r="AX231" i="3" s="1"/>
  <c r="AU231" i="3"/>
  <c r="AY230" i="3"/>
  <c r="AW230" i="3"/>
  <c r="AV230" i="3"/>
  <c r="AX230" i="3" s="1"/>
  <c r="AU230" i="3"/>
  <c r="AY229" i="3"/>
  <c r="AW229" i="3"/>
  <c r="AV229" i="3"/>
  <c r="AX229" i="3" s="1"/>
  <c r="AU229" i="3"/>
  <c r="AY228" i="3"/>
  <c r="AW228" i="3"/>
  <c r="AV228" i="3"/>
  <c r="AX228" i="3" s="1"/>
  <c r="AU228" i="3"/>
  <c r="AY227" i="3"/>
  <c r="AW227" i="3"/>
  <c r="AV227" i="3"/>
  <c r="AX227" i="3" s="1"/>
  <c r="AU227" i="3"/>
  <c r="AY226" i="3"/>
  <c r="AW226" i="3"/>
  <c r="AV226" i="3"/>
  <c r="AX226" i="3" s="1"/>
  <c r="AU226" i="3"/>
  <c r="AY225" i="3"/>
  <c r="AW225" i="3"/>
  <c r="AV225" i="3"/>
  <c r="AX225" i="3" s="1"/>
  <c r="AU225" i="3"/>
  <c r="AY224" i="3"/>
  <c r="AW224" i="3"/>
  <c r="AV224" i="3"/>
  <c r="AX224" i="3" s="1"/>
  <c r="AU224" i="3"/>
  <c r="AY223" i="3"/>
  <c r="AW223" i="3"/>
  <c r="AV223" i="3"/>
  <c r="AX223" i="3" s="1"/>
  <c r="AU223" i="3"/>
  <c r="AY222" i="3"/>
  <c r="AW222" i="3"/>
  <c r="AV222" i="3"/>
  <c r="AX222" i="3" s="1"/>
  <c r="AU222" i="3"/>
  <c r="AY221" i="3"/>
  <c r="AW221" i="3"/>
  <c r="AV221" i="3"/>
  <c r="AX221" i="3" s="1"/>
  <c r="AU221" i="3"/>
  <c r="AY220" i="3"/>
  <c r="AW220" i="3"/>
  <c r="AV220" i="3"/>
  <c r="AX220" i="3" s="1"/>
  <c r="AU220" i="3"/>
  <c r="AY219" i="3"/>
  <c r="AW219" i="3"/>
  <c r="AV219" i="3"/>
  <c r="AX219" i="3" s="1"/>
  <c r="AU219" i="3"/>
  <c r="AY218" i="3"/>
  <c r="AW218" i="3"/>
  <c r="AV218" i="3"/>
  <c r="AX218" i="3" s="1"/>
  <c r="AU218" i="3"/>
  <c r="AY217" i="3"/>
  <c r="AW217" i="3"/>
  <c r="AV217" i="3"/>
  <c r="AX217" i="3" s="1"/>
  <c r="AU217" i="3"/>
  <c r="AY216" i="3"/>
  <c r="AW216" i="3"/>
  <c r="AV216" i="3"/>
  <c r="AX216" i="3" s="1"/>
  <c r="AU216" i="3"/>
  <c r="AY215" i="3"/>
  <c r="AW215" i="3"/>
  <c r="AV215" i="3"/>
  <c r="AX215" i="3" s="1"/>
  <c r="AU215" i="3"/>
  <c r="AY214" i="3"/>
  <c r="AW214" i="3"/>
  <c r="AV214" i="3"/>
  <c r="AX214" i="3" s="1"/>
  <c r="AU214" i="3"/>
  <c r="AY213" i="3"/>
  <c r="AW213" i="3"/>
  <c r="AV213" i="3"/>
  <c r="AX213" i="3" s="1"/>
  <c r="AU213" i="3"/>
  <c r="AY212" i="3"/>
  <c r="AW212" i="3"/>
  <c r="AV212" i="3"/>
  <c r="AX212" i="3" s="1"/>
  <c r="AU212" i="3"/>
  <c r="AY211" i="3"/>
  <c r="AW211" i="3"/>
  <c r="AV211" i="3"/>
  <c r="AX211" i="3" s="1"/>
  <c r="AU211" i="3"/>
  <c r="AY210" i="3"/>
  <c r="AW210" i="3"/>
  <c r="AV210" i="3"/>
  <c r="AX210" i="3" s="1"/>
  <c r="AU210" i="3"/>
  <c r="AY209" i="3"/>
  <c r="AW209" i="3"/>
  <c r="AV209" i="3"/>
  <c r="AX209" i="3" s="1"/>
  <c r="AU209" i="3"/>
  <c r="AY208" i="3"/>
  <c r="AW208" i="3"/>
  <c r="AV208" i="3"/>
  <c r="AX208" i="3" s="1"/>
  <c r="AU208" i="3"/>
  <c r="AY207" i="3"/>
  <c r="AW207" i="3"/>
  <c r="AV207" i="3"/>
  <c r="AX207" i="3" s="1"/>
  <c r="AU207" i="3"/>
  <c r="AY206" i="3"/>
  <c r="AW206" i="3"/>
  <c r="AV206" i="3"/>
  <c r="AX206" i="3" s="1"/>
  <c r="AU206" i="3"/>
  <c r="AY205" i="3"/>
  <c r="AW205" i="3"/>
  <c r="AV205" i="3"/>
  <c r="AX205" i="3" s="1"/>
  <c r="AU205" i="3"/>
  <c r="AY204" i="3"/>
  <c r="AW204" i="3"/>
  <c r="AV204" i="3"/>
  <c r="AX204" i="3" s="1"/>
  <c r="AU204" i="3"/>
  <c r="AY203" i="3"/>
  <c r="AW203" i="3"/>
  <c r="AV203" i="3"/>
  <c r="AX203" i="3" s="1"/>
  <c r="AU203" i="3"/>
  <c r="AY202" i="3"/>
  <c r="AW202" i="3"/>
  <c r="AV202" i="3"/>
  <c r="AX202" i="3" s="1"/>
  <c r="AU202" i="3"/>
  <c r="AY201" i="3"/>
  <c r="AW201" i="3"/>
  <c r="AV201" i="3"/>
  <c r="AX201" i="3" s="1"/>
  <c r="AU201" i="3"/>
  <c r="AY200" i="3"/>
  <c r="AW200" i="3"/>
  <c r="AV200" i="3"/>
  <c r="AX200" i="3" s="1"/>
  <c r="AU200" i="3"/>
  <c r="AY199" i="3"/>
  <c r="AW199" i="3"/>
  <c r="AV199" i="3"/>
  <c r="AX199" i="3" s="1"/>
  <c r="AU199" i="3"/>
  <c r="AY198" i="3"/>
  <c r="AW198" i="3"/>
  <c r="AV198" i="3"/>
  <c r="AX198" i="3" s="1"/>
  <c r="AU198" i="3"/>
  <c r="AY197" i="3"/>
  <c r="AW197" i="3"/>
  <c r="AV197" i="3"/>
  <c r="AX197" i="3" s="1"/>
  <c r="AU197" i="3"/>
  <c r="AY196" i="3"/>
  <c r="AW196" i="3"/>
  <c r="AV196" i="3"/>
  <c r="AX196" i="3" s="1"/>
  <c r="AU196" i="3"/>
  <c r="AY195" i="3"/>
  <c r="AW195" i="3"/>
  <c r="AV195" i="3"/>
  <c r="AX195" i="3" s="1"/>
  <c r="AU195" i="3"/>
  <c r="AY194" i="3"/>
  <c r="AW194" i="3"/>
  <c r="AV194" i="3"/>
  <c r="AX194" i="3" s="1"/>
  <c r="AU194" i="3"/>
  <c r="AY193" i="3"/>
  <c r="AW193" i="3"/>
  <c r="AV193" i="3"/>
  <c r="AX193" i="3" s="1"/>
  <c r="AU193" i="3"/>
  <c r="AY192" i="3"/>
  <c r="AW192" i="3"/>
  <c r="AV192" i="3"/>
  <c r="AX192" i="3" s="1"/>
  <c r="AU192" i="3"/>
  <c r="AY191" i="3"/>
  <c r="AW191" i="3"/>
  <c r="AV191" i="3"/>
  <c r="AX191" i="3" s="1"/>
  <c r="AU191" i="3"/>
  <c r="AY190" i="3"/>
  <c r="AW190" i="3"/>
  <c r="AV190" i="3"/>
  <c r="AX190" i="3" s="1"/>
  <c r="AU190" i="3"/>
  <c r="AY189" i="3"/>
  <c r="AW189" i="3"/>
  <c r="AV189" i="3"/>
  <c r="AX189" i="3" s="1"/>
  <c r="AU189" i="3"/>
  <c r="AY188" i="3"/>
  <c r="AW188" i="3"/>
  <c r="AV188" i="3"/>
  <c r="AX188" i="3"/>
  <c r="AU188" i="3"/>
  <c r="AY187" i="3"/>
  <c r="AW187" i="3"/>
  <c r="AV187" i="3"/>
  <c r="AX187" i="3" s="1"/>
  <c r="AU187" i="3"/>
  <c r="AY186" i="3"/>
  <c r="AW186" i="3"/>
  <c r="AV186" i="3"/>
  <c r="AX186" i="3" s="1"/>
  <c r="AU186" i="3"/>
  <c r="AY185" i="3"/>
  <c r="AW185" i="3"/>
  <c r="AV185" i="3"/>
  <c r="AX185" i="3" s="1"/>
  <c r="AU185" i="3"/>
  <c r="AY184" i="3"/>
  <c r="AW184" i="3"/>
  <c r="AV184" i="3"/>
  <c r="AX184" i="3" s="1"/>
  <c r="AU184" i="3"/>
  <c r="AY183" i="3"/>
  <c r="AW183" i="3"/>
  <c r="AV183" i="3"/>
  <c r="AX183" i="3" s="1"/>
  <c r="AU183" i="3"/>
  <c r="AY182" i="3"/>
  <c r="AW182" i="3"/>
  <c r="AV182" i="3"/>
  <c r="AX182" i="3" s="1"/>
  <c r="AU182" i="3"/>
  <c r="AY181" i="3"/>
  <c r="AW181" i="3"/>
  <c r="AV181" i="3"/>
  <c r="AX181" i="3" s="1"/>
  <c r="AU181" i="3"/>
  <c r="AY180" i="3"/>
  <c r="AW180" i="3"/>
  <c r="AV180" i="3"/>
  <c r="AX180" i="3" s="1"/>
  <c r="AU180" i="3"/>
  <c r="AY179" i="3"/>
  <c r="AW179" i="3"/>
  <c r="AV179" i="3"/>
  <c r="AX179" i="3" s="1"/>
  <c r="AU179" i="3"/>
  <c r="AY178" i="3"/>
  <c r="AW178" i="3"/>
  <c r="AV178" i="3"/>
  <c r="AX178" i="3" s="1"/>
  <c r="AU178" i="3"/>
  <c r="AY177" i="3"/>
  <c r="AW177" i="3"/>
  <c r="AV177" i="3"/>
  <c r="AX177" i="3" s="1"/>
  <c r="AU177" i="3"/>
  <c r="AY176" i="3"/>
  <c r="AW176" i="3"/>
  <c r="AV176" i="3"/>
  <c r="AX176" i="3" s="1"/>
  <c r="AU176" i="3"/>
  <c r="AY175" i="3"/>
  <c r="AW175" i="3"/>
  <c r="AV175" i="3"/>
  <c r="AX175" i="3" s="1"/>
  <c r="AU175" i="3"/>
  <c r="AY174" i="3"/>
  <c r="AW174" i="3"/>
  <c r="AV174" i="3"/>
  <c r="AX174" i="3" s="1"/>
  <c r="AU174" i="3"/>
  <c r="AY173" i="3"/>
  <c r="AW173" i="3"/>
  <c r="AV173" i="3"/>
  <c r="AX173" i="3" s="1"/>
  <c r="AU173" i="3"/>
  <c r="AY172" i="3"/>
  <c r="AW172" i="3"/>
  <c r="AV172" i="3"/>
  <c r="AX172" i="3"/>
  <c r="AU172" i="3"/>
  <c r="AY171" i="3"/>
  <c r="AW171" i="3"/>
  <c r="AV171" i="3"/>
  <c r="AX171" i="3" s="1"/>
  <c r="AU171" i="3"/>
  <c r="AY170" i="3"/>
  <c r="AW170" i="3"/>
  <c r="AV170" i="3"/>
  <c r="AX170" i="3" s="1"/>
  <c r="AU170" i="3"/>
  <c r="AY169" i="3"/>
  <c r="AW169" i="3"/>
  <c r="AV169" i="3"/>
  <c r="AX169" i="3" s="1"/>
  <c r="AU169" i="3"/>
  <c r="AY168" i="3"/>
  <c r="AW168" i="3"/>
  <c r="AV168" i="3"/>
  <c r="AX168" i="3" s="1"/>
  <c r="AU168" i="3"/>
  <c r="AY167" i="3"/>
  <c r="AW167" i="3"/>
  <c r="AV167" i="3"/>
  <c r="AX167" i="3" s="1"/>
  <c r="AU167" i="3"/>
  <c r="AY166" i="3"/>
  <c r="AW166" i="3"/>
  <c r="AV166" i="3"/>
  <c r="AX166" i="3" s="1"/>
  <c r="AU166" i="3"/>
  <c r="AY165" i="3"/>
  <c r="AW165" i="3"/>
  <c r="AV165" i="3"/>
  <c r="AX165" i="3" s="1"/>
  <c r="AU165" i="3"/>
  <c r="AY164" i="3"/>
  <c r="AW164" i="3"/>
  <c r="AV164" i="3"/>
  <c r="AX164" i="3" s="1"/>
  <c r="AU164" i="3"/>
  <c r="AY163" i="3"/>
  <c r="AW163" i="3"/>
  <c r="AV163" i="3"/>
  <c r="AX163" i="3" s="1"/>
  <c r="AU163" i="3"/>
  <c r="AY162" i="3"/>
  <c r="AW162" i="3"/>
  <c r="AV162" i="3"/>
  <c r="AX162" i="3" s="1"/>
  <c r="AU162" i="3"/>
  <c r="AY161" i="3"/>
  <c r="AW161" i="3"/>
  <c r="AV161" i="3"/>
  <c r="AX161" i="3" s="1"/>
  <c r="AU161" i="3"/>
  <c r="AY160" i="3"/>
  <c r="AW160" i="3"/>
  <c r="AV160" i="3"/>
  <c r="AX160" i="3" s="1"/>
  <c r="AU160" i="3"/>
  <c r="AY159" i="3"/>
  <c r="AW159" i="3"/>
  <c r="AV159" i="3"/>
  <c r="AX159" i="3" s="1"/>
  <c r="AU159" i="3"/>
  <c r="AY158" i="3"/>
  <c r="AW158" i="3"/>
  <c r="AV158" i="3"/>
  <c r="AX158" i="3" s="1"/>
  <c r="AU158" i="3"/>
  <c r="AY157" i="3"/>
  <c r="AW157" i="3"/>
  <c r="AV157" i="3"/>
  <c r="AX157" i="3" s="1"/>
  <c r="AU157" i="3"/>
  <c r="AY156" i="3"/>
  <c r="AW156" i="3"/>
  <c r="AV156" i="3"/>
  <c r="AX156" i="3" s="1"/>
  <c r="AU156" i="3"/>
  <c r="AY155" i="3"/>
  <c r="AW155" i="3"/>
  <c r="AV155" i="3"/>
  <c r="AX155" i="3" s="1"/>
  <c r="AU155" i="3"/>
  <c r="AY154" i="3"/>
  <c r="AW154" i="3"/>
  <c r="AV154" i="3"/>
  <c r="AX154" i="3" s="1"/>
  <c r="AU154" i="3"/>
  <c r="AY153" i="3"/>
  <c r="AW153" i="3"/>
  <c r="AV153" i="3"/>
  <c r="AX153" i="3" s="1"/>
  <c r="AU153" i="3"/>
  <c r="AY152" i="3"/>
  <c r="AW152" i="3"/>
  <c r="AV152" i="3"/>
  <c r="AX152" i="3" s="1"/>
  <c r="AU152" i="3"/>
  <c r="AY151" i="3"/>
  <c r="AW151" i="3"/>
  <c r="AV151" i="3"/>
  <c r="AX151" i="3" s="1"/>
  <c r="AU151" i="3"/>
  <c r="AY150" i="3"/>
  <c r="AW150" i="3"/>
  <c r="AV150" i="3"/>
  <c r="AX150" i="3" s="1"/>
  <c r="AU150" i="3"/>
  <c r="AY149" i="3"/>
  <c r="AW149" i="3"/>
  <c r="AV149" i="3"/>
  <c r="AX149" i="3" s="1"/>
  <c r="AU149" i="3"/>
  <c r="AY148" i="3"/>
  <c r="AW148" i="3"/>
  <c r="AV148" i="3"/>
  <c r="AX148" i="3" s="1"/>
  <c r="AU148" i="3"/>
  <c r="AY147" i="3"/>
  <c r="AW147" i="3"/>
  <c r="AV147" i="3"/>
  <c r="AX147" i="3" s="1"/>
  <c r="AU147" i="3"/>
  <c r="AY146" i="3"/>
  <c r="AW146" i="3"/>
  <c r="AV146" i="3"/>
  <c r="AX146" i="3" s="1"/>
  <c r="AU146" i="3"/>
  <c r="AY145" i="3"/>
  <c r="AW145" i="3"/>
  <c r="AV145" i="3"/>
  <c r="AX145" i="3" s="1"/>
  <c r="AU145" i="3"/>
  <c r="AY144" i="3"/>
  <c r="AW144" i="3"/>
  <c r="AV144" i="3"/>
  <c r="AX144" i="3" s="1"/>
  <c r="AU144" i="3"/>
  <c r="AY143" i="3"/>
  <c r="AW143" i="3"/>
  <c r="AV143" i="3"/>
  <c r="AX143" i="3" s="1"/>
  <c r="AU143" i="3"/>
  <c r="AY142" i="3"/>
  <c r="AW142" i="3"/>
  <c r="AV142" i="3"/>
  <c r="AX142" i="3" s="1"/>
  <c r="AU142" i="3"/>
  <c r="AY141" i="3"/>
  <c r="AW141" i="3"/>
  <c r="AV141" i="3"/>
  <c r="AX141" i="3" s="1"/>
  <c r="AU141" i="3"/>
  <c r="AY140" i="3"/>
  <c r="AW140" i="3"/>
  <c r="AV140" i="3"/>
  <c r="AX140" i="3" s="1"/>
  <c r="AU140" i="3"/>
  <c r="AY139" i="3"/>
  <c r="AW139" i="3"/>
  <c r="AV139" i="3"/>
  <c r="AX139" i="3" s="1"/>
  <c r="AU139" i="3"/>
  <c r="AY138" i="3"/>
  <c r="AW138" i="3"/>
  <c r="AV138" i="3"/>
  <c r="AX138" i="3" s="1"/>
  <c r="AU138" i="3"/>
  <c r="AY137" i="3"/>
  <c r="AW137" i="3"/>
  <c r="AV137" i="3"/>
  <c r="AX137" i="3" s="1"/>
  <c r="AU137" i="3"/>
  <c r="AY136" i="3"/>
  <c r="AW136" i="3"/>
  <c r="AV136" i="3"/>
  <c r="AX136" i="3" s="1"/>
  <c r="AU136" i="3"/>
  <c r="AY135" i="3"/>
  <c r="AW135" i="3"/>
  <c r="AV135" i="3"/>
  <c r="AX135" i="3" s="1"/>
  <c r="AU135" i="3"/>
  <c r="AY134" i="3"/>
  <c r="AW134" i="3"/>
  <c r="AV134" i="3"/>
  <c r="AX134" i="3" s="1"/>
  <c r="AU134" i="3"/>
  <c r="AY133" i="3"/>
  <c r="AW133" i="3"/>
  <c r="AV133" i="3"/>
  <c r="AX133" i="3" s="1"/>
  <c r="AU133" i="3"/>
  <c r="AY132" i="3"/>
  <c r="AW132" i="3"/>
  <c r="AV132" i="3"/>
  <c r="AX132" i="3" s="1"/>
  <c r="AU132" i="3"/>
  <c r="AY131" i="3"/>
  <c r="AW131" i="3"/>
  <c r="AV131" i="3"/>
  <c r="AX131" i="3" s="1"/>
  <c r="AU131" i="3"/>
  <c r="AY130" i="3"/>
  <c r="AW130" i="3"/>
  <c r="AV130" i="3"/>
  <c r="AX130" i="3" s="1"/>
  <c r="AU130" i="3"/>
  <c r="AY129" i="3"/>
  <c r="AW129" i="3"/>
  <c r="AV129" i="3"/>
  <c r="AX129" i="3"/>
  <c r="AU129" i="3"/>
  <c r="AY128" i="3"/>
  <c r="AW128" i="3"/>
  <c r="AV128" i="3"/>
  <c r="AX128" i="3" s="1"/>
  <c r="AU128" i="3"/>
  <c r="AY127" i="3"/>
  <c r="AW127" i="3"/>
  <c r="AV127" i="3"/>
  <c r="AX127" i="3" s="1"/>
  <c r="AU127" i="3"/>
  <c r="AY126" i="3"/>
  <c r="AW126" i="3"/>
  <c r="AV126" i="3"/>
  <c r="AX126" i="3" s="1"/>
  <c r="AU126" i="3"/>
  <c r="AY125" i="3"/>
  <c r="AW125" i="3"/>
  <c r="AV125" i="3"/>
  <c r="AX125" i="3" s="1"/>
  <c r="AU125" i="3"/>
  <c r="AY124" i="3"/>
  <c r="AW124" i="3"/>
  <c r="AV124" i="3"/>
  <c r="AX124" i="3" s="1"/>
  <c r="AU124" i="3"/>
  <c r="AY123" i="3"/>
  <c r="AW123" i="3"/>
  <c r="AV123" i="3"/>
  <c r="AX123" i="3" s="1"/>
  <c r="AU123" i="3"/>
  <c r="AY122" i="3"/>
  <c r="AW122" i="3"/>
  <c r="AV122" i="3"/>
  <c r="AX122" i="3" s="1"/>
  <c r="AU122" i="3"/>
  <c r="AY121" i="3"/>
  <c r="AW121" i="3"/>
  <c r="AV121" i="3"/>
  <c r="AX121" i="3" s="1"/>
  <c r="AU121" i="3"/>
  <c r="AY120" i="3"/>
  <c r="AW120" i="3"/>
  <c r="AV120" i="3"/>
  <c r="AX120" i="3" s="1"/>
  <c r="AU120" i="3"/>
  <c r="AY119" i="3"/>
  <c r="AW119" i="3"/>
  <c r="AV119" i="3"/>
  <c r="AX119" i="3" s="1"/>
  <c r="AU119" i="3"/>
  <c r="AY118" i="3"/>
  <c r="AW118" i="3"/>
  <c r="AV118" i="3"/>
  <c r="AX118" i="3" s="1"/>
  <c r="AU118" i="3"/>
  <c r="AY117" i="3"/>
  <c r="AW117" i="3"/>
  <c r="AV117" i="3"/>
  <c r="AX117" i="3" s="1"/>
  <c r="AU117" i="3"/>
  <c r="AY116" i="3"/>
  <c r="AW116" i="3"/>
  <c r="AV116" i="3"/>
  <c r="AX116" i="3" s="1"/>
  <c r="AU116" i="3"/>
  <c r="AY115" i="3"/>
  <c r="AW115" i="3"/>
  <c r="AV115" i="3"/>
  <c r="AX115" i="3" s="1"/>
  <c r="AU115" i="3"/>
  <c r="AY114" i="3"/>
  <c r="AW114" i="3"/>
  <c r="AV114" i="3"/>
  <c r="AX114" i="3" s="1"/>
  <c r="AU114" i="3"/>
  <c r="AY113" i="3"/>
  <c r="AW113" i="3"/>
  <c r="AV113" i="3"/>
  <c r="AX113" i="3" s="1"/>
  <c r="AU113" i="3"/>
  <c r="AY112" i="3"/>
  <c r="AW112" i="3"/>
  <c r="AV112" i="3"/>
  <c r="AX112" i="3" s="1"/>
  <c r="AU112" i="3"/>
  <c r="AY111" i="3"/>
  <c r="AW111" i="3"/>
  <c r="AV111" i="3"/>
  <c r="AX111" i="3" s="1"/>
  <c r="AU111" i="3"/>
  <c r="AY110" i="3"/>
  <c r="AW110" i="3"/>
  <c r="AV110" i="3"/>
  <c r="AX110" i="3" s="1"/>
  <c r="AU110" i="3"/>
  <c r="AY109" i="3"/>
  <c r="AW109" i="3"/>
  <c r="AV109" i="3"/>
  <c r="AX109" i="3" s="1"/>
  <c r="AU109" i="3"/>
  <c r="AY108" i="3"/>
  <c r="AW108" i="3"/>
  <c r="AV108" i="3"/>
  <c r="AX108" i="3"/>
  <c r="AU108" i="3"/>
  <c r="AY107" i="3"/>
  <c r="AW107" i="3"/>
  <c r="AV107" i="3"/>
  <c r="AX107" i="3" s="1"/>
  <c r="AU107" i="3"/>
  <c r="AY106" i="3"/>
  <c r="AW106" i="3"/>
  <c r="AV106" i="3"/>
  <c r="AX106" i="3" s="1"/>
  <c r="AU106" i="3"/>
  <c r="AY105" i="3"/>
  <c r="AW105" i="3"/>
  <c r="AV105" i="3"/>
  <c r="AX105" i="3" s="1"/>
  <c r="AU105" i="3"/>
  <c r="AY104" i="3"/>
  <c r="AW104" i="3"/>
  <c r="AV104" i="3"/>
  <c r="AX104" i="3" s="1"/>
  <c r="AU104" i="3"/>
  <c r="AY103" i="3"/>
  <c r="AW103" i="3"/>
  <c r="AV103" i="3"/>
  <c r="AX103" i="3" s="1"/>
  <c r="AU103" i="3"/>
  <c r="AY102" i="3"/>
  <c r="AW102" i="3"/>
  <c r="AV102" i="3"/>
  <c r="AX102" i="3" s="1"/>
  <c r="AU102" i="3"/>
  <c r="AY101" i="3"/>
  <c r="AW101" i="3"/>
  <c r="AV101" i="3"/>
  <c r="AX101" i="3" s="1"/>
  <c r="AU101" i="3"/>
  <c r="AY100" i="3"/>
  <c r="AW100" i="3"/>
  <c r="AV100" i="3"/>
  <c r="AX100" i="3" s="1"/>
  <c r="AU100" i="3"/>
  <c r="AY99" i="3"/>
  <c r="AW99" i="3"/>
  <c r="AV99" i="3"/>
  <c r="AX99" i="3" s="1"/>
  <c r="AU99" i="3"/>
  <c r="AY98" i="3"/>
  <c r="AW98" i="3"/>
  <c r="AV98" i="3"/>
  <c r="AX98" i="3" s="1"/>
  <c r="AU98" i="3"/>
  <c r="AY97" i="3"/>
  <c r="AW97" i="3"/>
  <c r="AV97" i="3"/>
  <c r="AX97" i="3" s="1"/>
  <c r="AU97" i="3"/>
  <c r="AY96" i="3"/>
  <c r="AW96" i="3"/>
  <c r="AV96" i="3"/>
  <c r="AX96" i="3" s="1"/>
  <c r="AU96" i="3"/>
  <c r="AY95" i="3"/>
  <c r="AW95" i="3"/>
  <c r="AV95" i="3"/>
  <c r="AX95" i="3" s="1"/>
  <c r="AU95" i="3"/>
  <c r="AY94" i="3"/>
  <c r="AW94" i="3"/>
  <c r="AV94" i="3"/>
  <c r="AX94" i="3" s="1"/>
  <c r="AU94" i="3"/>
  <c r="AY93" i="3"/>
  <c r="AW93" i="3"/>
  <c r="AV93" i="3"/>
  <c r="AX93" i="3"/>
  <c r="AU93" i="3"/>
  <c r="AY92" i="3"/>
  <c r="AW92" i="3"/>
  <c r="AV92" i="3"/>
  <c r="AX92" i="3" s="1"/>
  <c r="AU92" i="3"/>
  <c r="AY91" i="3"/>
  <c r="AW91" i="3"/>
  <c r="AV91" i="3"/>
  <c r="AX91" i="3" s="1"/>
  <c r="AU91" i="3"/>
  <c r="AY90" i="3"/>
  <c r="AW90" i="3"/>
  <c r="AV90" i="3"/>
  <c r="AX90" i="3" s="1"/>
  <c r="AU90" i="3"/>
  <c r="AY89" i="3"/>
  <c r="AW89" i="3"/>
  <c r="AV89" i="3"/>
  <c r="AX89" i="3" s="1"/>
  <c r="AU89" i="3"/>
  <c r="AY88" i="3"/>
  <c r="AW88" i="3"/>
  <c r="AV88" i="3"/>
  <c r="AX88" i="3" s="1"/>
  <c r="AU88" i="3"/>
  <c r="AY87" i="3"/>
  <c r="AW87" i="3"/>
  <c r="AV87" i="3"/>
  <c r="AX87" i="3" s="1"/>
  <c r="AU87" i="3"/>
  <c r="AY86" i="3"/>
  <c r="AW86" i="3"/>
  <c r="AV86" i="3"/>
  <c r="AX86" i="3" s="1"/>
  <c r="AU86" i="3"/>
  <c r="AY85" i="3"/>
  <c r="AW85" i="3"/>
  <c r="AV85" i="3"/>
  <c r="AX85" i="3" s="1"/>
  <c r="AU85" i="3"/>
  <c r="AY84" i="3"/>
  <c r="AW84" i="3"/>
  <c r="AV84" i="3"/>
  <c r="AX84" i="3" s="1"/>
  <c r="AU84" i="3"/>
  <c r="AY83" i="3"/>
  <c r="AW83" i="3"/>
  <c r="AV83" i="3"/>
  <c r="AX83" i="3" s="1"/>
  <c r="AU83" i="3"/>
  <c r="AY82" i="3"/>
  <c r="AW82" i="3"/>
  <c r="AV82" i="3"/>
  <c r="AX82" i="3" s="1"/>
  <c r="AU82" i="3"/>
  <c r="AY81" i="3"/>
  <c r="AW81" i="3"/>
  <c r="AV81" i="3"/>
  <c r="AX81" i="3" s="1"/>
  <c r="AU81" i="3"/>
  <c r="AY80" i="3"/>
  <c r="AW80" i="3"/>
  <c r="AV80" i="3"/>
  <c r="AX80" i="3" s="1"/>
  <c r="AU80" i="3"/>
  <c r="AY79" i="3"/>
  <c r="AW79" i="3"/>
  <c r="AV79" i="3"/>
  <c r="AX79" i="3" s="1"/>
  <c r="AU79" i="3"/>
  <c r="AY78" i="3"/>
  <c r="AW78" i="3"/>
  <c r="AV78" i="3"/>
  <c r="AX78" i="3" s="1"/>
  <c r="AU78" i="3"/>
  <c r="AY77" i="3"/>
  <c r="AW77" i="3"/>
  <c r="AV77" i="3"/>
  <c r="AX77" i="3" s="1"/>
  <c r="AU77" i="3"/>
  <c r="AY76" i="3"/>
  <c r="AW76" i="3"/>
  <c r="AV76" i="3"/>
  <c r="AX76" i="3" s="1"/>
  <c r="AU76" i="3"/>
  <c r="AY75" i="3"/>
  <c r="AW75" i="3"/>
  <c r="AV75" i="3"/>
  <c r="AX75" i="3" s="1"/>
  <c r="AU75" i="3"/>
  <c r="AY74" i="3"/>
  <c r="AW74" i="3"/>
  <c r="AV74" i="3"/>
  <c r="AX74" i="3" s="1"/>
  <c r="AU74" i="3"/>
  <c r="AY73" i="3"/>
  <c r="AW73" i="3"/>
  <c r="AV73" i="3"/>
  <c r="AX73" i="3" s="1"/>
  <c r="AU73" i="3"/>
  <c r="AY72" i="3"/>
  <c r="AW72" i="3"/>
  <c r="AV72" i="3"/>
  <c r="AX72" i="3" s="1"/>
  <c r="AU72" i="3"/>
  <c r="AY71" i="3"/>
  <c r="AW71" i="3"/>
  <c r="AV71" i="3"/>
  <c r="AX71" i="3" s="1"/>
  <c r="AU71" i="3"/>
  <c r="AY70" i="3"/>
  <c r="AW70" i="3"/>
  <c r="AV70" i="3"/>
  <c r="AX70" i="3" s="1"/>
  <c r="AU70" i="3"/>
  <c r="AY69" i="3"/>
  <c r="AW69" i="3"/>
  <c r="AV69" i="3"/>
  <c r="AX69" i="3" s="1"/>
  <c r="AU69" i="3"/>
  <c r="AY68" i="3"/>
  <c r="AW68" i="3"/>
  <c r="AV68" i="3"/>
  <c r="AX68" i="3" s="1"/>
  <c r="AU68" i="3"/>
  <c r="AY67" i="3"/>
  <c r="AW67" i="3"/>
  <c r="AV67" i="3"/>
  <c r="AX67" i="3" s="1"/>
  <c r="AU67" i="3"/>
  <c r="AY66" i="3"/>
  <c r="AW66" i="3"/>
  <c r="AV66" i="3"/>
  <c r="AX66" i="3" s="1"/>
  <c r="AU66" i="3"/>
  <c r="AY65" i="3"/>
  <c r="AW65" i="3"/>
  <c r="AV65" i="3"/>
  <c r="AX65" i="3" s="1"/>
  <c r="AU65" i="3"/>
  <c r="AY64" i="3"/>
  <c r="AW64" i="3"/>
  <c r="AV64" i="3"/>
  <c r="AX64" i="3" s="1"/>
  <c r="AU64" i="3"/>
  <c r="AY63" i="3"/>
  <c r="AW63" i="3"/>
  <c r="AV63" i="3"/>
  <c r="AX63" i="3" s="1"/>
  <c r="AU63" i="3"/>
  <c r="AY62" i="3"/>
  <c r="AW62" i="3"/>
  <c r="AV62" i="3"/>
  <c r="AX62" i="3" s="1"/>
  <c r="AU62" i="3"/>
  <c r="AY61" i="3"/>
  <c r="AW61" i="3"/>
  <c r="AV61" i="3"/>
  <c r="AX61" i="3" s="1"/>
  <c r="AU61" i="3"/>
  <c r="AY60" i="3"/>
  <c r="AW60" i="3"/>
  <c r="AV60" i="3"/>
  <c r="AX60" i="3"/>
  <c r="AU60" i="3"/>
  <c r="AY59" i="3"/>
  <c r="AW59" i="3"/>
  <c r="AV59" i="3"/>
  <c r="AX59" i="3" s="1"/>
  <c r="AU59" i="3"/>
  <c r="AY58" i="3"/>
  <c r="AW58" i="3"/>
  <c r="AV58" i="3"/>
  <c r="AX58" i="3" s="1"/>
  <c r="AU58" i="3"/>
  <c r="AY57" i="3"/>
  <c r="AW57" i="3"/>
  <c r="AV57" i="3"/>
  <c r="AX57" i="3" s="1"/>
  <c r="AU57" i="3"/>
  <c r="AY56" i="3"/>
  <c r="AW56" i="3"/>
  <c r="AV56" i="3"/>
  <c r="AX56" i="3"/>
  <c r="AU56" i="3"/>
  <c r="AY55" i="3"/>
  <c r="AW55" i="3"/>
  <c r="AV55" i="3"/>
  <c r="AX55" i="3" s="1"/>
  <c r="AU55" i="3"/>
  <c r="AY54" i="3"/>
  <c r="AW54" i="3"/>
  <c r="AV54" i="3"/>
  <c r="AX54" i="3" s="1"/>
  <c r="AU54" i="3"/>
  <c r="AY53" i="3"/>
  <c r="AW53" i="3"/>
  <c r="AV53" i="3"/>
  <c r="AX53" i="3" s="1"/>
  <c r="AU53" i="3"/>
  <c r="AY52" i="3"/>
  <c r="AW52" i="3"/>
  <c r="AV52" i="3"/>
  <c r="AX52" i="3" s="1"/>
  <c r="AU52" i="3"/>
  <c r="AY51" i="3"/>
  <c r="AW51" i="3"/>
  <c r="AV51" i="3"/>
  <c r="AX51" i="3" s="1"/>
  <c r="AU51" i="3"/>
  <c r="AY50" i="3"/>
  <c r="AW50" i="3"/>
  <c r="AV50" i="3"/>
  <c r="AX50" i="3" s="1"/>
  <c r="AU50" i="3"/>
  <c r="AY49" i="3"/>
  <c r="AW49" i="3"/>
  <c r="AV49" i="3"/>
  <c r="AX49" i="3" s="1"/>
  <c r="AU49" i="3"/>
  <c r="AY48" i="3"/>
  <c r="AW48" i="3"/>
  <c r="AV48" i="3"/>
  <c r="AX48" i="3" s="1"/>
  <c r="AU48" i="3"/>
  <c r="AY47" i="3"/>
  <c r="AW47" i="3"/>
  <c r="AV47" i="3"/>
  <c r="AX47" i="3" s="1"/>
  <c r="AU47" i="3"/>
  <c r="AY46" i="3"/>
  <c r="AW46" i="3"/>
  <c r="AV46" i="3"/>
  <c r="AX46" i="3" s="1"/>
  <c r="AU46" i="3"/>
  <c r="AY45" i="3"/>
  <c r="AW45" i="3"/>
  <c r="AV45" i="3"/>
  <c r="AX45" i="3" s="1"/>
  <c r="AU45" i="3"/>
  <c r="AY44" i="3"/>
  <c r="AW44" i="3"/>
  <c r="AV44" i="3"/>
  <c r="AX44" i="3" s="1"/>
  <c r="AU44" i="3"/>
  <c r="AY43" i="3"/>
  <c r="AW43" i="3"/>
  <c r="AV43" i="3"/>
  <c r="AX43" i="3" s="1"/>
  <c r="AU43" i="3"/>
  <c r="AY42" i="3"/>
  <c r="AW42" i="3"/>
  <c r="AV42" i="3"/>
  <c r="AX42" i="3" s="1"/>
  <c r="AU42" i="3"/>
  <c r="AY41" i="3"/>
  <c r="AW41" i="3"/>
  <c r="AV41" i="3"/>
  <c r="AX41" i="3" s="1"/>
  <c r="AU41" i="3"/>
  <c r="AY40" i="3"/>
  <c r="AW40" i="3"/>
  <c r="AV40" i="3"/>
  <c r="AX40" i="3" s="1"/>
  <c r="AU40" i="3"/>
  <c r="AY39" i="3"/>
  <c r="AW39" i="3"/>
  <c r="AV39" i="3"/>
  <c r="AX39" i="3" s="1"/>
  <c r="AU39" i="3"/>
  <c r="AY38" i="3"/>
  <c r="AW38" i="3"/>
  <c r="AV38" i="3"/>
  <c r="AX38" i="3" s="1"/>
  <c r="AU38" i="3"/>
  <c r="AY37" i="3"/>
  <c r="AW37" i="3"/>
  <c r="AV37" i="3"/>
  <c r="AX37" i="3"/>
  <c r="AU37" i="3"/>
  <c r="AY36" i="3"/>
  <c r="AW36" i="3"/>
  <c r="AV36" i="3"/>
  <c r="AX36" i="3" s="1"/>
  <c r="AU36" i="3"/>
  <c r="AY35" i="3"/>
  <c r="AW35" i="3"/>
  <c r="AV35" i="3"/>
  <c r="AX35" i="3" s="1"/>
  <c r="AU35" i="3"/>
  <c r="AY34" i="3"/>
  <c r="AW34" i="3"/>
  <c r="AV34" i="3"/>
  <c r="AX34" i="3" s="1"/>
  <c r="AU34" i="3"/>
  <c r="AY33" i="3"/>
  <c r="AW33" i="3"/>
  <c r="AV33" i="3"/>
  <c r="AX33" i="3" s="1"/>
  <c r="AU33" i="3"/>
  <c r="AY32" i="3"/>
  <c r="AW32" i="3"/>
  <c r="AV32" i="3"/>
  <c r="AX32" i="3" s="1"/>
  <c r="AU32" i="3"/>
  <c r="AY31" i="3"/>
  <c r="AW31" i="3"/>
  <c r="AV31" i="3"/>
  <c r="AX31" i="3" s="1"/>
  <c r="AU31" i="3"/>
  <c r="AY30" i="3"/>
  <c r="AW30" i="3"/>
  <c r="AV30" i="3"/>
  <c r="AX30" i="3" s="1"/>
  <c r="AU30" i="3"/>
  <c r="AY29" i="3"/>
  <c r="AW29" i="3"/>
  <c r="AV29" i="3"/>
  <c r="AX29" i="3" s="1"/>
  <c r="AU29" i="3"/>
  <c r="AY28" i="3"/>
  <c r="AW28" i="3"/>
  <c r="AV28" i="3"/>
  <c r="AX28" i="3" s="1"/>
  <c r="AU28" i="3"/>
  <c r="AY27" i="3"/>
  <c r="AW27" i="3"/>
  <c r="AV27" i="3"/>
  <c r="AX27" i="3" s="1"/>
  <c r="AU27" i="3"/>
  <c r="AY26" i="3"/>
  <c r="AW26" i="3"/>
  <c r="AV26" i="3"/>
  <c r="AX26" i="3" s="1"/>
  <c r="AU26" i="3"/>
  <c r="AY25" i="3"/>
  <c r="AW25" i="3"/>
  <c r="AV25" i="3"/>
  <c r="AX25" i="3" s="1"/>
  <c r="AU25" i="3"/>
  <c r="AY24" i="3"/>
  <c r="AW24" i="3"/>
  <c r="AV24" i="3"/>
  <c r="AX24" i="3" s="1"/>
  <c r="AU24" i="3"/>
  <c r="AY23" i="3"/>
  <c r="AW23" i="3"/>
  <c r="AV23" i="3"/>
  <c r="AX23" i="3" s="1"/>
  <c r="AU23" i="3"/>
  <c r="AY22" i="3"/>
  <c r="AW22" i="3"/>
  <c r="AV22" i="3"/>
  <c r="AX22" i="3"/>
  <c r="AU22" i="3"/>
  <c r="AY21" i="3"/>
  <c r="AW21" i="3"/>
  <c r="AV21" i="3"/>
  <c r="AX21" i="3" s="1"/>
  <c r="AU21" i="3"/>
  <c r="AY20" i="3"/>
  <c r="AW20" i="3"/>
  <c r="AV20" i="3"/>
  <c r="AX20" i="3" s="1"/>
  <c r="AU20" i="3"/>
  <c r="AY19" i="3"/>
  <c r="AW19" i="3"/>
  <c r="AV19" i="3"/>
  <c r="AX19" i="3" s="1"/>
  <c r="AU19" i="3"/>
  <c r="AY18" i="3"/>
  <c r="AW18" i="3"/>
  <c r="AV18" i="3"/>
  <c r="AX18" i="3" s="1"/>
  <c r="AU18" i="3"/>
  <c r="AY17" i="3"/>
  <c r="AW17" i="3"/>
  <c r="AV17" i="3"/>
  <c r="AX17" i="3" s="1"/>
  <c r="AU17" i="3"/>
  <c r="AY16" i="3"/>
  <c r="AW16" i="3"/>
  <c r="AV16" i="3"/>
  <c r="AX16" i="3" s="1"/>
  <c r="AU16" i="3"/>
  <c r="AY15" i="3"/>
  <c r="AW15" i="3"/>
  <c r="AV15" i="3"/>
  <c r="AX15" i="3" s="1"/>
  <c r="AU15" i="3"/>
  <c r="AY14" i="3"/>
  <c r="AW14" i="3"/>
  <c r="AV14" i="3"/>
  <c r="AX14" i="3" s="1"/>
  <c r="AU14" i="3"/>
  <c r="AY13" i="3"/>
  <c r="AW13" i="3"/>
  <c r="AV13" i="3"/>
  <c r="AX13" i="3" s="1"/>
  <c r="AU13" i="3"/>
  <c r="AY12" i="3"/>
  <c r="AW12" i="3"/>
  <c r="AV12" i="3"/>
  <c r="AX12" i="3" s="1"/>
  <c r="AU12" i="3"/>
  <c r="AY11" i="3"/>
  <c r="AW11" i="3"/>
  <c r="AV11" i="3"/>
  <c r="AX11" i="3" s="1"/>
  <c r="AU11" i="3"/>
  <c r="AY10" i="3"/>
  <c r="AW10" i="3"/>
  <c r="AV10" i="3"/>
  <c r="AX10" i="3" s="1"/>
  <c r="AU10" i="3"/>
  <c r="AY9" i="3"/>
  <c r="AW9" i="3"/>
  <c r="AV9" i="3"/>
  <c r="AX9" i="3" s="1"/>
  <c r="AU9" i="3"/>
  <c r="AM1169" i="3"/>
  <c r="AK1169" i="3"/>
  <c r="AJ1169" i="3"/>
  <c r="AL1169" i="3" s="1"/>
  <c r="AI1169" i="3"/>
  <c r="AM1168" i="3"/>
  <c r="AK1168" i="3"/>
  <c r="AJ1168" i="3"/>
  <c r="AL1168" i="3" s="1"/>
  <c r="AI1168" i="3"/>
  <c r="AM1167" i="3"/>
  <c r="AK1167" i="3"/>
  <c r="AJ1167" i="3"/>
  <c r="AL1167" i="3"/>
  <c r="AI1167" i="3"/>
  <c r="AM1166" i="3"/>
  <c r="AK1166" i="3"/>
  <c r="AJ1166" i="3"/>
  <c r="AL1166" i="3" s="1"/>
  <c r="AI1166" i="3"/>
  <c r="AM1165" i="3"/>
  <c r="AK1165" i="3"/>
  <c r="AJ1165" i="3"/>
  <c r="AL1165" i="3" s="1"/>
  <c r="AI1165" i="3"/>
  <c r="AM1164" i="3"/>
  <c r="AK1164" i="3"/>
  <c r="AJ1164" i="3"/>
  <c r="AL1164" i="3" s="1"/>
  <c r="AI1164" i="3"/>
  <c r="AM1163" i="3"/>
  <c r="AK1163" i="3"/>
  <c r="AJ1163" i="3"/>
  <c r="AL1163" i="3" s="1"/>
  <c r="AI1163" i="3"/>
  <c r="AM1162" i="3"/>
  <c r="AK1162" i="3"/>
  <c r="AJ1162" i="3"/>
  <c r="AL1162" i="3" s="1"/>
  <c r="AI1162" i="3"/>
  <c r="AM1161" i="3"/>
  <c r="AK1161" i="3"/>
  <c r="AJ1161" i="3"/>
  <c r="AL1161" i="3" s="1"/>
  <c r="AI1161" i="3"/>
  <c r="AM1160" i="3"/>
  <c r="AK1160" i="3"/>
  <c r="AJ1160" i="3"/>
  <c r="AL1160" i="3" s="1"/>
  <c r="AI1160" i="3"/>
  <c r="AM1159" i="3"/>
  <c r="AK1159" i="3"/>
  <c r="AJ1159" i="3"/>
  <c r="AL1159" i="3" s="1"/>
  <c r="AI1159" i="3"/>
  <c r="AM1158" i="3"/>
  <c r="AK1158" i="3"/>
  <c r="AJ1158" i="3"/>
  <c r="AL1158" i="3" s="1"/>
  <c r="AI1158" i="3"/>
  <c r="AM1157" i="3"/>
  <c r="AK1157" i="3"/>
  <c r="AJ1157" i="3"/>
  <c r="AL1157" i="3" s="1"/>
  <c r="AI1157" i="3"/>
  <c r="AM1156" i="3"/>
  <c r="AK1156" i="3"/>
  <c r="AJ1156" i="3"/>
  <c r="AL1156" i="3" s="1"/>
  <c r="AI1156" i="3"/>
  <c r="AM1155" i="3"/>
  <c r="AK1155" i="3"/>
  <c r="AJ1155" i="3"/>
  <c r="AL1155" i="3" s="1"/>
  <c r="AI1155" i="3"/>
  <c r="AM1154" i="3"/>
  <c r="AK1154" i="3"/>
  <c r="AJ1154" i="3"/>
  <c r="AL1154" i="3" s="1"/>
  <c r="AI1154" i="3"/>
  <c r="AM1153" i="3"/>
  <c r="AK1153" i="3"/>
  <c r="AJ1153" i="3"/>
  <c r="AL1153" i="3" s="1"/>
  <c r="AI1153" i="3"/>
  <c r="AM1152" i="3"/>
  <c r="AK1152" i="3"/>
  <c r="AJ1152" i="3"/>
  <c r="AL1152" i="3" s="1"/>
  <c r="AI1152" i="3"/>
  <c r="AM1151" i="3"/>
  <c r="AK1151" i="3"/>
  <c r="AJ1151" i="3"/>
  <c r="AL1151" i="3" s="1"/>
  <c r="AI1151" i="3"/>
  <c r="AM1150" i="3"/>
  <c r="AK1150" i="3"/>
  <c r="AJ1150" i="3"/>
  <c r="AL1150" i="3" s="1"/>
  <c r="AI1150" i="3"/>
  <c r="AM1149" i="3"/>
  <c r="AK1149" i="3"/>
  <c r="AJ1149" i="3"/>
  <c r="AL1149" i="3" s="1"/>
  <c r="AI1149" i="3"/>
  <c r="AM1148" i="3"/>
  <c r="AK1148" i="3"/>
  <c r="AJ1148" i="3"/>
  <c r="AL1148" i="3" s="1"/>
  <c r="AI1148" i="3"/>
  <c r="AM1147" i="3"/>
  <c r="AK1147" i="3"/>
  <c r="AJ1147" i="3"/>
  <c r="AL1147" i="3" s="1"/>
  <c r="AI1147" i="3"/>
  <c r="AM1146" i="3"/>
  <c r="AK1146" i="3"/>
  <c r="AJ1146" i="3"/>
  <c r="AL1146" i="3" s="1"/>
  <c r="AI1146" i="3"/>
  <c r="AM1145" i="3"/>
  <c r="AK1145" i="3"/>
  <c r="AJ1145" i="3"/>
  <c r="AL1145" i="3" s="1"/>
  <c r="AI1145" i="3"/>
  <c r="AM1144" i="3"/>
  <c r="AK1144" i="3"/>
  <c r="AJ1144" i="3"/>
  <c r="AL1144" i="3" s="1"/>
  <c r="AI1144" i="3"/>
  <c r="AM1143" i="3"/>
  <c r="AK1143" i="3"/>
  <c r="AJ1143" i="3"/>
  <c r="AL1143" i="3" s="1"/>
  <c r="AI1143" i="3"/>
  <c r="AM1142" i="3"/>
  <c r="AK1142" i="3"/>
  <c r="AJ1142" i="3"/>
  <c r="AL1142" i="3" s="1"/>
  <c r="AI1142" i="3"/>
  <c r="AM1141" i="3"/>
  <c r="AK1141" i="3"/>
  <c r="AJ1141" i="3"/>
  <c r="AL1141" i="3" s="1"/>
  <c r="AI1141" i="3"/>
  <c r="AM1140" i="3"/>
  <c r="AK1140" i="3"/>
  <c r="AJ1140" i="3"/>
  <c r="AL1140" i="3" s="1"/>
  <c r="AI1140" i="3"/>
  <c r="AM1139" i="3"/>
  <c r="AK1139" i="3"/>
  <c r="AJ1139" i="3"/>
  <c r="AL1139" i="3" s="1"/>
  <c r="AI1139" i="3"/>
  <c r="AM1138" i="3"/>
  <c r="AK1138" i="3"/>
  <c r="AJ1138" i="3"/>
  <c r="AL1138" i="3" s="1"/>
  <c r="AI1138" i="3"/>
  <c r="AM1137" i="3"/>
  <c r="AK1137" i="3"/>
  <c r="AJ1137" i="3"/>
  <c r="AL1137" i="3" s="1"/>
  <c r="AI1137" i="3"/>
  <c r="AM1136" i="3"/>
  <c r="AK1136" i="3"/>
  <c r="AJ1136" i="3"/>
  <c r="AL1136" i="3" s="1"/>
  <c r="AI1136" i="3"/>
  <c r="AM1135" i="3"/>
  <c r="AK1135" i="3"/>
  <c r="AJ1135" i="3"/>
  <c r="AL1135" i="3" s="1"/>
  <c r="AI1135" i="3"/>
  <c r="AM1134" i="3"/>
  <c r="AK1134" i="3"/>
  <c r="AJ1134" i="3"/>
  <c r="AL1134" i="3"/>
  <c r="AI1134" i="3"/>
  <c r="AM1133" i="3"/>
  <c r="AK1133" i="3"/>
  <c r="AJ1133" i="3"/>
  <c r="AL1133" i="3" s="1"/>
  <c r="AI1133" i="3"/>
  <c r="AM1132" i="3"/>
  <c r="AK1132" i="3"/>
  <c r="AJ1132" i="3"/>
  <c r="AL1132" i="3" s="1"/>
  <c r="AI1132" i="3"/>
  <c r="AM1131" i="3"/>
  <c r="AK1131" i="3"/>
  <c r="AJ1131" i="3"/>
  <c r="AL1131" i="3" s="1"/>
  <c r="AI1131" i="3"/>
  <c r="AM1130" i="3"/>
  <c r="AK1130" i="3"/>
  <c r="AJ1130" i="3"/>
  <c r="AL1130" i="3" s="1"/>
  <c r="AI1130" i="3"/>
  <c r="AM1129" i="3"/>
  <c r="AK1129" i="3"/>
  <c r="AJ1129" i="3"/>
  <c r="AL1129" i="3" s="1"/>
  <c r="AI1129" i="3"/>
  <c r="AM1128" i="3"/>
  <c r="AK1128" i="3"/>
  <c r="AJ1128" i="3"/>
  <c r="AL1128" i="3" s="1"/>
  <c r="AI1128" i="3"/>
  <c r="AM1127" i="3"/>
  <c r="AK1127" i="3"/>
  <c r="AJ1127" i="3"/>
  <c r="AL1127" i="3" s="1"/>
  <c r="AI1127" i="3"/>
  <c r="AM1126" i="3"/>
  <c r="AK1126" i="3"/>
  <c r="AJ1126" i="3"/>
  <c r="AL1126" i="3" s="1"/>
  <c r="AI1126" i="3"/>
  <c r="AM1125" i="3"/>
  <c r="AK1125" i="3"/>
  <c r="AJ1125" i="3"/>
  <c r="AL1125" i="3" s="1"/>
  <c r="AI1125" i="3"/>
  <c r="AM1124" i="3"/>
  <c r="AK1124" i="3"/>
  <c r="AJ1124" i="3"/>
  <c r="AL1124" i="3" s="1"/>
  <c r="AI1124" i="3"/>
  <c r="AM1123" i="3"/>
  <c r="AK1123" i="3"/>
  <c r="AJ1123" i="3"/>
  <c r="AL1123" i="3" s="1"/>
  <c r="AI1123" i="3"/>
  <c r="AM1122" i="3"/>
  <c r="AK1122" i="3"/>
  <c r="AJ1122" i="3"/>
  <c r="AL1122" i="3" s="1"/>
  <c r="AI1122" i="3"/>
  <c r="AM1121" i="3"/>
  <c r="AK1121" i="3"/>
  <c r="AJ1121" i="3"/>
  <c r="AL1121" i="3" s="1"/>
  <c r="AI1121" i="3"/>
  <c r="AM1120" i="3"/>
  <c r="AK1120" i="3"/>
  <c r="AJ1120" i="3"/>
  <c r="AL1120" i="3" s="1"/>
  <c r="AI1120" i="3"/>
  <c r="AM1119" i="3"/>
  <c r="AK1119" i="3"/>
  <c r="AJ1119" i="3"/>
  <c r="AL1119" i="3" s="1"/>
  <c r="AI1119" i="3"/>
  <c r="AM1118" i="3"/>
  <c r="AK1118" i="3"/>
  <c r="AJ1118" i="3"/>
  <c r="AL1118" i="3" s="1"/>
  <c r="AI1118" i="3"/>
  <c r="AM1117" i="3"/>
  <c r="AK1117" i="3"/>
  <c r="AJ1117" i="3"/>
  <c r="AL1117" i="3" s="1"/>
  <c r="AI1117" i="3"/>
  <c r="AM1116" i="3"/>
  <c r="AK1116" i="3"/>
  <c r="AJ1116" i="3"/>
  <c r="AL1116" i="3" s="1"/>
  <c r="AI1116" i="3"/>
  <c r="AM1115" i="3"/>
  <c r="AK1115" i="3"/>
  <c r="AJ1115" i="3"/>
  <c r="AL1115" i="3" s="1"/>
  <c r="AI1115" i="3"/>
  <c r="AM1114" i="3"/>
  <c r="AK1114" i="3"/>
  <c r="AJ1114" i="3"/>
  <c r="AL1114" i="3" s="1"/>
  <c r="AI1114" i="3"/>
  <c r="AM1113" i="3"/>
  <c r="AK1113" i="3"/>
  <c r="AJ1113" i="3"/>
  <c r="AL1113" i="3" s="1"/>
  <c r="AI1113" i="3"/>
  <c r="AM1112" i="3"/>
  <c r="AK1112" i="3"/>
  <c r="AJ1112" i="3"/>
  <c r="AL1112" i="3" s="1"/>
  <c r="AI1112" i="3"/>
  <c r="AM1111" i="3"/>
  <c r="AK1111" i="3"/>
  <c r="AJ1111" i="3"/>
  <c r="AL1111" i="3" s="1"/>
  <c r="AI1111" i="3"/>
  <c r="AM1110" i="3"/>
  <c r="AK1110" i="3"/>
  <c r="AJ1110" i="3"/>
  <c r="AL1110" i="3" s="1"/>
  <c r="AI1110" i="3"/>
  <c r="AM1109" i="3"/>
  <c r="AK1109" i="3"/>
  <c r="AJ1109" i="3"/>
  <c r="AL1109" i="3" s="1"/>
  <c r="AI1109" i="3"/>
  <c r="AM1108" i="3"/>
  <c r="AK1108" i="3"/>
  <c r="AJ1108" i="3"/>
  <c r="AL1108" i="3" s="1"/>
  <c r="AI1108" i="3"/>
  <c r="AM1107" i="3"/>
  <c r="AK1107" i="3"/>
  <c r="AJ1107" i="3"/>
  <c r="AL1107" i="3" s="1"/>
  <c r="AI1107" i="3"/>
  <c r="AM1106" i="3"/>
  <c r="AK1106" i="3"/>
  <c r="AJ1106" i="3"/>
  <c r="AL1106" i="3" s="1"/>
  <c r="AI1106" i="3"/>
  <c r="AM1105" i="3"/>
  <c r="AK1105" i="3"/>
  <c r="AJ1105" i="3"/>
  <c r="AL1105" i="3" s="1"/>
  <c r="AI1105" i="3"/>
  <c r="AM1104" i="3"/>
  <c r="AK1104" i="3"/>
  <c r="AJ1104" i="3"/>
  <c r="AL1104" i="3" s="1"/>
  <c r="AI1104" i="3"/>
  <c r="AM1103" i="3"/>
  <c r="AK1103" i="3"/>
  <c r="AJ1103" i="3"/>
  <c r="AL1103" i="3" s="1"/>
  <c r="AI1103" i="3"/>
  <c r="AM1102" i="3"/>
  <c r="AK1102" i="3"/>
  <c r="AJ1102" i="3"/>
  <c r="AL1102" i="3" s="1"/>
  <c r="AI1102" i="3"/>
  <c r="AM1101" i="3"/>
  <c r="AK1101" i="3"/>
  <c r="AJ1101" i="3"/>
  <c r="AL1101" i="3" s="1"/>
  <c r="AI1101" i="3"/>
  <c r="AM1100" i="3"/>
  <c r="AK1100" i="3"/>
  <c r="AJ1100" i="3"/>
  <c r="AL1100" i="3" s="1"/>
  <c r="AI1100" i="3"/>
  <c r="AM1099" i="3"/>
  <c r="AK1099" i="3"/>
  <c r="AJ1099" i="3"/>
  <c r="AL1099" i="3" s="1"/>
  <c r="AI1099" i="3"/>
  <c r="AM1098" i="3"/>
  <c r="AK1098" i="3"/>
  <c r="AJ1098" i="3"/>
  <c r="AL1098" i="3" s="1"/>
  <c r="AI1098" i="3"/>
  <c r="AM1097" i="3"/>
  <c r="AK1097" i="3"/>
  <c r="AJ1097" i="3"/>
  <c r="AL1097" i="3" s="1"/>
  <c r="AI1097" i="3"/>
  <c r="AM1096" i="3"/>
  <c r="AK1096" i="3"/>
  <c r="AJ1096" i="3"/>
  <c r="AL1096" i="3" s="1"/>
  <c r="AI1096" i="3"/>
  <c r="AM1095" i="3"/>
  <c r="AK1095" i="3"/>
  <c r="AJ1095" i="3"/>
  <c r="AL1095" i="3" s="1"/>
  <c r="AI1095" i="3"/>
  <c r="AM1094" i="3"/>
  <c r="AK1094" i="3"/>
  <c r="AJ1094" i="3"/>
  <c r="AL1094" i="3" s="1"/>
  <c r="AI1094" i="3"/>
  <c r="AM1093" i="3"/>
  <c r="AK1093" i="3"/>
  <c r="AJ1093" i="3"/>
  <c r="AL1093" i="3" s="1"/>
  <c r="AI1093" i="3"/>
  <c r="AM1092" i="3"/>
  <c r="AK1092" i="3"/>
  <c r="AJ1092" i="3"/>
  <c r="AL1092" i="3" s="1"/>
  <c r="AI1092" i="3"/>
  <c r="AM1091" i="3"/>
  <c r="AK1091" i="3"/>
  <c r="AJ1091" i="3"/>
  <c r="AL1091" i="3" s="1"/>
  <c r="AI1091" i="3"/>
  <c r="AM1090" i="3"/>
  <c r="AK1090" i="3"/>
  <c r="AJ1090" i="3"/>
  <c r="AL1090" i="3" s="1"/>
  <c r="AI1090" i="3"/>
  <c r="AM1089" i="3"/>
  <c r="AK1089" i="3"/>
  <c r="AJ1089" i="3"/>
  <c r="AL1089" i="3" s="1"/>
  <c r="AI1089" i="3"/>
  <c r="AM1088" i="3"/>
  <c r="AK1088" i="3"/>
  <c r="AJ1088" i="3"/>
  <c r="AL1088" i="3" s="1"/>
  <c r="AI1088" i="3"/>
  <c r="AM1087" i="3"/>
  <c r="AK1087" i="3"/>
  <c r="AJ1087" i="3"/>
  <c r="AL1087" i="3" s="1"/>
  <c r="AI1087" i="3"/>
  <c r="AM1086" i="3"/>
  <c r="AK1086" i="3"/>
  <c r="AJ1086" i="3"/>
  <c r="AL1086" i="3"/>
  <c r="AI1086" i="3"/>
  <c r="AM1085" i="3"/>
  <c r="AK1085" i="3"/>
  <c r="AJ1085" i="3"/>
  <c r="AL1085" i="3" s="1"/>
  <c r="AI1085" i="3"/>
  <c r="AM1084" i="3"/>
  <c r="AK1084" i="3"/>
  <c r="AJ1084" i="3"/>
  <c r="AL1084" i="3" s="1"/>
  <c r="AI1084" i="3"/>
  <c r="AM1083" i="3"/>
  <c r="AK1083" i="3"/>
  <c r="AJ1083" i="3"/>
  <c r="AL1083" i="3" s="1"/>
  <c r="AI1083" i="3"/>
  <c r="AM1082" i="3"/>
  <c r="AK1082" i="3"/>
  <c r="AJ1082" i="3"/>
  <c r="AL1082" i="3"/>
  <c r="AI1082" i="3"/>
  <c r="AM1081" i="3"/>
  <c r="AK1081" i="3"/>
  <c r="AJ1081" i="3"/>
  <c r="AL1081" i="3" s="1"/>
  <c r="AI1081" i="3"/>
  <c r="AM1080" i="3"/>
  <c r="AK1080" i="3"/>
  <c r="AJ1080" i="3"/>
  <c r="AL1080" i="3" s="1"/>
  <c r="AI1080" i="3"/>
  <c r="AM1079" i="3"/>
  <c r="AK1079" i="3"/>
  <c r="AJ1079" i="3"/>
  <c r="AL1079" i="3" s="1"/>
  <c r="AI1079" i="3"/>
  <c r="AM1078" i="3"/>
  <c r="AK1078" i="3"/>
  <c r="AJ1078" i="3"/>
  <c r="AL1078" i="3" s="1"/>
  <c r="AI1078" i="3"/>
  <c r="AM1077" i="3"/>
  <c r="AK1077" i="3"/>
  <c r="AJ1077" i="3"/>
  <c r="AL1077" i="3" s="1"/>
  <c r="AI1077" i="3"/>
  <c r="AM1076" i="3"/>
  <c r="AK1076" i="3"/>
  <c r="AJ1076" i="3"/>
  <c r="AL1076" i="3" s="1"/>
  <c r="AI1076" i="3"/>
  <c r="AM1075" i="3"/>
  <c r="AK1075" i="3"/>
  <c r="AJ1075" i="3"/>
  <c r="AL1075" i="3" s="1"/>
  <c r="AI1075" i="3"/>
  <c r="AM1074" i="3"/>
  <c r="AK1074" i="3"/>
  <c r="AJ1074" i="3"/>
  <c r="AL1074" i="3" s="1"/>
  <c r="AI1074" i="3"/>
  <c r="AM1073" i="3"/>
  <c r="AK1073" i="3"/>
  <c r="AJ1073" i="3"/>
  <c r="AL1073" i="3" s="1"/>
  <c r="AI1073" i="3"/>
  <c r="AM1072" i="3"/>
  <c r="AK1072" i="3"/>
  <c r="AJ1072" i="3"/>
  <c r="AL1072" i="3" s="1"/>
  <c r="AI1072" i="3"/>
  <c r="AM1071" i="3"/>
  <c r="AK1071" i="3"/>
  <c r="AJ1071" i="3"/>
  <c r="AL1071" i="3" s="1"/>
  <c r="AI1071" i="3"/>
  <c r="AM1070" i="3"/>
  <c r="AK1070" i="3"/>
  <c r="AJ1070" i="3"/>
  <c r="AL1070" i="3" s="1"/>
  <c r="AI1070" i="3"/>
  <c r="AM1069" i="3"/>
  <c r="AK1069" i="3"/>
  <c r="AJ1069" i="3"/>
  <c r="AL1069" i="3"/>
  <c r="AI1069" i="3"/>
  <c r="AM1068" i="3"/>
  <c r="AK1068" i="3"/>
  <c r="AJ1068" i="3"/>
  <c r="AL1068" i="3" s="1"/>
  <c r="AI1068" i="3"/>
  <c r="AM1067" i="3"/>
  <c r="AK1067" i="3"/>
  <c r="AJ1067" i="3"/>
  <c r="AL1067" i="3" s="1"/>
  <c r="AI1067" i="3"/>
  <c r="AM1066" i="3"/>
  <c r="AK1066" i="3"/>
  <c r="AJ1066" i="3"/>
  <c r="AL1066" i="3" s="1"/>
  <c r="AI1066" i="3"/>
  <c r="AM1065" i="3"/>
  <c r="AK1065" i="3"/>
  <c r="AJ1065" i="3"/>
  <c r="AL1065" i="3" s="1"/>
  <c r="AI1065" i="3"/>
  <c r="AM1064" i="3"/>
  <c r="AK1064" i="3"/>
  <c r="AJ1064" i="3"/>
  <c r="AL1064" i="3" s="1"/>
  <c r="AI1064" i="3"/>
  <c r="AM1063" i="3"/>
  <c r="AK1063" i="3"/>
  <c r="AJ1063" i="3"/>
  <c r="AL1063" i="3" s="1"/>
  <c r="AI1063" i="3"/>
  <c r="AM1062" i="3"/>
  <c r="AK1062" i="3"/>
  <c r="AJ1062" i="3"/>
  <c r="AL1062" i="3" s="1"/>
  <c r="AI1062" i="3"/>
  <c r="AM1061" i="3"/>
  <c r="AK1061" i="3"/>
  <c r="AJ1061" i="3"/>
  <c r="AL1061" i="3" s="1"/>
  <c r="AI1061" i="3"/>
  <c r="AM1060" i="3"/>
  <c r="AK1060" i="3"/>
  <c r="AJ1060" i="3"/>
  <c r="AL1060" i="3" s="1"/>
  <c r="AI1060" i="3"/>
  <c r="AM1059" i="3"/>
  <c r="AK1059" i="3"/>
  <c r="AJ1059" i="3"/>
  <c r="AL1059" i="3" s="1"/>
  <c r="AI1059" i="3"/>
  <c r="AM1058" i="3"/>
  <c r="AK1058" i="3"/>
  <c r="AJ1058" i="3"/>
  <c r="AL1058" i="3" s="1"/>
  <c r="AI1058" i="3"/>
  <c r="AM1057" i="3"/>
  <c r="AK1057" i="3"/>
  <c r="AJ1057" i="3"/>
  <c r="AL1057" i="3" s="1"/>
  <c r="AI1057" i="3"/>
  <c r="AM1056" i="3"/>
  <c r="AK1056" i="3"/>
  <c r="AJ1056" i="3"/>
  <c r="AL1056" i="3" s="1"/>
  <c r="AI1056" i="3"/>
  <c r="AM1055" i="3"/>
  <c r="AK1055" i="3"/>
  <c r="AJ1055" i="3"/>
  <c r="AL1055" i="3" s="1"/>
  <c r="AI1055" i="3"/>
  <c r="AM1054" i="3"/>
  <c r="AK1054" i="3"/>
  <c r="AJ1054" i="3"/>
  <c r="AL1054" i="3" s="1"/>
  <c r="AI1054" i="3"/>
  <c r="AM1053" i="3"/>
  <c r="AK1053" i="3"/>
  <c r="AJ1053" i="3"/>
  <c r="AL1053" i="3" s="1"/>
  <c r="AI1053" i="3"/>
  <c r="AM1052" i="3"/>
  <c r="AK1052" i="3"/>
  <c r="AJ1052" i="3"/>
  <c r="AL1052" i="3" s="1"/>
  <c r="AI1052" i="3"/>
  <c r="AM1051" i="3"/>
  <c r="AK1051" i="3"/>
  <c r="AJ1051" i="3"/>
  <c r="AL1051" i="3" s="1"/>
  <c r="AI1051" i="3"/>
  <c r="AM1050" i="3"/>
  <c r="AK1050" i="3"/>
  <c r="AJ1050" i="3"/>
  <c r="AL1050" i="3" s="1"/>
  <c r="AI1050" i="3"/>
  <c r="AM1049" i="3"/>
  <c r="AK1049" i="3"/>
  <c r="AJ1049" i="3"/>
  <c r="AL1049" i="3" s="1"/>
  <c r="AI1049" i="3"/>
  <c r="AM1048" i="3"/>
  <c r="AK1048" i="3"/>
  <c r="AJ1048" i="3"/>
  <c r="AL1048" i="3" s="1"/>
  <c r="AI1048" i="3"/>
  <c r="AM1047" i="3"/>
  <c r="AK1047" i="3"/>
  <c r="AJ1047" i="3"/>
  <c r="AL1047" i="3" s="1"/>
  <c r="AI1047" i="3"/>
  <c r="AM1046" i="3"/>
  <c r="AK1046" i="3"/>
  <c r="AJ1046" i="3"/>
  <c r="AL1046" i="3" s="1"/>
  <c r="AI1046" i="3"/>
  <c r="AM1045" i="3"/>
  <c r="AK1045" i="3"/>
  <c r="AJ1045" i="3"/>
  <c r="AL1045" i="3" s="1"/>
  <c r="AI1045" i="3"/>
  <c r="AM1044" i="3"/>
  <c r="AK1044" i="3"/>
  <c r="AJ1044" i="3"/>
  <c r="AL1044" i="3" s="1"/>
  <c r="AI1044" i="3"/>
  <c r="AM1043" i="3"/>
  <c r="AK1043" i="3"/>
  <c r="AJ1043" i="3"/>
  <c r="AL1043" i="3" s="1"/>
  <c r="AI1043" i="3"/>
  <c r="AM1042" i="3"/>
  <c r="AK1042" i="3"/>
  <c r="AJ1042" i="3"/>
  <c r="AL1042" i="3" s="1"/>
  <c r="AI1042" i="3"/>
  <c r="AM1041" i="3"/>
  <c r="AK1041" i="3"/>
  <c r="AJ1041" i="3"/>
  <c r="AL1041" i="3" s="1"/>
  <c r="AI1041" i="3"/>
  <c r="AM1040" i="3"/>
  <c r="AK1040" i="3"/>
  <c r="AJ1040" i="3"/>
  <c r="AL1040" i="3" s="1"/>
  <c r="AI1040" i="3"/>
  <c r="AM1039" i="3"/>
  <c r="AK1039" i="3"/>
  <c r="AJ1039" i="3"/>
  <c r="AL1039" i="3" s="1"/>
  <c r="AI1039" i="3"/>
  <c r="AM1038" i="3"/>
  <c r="AK1038" i="3"/>
  <c r="AJ1038" i="3"/>
  <c r="AL1038" i="3" s="1"/>
  <c r="AI1038" i="3"/>
  <c r="AM1037" i="3"/>
  <c r="AK1037" i="3"/>
  <c r="AJ1037" i="3"/>
  <c r="AL1037" i="3" s="1"/>
  <c r="AI1037" i="3"/>
  <c r="AM1036" i="3"/>
  <c r="AK1036" i="3"/>
  <c r="AJ1036" i="3"/>
  <c r="AL1036" i="3" s="1"/>
  <c r="AI1036" i="3"/>
  <c r="AM1035" i="3"/>
  <c r="AK1035" i="3"/>
  <c r="AJ1035" i="3"/>
  <c r="AL1035" i="3" s="1"/>
  <c r="AI1035" i="3"/>
  <c r="AM1034" i="3"/>
  <c r="AK1034" i="3"/>
  <c r="AJ1034" i="3"/>
  <c r="AL1034" i="3" s="1"/>
  <c r="AI1034" i="3"/>
  <c r="AM1033" i="3"/>
  <c r="AK1033" i="3"/>
  <c r="AJ1033" i="3"/>
  <c r="AL1033" i="3" s="1"/>
  <c r="AI1033" i="3"/>
  <c r="AM1032" i="3"/>
  <c r="AK1032" i="3"/>
  <c r="AJ1032" i="3"/>
  <c r="AL1032" i="3" s="1"/>
  <c r="AI1032" i="3"/>
  <c r="AM1031" i="3"/>
  <c r="AK1031" i="3"/>
  <c r="AJ1031" i="3"/>
  <c r="AL1031" i="3" s="1"/>
  <c r="AI1031" i="3"/>
  <c r="AM1030" i="3"/>
  <c r="AK1030" i="3"/>
  <c r="AJ1030" i="3"/>
  <c r="AL1030" i="3" s="1"/>
  <c r="AI1030" i="3"/>
  <c r="AM1029" i="3"/>
  <c r="AK1029" i="3"/>
  <c r="AJ1029" i="3"/>
  <c r="AL1029" i="3" s="1"/>
  <c r="AI1029" i="3"/>
  <c r="AM1028" i="3"/>
  <c r="AK1028" i="3"/>
  <c r="AJ1028" i="3"/>
  <c r="AL1028" i="3" s="1"/>
  <c r="AI1028" i="3"/>
  <c r="AM1027" i="3"/>
  <c r="AK1027" i="3"/>
  <c r="AJ1027" i="3"/>
  <c r="AL1027" i="3" s="1"/>
  <c r="AI1027" i="3"/>
  <c r="AM1026" i="3"/>
  <c r="AK1026" i="3"/>
  <c r="AJ1026" i="3"/>
  <c r="AL1026" i="3" s="1"/>
  <c r="AI1026" i="3"/>
  <c r="AM1025" i="3"/>
  <c r="AK1025" i="3"/>
  <c r="AJ1025" i="3"/>
  <c r="AL1025" i="3" s="1"/>
  <c r="AI1025" i="3"/>
  <c r="AM1024" i="3"/>
  <c r="AK1024" i="3"/>
  <c r="AJ1024" i="3"/>
  <c r="AL1024" i="3" s="1"/>
  <c r="AI1024" i="3"/>
  <c r="AM1023" i="3"/>
  <c r="AK1023" i="3"/>
  <c r="AJ1023" i="3"/>
  <c r="AL1023" i="3" s="1"/>
  <c r="AI1023" i="3"/>
  <c r="AM1022" i="3"/>
  <c r="AK1022" i="3"/>
  <c r="AJ1022" i="3"/>
  <c r="AL1022" i="3" s="1"/>
  <c r="AI1022" i="3"/>
  <c r="AM1021" i="3"/>
  <c r="AK1021" i="3"/>
  <c r="AJ1021" i="3"/>
  <c r="AL1021" i="3" s="1"/>
  <c r="AI1021" i="3"/>
  <c r="AM1020" i="3"/>
  <c r="AK1020" i="3"/>
  <c r="AJ1020" i="3"/>
  <c r="AL1020" i="3" s="1"/>
  <c r="AI1020" i="3"/>
  <c r="AM1019" i="3"/>
  <c r="AK1019" i="3"/>
  <c r="AJ1019" i="3"/>
  <c r="AL1019" i="3" s="1"/>
  <c r="AI1019" i="3"/>
  <c r="AM1018" i="3"/>
  <c r="AK1018" i="3"/>
  <c r="AJ1018" i="3"/>
  <c r="AL1018" i="3" s="1"/>
  <c r="AI1018" i="3"/>
  <c r="AM1017" i="3"/>
  <c r="AK1017" i="3"/>
  <c r="AJ1017" i="3"/>
  <c r="AL1017" i="3" s="1"/>
  <c r="AI1017" i="3"/>
  <c r="AM1016" i="3"/>
  <c r="AK1016" i="3"/>
  <c r="AJ1016" i="3"/>
  <c r="AL1016" i="3" s="1"/>
  <c r="AI1016" i="3"/>
  <c r="AM1015" i="3"/>
  <c r="AK1015" i="3"/>
  <c r="AJ1015" i="3"/>
  <c r="AL1015" i="3"/>
  <c r="AI1015" i="3"/>
  <c r="AM1014" i="3"/>
  <c r="AK1014" i="3"/>
  <c r="AJ1014" i="3"/>
  <c r="AL1014" i="3" s="1"/>
  <c r="AI1014" i="3"/>
  <c r="AM1013" i="3"/>
  <c r="AK1013" i="3"/>
  <c r="AJ1013" i="3"/>
  <c r="AL1013" i="3" s="1"/>
  <c r="AI1013" i="3"/>
  <c r="AM1012" i="3"/>
  <c r="AK1012" i="3"/>
  <c r="AJ1012" i="3"/>
  <c r="AL1012" i="3" s="1"/>
  <c r="AI1012" i="3"/>
  <c r="AM1011" i="3"/>
  <c r="AK1011" i="3"/>
  <c r="AJ1011" i="3"/>
  <c r="AL1011" i="3" s="1"/>
  <c r="AI1011" i="3"/>
  <c r="AM1010" i="3"/>
  <c r="AK1010" i="3"/>
  <c r="AJ1010" i="3"/>
  <c r="AL1010" i="3" s="1"/>
  <c r="AI1010" i="3"/>
  <c r="AM1009" i="3"/>
  <c r="AK1009" i="3"/>
  <c r="AJ1009" i="3"/>
  <c r="AL1009" i="3" s="1"/>
  <c r="AI1009" i="3"/>
  <c r="AM1008" i="3"/>
  <c r="AK1008" i="3"/>
  <c r="AJ1008" i="3"/>
  <c r="AL1008" i="3" s="1"/>
  <c r="AI1008" i="3"/>
  <c r="AM1007" i="3"/>
  <c r="AK1007" i="3"/>
  <c r="AJ1007" i="3"/>
  <c r="AL1007" i="3" s="1"/>
  <c r="AI1007" i="3"/>
  <c r="AM1006" i="3"/>
  <c r="AK1006" i="3"/>
  <c r="AJ1006" i="3"/>
  <c r="AL1006" i="3" s="1"/>
  <c r="AI1006" i="3"/>
  <c r="AM1005" i="3"/>
  <c r="AK1005" i="3"/>
  <c r="AJ1005" i="3"/>
  <c r="AL1005" i="3" s="1"/>
  <c r="AI1005" i="3"/>
  <c r="AM1004" i="3"/>
  <c r="AK1004" i="3"/>
  <c r="AJ1004" i="3"/>
  <c r="AL1004" i="3" s="1"/>
  <c r="AI1004" i="3"/>
  <c r="AM1003" i="3"/>
  <c r="AK1003" i="3"/>
  <c r="AJ1003" i="3"/>
  <c r="AL1003" i="3" s="1"/>
  <c r="AI1003" i="3"/>
  <c r="AM1002" i="3"/>
  <c r="AK1002" i="3"/>
  <c r="AJ1002" i="3"/>
  <c r="AL1002" i="3" s="1"/>
  <c r="AI1002" i="3"/>
  <c r="AM1001" i="3"/>
  <c r="AK1001" i="3"/>
  <c r="AJ1001" i="3"/>
  <c r="AL1001" i="3" s="1"/>
  <c r="AI1001" i="3"/>
  <c r="AM1000" i="3"/>
  <c r="AK1000" i="3"/>
  <c r="AJ1000" i="3"/>
  <c r="AL1000" i="3" s="1"/>
  <c r="AI1000" i="3"/>
  <c r="AM999" i="3"/>
  <c r="AK999" i="3"/>
  <c r="AJ999" i="3"/>
  <c r="AL999" i="3" s="1"/>
  <c r="AI999" i="3"/>
  <c r="AM998" i="3"/>
  <c r="AK998" i="3"/>
  <c r="AJ998" i="3"/>
  <c r="AL998" i="3" s="1"/>
  <c r="AI998" i="3"/>
  <c r="AM997" i="3"/>
  <c r="AK997" i="3"/>
  <c r="AJ997" i="3"/>
  <c r="AL997" i="3" s="1"/>
  <c r="AI997" i="3"/>
  <c r="AM996" i="3"/>
  <c r="AK996" i="3"/>
  <c r="AJ996" i="3"/>
  <c r="AL996" i="3" s="1"/>
  <c r="AI996" i="3"/>
  <c r="AM995" i="3"/>
  <c r="AK995" i="3"/>
  <c r="AJ995" i="3"/>
  <c r="AL995" i="3" s="1"/>
  <c r="AI995" i="3"/>
  <c r="AM994" i="3"/>
  <c r="AK994" i="3"/>
  <c r="AJ994" i="3"/>
  <c r="AL994" i="3" s="1"/>
  <c r="AI994" i="3"/>
  <c r="AM993" i="3"/>
  <c r="AK993" i="3"/>
  <c r="AJ993" i="3"/>
  <c r="AL993" i="3" s="1"/>
  <c r="AI993" i="3"/>
  <c r="AM992" i="3"/>
  <c r="AK992" i="3"/>
  <c r="AJ992" i="3"/>
  <c r="AL992" i="3" s="1"/>
  <c r="AI992" i="3"/>
  <c r="AM991" i="3"/>
  <c r="AK991" i="3"/>
  <c r="AJ991" i="3"/>
  <c r="AL991" i="3" s="1"/>
  <c r="AI991" i="3"/>
  <c r="AM990" i="3"/>
  <c r="AK990" i="3"/>
  <c r="AJ990" i="3"/>
  <c r="AL990" i="3" s="1"/>
  <c r="AI990" i="3"/>
  <c r="AM989" i="3"/>
  <c r="AK989" i="3"/>
  <c r="AJ989" i="3"/>
  <c r="AL989" i="3" s="1"/>
  <c r="AI989" i="3"/>
  <c r="AM988" i="3"/>
  <c r="AK988" i="3"/>
  <c r="AJ988" i="3"/>
  <c r="AL988" i="3" s="1"/>
  <c r="AI988" i="3"/>
  <c r="AM987" i="3"/>
  <c r="AK987" i="3"/>
  <c r="AJ987" i="3"/>
  <c r="AL987" i="3" s="1"/>
  <c r="AI987" i="3"/>
  <c r="AM986" i="3"/>
  <c r="AK986" i="3"/>
  <c r="AJ986" i="3"/>
  <c r="AL986" i="3" s="1"/>
  <c r="AI986" i="3"/>
  <c r="AM985" i="3"/>
  <c r="AK985" i="3"/>
  <c r="AJ985" i="3"/>
  <c r="AL985" i="3" s="1"/>
  <c r="AI985" i="3"/>
  <c r="AM984" i="3"/>
  <c r="AK984" i="3"/>
  <c r="AJ984" i="3"/>
  <c r="AL984" i="3" s="1"/>
  <c r="AI984" i="3"/>
  <c r="AM983" i="3"/>
  <c r="AK983" i="3"/>
  <c r="AJ983" i="3"/>
  <c r="AL983" i="3" s="1"/>
  <c r="AI983" i="3"/>
  <c r="AM982" i="3"/>
  <c r="AK982" i="3"/>
  <c r="AJ982" i="3"/>
  <c r="AL982" i="3" s="1"/>
  <c r="AI982" i="3"/>
  <c r="AM981" i="3"/>
  <c r="AK981" i="3"/>
  <c r="AJ981" i="3"/>
  <c r="AL981" i="3" s="1"/>
  <c r="AI981" i="3"/>
  <c r="AM980" i="3"/>
  <c r="AK980" i="3"/>
  <c r="AJ980" i="3"/>
  <c r="AL980" i="3" s="1"/>
  <c r="AI980" i="3"/>
  <c r="AM979" i="3"/>
  <c r="AK979" i="3"/>
  <c r="AJ979" i="3"/>
  <c r="AL979" i="3" s="1"/>
  <c r="AI979" i="3"/>
  <c r="AM978" i="3"/>
  <c r="AK978" i="3"/>
  <c r="AJ978" i="3"/>
  <c r="AL978" i="3" s="1"/>
  <c r="AI978" i="3"/>
  <c r="AM977" i="3"/>
  <c r="AK977" i="3"/>
  <c r="AJ977" i="3"/>
  <c r="AL977" i="3" s="1"/>
  <c r="AI977" i="3"/>
  <c r="AM976" i="3"/>
  <c r="AK976" i="3"/>
  <c r="AJ976" i="3"/>
  <c r="AL976" i="3" s="1"/>
  <c r="AI976" i="3"/>
  <c r="AM975" i="3"/>
  <c r="AK975" i="3"/>
  <c r="AJ975" i="3"/>
  <c r="AL975" i="3" s="1"/>
  <c r="AI975" i="3"/>
  <c r="AM974" i="3"/>
  <c r="AK974" i="3"/>
  <c r="AJ974" i="3"/>
  <c r="AL974" i="3" s="1"/>
  <c r="AI974" i="3"/>
  <c r="AM973" i="3"/>
  <c r="AK973" i="3"/>
  <c r="AJ973" i="3"/>
  <c r="AL973" i="3" s="1"/>
  <c r="AI973" i="3"/>
  <c r="AM972" i="3"/>
  <c r="AK972" i="3"/>
  <c r="AJ972" i="3"/>
  <c r="AL972" i="3" s="1"/>
  <c r="AI972" i="3"/>
  <c r="AM971" i="3"/>
  <c r="AK971" i="3"/>
  <c r="AJ971" i="3"/>
  <c r="AL971" i="3" s="1"/>
  <c r="AI971" i="3"/>
  <c r="AM970" i="3"/>
  <c r="AK970" i="3"/>
  <c r="AJ970" i="3"/>
  <c r="AL970" i="3" s="1"/>
  <c r="AI970" i="3"/>
  <c r="AM969" i="3"/>
  <c r="AK969" i="3"/>
  <c r="AJ969" i="3"/>
  <c r="AL969" i="3" s="1"/>
  <c r="AI969" i="3"/>
  <c r="AM968" i="3"/>
  <c r="AK968" i="3"/>
  <c r="AJ968" i="3"/>
  <c r="AL968" i="3" s="1"/>
  <c r="AI968" i="3"/>
  <c r="AM967" i="3"/>
  <c r="AK967" i="3"/>
  <c r="AJ967" i="3"/>
  <c r="AL967" i="3" s="1"/>
  <c r="AI967" i="3"/>
  <c r="AM966" i="3"/>
  <c r="AK966" i="3"/>
  <c r="AJ966" i="3"/>
  <c r="AL966" i="3" s="1"/>
  <c r="AI966" i="3"/>
  <c r="AM965" i="3"/>
  <c r="AK965" i="3"/>
  <c r="AJ965" i="3"/>
  <c r="AL965" i="3" s="1"/>
  <c r="AI965" i="3"/>
  <c r="AM964" i="3"/>
  <c r="AK964" i="3"/>
  <c r="AJ964" i="3"/>
  <c r="AL964" i="3" s="1"/>
  <c r="AI964" i="3"/>
  <c r="AM963" i="3"/>
  <c r="AK963" i="3"/>
  <c r="AJ963" i="3"/>
  <c r="AL963" i="3" s="1"/>
  <c r="AI963" i="3"/>
  <c r="AM962" i="3"/>
  <c r="AK962" i="3"/>
  <c r="AJ962" i="3"/>
  <c r="AL962" i="3" s="1"/>
  <c r="AI962" i="3"/>
  <c r="AM961" i="3"/>
  <c r="AK961" i="3"/>
  <c r="AJ961" i="3"/>
  <c r="AL961" i="3" s="1"/>
  <c r="AI961" i="3"/>
  <c r="AM960" i="3"/>
  <c r="AK960" i="3"/>
  <c r="AJ960" i="3"/>
  <c r="AL960" i="3" s="1"/>
  <c r="AI960" i="3"/>
  <c r="AM959" i="3"/>
  <c r="AK959" i="3"/>
  <c r="AJ959" i="3"/>
  <c r="AL959" i="3" s="1"/>
  <c r="AI959" i="3"/>
  <c r="AM958" i="3"/>
  <c r="AK958" i="3"/>
  <c r="AJ958" i="3"/>
  <c r="AL958" i="3" s="1"/>
  <c r="AI958" i="3"/>
  <c r="AM957" i="3"/>
  <c r="AK957" i="3"/>
  <c r="AJ957" i="3"/>
  <c r="AL957" i="3" s="1"/>
  <c r="AI957" i="3"/>
  <c r="AM956" i="3"/>
  <c r="AK956" i="3"/>
  <c r="AJ956" i="3"/>
  <c r="AL956" i="3" s="1"/>
  <c r="AI956" i="3"/>
  <c r="AM955" i="3"/>
  <c r="AK955" i="3"/>
  <c r="AJ955" i="3"/>
  <c r="AL955" i="3" s="1"/>
  <c r="AI955" i="3"/>
  <c r="AM954" i="3"/>
  <c r="AK954" i="3"/>
  <c r="AJ954" i="3"/>
  <c r="AL954" i="3" s="1"/>
  <c r="AI954" i="3"/>
  <c r="AM953" i="3"/>
  <c r="AK953" i="3"/>
  <c r="AJ953" i="3"/>
  <c r="AL953" i="3" s="1"/>
  <c r="AI953" i="3"/>
  <c r="AM952" i="3"/>
  <c r="AK952" i="3"/>
  <c r="AJ952" i="3"/>
  <c r="AL952" i="3" s="1"/>
  <c r="AI952" i="3"/>
  <c r="AM951" i="3"/>
  <c r="AK951" i="3"/>
  <c r="AJ951" i="3"/>
  <c r="AL951" i="3" s="1"/>
  <c r="AI951" i="3"/>
  <c r="AM950" i="3"/>
  <c r="AK950" i="3"/>
  <c r="AJ950" i="3"/>
  <c r="AL950" i="3" s="1"/>
  <c r="AI950" i="3"/>
  <c r="AM949" i="3"/>
  <c r="AK949" i="3"/>
  <c r="AJ949" i="3"/>
  <c r="AL949" i="3" s="1"/>
  <c r="AI949" i="3"/>
  <c r="AM948" i="3"/>
  <c r="AK948" i="3"/>
  <c r="AJ948" i="3"/>
  <c r="AL948" i="3" s="1"/>
  <c r="AI948" i="3"/>
  <c r="AM947" i="3"/>
  <c r="AK947" i="3"/>
  <c r="AJ947" i="3"/>
  <c r="AL947" i="3" s="1"/>
  <c r="AI947" i="3"/>
  <c r="AM946" i="3"/>
  <c r="AK946" i="3"/>
  <c r="AJ946" i="3"/>
  <c r="AL946" i="3" s="1"/>
  <c r="AI946" i="3"/>
  <c r="AM945" i="3"/>
  <c r="AK945" i="3"/>
  <c r="AJ945" i="3"/>
  <c r="AL945" i="3" s="1"/>
  <c r="AI945" i="3"/>
  <c r="AM944" i="3"/>
  <c r="AK944" i="3"/>
  <c r="AJ944" i="3"/>
  <c r="AL944" i="3" s="1"/>
  <c r="AI944" i="3"/>
  <c r="AM943" i="3"/>
  <c r="AK943" i="3"/>
  <c r="AJ943" i="3"/>
  <c r="AL943" i="3" s="1"/>
  <c r="AI943" i="3"/>
  <c r="AM942" i="3"/>
  <c r="AK942" i="3"/>
  <c r="AJ942" i="3"/>
  <c r="AL942" i="3" s="1"/>
  <c r="AI942" i="3"/>
  <c r="AM941" i="3"/>
  <c r="AK941" i="3"/>
  <c r="AJ941" i="3"/>
  <c r="AL941" i="3" s="1"/>
  <c r="AI941" i="3"/>
  <c r="AM940" i="3"/>
  <c r="AK940" i="3"/>
  <c r="AJ940" i="3"/>
  <c r="AL940" i="3" s="1"/>
  <c r="AI940" i="3"/>
  <c r="AM939" i="3"/>
  <c r="AK939" i="3"/>
  <c r="AJ939" i="3"/>
  <c r="AL939" i="3" s="1"/>
  <c r="AI939" i="3"/>
  <c r="AM938" i="3"/>
  <c r="AK938" i="3"/>
  <c r="AJ938" i="3"/>
  <c r="AL938" i="3" s="1"/>
  <c r="AI938" i="3"/>
  <c r="AM937" i="3"/>
  <c r="AK937" i="3"/>
  <c r="AJ937" i="3"/>
  <c r="AL937" i="3" s="1"/>
  <c r="AI937" i="3"/>
  <c r="AM936" i="3"/>
  <c r="AK936" i="3"/>
  <c r="AJ936" i="3"/>
  <c r="AL936" i="3" s="1"/>
  <c r="AI936" i="3"/>
  <c r="AM935" i="3"/>
  <c r="AK935" i="3"/>
  <c r="AJ935" i="3"/>
  <c r="AL935" i="3" s="1"/>
  <c r="AI935" i="3"/>
  <c r="AM934" i="3"/>
  <c r="AK934" i="3"/>
  <c r="AJ934" i="3"/>
  <c r="AL934" i="3" s="1"/>
  <c r="AI934" i="3"/>
  <c r="AM933" i="3"/>
  <c r="AK933" i="3"/>
  <c r="AJ933" i="3"/>
  <c r="AL933" i="3" s="1"/>
  <c r="AI933" i="3"/>
  <c r="AM932" i="3"/>
  <c r="AK932" i="3"/>
  <c r="AJ932" i="3"/>
  <c r="AL932" i="3"/>
  <c r="AI932" i="3"/>
  <c r="AM931" i="3"/>
  <c r="AK931" i="3"/>
  <c r="AJ931" i="3"/>
  <c r="AL931" i="3" s="1"/>
  <c r="AI931" i="3"/>
  <c r="AM930" i="3"/>
  <c r="AK930" i="3"/>
  <c r="AJ930" i="3"/>
  <c r="AL930" i="3" s="1"/>
  <c r="AI930" i="3"/>
  <c r="AM929" i="3"/>
  <c r="AK929" i="3"/>
  <c r="AJ929" i="3"/>
  <c r="AL929" i="3" s="1"/>
  <c r="AI929" i="3"/>
  <c r="AM928" i="3"/>
  <c r="AK928" i="3"/>
  <c r="AJ928" i="3"/>
  <c r="AL928" i="3" s="1"/>
  <c r="AI928" i="3"/>
  <c r="AM927" i="3"/>
  <c r="AK927" i="3"/>
  <c r="AJ927" i="3"/>
  <c r="AL927" i="3" s="1"/>
  <c r="AI927" i="3"/>
  <c r="AM926" i="3"/>
  <c r="AK926" i="3"/>
  <c r="AJ926" i="3"/>
  <c r="AL926" i="3" s="1"/>
  <c r="AI926" i="3"/>
  <c r="AM925" i="3"/>
  <c r="AK925" i="3"/>
  <c r="AJ925" i="3"/>
  <c r="AL925" i="3" s="1"/>
  <c r="AI925" i="3"/>
  <c r="AM924" i="3"/>
  <c r="AK924" i="3"/>
  <c r="AJ924" i="3"/>
  <c r="AL924" i="3" s="1"/>
  <c r="AI924" i="3"/>
  <c r="AM923" i="3"/>
  <c r="AK923" i="3"/>
  <c r="AJ923" i="3"/>
  <c r="AL923" i="3" s="1"/>
  <c r="AI923" i="3"/>
  <c r="AM922" i="3"/>
  <c r="AK922" i="3"/>
  <c r="AJ922" i="3"/>
  <c r="AL922" i="3" s="1"/>
  <c r="AI922" i="3"/>
  <c r="AM921" i="3"/>
  <c r="AK921" i="3"/>
  <c r="AJ921" i="3"/>
  <c r="AL921" i="3" s="1"/>
  <c r="AI921" i="3"/>
  <c r="AM920" i="3"/>
  <c r="AK920" i="3"/>
  <c r="AJ920" i="3"/>
  <c r="AL920" i="3" s="1"/>
  <c r="AI920" i="3"/>
  <c r="AM919" i="3"/>
  <c r="AK919" i="3"/>
  <c r="AJ919" i="3"/>
  <c r="AL919" i="3" s="1"/>
  <c r="AI919" i="3"/>
  <c r="AM918" i="3"/>
  <c r="AK918" i="3"/>
  <c r="AJ918" i="3"/>
  <c r="AL918" i="3" s="1"/>
  <c r="AI918" i="3"/>
  <c r="AM917" i="3"/>
  <c r="AK917" i="3"/>
  <c r="AJ917" i="3"/>
  <c r="AL917" i="3" s="1"/>
  <c r="AI917" i="3"/>
  <c r="AM916" i="3"/>
  <c r="AK916" i="3"/>
  <c r="AJ916" i="3"/>
  <c r="AL916" i="3" s="1"/>
  <c r="AI916" i="3"/>
  <c r="AM915" i="3"/>
  <c r="AK915" i="3"/>
  <c r="AJ915" i="3"/>
  <c r="AL915" i="3" s="1"/>
  <c r="AI915" i="3"/>
  <c r="AM914" i="3"/>
  <c r="AK914" i="3"/>
  <c r="AJ914" i="3"/>
  <c r="AL914" i="3" s="1"/>
  <c r="AI914" i="3"/>
  <c r="AM913" i="3"/>
  <c r="AK913" i="3"/>
  <c r="AJ913" i="3"/>
  <c r="AL913" i="3" s="1"/>
  <c r="AI913" i="3"/>
  <c r="AM912" i="3"/>
  <c r="AK912" i="3"/>
  <c r="AJ912" i="3"/>
  <c r="AL912" i="3" s="1"/>
  <c r="AI912" i="3"/>
  <c r="AM911" i="3"/>
  <c r="AK911" i="3"/>
  <c r="AJ911" i="3"/>
  <c r="AL911" i="3" s="1"/>
  <c r="AI911" i="3"/>
  <c r="AM910" i="3"/>
  <c r="AK910" i="3"/>
  <c r="AJ910" i="3"/>
  <c r="AL910" i="3" s="1"/>
  <c r="AI910" i="3"/>
  <c r="AM909" i="3"/>
  <c r="AK909" i="3"/>
  <c r="AJ909" i="3"/>
  <c r="AL909" i="3" s="1"/>
  <c r="AI909" i="3"/>
  <c r="AM908" i="3"/>
  <c r="AK908" i="3"/>
  <c r="AJ908" i="3"/>
  <c r="AL908" i="3" s="1"/>
  <c r="AI908" i="3"/>
  <c r="AM907" i="3"/>
  <c r="AK907" i="3"/>
  <c r="AJ907" i="3"/>
  <c r="AL907" i="3" s="1"/>
  <c r="AI907" i="3"/>
  <c r="AM906" i="3"/>
  <c r="AK906" i="3"/>
  <c r="AJ906" i="3"/>
  <c r="AL906" i="3" s="1"/>
  <c r="AI906" i="3"/>
  <c r="AM905" i="3"/>
  <c r="AK905" i="3"/>
  <c r="AJ905" i="3"/>
  <c r="AL905" i="3" s="1"/>
  <c r="AI905" i="3"/>
  <c r="AM904" i="3"/>
  <c r="AK904" i="3"/>
  <c r="AJ904" i="3"/>
  <c r="AL904" i="3" s="1"/>
  <c r="AI904" i="3"/>
  <c r="AM903" i="3"/>
  <c r="AK903" i="3"/>
  <c r="AJ903" i="3"/>
  <c r="AL903" i="3" s="1"/>
  <c r="AI903" i="3"/>
  <c r="AM902" i="3"/>
  <c r="AK902" i="3"/>
  <c r="AJ902" i="3"/>
  <c r="AL902" i="3" s="1"/>
  <c r="AI902" i="3"/>
  <c r="AM901" i="3"/>
  <c r="AK901" i="3"/>
  <c r="AJ901" i="3"/>
  <c r="AL901" i="3" s="1"/>
  <c r="AI901" i="3"/>
  <c r="AM900" i="3"/>
  <c r="AK900" i="3"/>
  <c r="AJ900" i="3"/>
  <c r="AL900" i="3"/>
  <c r="AI900" i="3"/>
  <c r="AM899" i="3"/>
  <c r="AK899" i="3"/>
  <c r="AJ899" i="3"/>
  <c r="AL899" i="3" s="1"/>
  <c r="AI899" i="3"/>
  <c r="AM898" i="3"/>
  <c r="AK898" i="3"/>
  <c r="AJ898" i="3"/>
  <c r="AL898" i="3" s="1"/>
  <c r="AI898" i="3"/>
  <c r="AM897" i="3"/>
  <c r="AK897" i="3"/>
  <c r="AJ897" i="3"/>
  <c r="AL897" i="3" s="1"/>
  <c r="AI897" i="3"/>
  <c r="AM896" i="3"/>
  <c r="AK896" i="3"/>
  <c r="AJ896" i="3"/>
  <c r="AL896" i="3" s="1"/>
  <c r="AI896" i="3"/>
  <c r="AM895" i="3"/>
  <c r="AK895" i="3"/>
  <c r="AJ895" i="3"/>
  <c r="AL895" i="3" s="1"/>
  <c r="AI895" i="3"/>
  <c r="AM894" i="3"/>
  <c r="AK894" i="3"/>
  <c r="AJ894" i="3"/>
  <c r="AL894" i="3" s="1"/>
  <c r="AI894" i="3"/>
  <c r="AM893" i="3"/>
  <c r="AK893" i="3"/>
  <c r="AJ893" i="3"/>
  <c r="AL893" i="3" s="1"/>
  <c r="AI893" i="3"/>
  <c r="AM892" i="3"/>
  <c r="AK892" i="3"/>
  <c r="AJ892" i="3"/>
  <c r="AL892" i="3" s="1"/>
  <c r="AI892" i="3"/>
  <c r="AM891" i="3"/>
  <c r="AK891" i="3"/>
  <c r="AJ891" i="3"/>
  <c r="AL891" i="3" s="1"/>
  <c r="AI891" i="3"/>
  <c r="AM890" i="3"/>
  <c r="AK890" i="3"/>
  <c r="AJ890" i="3"/>
  <c r="AL890" i="3" s="1"/>
  <c r="AI890" i="3"/>
  <c r="AM889" i="3"/>
  <c r="AK889" i="3"/>
  <c r="AJ889" i="3"/>
  <c r="AL889" i="3" s="1"/>
  <c r="AI889" i="3"/>
  <c r="AM888" i="3"/>
  <c r="AK888" i="3"/>
  <c r="AJ888" i="3"/>
  <c r="AL888" i="3" s="1"/>
  <c r="AI888" i="3"/>
  <c r="AM887" i="3"/>
  <c r="AK887" i="3"/>
  <c r="AJ887" i="3"/>
  <c r="AL887" i="3" s="1"/>
  <c r="AI887" i="3"/>
  <c r="AM886" i="3"/>
  <c r="AK886" i="3"/>
  <c r="AJ886" i="3"/>
  <c r="AL886" i="3" s="1"/>
  <c r="AI886" i="3"/>
  <c r="AM885" i="3"/>
  <c r="AK885" i="3"/>
  <c r="AJ885" i="3"/>
  <c r="AL885" i="3" s="1"/>
  <c r="AI885" i="3"/>
  <c r="AM884" i="3"/>
  <c r="AK884" i="3"/>
  <c r="AJ884" i="3"/>
  <c r="AL884" i="3"/>
  <c r="AI884" i="3"/>
  <c r="AM883" i="3"/>
  <c r="AK883" i="3"/>
  <c r="AJ883" i="3"/>
  <c r="AL883" i="3" s="1"/>
  <c r="AI883" i="3"/>
  <c r="AM882" i="3"/>
  <c r="AK882" i="3"/>
  <c r="AJ882" i="3"/>
  <c r="AL882" i="3" s="1"/>
  <c r="AI882" i="3"/>
  <c r="AM881" i="3"/>
  <c r="AK881" i="3"/>
  <c r="AJ881" i="3"/>
  <c r="AL881" i="3" s="1"/>
  <c r="AI881" i="3"/>
  <c r="AM880" i="3"/>
  <c r="AK880" i="3"/>
  <c r="AJ880" i="3"/>
  <c r="AL880" i="3" s="1"/>
  <c r="AI880" i="3"/>
  <c r="AM879" i="3"/>
  <c r="AK879" i="3"/>
  <c r="AJ879" i="3"/>
  <c r="AL879" i="3" s="1"/>
  <c r="AI879" i="3"/>
  <c r="AM878" i="3"/>
  <c r="AK878" i="3"/>
  <c r="AJ878" i="3"/>
  <c r="AL878" i="3" s="1"/>
  <c r="AI878" i="3"/>
  <c r="AM877" i="3"/>
  <c r="AK877" i="3"/>
  <c r="AJ877" i="3"/>
  <c r="AL877" i="3" s="1"/>
  <c r="AI877" i="3"/>
  <c r="AM876" i="3"/>
  <c r="AK876" i="3"/>
  <c r="AJ876" i="3"/>
  <c r="AL876" i="3" s="1"/>
  <c r="AI876" i="3"/>
  <c r="AM875" i="3"/>
  <c r="AK875" i="3"/>
  <c r="AJ875" i="3"/>
  <c r="AL875" i="3" s="1"/>
  <c r="AI875" i="3"/>
  <c r="AM874" i="3"/>
  <c r="AK874" i="3"/>
  <c r="AJ874" i="3"/>
  <c r="AL874" i="3" s="1"/>
  <c r="AI874" i="3"/>
  <c r="AM873" i="3"/>
  <c r="AK873" i="3"/>
  <c r="AJ873" i="3"/>
  <c r="AL873" i="3" s="1"/>
  <c r="AI873" i="3"/>
  <c r="AM872" i="3"/>
  <c r="AK872" i="3"/>
  <c r="AJ872" i="3"/>
  <c r="AL872" i="3" s="1"/>
  <c r="AI872" i="3"/>
  <c r="AM871" i="3"/>
  <c r="AK871" i="3"/>
  <c r="AJ871" i="3"/>
  <c r="AL871" i="3" s="1"/>
  <c r="AI871" i="3"/>
  <c r="AM870" i="3"/>
  <c r="AK870" i="3"/>
  <c r="AJ870" i="3"/>
  <c r="AL870" i="3" s="1"/>
  <c r="AI870" i="3"/>
  <c r="AM869" i="3"/>
  <c r="AK869" i="3"/>
  <c r="AJ869" i="3"/>
  <c r="AL869" i="3" s="1"/>
  <c r="AI869" i="3"/>
  <c r="AM868" i="3"/>
  <c r="AK868" i="3"/>
  <c r="AJ868" i="3"/>
  <c r="AL868" i="3" s="1"/>
  <c r="AI868" i="3"/>
  <c r="AM867" i="3"/>
  <c r="AK867" i="3"/>
  <c r="AJ867" i="3"/>
  <c r="AL867" i="3" s="1"/>
  <c r="AI867" i="3"/>
  <c r="AM866" i="3"/>
  <c r="AK866" i="3"/>
  <c r="AJ866" i="3"/>
  <c r="AL866" i="3" s="1"/>
  <c r="AI866" i="3"/>
  <c r="AM865" i="3"/>
  <c r="AK865" i="3"/>
  <c r="AJ865" i="3"/>
  <c r="AL865" i="3" s="1"/>
  <c r="AI865" i="3"/>
  <c r="AM864" i="3"/>
  <c r="AK864" i="3"/>
  <c r="AJ864" i="3"/>
  <c r="AL864" i="3" s="1"/>
  <c r="AI864" i="3"/>
  <c r="AM863" i="3"/>
  <c r="AK863" i="3"/>
  <c r="AJ863" i="3"/>
  <c r="AL863" i="3" s="1"/>
  <c r="AI863" i="3"/>
  <c r="AM862" i="3"/>
  <c r="AK862" i="3"/>
  <c r="AJ862" i="3"/>
  <c r="AL862" i="3" s="1"/>
  <c r="AI862" i="3"/>
  <c r="AM861" i="3"/>
  <c r="AK861" i="3"/>
  <c r="AJ861" i="3"/>
  <c r="AL861" i="3" s="1"/>
  <c r="AI861" i="3"/>
  <c r="AM860" i="3"/>
  <c r="AK860" i="3"/>
  <c r="AJ860" i="3"/>
  <c r="AL860" i="3" s="1"/>
  <c r="AI860" i="3"/>
  <c r="AM859" i="3"/>
  <c r="AK859" i="3"/>
  <c r="AJ859" i="3"/>
  <c r="AL859" i="3" s="1"/>
  <c r="AI859" i="3"/>
  <c r="AM858" i="3"/>
  <c r="AK858" i="3"/>
  <c r="AJ858" i="3"/>
  <c r="AL858" i="3" s="1"/>
  <c r="AI858" i="3"/>
  <c r="AM857" i="3"/>
  <c r="AK857" i="3"/>
  <c r="AJ857" i="3"/>
  <c r="AL857" i="3" s="1"/>
  <c r="AI857" i="3"/>
  <c r="AM856" i="3"/>
  <c r="AK856" i="3"/>
  <c r="AJ856" i="3"/>
  <c r="AL856" i="3" s="1"/>
  <c r="AI856" i="3"/>
  <c r="AM855" i="3"/>
  <c r="AK855" i="3"/>
  <c r="AJ855" i="3"/>
  <c r="AL855" i="3" s="1"/>
  <c r="AI855" i="3"/>
  <c r="AM854" i="3"/>
  <c r="AK854" i="3"/>
  <c r="AJ854" i="3"/>
  <c r="AL854" i="3" s="1"/>
  <c r="AI854" i="3"/>
  <c r="AM853" i="3"/>
  <c r="AK853" i="3"/>
  <c r="AJ853" i="3"/>
  <c r="AL853" i="3" s="1"/>
  <c r="AI853" i="3"/>
  <c r="AM852" i="3"/>
  <c r="AK852" i="3"/>
  <c r="AJ852" i="3"/>
  <c r="AL852" i="3" s="1"/>
  <c r="AI852" i="3"/>
  <c r="AM851" i="3"/>
  <c r="AK851" i="3"/>
  <c r="AJ851" i="3"/>
  <c r="AL851" i="3" s="1"/>
  <c r="AI851" i="3"/>
  <c r="AM850" i="3"/>
  <c r="AK850" i="3"/>
  <c r="AJ850" i="3"/>
  <c r="AL850" i="3"/>
  <c r="AI850" i="3"/>
  <c r="AM849" i="3"/>
  <c r="AK849" i="3"/>
  <c r="AJ849" i="3"/>
  <c r="AL849" i="3" s="1"/>
  <c r="AI849" i="3"/>
  <c r="AM848" i="3"/>
  <c r="AK848" i="3"/>
  <c r="AJ848" i="3"/>
  <c r="AL848" i="3" s="1"/>
  <c r="AI848" i="3"/>
  <c r="AM847" i="3"/>
  <c r="AK847" i="3"/>
  <c r="AJ847" i="3"/>
  <c r="AL847" i="3" s="1"/>
  <c r="AI847" i="3"/>
  <c r="AM846" i="3"/>
  <c r="AK846" i="3"/>
  <c r="AJ846" i="3"/>
  <c r="AL846" i="3" s="1"/>
  <c r="AI846" i="3"/>
  <c r="AM845" i="3"/>
  <c r="AK845" i="3"/>
  <c r="AJ845" i="3"/>
  <c r="AL845" i="3" s="1"/>
  <c r="AI845" i="3"/>
  <c r="AM844" i="3"/>
  <c r="AK844" i="3"/>
  <c r="AJ844" i="3"/>
  <c r="AL844" i="3" s="1"/>
  <c r="AI844" i="3"/>
  <c r="AM843" i="3"/>
  <c r="AK843" i="3"/>
  <c r="AJ843" i="3"/>
  <c r="AL843" i="3" s="1"/>
  <c r="AI843" i="3"/>
  <c r="AM842" i="3"/>
  <c r="AK842" i="3"/>
  <c r="AJ842" i="3"/>
  <c r="AL842" i="3" s="1"/>
  <c r="AI842" i="3"/>
  <c r="AM841" i="3"/>
  <c r="AK841" i="3"/>
  <c r="AJ841" i="3"/>
  <c r="AL841" i="3" s="1"/>
  <c r="AI841" i="3"/>
  <c r="AM840" i="3"/>
  <c r="AK840" i="3"/>
  <c r="AJ840" i="3"/>
  <c r="AL840" i="3" s="1"/>
  <c r="AI840" i="3"/>
  <c r="AM839" i="3"/>
  <c r="AK839" i="3"/>
  <c r="AJ839" i="3"/>
  <c r="AL839" i="3" s="1"/>
  <c r="AI839" i="3"/>
  <c r="AM838" i="3"/>
  <c r="AK838" i="3"/>
  <c r="AJ838" i="3"/>
  <c r="AL838" i="3" s="1"/>
  <c r="AI838" i="3"/>
  <c r="AM837" i="3"/>
  <c r="AK837" i="3"/>
  <c r="AJ837" i="3"/>
  <c r="AL837" i="3" s="1"/>
  <c r="AI837" i="3"/>
  <c r="AM836" i="3"/>
  <c r="AK836" i="3"/>
  <c r="AJ836" i="3"/>
  <c r="AL836" i="3" s="1"/>
  <c r="AI836" i="3"/>
  <c r="AM835" i="3"/>
  <c r="AK835" i="3"/>
  <c r="AJ835" i="3"/>
  <c r="AL835" i="3" s="1"/>
  <c r="AI835" i="3"/>
  <c r="AM834" i="3"/>
  <c r="AK834" i="3"/>
  <c r="AJ834" i="3"/>
  <c r="AL834" i="3" s="1"/>
  <c r="AI834" i="3"/>
  <c r="AM833" i="3"/>
  <c r="AK833" i="3"/>
  <c r="AJ833" i="3"/>
  <c r="AL833" i="3" s="1"/>
  <c r="AI833" i="3"/>
  <c r="AM832" i="3"/>
  <c r="AK832" i="3"/>
  <c r="AJ832" i="3"/>
  <c r="AL832" i="3" s="1"/>
  <c r="AI832" i="3"/>
  <c r="AM831" i="3"/>
  <c r="AK831" i="3"/>
  <c r="AJ831" i="3"/>
  <c r="AL831" i="3" s="1"/>
  <c r="AI831" i="3"/>
  <c r="AM830" i="3"/>
  <c r="AK830" i="3"/>
  <c r="AJ830" i="3"/>
  <c r="AL830" i="3" s="1"/>
  <c r="AI830" i="3"/>
  <c r="AM829" i="3"/>
  <c r="AK829" i="3"/>
  <c r="AJ829" i="3"/>
  <c r="AL829" i="3" s="1"/>
  <c r="AI829" i="3"/>
  <c r="AM828" i="3"/>
  <c r="AK828" i="3"/>
  <c r="AJ828" i="3"/>
  <c r="AL828" i="3" s="1"/>
  <c r="AI828" i="3"/>
  <c r="AM827" i="3"/>
  <c r="AK827" i="3"/>
  <c r="AJ827" i="3"/>
  <c r="AL827" i="3" s="1"/>
  <c r="AI827" i="3"/>
  <c r="AM826" i="3"/>
  <c r="AK826" i="3"/>
  <c r="AJ826" i="3"/>
  <c r="AL826" i="3"/>
  <c r="AI826" i="3"/>
  <c r="AM825" i="3"/>
  <c r="AK825" i="3"/>
  <c r="AJ825" i="3"/>
  <c r="AL825" i="3" s="1"/>
  <c r="AI825" i="3"/>
  <c r="AM824" i="3"/>
  <c r="AK824" i="3"/>
  <c r="AJ824" i="3"/>
  <c r="AL824" i="3" s="1"/>
  <c r="AI824" i="3"/>
  <c r="AM823" i="3"/>
  <c r="AK823" i="3"/>
  <c r="AJ823" i="3"/>
  <c r="AL823" i="3" s="1"/>
  <c r="AI823" i="3"/>
  <c r="AM822" i="3"/>
  <c r="AK822" i="3"/>
  <c r="AJ822" i="3"/>
  <c r="AL822" i="3" s="1"/>
  <c r="AI822" i="3"/>
  <c r="AM821" i="3"/>
  <c r="AK821" i="3"/>
  <c r="AJ821" i="3"/>
  <c r="AL821" i="3" s="1"/>
  <c r="AI821" i="3"/>
  <c r="AM820" i="3"/>
  <c r="AK820" i="3"/>
  <c r="AJ820" i="3"/>
  <c r="AL820" i="3" s="1"/>
  <c r="AI820" i="3"/>
  <c r="AM819" i="3"/>
  <c r="AK819" i="3"/>
  <c r="AJ819" i="3"/>
  <c r="AL819" i="3" s="1"/>
  <c r="AI819" i="3"/>
  <c r="AM818" i="3"/>
  <c r="AK818" i="3"/>
  <c r="AJ818" i="3"/>
  <c r="AL818" i="3" s="1"/>
  <c r="AI818" i="3"/>
  <c r="AM817" i="3"/>
  <c r="AK817" i="3"/>
  <c r="AJ817" i="3"/>
  <c r="AL817" i="3" s="1"/>
  <c r="AI817" i="3"/>
  <c r="AM816" i="3"/>
  <c r="AK816" i="3"/>
  <c r="AJ816" i="3"/>
  <c r="AL816" i="3" s="1"/>
  <c r="AI816" i="3"/>
  <c r="AM815" i="3"/>
  <c r="AK815" i="3"/>
  <c r="AJ815" i="3"/>
  <c r="AL815" i="3" s="1"/>
  <c r="AI815" i="3"/>
  <c r="AM814" i="3"/>
  <c r="AK814" i="3"/>
  <c r="AJ814" i="3"/>
  <c r="AL814" i="3" s="1"/>
  <c r="AI814" i="3"/>
  <c r="AM813" i="3"/>
  <c r="AK813" i="3"/>
  <c r="AJ813" i="3"/>
  <c r="AL813" i="3" s="1"/>
  <c r="AI813" i="3"/>
  <c r="AM812" i="3"/>
  <c r="AK812" i="3"/>
  <c r="AJ812" i="3"/>
  <c r="AL812" i="3" s="1"/>
  <c r="AI812" i="3"/>
  <c r="AM811" i="3"/>
  <c r="AK811" i="3"/>
  <c r="AJ811" i="3"/>
  <c r="AL811" i="3" s="1"/>
  <c r="AI811" i="3"/>
  <c r="AM810" i="3"/>
  <c r="AK810" i="3"/>
  <c r="AJ810" i="3"/>
  <c r="AL810" i="3" s="1"/>
  <c r="AI810" i="3"/>
  <c r="AM809" i="3"/>
  <c r="AK809" i="3"/>
  <c r="AJ809" i="3"/>
  <c r="AL809" i="3" s="1"/>
  <c r="AI809" i="3"/>
  <c r="AM808" i="3"/>
  <c r="AK808" i="3"/>
  <c r="AJ808" i="3"/>
  <c r="AL808" i="3" s="1"/>
  <c r="AI808" i="3"/>
  <c r="AM807" i="3"/>
  <c r="AK807" i="3"/>
  <c r="AJ807" i="3"/>
  <c r="AL807" i="3" s="1"/>
  <c r="AI807" i="3"/>
  <c r="AM806" i="3"/>
  <c r="AK806" i="3"/>
  <c r="AJ806" i="3"/>
  <c r="AL806" i="3" s="1"/>
  <c r="AI806" i="3"/>
  <c r="AM805" i="3"/>
  <c r="AK805" i="3"/>
  <c r="AJ805" i="3"/>
  <c r="AL805" i="3" s="1"/>
  <c r="AI805" i="3"/>
  <c r="AM804" i="3"/>
  <c r="AK804" i="3"/>
  <c r="AJ804" i="3"/>
  <c r="AL804" i="3" s="1"/>
  <c r="AI804" i="3"/>
  <c r="AM803" i="3"/>
  <c r="AK803" i="3"/>
  <c r="AJ803" i="3"/>
  <c r="AL803" i="3" s="1"/>
  <c r="AI803" i="3"/>
  <c r="AM802" i="3"/>
  <c r="AK802" i="3"/>
  <c r="AJ802" i="3"/>
  <c r="AL802" i="3" s="1"/>
  <c r="AI802" i="3"/>
  <c r="AM801" i="3"/>
  <c r="AK801" i="3"/>
  <c r="AJ801" i="3"/>
  <c r="AL801" i="3" s="1"/>
  <c r="AI801" i="3"/>
  <c r="AM800" i="3"/>
  <c r="AK800" i="3"/>
  <c r="AJ800" i="3"/>
  <c r="AL800" i="3" s="1"/>
  <c r="AI800" i="3"/>
  <c r="AM799" i="3"/>
  <c r="AK799" i="3"/>
  <c r="AJ799" i="3"/>
  <c r="AL799" i="3" s="1"/>
  <c r="AI799" i="3"/>
  <c r="AM798" i="3"/>
  <c r="AK798" i="3"/>
  <c r="AJ798" i="3"/>
  <c r="AL798" i="3" s="1"/>
  <c r="AI798" i="3"/>
  <c r="AM797" i="3"/>
  <c r="AK797" i="3"/>
  <c r="AJ797" i="3"/>
  <c r="AL797" i="3" s="1"/>
  <c r="AI797" i="3"/>
  <c r="AM796" i="3"/>
  <c r="AK796" i="3"/>
  <c r="AJ796" i="3"/>
  <c r="AL796" i="3" s="1"/>
  <c r="AI796" i="3"/>
  <c r="AM795" i="3"/>
  <c r="AK795" i="3"/>
  <c r="AJ795" i="3"/>
  <c r="AL795" i="3" s="1"/>
  <c r="AI795" i="3"/>
  <c r="AM794" i="3"/>
  <c r="AK794" i="3"/>
  <c r="AJ794" i="3"/>
  <c r="AL794" i="3"/>
  <c r="AI794" i="3"/>
  <c r="AM793" i="3"/>
  <c r="AK793" i="3"/>
  <c r="AJ793" i="3"/>
  <c r="AL793" i="3" s="1"/>
  <c r="AI793" i="3"/>
  <c r="AM792" i="3"/>
  <c r="AK792" i="3"/>
  <c r="AJ792" i="3"/>
  <c r="AL792" i="3" s="1"/>
  <c r="AI792" i="3"/>
  <c r="AM791" i="3"/>
  <c r="AK791" i="3"/>
  <c r="AJ791" i="3"/>
  <c r="AL791" i="3" s="1"/>
  <c r="AI791" i="3"/>
  <c r="AM790" i="3"/>
  <c r="AK790" i="3"/>
  <c r="AJ790" i="3"/>
  <c r="AL790" i="3" s="1"/>
  <c r="AI790" i="3"/>
  <c r="AM789" i="3"/>
  <c r="AK789" i="3"/>
  <c r="AJ789" i="3"/>
  <c r="AL789" i="3" s="1"/>
  <c r="AI789" i="3"/>
  <c r="AM788" i="3"/>
  <c r="AK788" i="3"/>
  <c r="AJ788" i="3"/>
  <c r="AL788" i="3" s="1"/>
  <c r="AI788" i="3"/>
  <c r="AM787" i="3"/>
  <c r="AK787" i="3"/>
  <c r="AJ787" i="3"/>
  <c r="AL787" i="3" s="1"/>
  <c r="AI787" i="3"/>
  <c r="AM786" i="3"/>
  <c r="AK786" i="3"/>
  <c r="AJ786" i="3"/>
  <c r="AL786" i="3"/>
  <c r="AI786" i="3"/>
  <c r="AM785" i="3"/>
  <c r="AK785" i="3"/>
  <c r="AJ785" i="3"/>
  <c r="AL785" i="3" s="1"/>
  <c r="AI785" i="3"/>
  <c r="AM784" i="3"/>
  <c r="AK784" i="3"/>
  <c r="AJ784" i="3"/>
  <c r="AL784" i="3" s="1"/>
  <c r="AI784" i="3"/>
  <c r="AM783" i="3"/>
  <c r="AK783" i="3"/>
  <c r="AJ783" i="3"/>
  <c r="AL783" i="3" s="1"/>
  <c r="AI783" i="3"/>
  <c r="AM782" i="3"/>
  <c r="AK782" i="3"/>
  <c r="AJ782" i="3"/>
  <c r="AL782" i="3" s="1"/>
  <c r="AI782" i="3"/>
  <c r="AM781" i="3"/>
  <c r="AK781" i="3"/>
  <c r="AJ781" i="3"/>
  <c r="AL781" i="3" s="1"/>
  <c r="AI781" i="3"/>
  <c r="AM780" i="3"/>
  <c r="AK780" i="3"/>
  <c r="AJ780" i="3"/>
  <c r="AL780" i="3" s="1"/>
  <c r="AI780" i="3"/>
  <c r="AM779" i="3"/>
  <c r="AK779" i="3"/>
  <c r="AJ779" i="3"/>
  <c r="AL779" i="3" s="1"/>
  <c r="AI779" i="3"/>
  <c r="AM778" i="3"/>
  <c r="AK778" i="3"/>
  <c r="AJ778" i="3"/>
  <c r="AL778" i="3" s="1"/>
  <c r="AI778" i="3"/>
  <c r="AM777" i="3"/>
  <c r="AK777" i="3"/>
  <c r="AJ777" i="3"/>
  <c r="AL777" i="3" s="1"/>
  <c r="AI777" i="3"/>
  <c r="AM776" i="3"/>
  <c r="AK776" i="3"/>
  <c r="AJ776" i="3"/>
  <c r="AL776" i="3" s="1"/>
  <c r="AI776" i="3"/>
  <c r="AM775" i="3"/>
  <c r="AK775" i="3"/>
  <c r="AJ775" i="3"/>
  <c r="AL775" i="3" s="1"/>
  <c r="AI775" i="3"/>
  <c r="AM774" i="3"/>
  <c r="AK774" i="3"/>
  <c r="AJ774" i="3"/>
  <c r="AL774" i="3" s="1"/>
  <c r="AI774" i="3"/>
  <c r="AM773" i="3"/>
  <c r="AK773" i="3"/>
  <c r="AJ773" i="3"/>
  <c r="AL773" i="3" s="1"/>
  <c r="AI773" i="3"/>
  <c r="AM772" i="3"/>
  <c r="AK772" i="3"/>
  <c r="AJ772" i="3"/>
  <c r="AL772" i="3" s="1"/>
  <c r="AI772" i="3"/>
  <c r="AM771" i="3"/>
  <c r="AK771" i="3"/>
  <c r="AJ771" i="3"/>
  <c r="AL771" i="3" s="1"/>
  <c r="AI771" i="3"/>
  <c r="AM770" i="3"/>
  <c r="AK770" i="3"/>
  <c r="AJ770" i="3"/>
  <c r="AL770" i="3" s="1"/>
  <c r="AI770" i="3"/>
  <c r="AM769" i="3"/>
  <c r="AK769" i="3"/>
  <c r="AJ769" i="3"/>
  <c r="AL769" i="3" s="1"/>
  <c r="AI769" i="3"/>
  <c r="AM768" i="3"/>
  <c r="AK768" i="3"/>
  <c r="AJ768" i="3"/>
  <c r="AL768" i="3" s="1"/>
  <c r="AI768" i="3"/>
  <c r="AM767" i="3"/>
  <c r="AK767" i="3"/>
  <c r="AJ767" i="3"/>
  <c r="AL767" i="3" s="1"/>
  <c r="AI767" i="3"/>
  <c r="AM766" i="3"/>
  <c r="AK766" i="3"/>
  <c r="AJ766" i="3"/>
  <c r="AL766" i="3" s="1"/>
  <c r="AI766" i="3"/>
  <c r="AM765" i="3"/>
  <c r="AK765" i="3"/>
  <c r="AJ765" i="3"/>
  <c r="AL765" i="3" s="1"/>
  <c r="AI765" i="3"/>
  <c r="AM764" i="3"/>
  <c r="AK764" i="3"/>
  <c r="AJ764" i="3"/>
  <c r="AL764" i="3" s="1"/>
  <c r="AI764" i="3"/>
  <c r="AM763" i="3"/>
  <c r="AK763" i="3"/>
  <c r="AJ763" i="3"/>
  <c r="AL763" i="3" s="1"/>
  <c r="AI763" i="3"/>
  <c r="AM762" i="3"/>
  <c r="AK762" i="3"/>
  <c r="AJ762" i="3"/>
  <c r="AL762" i="3" s="1"/>
  <c r="AI762" i="3"/>
  <c r="AM761" i="3"/>
  <c r="AK761" i="3"/>
  <c r="AJ761" i="3"/>
  <c r="AL761" i="3" s="1"/>
  <c r="AI761" i="3"/>
  <c r="AM760" i="3"/>
  <c r="AK760" i="3"/>
  <c r="AJ760" i="3"/>
  <c r="AL760" i="3" s="1"/>
  <c r="AI760" i="3"/>
  <c r="AM759" i="3"/>
  <c r="AK759" i="3"/>
  <c r="AJ759" i="3"/>
  <c r="AL759" i="3" s="1"/>
  <c r="AI759" i="3"/>
  <c r="AM758" i="3"/>
  <c r="AK758" i="3"/>
  <c r="AJ758" i="3"/>
  <c r="AL758" i="3" s="1"/>
  <c r="AI758" i="3"/>
  <c r="AM757" i="3"/>
  <c r="AK757" i="3"/>
  <c r="AJ757" i="3"/>
  <c r="AL757" i="3" s="1"/>
  <c r="AI757" i="3"/>
  <c r="AM756" i="3"/>
  <c r="AK756" i="3"/>
  <c r="AJ756" i="3"/>
  <c r="AL756" i="3" s="1"/>
  <c r="AI756" i="3"/>
  <c r="AM755" i="3"/>
  <c r="AK755" i="3"/>
  <c r="AJ755" i="3"/>
  <c r="AL755" i="3" s="1"/>
  <c r="AI755" i="3"/>
  <c r="AM754" i="3"/>
  <c r="AK754" i="3"/>
  <c r="AJ754" i="3"/>
  <c r="AL754" i="3" s="1"/>
  <c r="AI754" i="3"/>
  <c r="AM753" i="3"/>
  <c r="AK753" i="3"/>
  <c r="AJ753" i="3"/>
  <c r="AL753" i="3" s="1"/>
  <c r="AI753" i="3"/>
  <c r="AM752" i="3"/>
  <c r="AK752" i="3"/>
  <c r="AJ752" i="3"/>
  <c r="AL752" i="3" s="1"/>
  <c r="AI752" i="3"/>
  <c r="AM751" i="3"/>
  <c r="AK751" i="3"/>
  <c r="AJ751" i="3"/>
  <c r="AL751" i="3" s="1"/>
  <c r="AI751" i="3"/>
  <c r="AM750" i="3"/>
  <c r="AK750" i="3"/>
  <c r="AJ750" i="3"/>
  <c r="AL750" i="3" s="1"/>
  <c r="AI750" i="3"/>
  <c r="AM749" i="3"/>
  <c r="AK749" i="3"/>
  <c r="AJ749" i="3"/>
  <c r="AL749" i="3" s="1"/>
  <c r="AI749" i="3"/>
  <c r="AM748" i="3"/>
  <c r="AK748" i="3"/>
  <c r="AJ748" i="3"/>
  <c r="AL748" i="3" s="1"/>
  <c r="AI748" i="3"/>
  <c r="AM747" i="3"/>
  <c r="AK747" i="3"/>
  <c r="AJ747" i="3"/>
  <c r="AL747" i="3" s="1"/>
  <c r="AI747" i="3"/>
  <c r="AM746" i="3"/>
  <c r="AK746" i="3"/>
  <c r="AJ746" i="3"/>
  <c r="AL746" i="3" s="1"/>
  <c r="AI746" i="3"/>
  <c r="AM745" i="3"/>
  <c r="AK745" i="3"/>
  <c r="AJ745" i="3"/>
  <c r="AL745" i="3" s="1"/>
  <c r="AI745" i="3"/>
  <c r="AM744" i="3"/>
  <c r="AK744" i="3"/>
  <c r="AJ744" i="3"/>
  <c r="AL744" i="3" s="1"/>
  <c r="AI744" i="3"/>
  <c r="AM743" i="3"/>
  <c r="AK743" i="3"/>
  <c r="AJ743" i="3"/>
  <c r="AL743" i="3" s="1"/>
  <c r="AI743" i="3"/>
  <c r="AM742" i="3"/>
  <c r="AK742" i="3"/>
  <c r="AJ742" i="3"/>
  <c r="AL742" i="3" s="1"/>
  <c r="AI742" i="3"/>
  <c r="AM741" i="3"/>
  <c r="AK741" i="3"/>
  <c r="AJ741" i="3"/>
  <c r="AL741" i="3" s="1"/>
  <c r="AI741" i="3"/>
  <c r="AM740" i="3"/>
  <c r="AK740" i="3"/>
  <c r="AJ740" i="3"/>
  <c r="AL740" i="3" s="1"/>
  <c r="AI740" i="3"/>
  <c r="AM739" i="3"/>
  <c r="AK739" i="3"/>
  <c r="AJ739" i="3"/>
  <c r="AL739" i="3" s="1"/>
  <c r="AI739" i="3"/>
  <c r="AM738" i="3"/>
  <c r="AK738" i="3"/>
  <c r="AJ738" i="3"/>
  <c r="AL738" i="3" s="1"/>
  <c r="AI738" i="3"/>
  <c r="AM737" i="3"/>
  <c r="AK737" i="3"/>
  <c r="AJ737" i="3"/>
  <c r="AL737" i="3" s="1"/>
  <c r="AI737" i="3"/>
  <c r="AM736" i="3"/>
  <c r="AK736" i="3"/>
  <c r="AJ736" i="3"/>
  <c r="AL736" i="3" s="1"/>
  <c r="AI736" i="3"/>
  <c r="AM735" i="3"/>
  <c r="AK735" i="3"/>
  <c r="AJ735" i="3"/>
  <c r="AL735" i="3" s="1"/>
  <c r="AI735" i="3"/>
  <c r="AM734" i="3"/>
  <c r="AK734" i="3"/>
  <c r="AJ734" i="3"/>
  <c r="AL734" i="3" s="1"/>
  <c r="AI734" i="3"/>
  <c r="AM733" i="3"/>
  <c r="AK733" i="3"/>
  <c r="AJ733" i="3"/>
  <c r="AL733" i="3" s="1"/>
  <c r="AI733" i="3"/>
  <c r="AM732" i="3"/>
  <c r="AK732" i="3"/>
  <c r="AJ732" i="3"/>
  <c r="AL732" i="3" s="1"/>
  <c r="AI732" i="3"/>
  <c r="AM731" i="3"/>
  <c r="AK731" i="3"/>
  <c r="AJ731" i="3"/>
  <c r="AL731" i="3" s="1"/>
  <c r="AI731" i="3"/>
  <c r="AM730" i="3"/>
  <c r="AK730" i="3"/>
  <c r="AJ730" i="3"/>
  <c r="AL730" i="3" s="1"/>
  <c r="AI730" i="3"/>
  <c r="AM729" i="3"/>
  <c r="AK729" i="3"/>
  <c r="AJ729" i="3"/>
  <c r="AL729" i="3" s="1"/>
  <c r="AI729" i="3"/>
  <c r="AM728" i="3"/>
  <c r="AK728" i="3"/>
  <c r="AJ728" i="3"/>
  <c r="AL728" i="3" s="1"/>
  <c r="AI728" i="3"/>
  <c r="AM727" i="3"/>
  <c r="AK727" i="3"/>
  <c r="AJ727" i="3"/>
  <c r="AL727" i="3" s="1"/>
  <c r="AI727" i="3"/>
  <c r="AM726" i="3"/>
  <c r="AK726" i="3"/>
  <c r="AJ726" i="3"/>
  <c r="AL726" i="3" s="1"/>
  <c r="AI726" i="3"/>
  <c r="AM725" i="3"/>
  <c r="AK725" i="3"/>
  <c r="AJ725" i="3"/>
  <c r="AL725" i="3" s="1"/>
  <c r="AI725" i="3"/>
  <c r="AM724" i="3"/>
  <c r="AK724" i="3"/>
  <c r="AJ724" i="3"/>
  <c r="AL724" i="3" s="1"/>
  <c r="AI724" i="3"/>
  <c r="AM723" i="3"/>
  <c r="AK723" i="3"/>
  <c r="AJ723" i="3"/>
  <c r="AL723" i="3" s="1"/>
  <c r="AI723" i="3"/>
  <c r="AM722" i="3"/>
  <c r="AK722" i="3"/>
  <c r="AJ722" i="3"/>
  <c r="AL722" i="3"/>
  <c r="AI722" i="3"/>
  <c r="AM721" i="3"/>
  <c r="AK721" i="3"/>
  <c r="AJ721" i="3"/>
  <c r="AL721" i="3" s="1"/>
  <c r="AI721" i="3"/>
  <c r="AM720" i="3"/>
  <c r="AK720" i="3"/>
  <c r="AJ720" i="3"/>
  <c r="AL720" i="3" s="1"/>
  <c r="AI720" i="3"/>
  <c r="AM719" i="3"/>
  <c r="AK719" i="3"/>
  <c r="AJ719" i="3"/>
  <c r="AL719" i="3" s="1"/>
  <c r="AI719" i="3"/>
  <c r="AM718" i="3"/>
  <c r="AK718" i="3"/>
  <c r="AJ718" i="3"/>
  <c r="AL718" i="3" s="1"/>
  <c r="AI718" i="3"/>
  <c r="AM717" i="3"/>
  <c r="AK717" i="3"/>
  <c r="AJ717" i="3"/>
  <c r="AL717" i="3" s="1"/>
  <c r="AI717" i="3"/>
  <c r="AM716" i="3"/>
  <c r="AK716" i="3"/>
  <c r="AJ716" i="3"/>
  <c r="AL716" i="3" s="1"/>
  <c r="AI716" i="3"/>
  <c r="AM715" i="3"/>
  <c r="AK715" i="3"/>
  <c r="AJ715" i="3"/>
  <c r="AL715" i="3" s="1"/>
  <c r="AI715" i="3"/>
  <c r="AM714" i="3"/>
  <c r="AK714" i="3"/>
  <c r="AJ714" i="3"/>
  <c r="AL714" i="3" s="1"/>
  <c r="AI714" i="3"/>
  <c r="AM713" i="3"/>
  <c r="AK713" i="3"/>
  <c r="AJ713" i="3"/>
  <c r="AL713" i="3" s="1"/>
  <c r="AI713" i="3"/>
  <c r="AM712" i="3"/>
  <c r="AK712" i="3"/>
  <c r="AJ712" i="3"/>
  <c r="AL712" i="3" s="1"/>
  <c r="AI712" i="3"/>
  <c r="AM711" i="3"/>
  <c r="AK711" i="3"/>
  <c r="AJ711" i="3"/>
  <c r="AL711" i="3" s="1"/>
  <c r="AI711" i="3"/>
  <c r="AM710" i="3"/>
  <c r="AK710" i="3"/>
  <c r="AJ710" i="3"/>
  <c r="AL710" i="3" s="1"/>
  <c r="AI710" i="3"/>
  <c r="AM709" i="3"/>
  <c r="AK709" i="3"/>
  <c r="AJ709" i="3"/>
  <c r="AL709" i="3" s="1"/>
  <c r="AI709" i="3"/>
  <c r="AM708" i="3"/>
  <c r="AK708" i="3"/>
  <c r="AJ708" i="3"/>
  <c r="AL708" i="3" s="1"/>
  <c r="AI708" i="3"/>
  <c r="AM707" i="3"/>
  <c r="AK707" i="3"/>
  <c r="AJ707" i="3"/>
  <c r="AL707" i="3" s="1"/>
  <c r="AI707" i="3"/>
  <c r="AM706" i="3"/>
  <c r="AK706" i="3"/>
  <c r="AJ706" i="3"/>
  <c r="AL706" i="3" s="1"/>
  <c r="AI706" i="3"/>
  <c r="AM705" i="3"/>
  <c r="AK705" i="3"/>
  <c r="AJ705" i="3"/>
  <c r="AL705" i="3" s="1"/>
  <c r="AI705" i="3"/>
  <c r="AM704" i="3"/>
  <c r="AK704" i="3"/>
  <c r="AJ704" i="3"/>
  <c r="AL704" i="3" s="1"/>
  <c r="AI704" i="3"/>
  <c r="AM703" i="3"/>
  <c r="AK703" i="3"/>
  <c r="AJ703" i="3"/>
  <c r="AL703" i="3" s="1"/>
  <c r="AI703" i="3"/>
  <c r="AM702" i="3"/>
  <c r="AK702" i="3"/>
  <c r="AJ702" i="3"/>
  <c r="AL702" i="3" s="1"/>
  <c r="AI702" i="3"/>
  <c r="AM701" i="3"/>
  <c r="AK701" i="3"/>
  <c r="AJ701" i="3"/>
  <c r="AL701" i="3" s="1"/>
  <c r="AI701" i="3"/>
  <c r="AM700" i="3"/>
  <c r="AK700" i="3"/>
  <c r="AJ700" i="3"/>
  <c r="AL700" i="3" s="1"/>
  <c r="AI700" i="3"/>
  <c r="AM699" i="3"/>
  <c r="AK699" i="3"/>
  <c r="AJ699" i="3"/>
  <c r="AL699" i="3" s="1"/>
  <c r="AI699" i="3"/>
  <c r="AM698" i="3"/>
  <c r="AK698" i="3"/>
  <c r="AJ698" i="3"/>
  <c r="AL698" i="3"/>
  <c r="AI698" i="3"/>
  <c r="AM697" i="3"/>
  <c r="AK697" i="3"/>
  <c r="AJ697" i="3"/>
  <c r="AL697" i="3" s="1"/>
  <c r="AI697" i="3"/>
  <c r="AM696" i="3"/>
  <c r="AK696" i="3"/>
  <c r="AJ696" i="3"/>
  <c r="AL696" i="3" s="1"/>
  <c r="AI696" i="3"/>
  <c r="AM695" i="3"/>
  <c r="AK695" i="3"/>
  <c r="AJ695" i="3"/>
  <c r="AL695" i="3" s="1"/>
  <c r="AI695" i="3"/>
  <c r="AM694" i="3"/>
  <c r="AK694" i="3"/>
  <c r="AJ694" i="3"/>
  <c r="AL694" i="3" s="1"/>
  <c r="AI694" i="3"/>
  <c r="AM693" i="3"/>
  <c r="AK693" i="3"/>
  <c r="AJ693" i="3"/>
  <c r="AL693" i="3" s="1"/>
  <c r="AI693" i="3"/>
  <c r="AM692" i="3"/>
  <c r="AK692" i="3"/>
  <c r="AJ692" i="3"/>
  <c r="AL692" i="3" s="1"/>
  <c r="AI692" i="3"/>
  <c r="AM691" i="3"/>
  <c r="AK691" i="3"/>
  <c r="AJ691" i="3"/>
  <c r="AL691" i="3" s="1"/>
  <c r="AI691" i="3"/>
  <c r="AM690" i="3"/>
  <c r="AK690" i="3"/>
  <c r="AJ690" i="3"/>
  <c r="AL690" i="3" s="1"/>
  <c r="AI690" i="3"/>
  <c r="AM689" i="3"/>
  <c r="AK689" i="3"/>
  <c r="AJ689" i="3"/>
  <c r="AL689" i="3" s="1"/>
  <c r="AI689" i="3"/>
  <c r="AM688" i="3"/>
  <c r="AK688" i="3"/>
  <c r="AJ688" i="3"/>
  <c r="AL688" i="3" s="1"/>
  <c r="AI688" i="3"/>
  <c r="AM687" i="3"/>
  <c r="AK687" i="3"/>
  <c r="AJ687" i="3"/>
  <c r="AL687" i="3" s="1"/>
  <c r="AI687" i="3"/>
  <c r="AM686" i="3"/>
  <c r="AK686" i="3"/>
  <c r="AJ686" i="3"/>
  <c r="AL686" i="3" s="1"/>
  <c r="AI686" i="3"/>
  <c r="AM685" i="3"/>
  <c r="AK685" i="3"/>
  <c r="AJ685" i="3"/>
  <c r="AL685" i="3" s="1"/>
  <c r="AI685" i="3"/>
  <c r="AM684" i="3"/>
  <c r="AK684" i="3"/>
  <c r="AJ684" i="3"/>
  <c r="AL684" i="3" s="1"/>
  <c r="AI684" i="3"/>
  <c r="AM683" i="3"/>
  <c r="AK683" i="3"/>
  <c r="AJ683" i="3"/>
  <c r="AL683" i="3" s="1"/>
  <c r="AI683" i="3"/>
  <c r="AM682" i="3"/>
  <c r="AK682" i="3"/>
  <c r="AJ682" i="3"/>
  <c r="AL682" i="3" s="1"/>
  <c r="AI682" i="3"/>
  <c r="AM681" i="3"/>
  <c r="AK681" i="3"/>
  <c r="AJ681" i="3"/>
  <c r="AL681" i="3" s="1"/>
  <c r="AI681" i="3"/>
  <c r="AM680" i="3"/>
  <c r="AK680" i="3"/>
  <c r="AJ680" i="3"/>
  <c r="AL680" i="3" s="1"/>
  <c r="AI680" i="3"/>
  <c r="AM679" i="3"/>
  <c r="AK679" i="3"/>
  <c r="AJ679" i="3"/>
  <c r="AL679" i="3" s="1"/>
  <c r="AI679" i="3"/>
  <c r="AM678" i="3"/>
  <c r="AK678" i="3"/>
  <c r="AJ678" i="3"/>
  <c r="AL678" i="3" s="1"/>
  <c r="AI678" i="3"/>
  <c r="AM677" i="3"/>
  <c r="AK677" i="3"/>
  <c r="AJ677" i="3"/>
  <c r="AL677" i="3" s="1"/>
  <c r="AI677" i="3"/>
  <c r="AM676" i="3"/>
  <c r="AK676" i="3"/>
  <c r="AJ676" i="3"/>
  <c r="AL676" i="3" s="1"/>
  <c r="AI676" i="3"/>
  <c r="AM675" i="3"/>
  <c r="AK675" i="3"/>
  <c r="AJ675" i="3"/>
  <c r="AL675" i="3" s="1"/>
  <c r="AI675" i="3"/>
  <c r="AM674" i="3"/>
  <c r="AK674" i="3"/>
  <c r="AJ674" i="3"/>
  <c r="AL674" i="3" s="1"/>
  <c r="AI674" i="3"/>
  <c r="AM673" i="3"/>
  <c r="AK673" i="3"/>
  <c r="AJ673" i="3"/>
  <c r="AL673" i="3" s="1"/>
  <c r="AI673" i="3"/>
  <c r="AM672" i="3"/>
  <c r="AK672" i="3"/>
  <c r="AJ672" i="3"/>
  <c r="AL672" i="3" s="1"/>
  <c r="AI672" i="3"/>
  <c r="AM671" i="3"/>
  <c r="AK671" i="3"/>
  <c r="AJ671" i="3"/>
  <c r="AL671" i="3" s="1"/>
  <c r="AI671" i="3"/>
  <c r="AM670" i="3"/>
  <c r="AK670" i="3"/>
  <c r="AJ670" i="3"/>
  <c r="AL670" i="3" s="1"/>
  <c r="AI670" i="3"/>
  <c r="AM669" i="3"/>
  <c r="AK669" i="3"/>
  <c r="AJ669" i="3"/>
  <c r="AL669" i="3" s="1"/>
  <c r="AI669" i="3"/>
  <c r="AM668" i="3"/>
  <c r="AK668" i="3"/>
  <c r="AJ668" i="3"/>
  <c r="AL668" i="3" s="1"/>
  <c r="AI668" i="3"/>
  <c r="AM667" i="3"/>
  <c r="AK667" i="3"/>
  <c r="AJ667" i="3"/>
  <c r="AL667" i="3" s="1"/>
  <c r="AI667" i="3"/>
  <c r="AM666" i="3"/>
  <c r="AK666" i="3"/>
  <c r="AJ666" i="3"/>
  <c r="AL666" i="3"/>
  <c r="AI666" i="3"/>
  <c r="AM665" i="3"/>
  <c r="AK665" i="3"/>
  <c r="AJ665" i="3"/>
  <c r="AL665" i="3" s="1"/>
  <c r="AI665" i="3"/>
  <c r="AM664" i="3"/>
  <c r="AK664" i="3"/>
  <c r="AJ664" i="3"/>
  <c r="AL664" i="3" s="1"/>
  <c r="AI664" i="3"/>
  <c r="AM663" i="3"/>
  <c r="AK663" i="3"/>
  <c r="AJ663" i="3"/>
  <c r="AL663" i="3" s="1"/>
  <c r="AI663" i="3"/>
  <c r="AM662" i="3"/>
  <c r="AK662" i="3"/>
  <c r="AJ662" i="3"/>
  <c r="AL662" i="3" s="1"/>
  <c r="AI662" i="3"/>
  <c r="AM661" i="3"/>
  <c r="AK661" i="3"/>
  <c r="AJ661" i="3"/>
  <c r="AL661" i="3" s="1"/>
  <c r="AI661" i="3"/>
  <c r="AM660" i="3"/>
  <c r="AK660" i="3"/>
  <c r="AJ660" i="3"/>
  <c r="AL660" i="3" s="1"/>
  <c r="AI660" i="3"/>
  <c r="AM659" i="3"/>
  <c r="AK659" i="3"/>
  <c r="AJ659" i="3"/>
  <c r="AL659" i="3" s="1"/>
  <c r="AI659" i="3"/>
  <c r="AM658" i="3"/>
  <c r="AK658" i="3"/>
  <c r="AJ658" i="3"/>
  <c r="AL658" i="3" s="1"/>
  <c r="AI658" i="3"/>
  <c r="AM657" i="3"/>
  <c r="AK657" i="3"/>
  <c r="AJ657" i="3"/>
  <c r="AL657" i="3" s="1"/>
  <c r="AI657" i="3"/>
  <c r="AM656" i="3"/>
  <c r="AK656" i="3"/>
  <c r="AJ656" i="3"/>
  <c r="AL656" i="3" s="1"/>
  <c r="AI656" i="3"/>
  <c r="AM655" i="3"/>
  <c r="AK655" i="3"/>
  <c r="AJ655" i="3"/>
  <c r="AL655" i="3" s="1"/>
  <c r="AI655" i="3"/>
  <c r="AM654" i="3"/>
  <c r="AK654" i="3"/>
  <c r="AJ654" i="3"/>
  <c r="AL654" i="3" s="1"/>
  <c r="AI654" i="3"/>
  <c r="AM653" i="3"/>
  <c r="AK653" i="3"/>
  <c r="AJ653" i="3"/>
  <c r="AL653" i="3" s="1"/>
  <c r="AI653" i="3"/>
  <c r="AM652" i="3"/>
  <c r="AK652" i="3"/>
  <c r="AJ652" i="3"/>
  <c r="AL652" i="3" s="1"/>
  <c r="AI652" i="3"/>
  <c r="AM651" i="3"/>
  <c r="AK651" i="3"/>
  <c r="AJ651" i="3"/>
  <c r="AL651" i="3" s="1"/>
  <c r="AI651" i="3"/>
  <c r="AM650" i="3"/>
  <c r="AK650" i="3"/>
  <c r="AJ650" i="3"/>
  <c r="AL650" i="3" s="1"/>
  <c r="AI650" i="3"/>
  <c r="AM649" i="3"/>
  <c r="AK649" i="3"/>
  <c r="AJ649" i="3"/>
  <c r="AL649" i="3" s="1"/>
  <c r="AI649" i="3"/>
  <c r="AM648" i="3"/>
  <c r="AK648" i="3"/>
  <c r="AJ648" i="3"/>
  <c r="AL648" i="3" s="1"/>
  <c r="AI648" i="3"/>
  <c r="AM647" i="3"/>
  <c r="AK647" i="3"/>
  <c r="AJ647" i="3"/>
  <c r="AL647" i="3" s="1"/>
  <c r="AI647" i="3"/>
  <c r="AM646" i="3"/>
  <c r="AK646" i="3"/>
  <c r="AJ646" i="3"/>
  <c r="AL646" i="3" s="1"/>
  <c r="AI646" i="3"/>
  <c r="AM645" i="3"/>
  <c r="AK645" i="3"/>
  <c r="AJ645" i="3"/>
  <c r="AL645" i="3" s="1"/>
  <c r="AI645" i="3"/>
  <c r="AM644" i="3"/>
  <c r="AK644" i="3"/>
  <c r="AJ644" i="3"/>
  <c r="AL644" i="3" s="1"/>
  <c r="AI644" i="3"/>
  <c r="AM643" i="3"/>
  <c r="AK643" i="3"/>
  <c r="AJ643" i="3"/>
  <c r="AL643" i="3" s="1"/>
  <c r="AI643" i="3"/>
  <c r="AM642" i="3"/>
  <c r="AK642" i="3"/>
  <c r="AJ642" i="3"/>
  <c r="AL642" i="3" s="1"/>
  <c r="AI642" i="3"/>
  <c r="AM641" i="3"/>
  <c r="AK641" i="3"/>
  <c r="AJ641" i="3"/>
  <c r="AL641" i="3" s="1"/>
  <c r="AI641" i="3"/>
  <c r="AM640" i="3"/>
  <c r="AK640" i="3"/>
  <c r="AJ640" i="3"/>
  <c r="AL640" i="3" s="1"/>
  <c r="AI640" i="3"/>
  <c r="AM639" i="3"/>
  <c r="AK639" i="3"/>
  <c r="AJ639" i="3"/>
  <c r="AL639" i="3" s="1"/>
  <c r="AI639" i="3"/>
  <c r="AM638" i="3"/>
  <c r="AK638" i="3"/>
  <c r="AJ638" i="3"/>
  <c r="AL638" i="3" s="1"/>
  <c r="AI638" i="3"/>
  <c r="AM637" i="3"/>
  <c r="AK637" i="3"/>
  <c r="AJ637" i="3"/>
  <c r="AL637" i="3" s="1"/>
  <c r="AI637" i="3"/>
  <c r="AM636" i="3"/>
  <c r="AK636" i="3"/>
  <c r="AJ636" i="3"/>
  <c r="AL636" i="3" s="1"/>
  <c r="AI636" i="3"/>
  <c r="AM635" i="3"/>
  <c r="AK635" i="3"/>
  <c r="AJ635" i="3"/>
  <c r="AL635" i="3" s="1"/>
  <c r="AI635" i="3"/>
  <c r="AM634" i="3"/>
  <c r="AK634" i="3"/>
  <c r="AJ634" i="3"/>
  <c r="AL634" i="3"/>
  <c r="AI634" i="3"/>
  <c r="AM633" i="3"/>
  <c r="AK633" i="3"/>
  <c r="AJ633" i="3"/>
  <c r="AL633" i="3" s="1"/>
  <c r="AI633" i="3"/>
  <c r="AM632" i="3"/>
  <c r="AK632" i="3"/>
  <c r="AJ632" i="3"/>
  <c r="AL632" i="3" s="1"/>
  <c r="AI632" i="3"/>
  <c r="AM631" i="3"/>
  <c r="AK631" i="3"/>
  <c r="AJ631" i="3"/>
  <c r="AL631" i="3" s="1"/>
  <c r="AI631" i="3"/>
  <c r="AM630" i="3"/>
  <c r="AK630" i="3"/>
  <c r="AJ630" i="3"/>
  <c r="AL630" i="3" s="1"/>
  <c r="AI630" i="3"/>
  <c r="AM629" i="3"/>
  <c r="AK629" i="3"/>
  <c r="AJ629" i="3"/>
  <c r="AL629" i="3" s="1"/>
  <c r="AI629" i="3"/>
  <c r="AM628" i="3"/>
  <c r="AK628" i="3"/>
  <c r="AJ628" i="3"/>
  <c r="AL628" i="3" s="1"/>
  <c r="AI628" i="3"/>
  <c r="AM627" i="3"/>
  <c r="AK627" i="3"/>
  <c r="AJ627" i="3"/>
  <c r="AL627" i="3" s="1"/>
  <c r="AI627" i="3"/>
  <c r="AM626" i="3"/>
  <c r="AK626" i="3"/>
  <c r="AJ626" i="3"/>
  <c r="AL626" i="3" s="1"/>
  <c r="AI626" i="3"/>
  <c r="AM625" i="3"/>
  <c r="AK625" i="3"/>
  <c r="AJ625" i="3"/>
  <c r="AL625" i="3" s="1"/>
  <c r="AI625" i="3"/>
  <c r="AM624" i="3"/>
  <c r="AK624" i="3"/>
  <c r="AJ624" i="3"/>
  <c r="AL624" i="3" s="1"/>
  <c r="AI624" i="3"/>
  <c r="AM623" i="3"/>
  <c r="AK623" i="3"/>
  <c r="AJ623" i="3"/>
  <c r="AL623" i="3" s="1"/>
  <c r="AI623" i="3"/>
  <c r="AM622" i="3"/>
  <c r="AK622" i="3"/>
  <c r="AJ622" i="3"/>
  <c r="AL622" i="3" s="1"/>
  <c r="AI622" i="3"/>
  <c r="AM621" i="3"/>
  <c r="AK621" i="3"/>
  <c r="AJ621" i="3"/>
  <c r="AL621" i="3" s="1"/>
  <c r="AI621" i="3"/>
  <c r="AM620" i="3"/>
  <c r="AK620" i="3"/>
  <c r="AJ620" i="3"/>
  <c r="AL620" i="3" s="1"/>
  <c r="AI620" i="3"/>
  <c r="AM619" i="3"/>
  <c r="AK619" i="3"/>
  <c r="AJ619" i="3"/>
  <c r="AL619" i="3" s="1"/>
  <c r="AI619" i="3"/>
  <c r="AM618" i="3"/>
  <c r="AK618" i="3"/>
  <c r="AJ618" i="3"/>
  <c r="AL618" i="3" s="1"/>
  <c r="AI618" i="3"/>
  <c r="AM617" i="3"/>
  <c r="AK617" i="3"/>
  <c r="AJ617" i="3"/>
  <c r="AL617" i="3" s="1"/>
  <c r="AI617" i="3"/>
  <c r="AM616" i="3"/>
  <c r="AK616" i="3"/>
  <c r="AJ616" i="3"/>
  <c r="AL616" i="3" s="1"/>
  <c r="AI616" i="3"/>
  <c r="AM615" i="3"/>
  <c r="AK615" i="3"/>
  <c r="AJ615" i="3"/>
  <c r="AL615" i="3" s="1"/>
  <c r="AI615" i="3"/>
  <c r="AM614" i="3"/>
  <c r="AK614" i="3"/>
  <c r="AJ614" i="3"/>
  <c r="AL614" i="3" s="1"/>
  <c r="AI614" i="3"/>
  <c r="AM613" i="3"/>
  <c r="AK613" i="3"/>
  <c r="AJ613" i="3"/>
  <c r="AL613" i="3" s="1"/>
  <c r="AI613" i="3"/>
  <c r="AM612" i="3"/>
  <c r="AK612" i="3"/>
  <c r="AJ612" i="3"/>
  <c r="AL612" i="3" s="1"/>
  <c r="AI612" i="3"/>
  <c r="AM611" i="3"/>
  <c r="AK611" i="3"/>
  <c r="AJ611" i="3"/>
  <c r="AL611" i="3" s="1"/>
  <c r="AI611" i="3"/>
  <c r="AM610" i="3"/>
  <c r="AK610" i="3"/>
  <c r="AJ610" i="3"/>
  <c r="AL610" i="3" s="1"/>
  <c r="AI610" i="3"/>
  <c r="AM609" i="3"/>
  <c r="AK609" i="3"/>
  <c r="AJ609" i="3"/>
  <c r="AL609" i="3" s="1"/>
  <c r="AI609" i="3"/>
  <c r="AM608" i="3"/>
  <c r="AK608" i="3"/>
  <c r="AJ608" i="3"/>
  <c r="AL608" i="3" s="1"/>
  <c r="AI608" i="3"/>
  <c r="AM607" i="3"/>
  <c r="AK607" i="3"/>
  <c r="AJ607" i="3"/>
  <c r="AL607" i="3" s="1"/>
  <c r="AI607" i="3"/>
  <c r="AM606" i="3"/>
  <c r="AK606" i="3"/>
  <c r="AJ606" i="3"/>
  <c r="AL606" i="3" s="1"/>
  <c r="AI606" i="3"/>
  <c r="AM605" i="3"/>
  <c r="AK605" i="3"/>
  <c r="AJ605" i="3"/>
  <c r="AL605" i="3" s="1"/>
  <c r="AI605" i="3"/>
  <c r="AM604" i="3"/>
  <c r="AK604" i="3"/>
  <c r="AJ604" i="3"/>
  <c r="AL604" i="3" s="1"/>
  <c r="AI604" i="3"/>
  <c r="AM603" i="3"/>
  <c r="AK603" i="3"/>
  <c r="AJ603" i="3"/>
  <c r="AL603" i="3" s="1"/>
  <c r="AI603" i="3"/>
  <c r="AM602" i="3"/>
  <c r="AK602" i="3"/>
  <c r="AJ602" i="3"/>
  <c r="AL602" i="3" s="1"/>
  <c r="AI602" i="3"/>
  <c r="AM601" i="3"/>
  <c r="AK601" i="3"/>
  <c r="AJ601" i="3"/>
  <c r="AL601" i="3" s="1"/>
  <c r="AI601" i="3"/>
  <c r="AM600" i="3"/>
  <c r="AK600" i="3"/>
  <c r="AJ600" i="3"/>
  <c r="AL600" i="3" s="1"/>
  <c r="AI600" i="3"/>
  <c r="AM599" i="3"/>
  <c r="AK599" i="3"/>
  <c r="AJ599" i="3"/>
  <c r="AL599" i="3" s="1"/>
  <c r="AI599" i="3"/>
  <c r="AM598" i="3"/>
  <c r="AK598" i="3"/>
  <c r="AJ598" i="3"/>
  <c r="AL598" i="3" s="1"/>
  <c r="AI598" i="3"/>
  <c r="AM597" i="3"/>
  <c r="AK597" i="3"/>
  <c r="AJ597" i="3"/>
  <c r="AL597" i="3" s="1"/>
  <c r="AI597" i="3"/>
  <c r="AM596" i="3"/>
  <c r="AK596" i="3"/>
  <c r="AJ596" i="3"/>
  <c r="AL596" i="3" s="1"/>
  <c r="AI596" i="3"/>
  <c r="AM595" i="3"/>
  <c r="AK595" i="3"/>
  <c r="AJ595" i="3"/>
  <c r="AL595" i="3" s="1"/>
  <c r="AI595" i="3"/>
  <c r="AM594" i="3"/>
  <c r="AK594" i="3"/>
  <c r="AJ594" i="3"/>
  <c r="AL594" i="3" s="1"/>
  <c r="AI594" i="3"/>
  <c r="AM593" i="3"/>
  <c r="AK593" i="3"/>
  <c r="AJ593" i="3"/>
  <c r="AL593" i="3" s="1"/>
  <c r="AI593" i="3"/>
  <c r="AM592" i="3"/>
  <c r="AK592" i="3"/>
  <c r="AJ592" i="3"/>
  <c r="AL592" i="3" s="1"/>
  <c r="AI592" i="3"/>
  <c r="AM591" i="3"/>
  <c r="AK591" i="3"/>
  <c r="AJ591" i="3"/>
  <c r="AL591" i="3" s="1"/>
  <c r="AI591" i="3"/>
  <c r="AM590" i="3"/>
  <c r="AK590" i="3"/>
  <c r="AJ590" i="3"/>
  <c r="AL590" i="3" s="1"/>
  <c r="AI590" i="3"/>
  <c r="AM589" i="3"/>
  <c r="AK589" i="3"/>
  <c r="AJ589" i="3"/>
  <c r="AL589" i="3" s="1"/>
  <c r="AI589" i="3"/>
  <c r="AM588" i="3"/>
  <c r="AK588" i="3"/>
  <c r="AJ588" i="3"/>
  <c r="AL588" i="3" s="1"/>
  <c r="AI588" i="3"/>
  <c r="AM587" i="3"/>
  <c r="AK587" i="3"/>
  <c r="AJ587" i="3"/>
  <c r="AL587" i="3" s="1"/>
  <c r="AI587" i="3"/>
  <c r="AM586" i="3"/>
  <c r="AK586" i="3"/>
  <c r="AJ586" i="3"/>
  <c r="AL586" i="3" s="1"/>
  <c r="AI586" i="3"/>
  <c r="AM585" i="3"/>
  <c r="AK585" i="3"/>
  <c r="AJ585" i="3"/>
  <c r="AL585" i="3" s="1"/>
  <c r="AI585" i="3"/>
  <c r="AM584" i="3"/>
  <c r="AK584" i="3"/>
  <c r="AJ584" i="3"/>
  <c r="AL584" i="3" s="1"/>
  <c r="AI584" i="3"/>
  <c r="AM583" i="3"/>
  <c r="AK583" i="3"/>
  <c r="AJ583" i="3"/>
  <c r="AL583" i="3" s="1"/>
  <c r="AI583" i="3"/>
  <c r="AM582" i="3"/>
  <c r="AK582" i="3"/>
  <c r="AJ582" i="3"/>
  <c r="AL582" i="3" s="1"/>
  <c r="AI582" i="3"/>
  <c r="AM581" i="3"/>
  <c r="AK581" i="3"/>
  <c r="AJ581" i="3"/>
  <c r="AL581" i="3" s="1"/>
  <c r="AI581" i="3"/>
  <c r="AM580" i="3"/>
  <c r="AK580" i="3"/>
  <c r="AJ580" i="3"/>
  <c r="AL580" i="3" s="1"/>
  <c r="AI580" i="3"/>
  <c r="AM579" i="3"/>
  <c r="AK579" i="3"/>
  <c r="AJ579" i="3"/>
  <c r="AL579" i="3" s="1"/>
  <c r="AI579" i="3"/>
  <c r="AM578" i="3"/>
  <c r="AK578" i="3"/>
  <c r="AJ578" i="3"/>
  <c r="AL578" i="3"/>
  <c r="AI578" i="3"/>
  <c r="AM577" i="3"/>
  <c r="AK577" i="3"/>
  <c r="AJ577" i="3"/>
  <c r="AL577" i="3" s="1"/>
  <c r="AI577" i="3"/>
  <c r="AM576" i="3"/>
  <c r="AK576" i="3"/>
  <c r="AJ576" i="3"/>
  <c r="AL576" i="3" s="1"/>
  <c r="AI576" i="3"/>
  <c r="AM575" i="3"/>
  <c r="AK575" i="3"/>
  <c r="AJ575" i="3"/>
  <c r="AL575" i="3" s="1"/>
  <c r="AI575" i="3"/>
  <c r="AM574" i="3"/>
  <c r="AK574" i="3"/>
  <c r="AJ574" i="3"/>
  <c r="AL574" i="3" s="1"/>
  <c r="AI574" i="3"/>
  <c r="AM573" i="3"/>
  <c r="AK573" i="3"/>
  <c r="AJ573" i="3"/>
  <c r="AL573" i="3" s="1"/>
  <c r="AI573" i="3"/>
  <c r="AM572" i="3"/>
  <c r="AK572" i="3"/>
  <c r="AJ572" i="3"/>
  <c r="AL572" i="3" s="1"/>
  <c r="AI572" i="3"/>
  <c r="AM571" i="3"/>
  <c r="AK571" i="3"/>
  <c r="AJ571" i="3"/>
  <c r="AL571" i="3" s="1"/>
  <c r="AI571" i="3"/>
  <c r="AM570" i="3"/>
  <c r="AK570" i="3"/>
  <c r="AJ570" i="3"/>
  <c r="AL570" i="3" s="1"/>
  <c r="AI570" i="3"/>
  <c r="AM569" i="3"/>
  <c r="AK569" i="3"/>
  <c r="AJ569" i="3"/>
  <c r="AL569" i="3" s="1"/>
  <c r="AI569" i="3"/>
  <c r="AM568" i="3"/>
  <c r="AK568" i="3"/>
  <c r="AJ568" i="3"/>
  <c r="AL568" i="3" s="1"/>
  <c r="AI568" i="3"/>
  <c r="AM567" i="3"/>
  <c r="AK567" i="3"/>
  <c r="AJ567" i="3"/>
  <c r="AL567" i="3" s="1"/>
  <c r="AI567" i="3"/>
  <c r="AM566" i="3"/>
  <c r="AK566" i="3"/>
  <c r="AJ566" i="3"/>
  <c r="AL566" i="3" s="1"/>
  <c r="AI566" i="3"/>
  <c r="AM565" i="3"/>
  <c r="AK565" i="3"/>
  <c r="AJ565" i="3"/>
  <c r="AL565" i="3" s="1"/>
  <c r="AI565" i="3"/>
  <c r="AM564" i="3"/>
  <c r="AK564" i="3"/>
  <c r="AJ564" i="3"/>
  <c r="AL564" i="3" s="1"/>
  <c r="AI564" i="3"/>
  <c r="AM563" i="3"/>
  <c r="AK563" i="3"/>
  <c r="AJ563" i="3"/>
  <c r="AL563" i="3" s="1"/>
  <c r="AI563" i="3"/>
  <c r="AM562" i="3"/>
  <c r="AK562" i="3"/>
  <c r="AJ562" i="3"/>
  <c r="AL562" i="3" s="1"/>
  <c r="AI562" i="3"/>
  <c r="AM561" i="3"/>
  <c r="AK561" i="3"/>
  <c r="AJ561" i="3"/>
  <c r="AL561" i="3" s="1"/>
  <c r="AI561" i="3"/>
  <c r="AM560" i="3"/>
  <c r="AK560" i="3"/>
  <c r="AJ560" i="3"/>
  <c r="AL560" i="3" s="1"/>
  <c r="AI560" i="3"/>
  <c r="AM559" i="3"/>
  <c r="AK559" i="3"/>
  <c r="AJ559" i="3"/>
  <c r="AL559" i="3" s="1"/>
  <c r="AI559" i="3"/>
  <c r="AM558" i="3"/>
  <c r="AK558" i="3"/>
  <c r="AJ558" i="3"/>
  <c r="AL558" i="3" s="1"/>
  <c r="AI558" i="3"/>
  <c r="AM557" i="3"/>
  <c r="AK557" i="3"/>
  <c r="AJ557" i="3"/>
  <c r="AL557" i="3" s="1"/>
  <c r="AI557" i="3"/>
  <c r="AM556" i="3"/>
  <c r="AK556" i="3"/>
  <c r="AJ556" i="3"/>
  <c r="AL556" i="3" s="1"/>
  <c r="AI556" i="3"/>
  <c r="AM555" i="3"/>
  <c r="AK555" i="3"/>
  <c r="AJ555" i="3"/>
  <c r="AL555" i="3" s="1"/>
  <c r="AI555" i="3"/>
  <c r="AM554" i="3"/>
  <c r="AK554" i="3"/>
  <c r="AJ554" i="3"/>
  <c r="AL554" i="3" s="1"/>
  <c r="AI554" i="3"/>
  <c r="AM553" i="3"/>
  <c r="AK553" i="3"/>
  <c r="AJ553" i="3"/>
  <c r="AL553" i="3" s="1"/>
  <c r="AI553" i="3"/>
  <c r="AM552" i="3"/>
  <c r="AK552" i="3"/>
  <c r="AJ552" i="3"/>
  <c r="AL552" i="3" s="1"/>
  <c r="AI552" i="3"/>
  <c r="AM551" i="3"/>
  <c r="AK551" i="3"/>
  <c r="AJ551" i="3"/>
  <c r="AL551" i="3" s="1"/>
  <c r="AI551" i="3"/>
  <c r="AM550" i="3"/>
  <c r="AK550" i="3"/>
  <c r="AJ550" i="3"/>
  <c r="AL550" i="3" s="1"/>
  <c r="AI550" i="3"/>
  <c r="AM549" i="3"/>
  <c r="AK549" i="3"/>
  <c r="AJ549" i="3"/>
  <c r="AL549" i="3" s="1"/>
  <c r="AI549" i="3"/>
  <c r="AM548" i="3"/>
  <c r="AK548" i="3"/>
  <c r="AJ548" i="3"/>
  <c r="AL548" i="3" s="1"/>
  <c r="AI548" i="3"/>
  <c r="AM547" i="3"/>
  <c r="AK547" i="3"/>
  <c r="AJ547" i="3"/>
  <c r="AL547" i="3" s="1"/>
  <c r="AI547" i="3"/>
  <c r="AM546" i="3"/>
  <c r="AK546" i="3"/>
  <c r="AJ546" i="3"/>
  <c r="AL546" i="3" s="1"/>
  <c r="AI546" i="3"/>
  <c r="AM545" i="3"/>
  <c r="AK545" i="3"/>
  <c r="AJ545" i="3"/>
  <c r="AL545" i="3" s="1"/>
  <c r="AI545" i="3"/>
  <c r="AM544" i="3"/>
  <c r="AK544" i="3"/>
  <c r="AJ544" i="3"/>
  <c r="AL544" i="3" s="1"/>
  <c r="AI544" i="3"/>
  <c r="AM543" i="3"/>
  <c r="AK543" i="3"/>
  <c r="AJ543" i="3"/>
  <c r="AL543" i="3" s="1"/>
  <c r="AI543" i="3"/>
  <c r="AM542" i="3"/>
  <c r="AK542" i="3"/>
  <c r="AJ542" i="3"/>
  <c r="AL542" i="3" s="1"/>
  <c r="AI542" i="3"/>
  <c r="AM541" i="3"/>
  <c r="AK541" i="3"/>
  <c r="AJ541" i="3"/>
  <c r="AL541" i="3" s="1"/>
  <c r="AI541" i="3"/>
  <c r="AM540" i="3"/>
  <c r="AK540" i="3"/>
  <c r="AJ540" i="3"/>
  <c r="AL540" i="3" s="1"/>
  <c r="AI540" i="3"/>
  <c r="AM539" i="3"/>
  <c r="AK539" i="3"/>
  <c r="AJ539" i="3"/>
  <c r="AL539" i="3" s="1"/>
  <c r="AI539" i="3"/>
  <c r="AM538" i="3"/>
  <c r="AK538" i="3"/>
  <c r="AJ538" i="3"/>
  <c r="AL538" i="3"/>
  <c r="AI538" i="3"/>
  <c r="AM537" i="3"/>
  <c r="AK537" i="3"/>
  <c r="AJ537" i="3"/>
  <c r="AL537" i="3" s="1"/>
  <c r="AI537" i="3"/>
  <c r="AM536" i="3"/>
  <c r="AK536" i="3"/>
  <c r="AJ536" i="3"/>
  <c r="AL536" i="3" s="1"/>
  <c r="AI536" i="3"/>
  <c r="AM535" i="3"/>
  <c r="AK535" i="3"/>
  <c r="AJ535" i="3"/>
  <c r="AL535" i="3" s="1"/>
  <c r="AI535" i="3"/>
  <c r="AM534" i="3"/>
  <c r="AK534" i="3"/>
  <c r="AJ534" i="3"/>
  <c r="AL534" i="3" s="1"/>
  <c r="AI534" i="3"/>
  <c r="AM533" i="3"/>
  <c r="AK533" i="3"/>
  <c r="AJ533" i="3"/>
  <c r="AL533" i="3" s="1"/>
  <c r="AI533" i="3"/>
  <c r="AM532" i="3"/>
  <c r="AK532" i="3"/>
  <c r="AJ532" i="3"/>
  <c r="AL532" i="3" s="1"/>
  <c r="AI532" i="3"/>
  <c r="AM531" i="3"/>
  <c r="AK531" i="3"/>
  <c r="AJ531" i="3"/>
  <c r="AL531" i="3" s="1"/>
  <c r="AI531" i="3"/>
  <c r="AM530" i="3"/>
  <c r="AK530" i="3"/>
  <c r="AJ530" i="3"/>
  <c r="AL530" i="3" s="1"/>
  <c r="AI530" i="3"/>
  <c r="AM529" i="3"/>
  <c r="AK529" i="3"/>
  <c r="AJ529" i="3"/>
  <c r="AL529" i="3" s="1"/>
  <c r="AI529" i="3"/>
  <c r="AM528" i="3"/>
  <c r="AK528" i="3"/>
  <c r="AJ528" i="3"/>
  <c r="AL528" i="3" s="1"/>
  <c r="AI528" i="3"/>
  <c r="AM527" i="3"/>
  <c r="AK527" i="3"/>
  <c r="AJ527" i="3"/>
  <c r="AL527" i="3" s="1"/>
  <c r="AI527" i="3"/>
  <c r="AM526" i="3"/>
  <c r="AK526" i="3"/>
  <c r="AJ526" i="3"/>
  <c r="AL526" i="3" s="1"/>
  <c r="AI526" i="3"/>
  <c r="AM525" i="3"/>
  <c r="AK525" i="3"/>
  <c r="AJ525" i="3"/>
  <c r="AL525" i="3" s="1"/>
  <c r="AI525" i="3"/>
  <c r="AM524" i="3"/>
  <c r="AK524" i="3"/>
  <c r="AJ524" i="3"/>
  <c r="AL524" i="3" s="1"/>
  <c r="AI524" i="3"/>
  <c r="AM523" i="3"/>
  <c r="AK523" i="3"/>
  <c r="AJ523" i="3"/>
  <c r="AL523" i="3" s="1"/>
  <c r="AI523" i="3"/>
  <c r="AM522" i="3"/>
  <c r="AK522" i="3"/>
  <c r="AJ522" i="3"/>
  <c r="AL522" i="3" s="1"/>
  <c r="AI522" i="3"/>
  <c r="AM521" i="3"/>
  <c r="AK521" i="3"/>
  <c r="AJ521" i="3"/>
  <c r="AL521" i="3" s="1"/>
  <c r="AI521" i="3"/>
  <c r="AM520" i="3"/>
  <c r="AK520" i="3"/>
  <c r="AJ520" i="3"/>
  <c r="AL520" i="3" s="1"/>
  <c r="AI520" i="3"/>
  <c r="AM519" i="3"/>
  <c r="AK519" i="3"/>
  <c r="AJ519" i="3"/>
  <c r="AL519" i="3" s="1"/>
  <c r="AI519" i="3"/>
  <c r="AM518" i="3"/>
  <c r="AK518" i="3"/>
  <c r="AJ518" i="3"/>
  <c r="AL518" i="3" s="1"/>
  <c r="AI518" i="3"/>
  <c r="AM517" i="3"/>
  <c r="AK517" i="3"/>
  <c r="AJ517" i="3"/>
  <c r="AL517" i="3" s="1"/>
  <c r="AI517" i="3"/>
  <c r="AM516" i="3"/>
  <c r="AK516" i="3"/>
  <c r="AJ516" i="3"/>
  <c r="AL516" i="3" s="1"/>
  <c r="AI516" i="3"/>
  <c r="AM515" i="3"/>
  <c r="AK515" i="3"/>
  <c r="AJ515" i="3"/>
  <c r="AL515" i="3" s="1"/>
  <c r="AI515" i="3"/>
  <c r="AM514" i="3"/>
  <c r="AK514" i="3"/>
  <c r="AJ514" i="3"/>
  <c r="AL514" i="3"/>
  <c r="AI514" i="3"/>
  <c r="AM513" i="3"/>
  <c r="AK513" i="3"/>
  <c r="AJ513" i="3"/>
  <c r="AL513" i="3" s="1"/>
  <c r="AI513" i="3"/>
  <c r="AM512" i="3"/>
  <c r="AK512" i="3"/>
  <c r="AJ512" i="3"/>
  <c r="AL512" i="3" s="1"/>
  <c r="AI512" i="3"/>
  <c r="AM511" i="3"/>
  <c r="AK511" i="3"/>
  <c r="AJ511" i="3"/>
  <c r="AL511" i="3" s="1"/>
  <c r="AI511" i="3"/>
  <c r="AM510" i="3"/>
  <c r="AK510" i="3"/>
  <c r="AJ510" i="3"/>
  <c r="AL510" i="3" s="1"/>
  <c r="AI510" i="3"/>
  <c r="AM509" i="3"/>
  <c r="AK509" i="3"/>
  <c r="AJ509" i="3"/>
  <c r="AL509" i="3" s="1"/>
  <c r="AI509" i="3"/>
  <c r="AM508" i="3"/>
  <c r="AK508" i="3"/>
  <c r="AJ508" i="3"/>
  <c r="AL508" i="3" s="1"/>
  <c r="AI508" i="3"/>
  <c r="AM507" i="3"/>
  <c r="AK507" i="3"/>
  <c r="AJ507" i="3"/>
  <c r="AL507" i="3" s="1"/>
  <c r="AI507" i="3"/>
  <c r="AM506" i="3"/>
  <c r="AK506" i="3"/>
  <c r="AJ506" i="3"/>
  <c r="AL506" i="3" s="1"/>
  <c r="AI506" i="3"/>
  <c r="AM505" i="3"/>
  <c r="AK505" i="3"/>
  <c r="AJ505" i="3"/>
  <c r="AL505" i="3" s="1"/>
  <c r="AI505" i="3"/>
  <c r="AM504" i="3"/>
  <c r="AK504" i="3"/>
  <c r="AJ504" i="3"/>
  <c r="AL504" i="3" s="1"/>
  <c r="AI504" i="3"/>
  <c r="AM503" i="3"/>
  <c r="AK503" i="3"/>
  <c r="AJ503" i="3"/>
  <c r="AL503" i="3" s="1"/>
  <c r="AI503" i="3"/>
  <c r="AM502" i="3"/>
  <c r="AK502" i="3"/>
  <c r="AJ502" i="3"/>
  <c r="AL502" i="3" s="1"/>
  <c r="AI502" i="3"/>
  <c r="AM501" i="3"/>
  <c r="AK501" i="3"/>
  <c r="AJ501" i="3"/>
  <c r="AL501" i="3" s="1"/>
  <c r="AI501" i="3"/>
  <c r="AM500" i="3"/>
  <c r="AK500" i="3"/>
  <c r="AJ500" i="3"/>
  <c r="AL500" i="3" s="1"/>
  <c r="AI500" i="3"/>
  <c r="AM499" i="3"/>
  <c r="AK499" i="3"/>
  <c r="AJ499" i="3"/>
  <c r="AL499" i="3" s="1"/>
  <c r="AI499" i="3"/>
  <c r="AM498" i="3"/>
  <c r="AK498" i="3"/>
  <c r="AJ498" i="3"/>
  <c r="AL498" i="3" s="1"/>
  <c r="AI498" i="3"/>
  <c r="AM497" i="3"/>
  <c r="AK497" i="3"/>
  <c r="AJ497" i="3"/>
  <c r="AL497" i="3" s="1"/>
  <c r="AI497" i="3"/>
  <c r="AM496" i="3"/>
  <c r="AK496" i="3"/>
  <c r="AJ496" i="3"/>
  <c r="AL496" i="3" s="1"/>
  <c r="AI496" i="3"/>
  <c r="AM495" i="3"/>
  <c r="AK495" i="3"/>
  <c r="AJ495" i="3"/>
  <c r="AL495" i="3" s="1"/>
  <c r="AI495" i="3"/>
  <c r="AM494" i="3"/>
  <c r="AK494" i="3"/>
  <c r="AJ494" i="3"/>
  <c r="AL494" i="3" s="1"/>
  <c r="AI494" i="3"/>
  <c r="AM493" i="3"/>
  <c r="AK493" i="3"/>
  <c r="AJ493" i="3"/>
  <c r="AL493" i="3" s="1"/>
  <c r="AI493" i="3"/>
  <c r="AM492" i="3"/>
  <c r="AK492" i="3"/>
  <c r="AJ492" i="3"/>
  <c r="AL492" i="3" s="1"/>
  <c r="AI492" i="3"/>
  <c r="AM491" i="3"/>
  <c r="AK491" i="3"/>
  <c r="AJ491" i="3"/>
  <c r="AL491" i="3" s="1"/>
  <c r="AI491" i="3"/>
  <c r="AM490" i="3"/>
  <c r="AK490" i="3"/>
  <c r="AJ490" i="3"/>
  <c r="AL490" i="3"/>
  <c r="AI490" i="3"/>
  <c r="AM489" i="3"/>
  <c r="AK489" i="3"/>
  <c r="AJ489" i="3"/>
  <c r="AL489" i="3" s="1"/>
  <c r="AI489" i="3"/>
  <c r="AM488" i="3"/>
  <c r="AK488" i="3"/>
  <c r="AJ488" i="3"/>
  <c r="AL488" i="3" s="1"/>
  <c r="AI488" i="3"/>
  <c r="AM487" i="3"/>
  <c r="AK487" i="3"/>
  <c r="AJ487" i="3"/>
  <c r="AL487" i="3" s="1"/>
  <c r="AI487" i="3"/>
  <c r="AM486" i="3"/>
  <c r="AK486" i="3"/>
  <c r="AJ486" i="3"/>
  <c r="AL486" i="3" s="1"/>
  <c r="AI486" i="3"/>
  <c r="AM485" i="3"/>
  <c r="AK485" i="3"/>
  <c r="AJ485" i="3"/>
  <c r="AL485" i="3" s="1"/>
  <c r="AI485" i="3"/>
  <c r="AM484" i="3"/>
  <c r="AK484" i="3"/>
  <c r="AJ484" i="3"/>
  <c r="AL484" i="3" s="1"/>
  <c r="AI484" i="3"/>
  <c r="AM483" i="3"/>
  <c r="AK483" i="3"/>
  <c r="AJ483" i="3"/>
  <c r="AL483" i="3" s="1"/>
  <c r="AI483" i="3"/>
  <c r="AM482" i="3"/>
  <c r="AK482" i="3"/>
  <c r="AJ482" i="3"/>
  <c r="AL482" i="3" s="1"/>
  <c r="AI482" i="3"/>
  <c r="AM481" i="3"/>
  <c r="AK481" i="3"/>
  <c r="AJ481" i="3"/>
  <c r="AL481" i="3" s="1"/>
  <c r="AI481" i="3"/>
  <c r="AM480" i="3"/>
  <c r="AK480" i="3"/>
  <c r="AJ480" i="3"/>
  <c r="AL480" i="3" s="1"/>
  <c r="AI480" i="3"/>
  <c r="AM479" i="3"/>
  <c r="AK479" i="3"/>
  <c r="AJ479" i="3"/>
  <c r="AL479" i="3" s="1"/>
  <c r="AI479" i="3"/>
  <c r="AM478" i="3"/>
  <c r="AK478" i="3"/>
  <c r="AJ478" i="3"/>
  <c r="AL478" i="3" s="1"/>
  <c r="AI478" i="3"/>
  <c r="AM477" i="3"/>
  <c r="AK477" i="3"/>
  <c r="AJ477" i="3"/>
  <c r="AL477" i="3" s="1"/>
  <c r="AI477" i="3"/>
  <c r="AM476" i="3"/>
  <c r="AK476" i="3"/>
  <c r="AJ476" i="3"/>
  <c r="AL476" i="3" s="1"/>
  <c r="AI476" i="3"/>
  <c r="AM475" i="3"/>
  <c r="AK475" i="3"/>
  <c r="AJ475" i="3"/>
  <c r="AL475" i="3" s="1"/>
  <c r="AI475" i="3"/>
  <c r="AM474" i="3"/>
  <c r="AK474" i="3"/>
  <c r="AJ474" i="3"/>
  <c r="AL474" i="3" s="1"/>
  <c r="AI474" i="3"/>
  <c r="AM473" i="3"/>
  <c r="AK473" i="3"/>
  <c r="AJ473" i="3"/>
  <c r="AL473" i="3" s="1"/>
  <c r="AI473" i="3"/>
  <c r="AM472" i="3"/>
  <c r="AK472" i="3"/>
  <c r="AJ472" i="3"/>
  <c r="AL472" i="3" s="1"/>
  <c r="AI472" i="3"/>
  <c r="AM471" i="3"/>
  <c r="AK471" i="3"/>
  <c r="AJ471" i="3"/>
  <c r="AL471" i="3" s="1"/>
  <c r="AI471" i="3"/>
  <c r="AM470" i="3"/>
  <c r="AK470" i="3"/>
  <c r="AJ470" i="3"/>
  <c r="AL470" i="3" s="1"/>
  <c r="AI470" i="3"/>
  <c r="AM469" i="3"/>
  <c r="AK469" i="3"/>
  <c r="AJ469" i="3"/>
  <c r="AL469" i="3" s="1"/>
  <c r="AI469" i="3"/>
  <c r="AM468" i="3"/>
  <c r="AK468" i="3"/>
  <c r="AJ468" i="3"/>
  <c r="AL468" i="3"/>
  <c r="AI468" i="3"/>
  <c r="AM467" i="3"/>
  <c r="AK467" i="3"/>
  <c r="AJ467" i="3"/>
  <c r="AL467" i="3" s="1"/>
  <c r="AI467" i="3"/>
  <c r="AM466" i="3"/>
  <c r="AK466" i="3"/>
  <c r="AJ466" i="3"/>
  <c r="AL466" i="3" s="1"/>
  <c r="AI466" i="3"/>
  <c r="AM465" i="3"/>
  <c r="AK465" i="3"/>
  <c r="AJ465" i="3"/>
  <c r="AL465" i="3" s="1"/>
  <c r="AI465" i="3"/>
  <c r="AM464" i="3"/>
  <c r="AK464" i="3"/>
  <c r="AJ464" i="3"/>
  <c r="AL464" i="3" s="1"/>
  <c r="AI464" i="3"/>
  <c r="AM463" i="3"/>
  <c r="AK463" i="3"/>
  <c r="AJ463" i="3"/>
  <c r="AL463" i="3" s="1"/>
  <c r="AI463" i="3"/>
  <c r="AM462" i="3"/>
  <c r="AK462" i="3"/>
  <c r="AJ462" i="3"/>
  <c r="AL462" i="3" s="1"/>
  <c r="AI462" i="3"/>
  <c r="AM461" i="3"/>
  <c r="AK461" i="3"/>
  <c r="AJ461" i="3"/>
  <c r="AL461" i="3" s="1"/>
  <c r="AI461" i="3"/>
  <c r="AM460" i="3"/>
  <c r="AK460" i="3"/>
  <c r="AJ460" i="3"/>
  <c r="AL460" i="3" s="1"/>
  <c r="AI460" i="3"/>
  <c r="AM459" i="3"/>
  <c r="AK459" i="3"/>
  <c r="AJ459" i="3"/>
  <c r="AL459" i="3" s="1"/>
  <c r="AI459" i="3"/>
  <c r="AM458" i="3"/>
  <c r="AK458" i="3"/>
  <c r="AJ458" i="3"/>
  <c r="AL458" i="3" s="1"/>
  <c r="AI458" i="3"/>
  <c r="AM457" i="3"/>
  <c r="AK457" i="3"/>
  <c r="AJ457" i="3"/>
  <c r="AL457" i="3" s="1"/>
  <c r="AI457" i="3"/>
  <c r="AM456" i="3"/>
  <c r="AK456" i="3"/>
  <c r="AJ456" i="3"/>
  <c r="AL456" i="3" s="1"/>
  <c r="AI456" i="3"/>
  <c r="AM455" i="3"/>
  <c r="AK455" i="3"/>
  <c r="AJ455" i="3"/>
  <c r="AL455" i="3" s="1"/>
  <c r="AI455" i="3"/>
  <c r="AM454" i="3"/>
  <c r="AK454" i="3"/>
  <c r="AJ454" i="3"/>
  <c r="AL454" i="3" s="1"/>
  <c r="AI454" i="3"/>
  <c r="AM453" i="3"/>
  <c r="AK453" i="3"/>
  <c r="AJ453" i="3"/>
  <c r="AL453" i="3" s="1"/>
  <c r="AI453" i="3"/>
  <c r="AM452" i="3"/>
  <c r="AK452" i="3"/>
  <c r="AJ452" i="3"/>
  <c r="AL452" i="3" s="1"/>
  <c r="AI452" i="3"/>
  <c r="AM451" i="3"/>
  <c r="AK451" i="3"/>
  <c r="AJ451" i="3"/>
  <c r="AL451" i="3"/>
  <c r="AI451" i="3"/>
  <c r="AM450" i="3"/>
  <c r="AK450" i="3"/>
  <c r="AJ450" i="3"/>
  <c r="AL450" i="3" s="1"/>
  <c r="AI450" i="3"/>
  <c r="AM449" i="3"/>
  <c r="AK449" i="3"/>
  <c r="AJ449" i="3"/>
  <c r="AL449" i="3" s="1"/>
  <c r="AI449" i="3"/>
  <c r="AM448" i="3"/>
  <c r="AK448" i="3"/>
  <c r="AJ448" i="3"/>
  <c r="AL448" i="3" s="1"/>
  <c r="AI448" i="3"/>
  <c r="AM447" i="3"/>
  <c r="AK447" i="3"/>
  <c r="AJ447" i="3"/>
  <c r="AL447" i="3" s="1"/>
  <c r="AI447" i="3"/>
  <c r="AM446" i="3"/>
  <c r="AK446" i="3"/>
  <c r="AJ446" i="3"/>
  <c r="AL446" i="3" s="1"/>
  <c r="AI446" i="3"/>
  <c r="AM445" i="3"/>
  <c r="AK445" i="3"/>
  <c r="AJ445" i="3"/>
  <c r="AL445" i="3" s="1"/>
  <c r="AI445" i="3"/>
  <c r="AM444" i="3"/>
  <c r="AK444" i="3"/>
  <c r="AJ444" i="3"/>
  <c r="AL444" i="3" s="1"/>
  <c r="AI444" i="3"/>
  <c r="AM443" i="3"/>
  <c r="AK443" i="3"/>
  <c r="AJ443" i="3"/>
  <c r="AL443" i="3" s="1"/>
  <c r="AI443" i="3"/>
  <c r="AM442" i="3"/>
  <c r="AK442" i="3"/>
  <c r="AJ442" i="3"/>
  <c r="AL442" i="3" s="1"/>
  <c r="AI442" i="3"/>
  <c r="AM441" i="3"/>
  <c r="AK441" i="3"/>
  <c r="AJ441" i="3"/>
  <c r="AL441" i="3" s="1"/>
  <c r="AI441" i="3"/>
  <c r="AM440" i="3"/>
  <c r="AK440" i="3"/>
  <c r="AJ440" i="3"/>
  <c r="AL440" i="3" s="1"/>
  <c r="AI440" i="3"/>
  <c r="AM439" i="3"/>
  <c r="AK439" i="3"/>
  <c r="AJ439" i="3"/>
  <c r="AL439" i="3" s="1"/>
  <c r="AI439" i="3"/>
  <c r="AM438" i="3"/>
  <c r="AK438" i="3"/>
  <c r="AJ438" i="3"/>
  <c r="AL438" i="3" s="1"/>
  <c r="AI438" i="3"/>
  <c r="AM437" i="3"/>
  <c r="AK437" i="3"/>
  <c r="AJ437" i="3"/>
  <c r="AL437" i="3" s="1"/>
  <c r="AI437" i="3"/>
  <c r="AM436" i="3"/>
  <c r="AK436" i="3"/>
  <c r="AJ436" i="3"/>
  <c r="AL436" i="3" s="1"/>
  <c r="AI436" i="3"/>
  <c r="AM435" i="3"/>
  <c r="AK435" i="3"/>
  <c r="AJ435" i="3"/>
  <c r="AL435" i="3" s="1"/>
  <c r="AI435" i="3"/>
  <c r="AM434" i="3"/>
  <c r="AK434" i="3"/>
  <c r="AJ434" i="3"/>
  <c r="AL434" i="3" s="1"/>
  <c r="AI434" i="3"/>
  <c r="AM433" i="3"/>
  <c r="AK433" i="3"/>
  <c r="AJ433" i="3"/>
  <c r="AL433" i="3" s="1"/>
  <c r="AI433" i="3"/>
  <c r="AM432" i="3"/>
  <c r="AK432" i="3"/>
  <c r="AJ432" i="3"/>
  <c r="AL432" i="3" s="1"/>
  <c r="AI432" i="3"/>
  <c r="AM431" i="3"/>
  <c r="AK431" i="3"/>
  <c r="AJ431" i="3"/>
  <c r="AL431" i="3" s="1"/>
  <c r="AI431" i="3"/>
  <c r="AM430" i="3"/>
  <c r="AK430" i="3"/>
  <c r="AJ430" i="3"/>
  <c r="AL430" i="3" s="1"/>
  <c r="AI430" i="3"/>
  <c r="AM429" i="3"/>
  <c r="AK429" i="3"/>
  <c r="AJ429" i="3"/>
  <c r="AL429" i="3" s="1"/>
  <c r="AI429" i="3"/>
  <c r="AM428" i="3"/>
  <c r="AK428" i="3"/>
  <c r="AJ428" i="3"/>
  <c r="AL428" i="3" s="1"/>
  <c r="AI428" i="3"/>
  <c r="AM427" i="3"/>
  <c r="AK427" i="3"/>
  <c r="AJ427" i="3"/>
  <c r="AL427" i="3" s="1"/>
  <c r="AI427" i="3"/>
  <c r="AM426" i="3"/>
  <c r="AK426" i="3"/>
  <c r="AJ426" i="3"/>
  <c r="AL426" i="3" s="1"/>
  <c r="AI426" i="3"/>
  <c r="AM425" i="3"/>
  <c r="AK425" i="3"/>
  <c r="AJ425" i="3"/>
  <c r="AL425" i="3" s="1"/>
  <c r="AI425" i="3"/>
  <c r="AM424" i="3"/>
  <c r="AK424" i="3"/>
  <c r="AJ424" i="3"/>
  <c r="AL424" i="3" s="1"/>
  <c r="AI424" i="3"/>
  <c r="AM423" i="3"/>
  <c r="AK423" i="3"/>
  <c r="AJ423" i="3"/>
  <c r="AL423" i="3" s="1"/>
  <c r="AI423" i="3"/>
  <c r="AM422" i="3"/>
  <c r="AK422" i="3"/>
  <c r="AJ422" i="3"/>
  <c r="AL422" i="3" s="1"/>
  <c r="AI422" i="3"/>
  <c r="AM421" i="3"/>
  <c r="AK421" i="3"/>
  <c r="AJ421" i="3"/>
  <c r="AL421" i="3" s="1"/>
  <c r="AI421" i="3"/>
  <c r="AM420" i="3"/>
  <c r="AK420" i="3"/>
  <c r="AJ420" i="3"/>
  <c r="AL420" i="3"/>
  <c r="AI420" i="3"/>
  <c r="AM419" i="3"/>
  <c r="AK419" i="3"/>
  <c r="AJ419" i="3"/>
  <c r="AL419" i="3" s="1"/>
  <c r="AI419" i="3"/>
  <c r="AM418" i="3"/>
  <c r="AK418" i="3"/>
  <c r="AJ418" i="3"/>
  <c r="AL418" i="3" s="1"/>
  <c r="AI418" i="3"/>
  <c r="AM417" i="3"/>
  <c r="AK417" i="3"/>
  <c r="AJ417" i="3"/>
  <c r="AL417" i="3" s="1"/>
  <c r="AI417" i="3"/>
  <c r="AM416" i="3"/>
  <c r="AK416" i="3"/>
  <c r="AJ416" i="3"/>
  <c r="AL416" i="3" s="1"/>
  <c r="AI416" i="3"/>
  <c r="AM415" i="3"/>
  <c r="AK415" i="3"/>
  <c r="AJ415" i="3"/>
  <c r="AL415" i="3" s="1"/>
  <c r="AI415" i="3"/>
  <c r="AM414" i="3"/>
  <c r="AK414" i="3"/>
  <c r="AJ414" i="3"/>
  <c r="AL414" i="3" s="1"/>
  <c r="AI414" i="3"/>
  <c r="AM413" i="3"/>
  <c r="AK413" i="3"/>
  <c r="AJ413" i="3"/>
  <c r="AL413" i="3" s="1"/>
  <c r="AI413" i="3"/>
  <c r="AM412" i="3"/>
  <c r="AK412" i="3"/>
  <c r="AJ412" i="3"/>
  <c r="AL412" i="3" s="1"/>
  <c r="AI412" i="3"/>
  <c r="AM411" i="3"/>
  <c r="AK411" i="3"/>
  <c r="AJ411" i="3"/>
  <c r="AL411" i="3" s="1"/>
  <c r="AI411" i="3"/>
  <c r="AM410" i="3"/>
  <c r="AK410" i="3"/>
  <c r="AJ410" i="3"/>
  <c r="AL410" i="3" s="1"/>
  <c r="AI410" i="3"/>
  <c r="AM409" i="3"/>
  <c r="AK409" i="3"/>
  <c r="AJ409" i="3"/>
  <c r="AL409" i="3" s="1"/>
  <c r="AI409" i="3"/>
  <c r="AM408" i="3"/>
  <c r="AK408" i="3"/>
  <c r="AJ408" i="3"/>
  <c r="AL408" i="3" s="1"/>
  <c r="AI408" i="3"/>
  <c r="AM407" i="3"/>
  <c r="AK407" i="3"/>
  <c r="AJ407" i="3"/>
  <c r="AL407" i="3" s="1"/>
  <c r="AI407" i="3"/>
  <c r="AM406" i="3"/>
  <c r="AK406" i="3"/>
  <c r="AJ406" i="3"/>
  <c r="AL406" i="3" s="1"/>
  <c r="AI406" i="3"/>
  <c r="AM405" i="3"/>
  <c r="AK405" i="3"/>
  <c r="AJ405" i="3"/>
  <c r="AL405" i="3" s="1"/>
  <c r="AI405" i="3"/>
  <c r="AM404" i="3"/>
  <c r="AK404" i="3"/>
  <c r="AJ404" i="3"/>
  <c r="AL404" i="3" s="1"/>
  <c r="AI404" i="3"/>
  <c r="AM403" i="3"/>
  <c r="AK403" i="3"/>
  <c r="AJ403" i="3"/>
  <c r="AL403" i="3"/>
  <c r="AI403" i="3"/>
  <c r="AM402" i="3"/>
  <c r="AK402" i="3"/>
  <c r="AJ402" i="3"/>
  <c r="AL402" i="3" s="1"/>
  <c r="AI402" i="3"/>
  <c r="AM401" i="3"/>
  <c r="AK401" i="3"/>
  <c r="AJ401" i="3"/>
  <c r="AL401" i="3" s="1"/>
  <c r="AI401" i="3"/>
  <c r="AM400" i="3"/>
  <c r="AK400" i="3"/>
  <c r="AJ400" i="3"/>
  <c r="AL400" i="3" s="1"/>
  <c r="AI400" i="3"/>
  <c r="AM399" i="3"/>
  <c r="AK399" i="3"/>
  <c r="AJ399" i="3"/>
  <c r="AL399" i="3" s="1"/>
  <c r="AI399" i="3"/>
  <c r="AM398" i="3"/>
  <c r="AK398" i="3"/>
  <c r="AJ398" i="3"/>
  <c r="AL398" i="3" s="1"/>
  <c r="AI398" i="3"/>
  <c r="AM397" i="3"/>
  <c r="AK397" i="3"/>
  <c r="AJ397" i="3"/>
  <c r="AL397" i="3" s="1"/>
  <c r="AI397" i="3"/>
  <c r="AM396" i="3"/>
  <c r="AK396" i="3"/>
  <c r="AJ396" i="3"/>
  <c r="AL396" i="3" s="1"/>
  <c r="AI396" i="3"/>
  <c r="AM395" i="3"/>
  <c r="AK395" i="3"/>
  <c r="AJ395" i="3"/>
  <c r="AL395" i="3" s="1"/>
  <c r="AI395" i="3"/>
  <c r="AM394" i="3"/>
  <c r="AK394" i="3"/>
  <c r="AJ394" i="3"/>
  <c r="AL394" i="3" s="1"/>
  <c r="AI394" i="3"/>
  <c r="AM393" i="3"/>
  <c r="AK393" i="3"/>
  <c r="AJ393" i="3"/>
  <c r="AL393" i="3" s="1"/>
  <c r="AI393" i="3"/>
  <c r="AM392" i="3"/>
  <c r="AK392" i="3"/>
  <c r="AJ392" i="3"/>
  <c r="AL392" i="3" s="1"/>
  <c r="AI392" i="3"/>
  <c r="AM391" i="3"/>
  <c r="AK391" i="3"/>
  <c r="AJ391" i="3"/>
  <c r="AL391" i="3" s="1"/>
  <c r="AI391" i="3"/>
  <c r="AM390" i="3"/>
  <c r="AK390" i="3"/>
  <c r="AJ390" i="3"/>
  <c r="AL390" i="3" s="1"/>
  <c r="AI390" i="3"/>
  <c r="AM389" i="3"/>
  <c r="AK389" i="3"/>
  <c r="AJ389" i="3"/>
  <c r="AL389" i="3" s="1"/>
  <c r="AI389" i="3"/>
  <c r="AM388" i="3"/>
  <c r="AK388" i="3"/>
  <c r="AJ388" i="3"/>
  <c r="AL388" i="3" s="1"/>
  <c r="AI388" i="3"/>
  <c r="AM387" i="3"/>
  <c r="AK387" i="3"/>
  <c r="AJ387" i="3"/>
  <c r="AL387" i="3" s="1"/>
  <c r="AI387" i="3"/>
  <c r="AM386" i="3"/>
  <c r="AK386" i="3"/>
  <c r="AJ386" i="3"/>
  <c r="AL386" i="3" s="1"/>
  <c r="AI386" i="3"/>
  <c r="AM385" i="3"/>
  <c r="AK385" i="3"/>
  <c r="AJ385" i="3"/>
  <c r="AL385" i="3" s="1"/>
  <c r="AI385" i="3"/>
  <c r="AM384" i="3"/>
  <c r="AK384" i="3"/>
  <c r="AJ384" i="3"/>
  <c r="AL384" i="3" s="1"/>
  <c r="AI384" i="3"/>
  <c r="AM383" i="3"/>
  <c r="AK383" i="3"/>
  <c r="AJ383" i="3"/>
  <c r="AL383" i="3" s="1"/>
  <c r="AI383" i="3"/>
  <c r="AM382" i="3"/>
  <c r="AK382" i="3"/>
  <c r="AJ382" i="3"/>
  <c r="AL382" i="3" s="1"/>
  <c r="AI382" i="3"/>
  <c r="AM381" i="3"/>
  <c r="AK381" i="3"/>
  <c r="AJ381" i="3"/>
  <c r="AL381" i="3"/>
  <c r="AI381" i="3"/>
  <c r="AM380" i="3"/>
  <c r="AK380" i="3"/>
  <c r="AJ380" i="3"/>
  <c r="AL380" i="3" s="1"/>
  <c r="AI380" i="3"/>
  <c r="AM379" i="3"/>
  <c r="AK379" i="3"/>
  <c r="AJ379" i="3"/>
  <c r="AL379" i="3" s="1"/>
  <c r="AI379" i="3"/>
  <c r="AM378" i="3"/>
  <c r="AK378" i="3"/>
  <c r="AJ378" i="3"/>
  <c r="AL378" i="3" s="1"/>
  <c r="AI378" i="3"/>
  <c r="AM377" i="3"/>
  <c r="AK377" i="3"/>
  <c r="AJ377" i="3"/>
  <c r="AL377" i="3" s="1"/>
  <c r="AI377" i="3"/>
  <c r="AM376" i="3"/>
  <c r="AK376" i="3"/>
  <c r="AJ376" i="3"/>
  <c r="AL376" i="3" s="1"/>
  <c r="AI376" i="3"/>
  <c r="AM375" i="3"/>
  <c r="AK375" i="3"/>
  <c r="AJ375" i="3"/>
  <c r="AL375" i="3" s="1"/>
  <c r="AI375" i="3"/>
  <c r="AM374" i="3"/>
  <c r="AK374" i="3"/>
  <c r="AJ374" i="3"/>
  <c r="AL374" i="3" s="1"/>
  <c r="AI374" i="3"/>
  <c r="AM373" i="3"/>
  <c r="AK373" i="3"/>
  <c r="AJ373" i="3"/>
  <c r="AL373" i="3" s="1"/>
  <c r="AI373" i="3"/>
  <c r="AM372" i="3"/>
  <c r="AK372" i="3"/>
  <c r="AJ372" i="3"/>
  <c r="AL372" i="3" s="1"/>
  <c r="AI372" i="3"/>
  <c r="AM371" i="3"/>
  <c r="AK371" i="3"/>
  <c r="AJ371" i="3"/>
  <c r="AL371" i="3" s="1"/>
  <c r="AI371" i="3"/>
  <c r="AM370" i="3"/>
  <c r="AK370" i="3"/>
  <c r="AJ370" i="3"/>
  <c r="AL370" i="3" s="1"/>
  <c r="AI370" i="3"/>
  <c r="AM369" i="3"/>
  <c r="AK369" i="3"/>
  <c r="AJ369" i="3"/>
  <c r="AL369" i="3" s="1"/>
  <c r="AI369" i="3"/>
  <c r="AM368" i="3"/>
  <c r="AK368" i="3"/>
  <c r="AJ368" i="3"/>
  <c r="AL368" i="3" s="1"/>
  <c r="AI368" i="3"/>
  <c r="AM367" i="3"/>
  <c r="AK367" i="3"/>
  <c r="AJ367" i="3"/>
  <c r="AL367" i="3" s="1"/>
  <c r="AI367" i="3"/>
  <c r="AM366" i="3"/>
  <c r="AK366" i="3"/>
  <c r="AJ366" i="3"/>
  <c r="AL366" i="3" s="1"/>
  <c r="AI366" i="3"/>
  <c r="AM365" i="3"/>
  <c r="AK365" i="3"/>
  <c r="AJ365" i="3"/>
  <c r="AL365" i="3" s="1"/>
  <c r="AI365" i="3"/>
  <c r="AM364" i="3"/>
  <c r="AK364" i="3"/>
  <c r="AJ364" i="3"/>
  <c r="AL364" i="3" s="1"/>
  <c r="AI364" i="3"/>
  <c r="AM363" i="3"/>
  <c r="AK363" i="3"/>
  <c r="AJ363" i="3"/>
  <c r="AL363" i="3" s="1"/>
  <c r="AI363" i="3"/>
  <c r="AM362" i="3"/>
  <c r="AK362" i="3"/>
  <c r="AJ362" i="3"/>
  <c r="AL362" i="3" s="1"/>
  <c r="AI362" i="3"/>
  <c r="AM361" i="3"/>
  <c r="AK361" i="3"/>
  <c r="AJ361" i="3"/>
  <c r="AL361" i="3" s="1"/>
  <c r="AI361" i="3"/>
  <c r="AM360" i="3"/>
  <c r="AK360" i="3"/>
  <c r="AJ360" i="3"/>
  <c r="AL360" i="3" s="1"/>
  <c r="AI360" i="3"/>
  <c r="AM359" i="3"/>
  <c r="AK359" i="3"/>
  <c r="AJ359" i="3"/>
  <c r="AL359" i="3" s="1"/>
  <c r="AI359" i="3"/>
  <c r="AM358" i="3"/>
  <c r="AK358" i="3"/>
  <c r="AJ358" i="3"/>
  <c r="AL358" i="3" s="1"/>
  <c r="AI358" i="3"/>
  <c r="AM357" i="3"/>
  <c r="AK357" i="3"/>
  <c r="AJ357" i="3"/>
  <c r="AL357" i="3" s="1"/>
  <c r="AI357" i="3"/>
  <c r="AM356" i="3"/>
  <c r="AK356" i="3"/>
  <c r="AJ356" i="3"/>
  <c r="AL356" i="3" s="1"/>
  <c r="AI356" i="3"/>
  <c r="AM355" i="3"/>
  <c r="AK355" i="3"/>
  <c r="AJ355" i="3"/>
  <c r="AL355" i="3"/>
  <c r="AI355" i="3"/>
  <c r="AM354" i="3"/>
  <c r="AK354" i="3"/>
  <c r="AJ354" i="3"/>
  <c r="AL354" i="3" s="1"/>
  <c r="AI354" i="3"/>
  <c r="AM353" i="3"/>
  <c r="AK353" i="3"/>
  <c r="AJ353" i="3"/>
  <c r="AL353" i="3" s="1"/>
  <c r="AI353" i="3"/>
  <c r="AM352" i="3"/>
  <c r="AK352" i="3"/>
  <c r="AJ352" i="3"/>
  <c r="AL352" i="3" s="1"/>
  <c r="AI352" i="3"/>
  <c r="AM351" i="3"/>
  <c r="AK351" i="3"/>
  <c r="AJ351" i="3"/>
  <c r="AL351" i="3" s="1"/>
  <c r="AI351" i="3"/>
  <c r="AM350" i="3"/>
  <c r="AK350" i="3"/>
  <c r="AJ350" i="3"/>
  <c r="AL350" i="3" s="1"/>
  <c r="AI350" i="3"/>
  <c r="AM349" i="3"/>
  <c r="AK349" i="3"/>
  <c r="AJ349" i="3"/>
  <c r="AL349" i="3" s="1"/>
  <c r="AI349" i="3"/>
  <c r="AM348" i="3"/>
  <c r="AK348" i="3"/>
  <c r="AJ348" i="3"/>
  <c r="AL348" i="3" s="1"/>
  <c r="AI348" i="3"/>
  <c r="AM347" i="3"/>
  <c r="AK347" i="3"/>
  <c r="AJ347" i="3"/>
  <c r="AL347" i="3" s="1"/>
  <c r="AI347" i="3"/>
  <c r="AM346" i="3"/>
  <c r="AK346" i="3"/>
  <c r="AJ346" i="3"/>
  <c r="AL346" i="3" s="1"/>
  <c r="AI346" i="3"/>
  <c r="AM345" i="3"/>
  <c r="AK345" i="3"/>
  <c r="AJ345" i="3"/>
  <c r="AL345" i="3" s="1"/>
  <c r="AI345" i="3"/>
  <c r="AM344" i="3"/>
  <c r="AK344" i="3"/>
  <c r="AJ344" i="3"/>
  <c r="AL344" i="3" s="1"/>
  <c r="AI344" i="3"/>
  <c r="AM343" i="3"/>
  <c r="AK343" i="3"/>
  <c r="AJ343" i="3"/>
  <c r="AL343" i="3" s="1"/>
  <c r="AI343" i="3"/>
  <c r="AM342" i="3"/>
  <c r="AK342" i="3"/>
  <c r="AJ342" i="3"/>
  <c r="AL342" i="3" s="1"/>
  <c r="AI342" i="3"/>
  <c r="AM341" i="3"/>
  <c r="AK341" i="3"/>
  <c r="AJ341" i="3"/>
  <c r="AL341" i="3" s="1"/>
  <c r="AI341" i="3"/>
  <c r="AM340" i="3"/>
  <c r="AK340" i="3"/>
  <c r="AJ340" i="3"/>
  <c r="AL340" i="3" s="1"/>
  <c r="AI340" i="3"/>
  <c r="AM339" i="3"/>
  <c r="AK339" i="3"/>
  <c r="AJ339" i="3"/>
  <c r="AL339" i="3" s="1"/>
  <c r="AI339" i="3"/>
  <c r="AM338" i="3"/>
  <c r="AK338" i="3"/>
  <c r="AJ338" i="3"/>
  <c r="AL338" i="3" s="1"/>
  <c r="AI338" i="3"/>
  <c r="AM337" i="3"/>
  <c r="AK337" i="3"/>
  <c r="AJ337" i="3"/>
  <c r="AL337" i="3" s="1"/>
  <c r="AI337" i="3"/>
  <c r="AM336" i="3"/>
  <c r="AK336" i="3"/>
  <c r="AJ336" i="3"/>
  <c r="AL336" i="3" s="1"/>
  <c r="AI336" i="3"/>
  <c r="AM335" i="3"/>
  <c r="AK335" i="3"/>
  <c r="AJ335" i="3"/>
  <c r="AL335" i="3" s="1"/>
  <c r="AI335" i="3"/>
  <c r="AM334" i="3"/>
  <c r="AK334" i="3"/>
  <c r="AJ334" i="3"/>
  <c r="AL334" i="3" s="1"/>
  <c r="AI334" i="3"/>
  <c r="AM333" i="3"/>
  <c r="AK333" i="3"/>
  <c r="AJ333" i="3"/>
  <c r="AL333" i="3" s="1"/>
  <c r="AI333" i="3"/>
  <c r="AM332" i="3"/>
  <c r="AK332" i="3"/>
  <c r="AJ332" i="3"/>
  <c r="AL332" i="3" s="1"/>
  <c r="AI332" i="3"/>
  <c r="AM331" i="3"/>
  <c r="AK331" i="3"/>
  <c r="AJ331" i="3"/>
  <c r="AL331" i="3" s="1"/>
  <c r="AI331" i="3"/>
  <c r="AM330" i="3"/>
  <c r="AK330" i="3"/>
  <c r="AJ330" i="3"/>
  <c r="AL330" i="3" s="1"/>
  <c r="AI330" i="3"/>
  <c r="AM329" i="3"/>
  <c r="AK329" i="3"/>
  <c r="AJ329" i="3"/>
  <c r="AL329" i="3" s="1"/>
  <c r="AI329" i="3"/>
  <c r="AM328" i="3"/>
  <c r="AK328" i="3"/>
  <c r="AJ328" i="3"/>
  <c r="AL328" i="3" s="1"/>
  <c r="AI328" i="3"/>
  <c r="AM327" i="3"/>
  <c r="AK327" i="3"/>
  <c r="AJ327" i="3"/>
  <c r="AL327" i="3" s="1"/>
  <c r="AI327" i="3"/>
  <c r="AM326" i="3"/>
  <c r="AK326" i="3"/>
  <c r="AJ326" i="3"/>
  <c r="AL326" i="3" s="1"/>
  <c r="AI326" i="3"/>
  <c r="AM325" i="3"/>
  <c r="AK325" i="3"/>
  <c r="AJ325" i="3"/>
  <c r="AL325" i="3" s="1"/>
  <c r="AI325" i="3"/>
  <c r="AM324" i="3"/>
  <c r="AK324" i="3"/>
  <c r="AJ324" i="3"/>
  <c r="AL324" i="3" s="1"/>
  <c r="AI324" i="3"/>
  <c r="AM323" i="3"/>
  <c r="AK323" i="3"/>
  <c r="AJ323" i="3"/>
  <c r="AL323" i="3" s="1"/>
  <c r="AI323" i="3"/>
  <c r="AM322" i="3"/>
  <c r="AK322" i="3"/>
  <c r="AJ322" i="3"/>
  <c r="AL322" i="3" s="1"/>
  <c r="AI322" i="3"/>
  <c r="AM321" i="3"/>
  <c r="AK321" i="3"/>
  <c r="AJ321" i="3"/>
  <c r="AL321" i="3" s="1"/>
  <c r="AI321" i="3"/>
  <c r="AM320" i="3"/>
  <c r="AK320" i="3"/>
  <c r="AJ320" i="3"/>
  <c r="AL320" i="3" s="1"/>
  <c r="AI320" i="3"/>
  <c r="AM319" i="3"/>
  <c r="AK319" i="3"/>
  <c r="AJ319" i="3"/>
  <c r="AL319" i="3" s="1"/>
  <c r="AI319" i="3"/>
  <c r="AM318" i="3"/>
  <c r="AK318" i="3"/>
  <c r="AJ318" i="3"/>
  <c r="AL318" i="3" s="1"/>
  <c r="AI318" i="3"/>
  <c r="AM317" i="3"/>
  <c r="AK317" i="3"/>
  <c r="AJ317" i="3"/>
  <c r="AL317" i="3"/>
  <c r="AI317" i="3"/>
  <c r="AM316" i="3"/>
  <c r="AK316" i="3"/>
  <c r="AJ316" i="3"/>
  <c r="AL316" i="3" s="1"/>
  <c r="AI316" i="3"/>
  <c r="AM315" i="3"/>
  <c r="AK315" i="3"/>
  <c r="AJ315" i="3"/>
  <c r="AL315" i="3" s="1"/>
  <c r="AI315" i="3"/>
  <c r="AM314" i="3"/>
  <c r="AK314" i="3"/>
  <c r="AJ314" i="3"/>
  <c r="AL314" i="3" s="1"/>
  <c r="AI314" i="3"/>
  <c r="AM313" i="3"/>
  <c r="AK313" i="3"/>
  <c r="AJ313" i="3"/>
  <c r="AL313" i="3" s="1"/>
  <c r="AI313" i="3"/>
  <c r="AM312" i="3"/>
  <c r="AK312" i="3"/>
  <c r="AJ312" i="3"/>
  <c r="AL312" i="3" s="1"/>
  <c r="AI312" i="3"/>
  <c r="AM311" i="3"/>
  <c r="AK311" i="3"/>
  <c r="AJ311" i="3"/>
  <c r="AL311" i="3" s="1"/>
  <c r="AI311" i="3"/>
  <c r="AM310" i="3"/>
  <c r="AK310" i="3"/>
  <c r="AJ310" i="3"/>
  <c r="AL310" i="3" s="1"/>
  <c r="AI310" i="3"/>
  <c r="AM309" i="3"/>
  <c r="AK309" i="3"/>
  <c r="AJ309" i="3"/>
  <c r="AL309" i="3" s="1"/>
  <c r="AI309" i="3"/>
  <c r="AM308" i="3"/>
  <c r="AK308" i="3"/>
  <c r="AJ308" i="3"/>
  <c r="AL308" i="3" s="1"/>
  <c r="AI308" i="3"/>
  <c r="AM307" i="3"/>
  <c r="AK307" i="3"/>
  <c r="AJ307" i="3"/>
  <c r="AL307" i="3" s="1"/>
  <c r="AI307" i="3"/>
  <c r="AM306" i="3"/>
  <c r="AK306" i="3"/>
  <c r="AJ306" i="3"/>
  <c r="AL306" i="3" s="1"/>
  <c r="AI306" i="3"/>
  <c r="AM305" i="3"/>
  <c r="AK305" i="3"/>
  <c r="AJ305" i="3"/>
  <c r="AL305" i="3" s="1"/>
  <c r="AI305" i="3"/>
  <c r="AM304" i="3"/>
  <c r="AK304" i="3"/>
  <c r="AJ304" i="3"/>
  <c r="AL304" i="3" s="1"/>
  <c r="AI304" i="3"/>
  <c r="AM303" i="3"/>
  <c r="AK303" i="3"/>
  <c r="AJ303" i="3"/>
  <c r="AL303" i="3" s="1"/>
  <c r="AI303" i="3"/>
  <c r="AM302" i="3"/>
  <c r="AK302" i="3"/>
  <c r="AJ302" i="3"/>
  <c r="AL302" i="3" s="1"/>
  <c r="AI302" i="3"/>
  <c r="AM301" i="3"/>
  <c r="AK301" i="3"/>
  <c r="AJ301" i="3"/>
  <c r="AL301" i="3" s="1"/>
  <c r="AI301" i="3"/>
  <c r="AM300" i="3"/>
  <c r="AK300" i="3"/>
  <c r="AJ300" i="3"/>
  <c r="AL300" i="3" s="1"/>
  <c r="AI300" i="3"/>
  <c r="AM299" i="3"/>
  <c r="AK299" i="3"/>
  <c r="AJ299" i="3"/>
  <c r="AL299" i="3" s="1"/>
  <c r="AI299" i="3"/>
  <c r="AM298" i="3"/>
  <c r="AK298" i="3"/>
  <c r="AJ298" i="3"/>
  <c r="AL298" i="3" s="1"/>
  <c r="AI298" i="3"/>
  <c r="AM297" i="3"/>
  <c r="AK297" i="3"/>
  <c r="AJ297" i="3"/>
  <c r="AL297" i="3" s="1"/>
  <c r="AI297" i="3"/>
  <c r="AM296" i="3"/>
  <c r="AK296" i="3"/>
  <c r="AJ296" i="3"/>
  <c r="AL296" i="3" s="1"/>
  <c r="AI296" i="3"/>
  <c r="AM295" i="3"/>
  <c r="AK295" i="3"/>
  <c r="AJ295" i="3"/>
  <c r="AL295" i="3" s="1"/>
  <c r="AI295" i="3"/>
  <c r="AM294" i="3"/>
  <c r="AK294" i="3"/>
  <c r="AJ294" i="3"/>
  <c r="AL294" i="3" s="1"/>
  <c r="AI294" i="3"/>
  <c r="AM293" i="3"/>
  <c r="AK293" i="3"/>
  <c r="AJ293" i="3"/>
  <c r="AL293" i="3" s="1"/>
  <c r="AI293" i="3"/>
  <c r="AM292" i="3"/>
  <c r="AK292" i="3"/>
  <c r="AJ292" i="3"/>
  <c r="AL292" i="3"/>
  <c r="AI292" i="3"/>
  <c r="AM291" i="3"/>
  <c r="AK291" i="3"/>
  <c r="AJ291" i="3"/>
  <c r="AL291" i="3" s="1"/>
  <c r="AI291" i="3"/>
  <c r="AM290" i="3"/>
  <c r="AK290" i="3"/>
  <c r="AJ290" i="3"/>
  <c r="AL290" i="3" s="1"/>
  <c r="AI290" i="3"/>
  <c r="AM289" i="3"/>
  <c r="AK289" i="3"/>
  <c r="AJ289" i="3"/>
  <c r="AL289" i="3" s="1"/>
  <c r="AI289" i="3"/>
  <c r="AM288" i="3"/>
  <c r="AK288" i="3"/>
  <c r="AJ288" i="3"/>
  <c r="AL288" i="3" s="1"/>
  <c r="AI288" i="3"/>
  <c r="AM287" i="3"/>
  <c r="AK287" i="3"/>
  <c r="AJ287" i="3"/>
  <c r="AL287" i="3" s="1"/>
  <c r="AI287" i="3"/>
  <c r="AM286" i="3"/>
  <c r="AK286" i="3"/>
  <c r="AJ286" i="3"/>
  <c r="AL286" i="3" s="1"/>
  <c r="AI286" i="3"/>
  <c r="AM285" i="3"/>
  <c r="AK285" i="3"/>
  <c r="AJ285" i="3"/>
  <c r="AL285" i="3" s="1"/>
  <c r="AI285" i="3"/>
  <c r="AM284" i="3"/>
  <c r="AK284" i="3"/>
  <c r="AJ284" i="3"/>
  <c r="AL284" i="3" s="1"/>
  <c r="AI284" i="3"/>
  <c r="AM283" i="3"/>
  <c r="AK283" i="3"/>
  <c r="AJ283" i="3"/>
  <c r="AL283" i="3"/>
  <c r="AI283" i="3"/>
  <c r="AM282" i="3"/>
  <c r="AK282" i="3"/>
  <c r="AJ282" i="3"/>
  <c r="AL282" i="3" s="1"/>
  <c r="AI282" i="3"/>
  <c r="AM281" i="3"/>
  <c r="AK281" i="3"/>
  <c r="AJ281" i="3"/>
  <c r="AL281" i="3" s="1"/>
  <c r="AI281" i="3"/>
  <c r="AM280" i="3"/>
  <c r="AK280" i="3"/>
  <c r="AJ280" i="3"/>
  <c r="AL280" i="3" s="1"/>
  <c r="AI280" i="3"/>
  <c r="AM279" i="3"/>
  <c r="AK279" i="3"/>
  <c r="AJ279" i="3"/>
  <c r="AL279" i="3" s="1"/>
  <c r="AI279" i="3"/>
  <c r="AM278" i="3"/>
  <c r="AK278" i="3"/>
  <c r="AJ278" i="3"/>
  <c r="AL278" i="3" s="1"/>
  <c r="AI278" i="3"/>
  <c r="AM277" i="3"/>
  <c r="AK277" i="3"/>
  <c r="AJ277" i="3"/>
  <c r="AL277" i="3" s="1"/>
  <c r="AI277" i="3"/>
  <c r="AM276" i="3"/>
  <c r="AK276" i="3"/>
  <c r="AJ276" i="3"/>
  <c r="AL276" i="3" s="1"/>
  <c r="AI276" i="3"/>
  <c r="AM275" i="3"/>
  <c r="AK275" i="3"/>
  <c r="AJ275" i="3"/>
  <c r="AL275" i="3" s="1"/>
  <c r="AI275" i="3"/>
  <c r="AM274" i="3"/>
  <c r="AK274" i="3"/>
  <c r="AJ274" i="3"/>
  <c r="AL274" i="3" s="1"/>
  <c r="AI274" i="3"/>
  <c r="AM273" i="3"/>
  <c r="AK273" i="3"/>
  <c r="AJ273" i="3"/>
  <c r="AL273" i="3" s="1"/>
  <c r="AI273" i="3"/>
  <c r="AM272" i="3"/>
  <c r="AK272" i="3"/>
  <c r="AJ272" i="3"/>
  <c r="AL272" i="3" s="1"/>
  <c r="AI272" i="3"/>
  <c r="AM271" i="3"/>
  <c r="AK271" i="3"/>
  <c r="AJ271" i="3"/>
  <c r="AL271" i="3" s="1"/>
  <c r="AI271" i="3"/>
  <c r="AM270" i="3"/>
  <c r="AK270" i="3"/>
  <c r="AJ270" i="3"/>
  <c r="AL270" i="3" s="1"/>
  <c r="AI270" i="3"/>
  <c r="AM269" i="3"/>
  <c r="AK269" i="3"/>
  <c r="AJ269" i="3"/>
  <c r="AL269" i="3" s="1"/>
  <c r="AI269" i="3"/>
  <c r="AM268" i="3"/>
  <c r="AK268" i="3"/>
  <c r="AJ268" i="3"/>
  <c r="AL268" i="3" s="1"/>
  <c r="AI268" i="3"/>
  <c r="AM267" i="3"/>
  <c r="AK267" i="3"/>
  <c r="AJ267" i="3"/>
  <c r="AL267" i="3" s="1"/>
  <c r="AI267" i="3"/>
  <c r="AM266" i="3"/>
  <c r="AK266" i="3"/>
  <c r="AJ266" i="3"/>
  <c r="AL266" i="3" s="1"/>
  <c r="AI266" i="3"/>
  <c r="AM265" i="3"/>
  <c r="AK265" i="3"/>
  <c r="AJ265" i="3"/>
  <c r="AL265" i="3" s="1"/>
  <c r="AI265" i="3"/>
  <c r="AM264" i="3"/>
  <c r="AK264" i="3"/>
  <c r="AJ264" i="3"/>
  <c r="AL264" i="3"/>
  <c r="AI264" i="3"/>
  <c r="AM263" i="3"/>
  <c r="AK263" i="3"/>
  <c r="AJ263" i="3"/>
  <c r="AL263" i="3" s="1"/>
  <c r="AI263" i="3"/>
  <c r="AM262" i="3"/>
  <c r="AK262" i="3"/>
  <c r="AJ262" i="3"/>
  <c r="AL262" i="3" s="1"/>
  <c r="AI262" i="3"/>
  <c r="AM261" i="3"/>
  <c r="AK261" i="3"/>
  <c r="AJ261" i="3"/>
  <c r="AL261" i="3" s="1"/>
  <c r="AI261" i="3"/>
  <c r="AM260" i="3"/>
  <c r="AK260" i="3"/>
  <c r="AJ260" i="3"/>
  <c r="AL260" i="3" s="1"/>
  <c r="AI260" i="3"/>
  <c r="AM259" i="3"/>
  <c r="AK259" i="3"/>
  <c r="AJ259" i="3"/>
  <c r="AL259" i="3" s="1"/>
  <c r="AI259" i="3"/>
  <c r="AM258" i="3"/>
  <c r="AK258" i="3"/>
  <c r="AJ258" i="3"/>
  <c r="AL258" i="3" s="1"/>
  <c r="AI258" i="3"/>
  <c r="AM257" i="3"/>
  <c r="AK257" i="3"/>
  <c r="AJ257" i="3"/>
  <c r="AL257" i="3"/>
  <c r="AI257" i="3"/>
  <c r="AM256" i="3"/>
  <c r="AK256" i="3"/>
  <c r="AJ256" i="3"/>
  <c r="AL256" i="3" s="1"/>
  <c r="AI256" i="3"/>
  <c r="AM255" i="3"/>
  <c r="AK255" i="3"/>
  <c r="AJ255" i="3"/>
  <c r="AL255" i="3" s="1"/>
  <c r="AI255" i="3"/>
  <c r="AM254" i="3"/>
  <c r="AK254" i="3"/>
  <c r="AJ254" i="3"/>
  <c r="AL254" i="3" s="1"/>
  <c r="AI254" i="3"/>
  <c r="AM253" i="3"/>
  <c r="AK253" i="3"/>
  <c r="AJ253" i="3"/>
  <c r="AL253" i="3" s="1"/>
  <c r="AI253" i="3"/>
  <c r="AM252" i="3"/>
  <c r="AK252" i="3"/>
  <c r="AJ252" i="3"/>
  <c r="AL252" i="3" s="1"/>
  <c r="AI252" i="3"/>
  <c r="AM251" i="3"/>
  <c r="AK251" i="3"/>
  <c r="AJ251" i="3"/>
  <c r="AL251" i="3" s="1"/>
  <c r="AI251" i="3"/>
  <c r="AM250" i="3"/>
  <c r="AK250" i="3"/>
  <c r="AJ250" i="3"/>
  <c r="AL250" i="3" s="1"/>
  <c r="AI250" i="3"/>
  <c r="AM249" i="3"/>
  <c r="AK249" i="3"/>
  <c r="AJ249" i="3"/>
  <c r="AL249" i="3" s="1"/>
  <c r="AI249" i="3"/>
  <c r="AM248" i="3"/>
  <c r="AK248" i="3"/>
  <c r="AJ248" i="3"/>
  <c r="AL248" i="3" s="1"/>
  <c r="AI248" i="3"/>
  <c r="AM247" i="3"/>
  <c r="AK247" i="3"/>
  <c r="AJ247" i="3"/>
  <c r="AL247" i="3" s="1"/>
  <c r="AI247" i="3"/>
  <c r="AM246" i="3"/>
  <c r="AK246" i="3"/>
  <c r="AJ246" i="3"/>
  <c r="AL246" i="3" s="1"/>
  <c r="AI246" i="3"/>
  <c r="AM245" i="3"/>
  <c r="AK245" i="3"/>
  <c r="AJ245" i="3"/>
  <c r="AL245" i="3" s="1"/>
  <c r="AI245" i="3"/>
  <c r="AM244" i="3"/>
  <c r="AK244" i="3"/>
  <c r="AJ244" i="3"/>
  <c r="AL244" i="3" s="1"/>
  <c r="AI244" i="3"/>
  <c r="AM243" i="3"/>
  <c r="AK243" i="3"/>
  <c r="AJ243" i="3"/>
  <c r="AL243" i="3" s="1"/>
  <c r="AI243" i="3"/>
  <c r="AM242" i="3"/>
  <c r="AK242" i="3"/>
  <c r="AJ242" i="3"/>
  <c r="AL242" i="3" s="1"/>
  <c r="AI242" i="3"/>
  <c r="AM241" i="3"/>
  <c r="AK241" i="3"/>
  <c r="AJ241" i="3"/>
  <c r="AL241" i="3" s="1"/>
  <c r="AI241" i="3"/>
  <c r="AM240" i="3"/>
  <c r="AK240" i="3"/>
  <c r="AJ240" i="3"/>
  <c r="AL240" i="3" s="1"/>
  <c r="AI240" i="3"/>
  <c r="AM239" i="3"/>
  <c r="AK239" i="3"/>
  <c r="AJ239" i="3"/>
  <c r="AL239" i="3" s="1"/>
  <c r="AI239" i="3"/>
  <c r="AM238" i="3"/>
  <c r="AK238" i="3"/>
  <c r="AJ238" i="3"/>
  <c r="AL238" i="3" s="1"/>
  <c r="AI238" i="3"/>
  <c r="AM237" i="3"/>
  <c r="AK237" i="3"/>
  <c r="AJ237" i="3"/>
  <c r="AL237" i="3" s="1"/>
  <c r="AI237" i="3"/>
  <c r="AM236" i="3"/>
  <c r="AK236" i="3"/>
  <c r="AJ236" i="3"/>
  <c r="AL236" i="3" s="1"/>
  <c r="AI236" i="3"/>
  <c r="AM235" i="3"/>
  <c r="AK235" i="3"/>
  <c r="AJ235" i="3"/>
  <c r="AL235" i="3" s="1"/>
  <c r="AI235" i="3"/>
  <c r="AM234" i="3"/>
  <c r="AK234" i="3"/>
  <c r="AJ234" i="3"/>
  <c r="AL234" i="3" s="1"/>
  <c r="AI234" i="3"/>
  <c r="AM233" i="3"/>
  <c r="AK233" i="3"/>
  <c r="AJ233" i="3"/>
  <c r="AL233" i="3" s="1"/>
  <c r="AI233" i="3"/>
  <c r="AM232" i="3"/>
  <c r="AK232" i="3"/>
  <c r="AJ232" i="3"/>
  <c r="AL232" i="3" s="1"/>
  <c r="AI232" i="3"/>
  <c r="AM231" i="3"/>
  <c r="AK231" i="3"/>
  <c r="AJ231" i="3"/>
  <c r="AL231" i="3" s="1"/>
  <c r="AI231" i="3"/>
  <c r="AM230" i="3"/>
  <c r="AK230" i="3"/>
  <c r="AJ230" i="3"/>
  <c r="AL230" i="3" s="1"/>
  <c r="AI230" i="3"/>
  <c r="AM229" i="3"/>
  <c r="AK229" i="3"/>
  <c r="AJ229" i="3"/>
  <c r="AL229" i="3" s="1"/>
  <c r="AI229" i="3"/>
  <c r="AM228" i="3"/>
  <c r="AK228" i="3"/>
  <c r="AJ228" i="3"/>
  <c r="AL228" i="3"/>
  <c r="AI228" i="3"/>
  <c r="AM227" i="3"/>
  <c r="AK227" i="3"/>
  <c r="AJ227" i="3"/>
  <c r="AL227" i="3" s="1"/>
  <c r="AI227" i="3"/>
  <c r="AM226" i="3"/>
  <c r="AK226" i="3"/>
  <c r="AJ226" i="3"/>
  <c r="AL226" i="3" s="1"/>
  <c r="AI226" i="3"/>
  <c r="AM225" i="3"/>
  <c r="AK225" i="3"/>
  <c r="AJ225" i="3"/>
  <c r="AL225" i="3" s="1"/>
  <c r="AI225" i="3"/>
  <c r="AM224" i="3"/>
  <c r="AK224" i="3"/>
  <c r="AJ224" i="3"/>
  <c r="AL224" i="3" s="1"/>
  <c r="AI224" i="3"/>
  <c r="AM223" i="3"/>
  <c r="AK223" i="3"/>
  <c r="AJ223" i="3"/>
  <c r="AL223" i="3" s="1"/>
  <c r="AI223" i="3"/>
  <c r="AM222" i="3"/>
  <c r="AK222" i="3"/>
  <c r="AJ222" i="3"/>
  <c r="AL222" i="3" s="1"/>
  <c r="AI222" i="3"/>
  <c r="AM221" i="3"/>
  <c r="AK221" i="3"/>
  <c r="AJ221" i="3"/>
  <c r="AL221" i="3" s="1"/>
  <c r="AI221" i="3"/>
  <c r="AM220" i="3"/>
  <c r="AK220" i="3"/>
  <c r="AJ220" i="3"/>
  <c r="AL220" i="3" s="1"/>
  <c r="AI220" i="3"/>
  <c r="AM219" i="3"/>
  <c r="AK219" i="3"/>
  <c r="AJ219" i="3"/>
  <c r="AL219" i="3" s="1"/>
  <c r="AI219" i="3"/>
  <c r="AM218" i="3"/>
  <c r="AK218" i="3"/>
  <c r="AJ218" i="3"/>
  <c r="AL218" i="3" s="1"/>
  <c r="AI218" i="3"/>
  <c r="AM217" i="3"/>
  <c r="AK217" i="3"/>
  <c r="AJ217" i="3"/>
  <c r="AL217" i="3" s="1"/>
  <c r="AI217" i="3"/>
  <c r="AM216" i="3"/>
  <c r="AK216" i="3"/>
  <c r="AJ216" i="3"/>
  <c r="AL216" i="3" s="1"/>
  <c r="AI216" i="3"/>
  <c r="AM215" i="3"/>
  <c r="AK215" i="3"/>
  <c r="AJ215" i="3"/>
  <c r="AL215" i="3" s="1"/>
  <c r="AI215" i="3"/>
  <c r="AM214" i="3"/>
  <c r="AK214" i="3"/>
  <c r="AJ214" i="3"/>
  <c r="AL214" i="3" s="1"/>
  <c r="AI214" i="3"/>
  <c r="AM213" i="3"/>
  <c r="AK213" i="3"/>
  <c r="AJ213" i="3"/>
  <c r="AL213" i="3" s="1"/>
  <c r="AI213" i="3"/>
  <c r="AM212" i="3"/>
  <c r="AK212" i="3"/>
  <c r="AJ212" i="3"/>
  <c r="AL212" i="3" s="1"/>
  <c r="AI212" i="3"/>
  <c r="AM211" i="3"/>
  <c r="AK211" i="3"/>
  <c r="AJ211" i="3"/>
  <c r="AL211" i="3" s="1"/>
  <c r="AI211" i="3"/>
  <c r="AM210" i="3"/>
  <c r="AK210" i="3"/>
  <c r="AJ210" i="3"/>
  <c r="AL210" i="3" s="1"/>
  <c r="AI210" i="3"/>
  <c r="AM209" i="3"/>
  <c r="AK209" i="3"/>
  <c r="AJ209" i="3"/>
  <c r="AL209" i="3" s="1"/>
  <c r="AI209" i="3"/>
  <c r="AM208" i="3"/>
  <c r="AK208" i="3"/>
  <c r="AJ208" i="3"/>
  <c r="AL208" i="3" s="1"/>
  <c r="AI208" i="3"/>
  <c r="AM207" i="3"/>
  <c r="AK207" i="3"/>
  <c r="AJ207" i="3"/>
  <c r="AL207" i="3" s="1"/>
  <c r="AI207" i="3"/>
  <c r="AM206" i="3"/>
  <c r="AK206" i="3"/>
  <c r="AJ206" i="3"/>
  <c r="AL206" i="3" s="1"/>
  <c r="AI206" i="3"/>
  <c r="AM205" i="3"/>
  <c r="AK205" i="3"/>
  <c r="AJ205" i="3"/>
  <c r="AL205" i="3" s="1"/>
  <c r="AI205" i="3"/>
  <c r="AM204" i="3"/>
  <c r="AK204" i="3"/>
  <c r="AJ204" i="3"/>
  <c r="AL204" i="3" s="1"/>
  <c r="AI204" i="3"/>
  <c r="AM203" i="3"/>
  <c r="AK203" i="3"/>
  <c r="AJ203" i="3"/>
  <c r="AL203" i="3" s="1"/>
  <c r="AI203" i="3"/>
  <c r="AM202" i="3"/>
  <c r="AK202" i="3"/>
  <c r="AJ202" i="3"/>
  <c r="AL202" i="3" s="1"/>
  <c r="AI202" i="3"/>
  <c r="AM201" i="3"/>
  <c r="AK201" i="3"/>
  <c r="AJ201" i="3"/>
  <c r="AL201" i="3" s="1"/>
  <c r="AI201" i="3"/>
  <c r="AM200" i="3"/>
  <c r="AK200" i="3"/>
  <c r="AJ200" i="3"/>
  <c r="AL200" i="3"/>
  <c r="AI200" i="3"/>
  <c r="AM199" i="3"/>
  <c r="AK199" i="3"/>
  <c r="AJ199" i="3"/>
  <c r="AL199" i="3" s="1"/>
  <c r="AI199" i="3"/>
  <c r="AM198" i="3"/>
  <c r="AK198" i="3"/>
  <c r="AJ198" i="3"/>
  <c r="AL198" i="3" s="1"/>
  <c r="AI198" i="3"/>
  <c r="AM197" i="3"/>
  <c r="AK197" i="3"/>
  <c r="AJ197" i="3"/>
  <c r="AL197" i="3" s="1"/>
  <c r="AI197" i="3"/>
  <c r="AM196" i="3"/>
  <c r="AK196" i="3"/>
  <c r="AJ196" i="3"/>
  <c r="AL196" i="3" s="1"/>
  <c r="AI196" i="3"/>
  <c r="AM195" i="3"/>
  <c r="AK195" i="3"/>
  <c r="AJ195" i="3"/>
  <c r="AL195" i="3" s="1"/>
  <c r="AI195" i="3"/>
  <c r="AM194" i="3"/>
  <c r="AK194" i="3"/>
  <c r="AJ194" i="3"/>
  <c r="AL194" i="3" s="1"/>
  <c r="AI194" i="3"/>
  <c r="AM193" i="3"/>
  <c r="AK193" i="3"/>
  <c r="AJ193" i="3"/>
  <c r="AL193" i="3" s="1"/>
  <c r="AI193" i="3"/>
  <c r="AM192" i="3"/>
  <c r="AK192" i="3"/>
  <c r="AJ192" i="3"/>
  <c r="AL192" i="3" s="1"/>
  <c r="AI192" i="3"/>
  <c r="AM191" i="3"/>
  <c r="AK191" i="3"/>
  <c r="AJ191" i="3"/>
  <c r="AL191" i="3" s="1"/>
  <c r="AI191" i="3"/>
  <c r="AM190" i="3"/>
  <c r="AK190" i="3"/>
  <c r="AJ190" i="3"/>
  <c r="AL190" i="3" s="1"/>
  <c r="AI190" i="3"/>
  <c r="AM189" i="3"/>
  <c r="AK189" i="3"/>
  <c r="AJ189" i="3"/>
  <c r="AL189" i="3" s="1"/>
  <c r="AI189" i="3"/>
  <c r="AM188" i="3"/>
  <c r="AK188" i="3"/>
  <c r="AJ188" i="3"/>
  <c r="AL188" i="3" s="1"/>
  <c r="AI188" i="3"/>
  <c r="AM187" i="3"/>
  <c r="AK187" i="3"/>
  <c r="AJ187" i="3"/>
  <c r="AL187" i="3" s="1"/>
  <c r="AI187" i="3"/>
  <c r="AM186" i="3"/>
  <c r="AK186" i="3"/>
  <c r="AJ186" i="3"/>
  <c r="AL186" i="3" s="1"/>
  <c r="AI186" i="3"/>
  <c r="AM185" i="3"/>
  <c r="AK185" i="3"/>
  <c r="AJ185" i="3"/>
  <c r="AL185" i="3" s="1"/>
  <c r="AI185" i="3"/>
  <c r="AM184" i="3"/>
  <c r="AK184" i="3"/>
  <c r="AJ184" i="3"/>
  <c r="AL184" i="3" s="1"/>
  <c r="AI184" i="3"/>
  <c r="AM183" i="3"/>
  <c r="AK183" i="3"/>
  <c r="AJ183" i="3"/>
  <c r="AL183" i="3" s="1"/>
  <c r="AI183" i="3"/>
  <c r="AM182" i="3"/>
  <c r="AK182" i="3"/>
  <c r="AJ182" i="3"/>
  <c r="AL182" i="3" s="1"/>
  <c r="AI182" i="3"/>
  <c r="AM181" i="3"/>
  <c r="AK181" i="3"/>
  <c r="AJ181" i="3"/>
  <c r="AL181" i="3" s="1"/>
  <c r="AI181" i="3"/>
  <c r="AM180" i="3"/>
  <c r="AK180" i="3"/>
  <c r="AJ180" i="3"/>
  <c r="AL180" i="3" s="1"/>
  <c r="AI180" i="3"/>
  <c r="AM179" i="3"/>
  <c r="AK179" i="3"/>
  <c r="AJ179" i="3"/>
  <c r="AL179" i="3" s="1"/>
  <c r="AI179" i="3"/>
  <c r="AM178" i="3"/>
  <c r="AK178" i="3"/>
  <c r="AJ178" i="3"/>
  <c r="AL178" i="3" s="1"/>
  <c r="AI178" i="3"/>
  <c r="AM177" i="3"/>
  <c r="AK177" i="3"/>
  <c r="AJ177" i="3"/>
  <c r="AL177" i="3" s="1"/>
  <c r="AI177" i="3"/>
  <c r="AM176" i="3"/>
  <c r="AK176" i="3"/>
  <c r="AJ176" i="3"/>
  <c r="AL176" i="3" s="1"/>
  <c r="AI176" i="3"/>
  <c r="AM175" i="3"/>
  <c r="AK175" i="3"/>
  <c r="AJ175" i="3"/>
  <c r="AL175" i="3" s="1"/>
  <c r="AI175" i="3"/>
  <c r="AM174" i="3"/>
  <c r="AK174" i="3"/>
  <c r="AJ174" i="3"/>
  <c r="AL174" i="3" s="1"/>
  <c r="AI174" i="3"/>
  <c r="AM173" i="3"/>
  <c r="AK173" i="3"/>
  <c r="AJ173" i="3"/>
  <c r="AL173" i="3" s="1"/>
  <c r="AI173" i="3"/>
  <c r="AM172" i="3"/>
  <c r="AK172" i="3"/>
  <c r="AJ172" i="3"/>
  <c r="AL172" i="3" s="1"/>
  <c r="AI172" i="3"/>
  <c r="AM171" i="3"/>
  <c r="AK171" i="3"/>
  <c r="AJ171" i="3"/>
  <c r="AL171" i="3" s="1"/>
  <c r="AI171" i="3"/>
  <c r="AM170" i="3"/>
  <c r="AK170" i="3"/>
  <c r="AJ170" i="3"/>
  <c r="AL170" i="3" s="1"/>
  <c r="AI170" i="3"/>
  <c r="AM169" i="3"/>
  <c r="AK169" i="3"/>
  <c r="AJ169" i="3"/>
  <c r="AL169" i="3" s="1"/>
  <c r="AI169" i="3"/>
  <c r="AM168" i="3"/>
  <c r="AK168" i="3"/>
  <c r="AJ168" i="3"/>
  <c r="AL168" i="3" s="1"/>
  <c r="AI168" i="3"/>
  <c r="AM167" i="3"/>
  <c r="AK167" i="3"/>
  <c r="AJ167" i="3"/>
  <c r="AL167" i="3" s="1"/>
  <c r="AI167" i="3"/>
  <c r="AM166" i="3"/>
  <c r="AK166" i="3"/>
  <c r="AJ166" i="3"/>
  <c r="AL166" i="3" s="1"/>
  <c r="AI166" i="3"/>
  <c r="AM165" i="3"/>
  <c r="AK165" i="3"/>
  <c r="AJ165" i="3"/>
  <c r="AL165" i="3" s="1"/>
  <c r="AI165" i="3"/>
  <c r="AM164" i="3"/>
  <c r="AK164" i="3"/>
  <c r="AJ164" i="3"/>
  <c r="AL164" i="3" s="1"/>
  <c r="AI164" i="3"/>
  <c r="AM163" i="3"/>
  <c r="AK163" i="3"/>
  <c r="AJ163" i="3"/>
  <c r="AL163" i="3" s="1"/>
  <c r="AI163" i="3"/>
  <c r="AM162" i="3"/>
  <c r="AK162" i="3"/>
  <c r="AJ162" i="3"/>
  <c r="AL162" i="3" s="1"/>
  <c r="AI162" i="3"/>
  <c r="AM161" i="3"/>
  <c r="AK161" i="3"/>
  <c r="AJ161" i="3"/>
  <c r="AL161" i="3"/>
  <c r="AI161" i="3"/>
  <c r="AM160" i="3"/>
  <c r="AK160" i="3"/>
  <c r="AJ160" i="3"/>
  <c r="AL160" i="3" s="1"/>
  <c r="AI160" i="3"/>
  <c r="AM159" i="3"/>
  <c r="AK159" i="3"/>
  <c r="AJ159" i="3"/>
  <c r="AL159" i="3" s="1"/>
  <c r="AI159" i="3"/>
  <c r="AM158" i="3"/>
  <c r="AK158" i="3"/>
  <c r="AJ158" i="3"/>
  <c r="AL158" i="3" s="1"/>
  <c r="AI158" i="3"/>
  <c r="AM157" i="3"/>
  <c r="AK157" i="3"/>
  <c r="AJ157" i="3"/>
  <c r="AL157" i="3" s="1"/>
  <c r="AI157" i="3"/>
  <c r="AM156" i="3"/>
  <c r="AK156" i="3"/>
  <c r="AJ156" i="3"/>
  <c r="AL156" i="3" s="1"/>
  <c r="AI156" i="3"/>
  <c r="AM155" i="3"/>
  <c r="AK155" i="3"/>
  <c r="AJ155" i="3"/>
  <c r="AL155" i="3" s="1"/>
  <c r="AI155" i="3"/>
  <c r="AM154" i="3"/>
  <c r="AK154" i="3"/>
  <c r="AJ154" i="3"/>
  <c r="AL154" i="3" s="1"/>
  <c r="AI154" i="3"/>
  <c r="AM153" i="3"/>
  <c r="AK153" i="3"/>
  <c r="AJ153" i="3"/>
  <c r="AL153" i="3" s="1"/>
  <c r="AI153" i="3"/>
  <c r="AM152" i="3"/>
  <c r="AK152" i="3"/>
  <c r="AJ152" i="3"/>
  <c r="AL152" i="3" s="1"/>
  <c r="AI152" i="3"/>
  <c r="AM151" i="3"/>
  <c r="AK151" i="3"/>
  <c r="AJ151" i="3"/>
  <c r="AL151" i="3" s="1"/>
  <c r="AI151" i="3"/>
  <c r="AM150" i="3"/>
  <c r="AK150" i="3"/>
  <c r="AJ150" i="3"/>
  <c r="AL150" i="3" s="1"/>
  <c r="AI150" i="3"/>
  <c r="AM149" i="3"/>
  <c r="AK149" i="3"/>
  <c r="AJ149" i="3"/>
  <c r="AL149" i="3" s="1"/>
  <c r="AI149" i="3"/>
  <c r="AM148" i="3"/>
  <c r="AK148" i="3"/>
  <c r="AJ148" i="3"/>
  <c r="AL148" i="3" s="1"/>
  <c r="AI148" i="3"/>
  <c r="AM147" i="3"/>
  <c r="AK147" i="3"/>
  <c r="AJ147" i="3"/>
  <c r="AL147" i="3" s="1"/>
  <c r="AI147" i="3"/>
  <c r="AM146" i="3"/>
  <c r="AK146" i="3"/>
  <c r="AJ146" i="3"/>
  <c r="AL146" i="3" s="1"/>
  <c r="AI146" i="3"/>
  <c r="AM145" i="3"/>
  <c r="AK145" i="3"/>
  <c r="AJ145" i="3"/>
  <c r="AL145" i="3" s="1"/>
  <c r="AI145" i="3"/>
  <c r="AM144" i="3"/>
  <c r="AK144" i="3"/>
  <c r="AJ144" i="3"/>
  <c r="AL144" i="3" s="1"/>
  <c r="AI144" i="3"/>
  <c r="AM143" i="3"/>
  <c r="AK143" i="3"/>
  <c r="AJ143" i="3"/>
  <c r="AL143" i="3" s="1"/>
  <c r="AI143" i="3"/>
  <c r="AM142" i="3"/>
  <c r="AK142" i="3"/>
  <c r="AJ142" i="3"/>
  <c r="AL142" i="3" s="1"/>
  <c r="AI142" i="3"/>
  <c r="AM141" i="3"/>
  <c r="AK141" i="3"/>
  <c r="AJ141" i="3"/>
  <c r="AL141" i="3" s="1"/>
  <c r="AI141" i="3"/>
  <c r="AM140" i="3"/>
  <c r="AK140" i="3"/>
  <c r="AJ140" i="3"/>
  <c r="AL140" i="3" s="1"/>
  <c r="AI140" i="3"/>
  <c r="AM139" i="3"/>
  <c r="AK139" i="3"/>
  <c r="AJ139" i="3"/>
  <c r="AL139" i="3" s="1"/>
  <c r="AI139" i="3"/>
  <c r="AM138" i="3"/>
  <c r="AK138" i="3"/>
  <c r="AJ138" i="3"/>
  <c r="AL138" i="3" s="1"/>
  <c r="AI138" i="3"/>
  <c r="AM137" i="3"/>
  <c r="AK137" i="3"/>
  <c r="AJ137" i="3"/>
  <c r="AL137" i="3"/>
  <c r="AI137" i="3"/>
  <c r="AM136" i="3"/>
  <c r="AK136" i="3"/>
  <c r="AJ136" i="3"/>
  <c r="AL136" i="3" s="1"/>
  <c r="AI136" i="3"/>
  <c r="AM135" i="3"/>
  <c r="AK135" i="3"/>
  <c r="AJ135" i="3"/>
  <c r="AL135" i="3" s="1"/>
  <c r="AI135" i="3"/>
  <c r="AM134" i="3"/>
  <c r="AK134" i="3"/>
  <c r="AJ134" i="3"/>
  <c r="AL134" i="3" s="1"/>
  <c r="AI134" i="3"/>
  <c r="AM133" i="3"/>
  <c r="AK133" i="3"/>
  <c r="AJ133" i="3"/>
  <c r="AL133" i="3" s="1"/>
  <c r="AI133" i="3"/>
  <c r="AM132" i="3"/>
  <c r="AK132" i="3"/>
  <c r="AJ132" i="3"/>
  <c r="AL132" i="3" s="1"/>
  <c r="AI132" i="3"/>
  <c r="AM131" i="3"/>
  <c r="AK131" i="3"/>
  <c r="AJ131" i="3"/>
  <c r="AL131" i="3" s="1"/>
  <c r="AI131" i="3"/>
  <c r="AM130" i="3"/>
  <c r="AK130" i="3"/>
  <c r="AJ130" i="3"/>
  <c r="AL130" i="3" s="1"/>
  <c r="AI130" i="3"/>
  <c r="AM129" i="3"/>
  <c r="AK129" i="3"/>
  <c r="AJ129" i="3"/>
  <c r="AL129" i="3"/>
  <c r="AI129" i="3"/>
  <c r="AM128" i="3"/>
  <c r="AK128" i="3"/>
  <c r="AJ128" i="3"/>
  <c r="AL128" i="3" s="1"/>
  <c r="AI128" i="3"/>
  <c r="AM127" i="3"/>
  <c r="AK127" i="3"/>
  <c r="AJ127" i="3"/>
  <c r="AL127" i="3" s="1"/>
  <c r="AI127" i="3"/>
  <c r="AM126" i="3"/>
  <c r="AK126" i="3"/>
  <c r="AJ126" i="3"/>
  <c r="AL126" i="3" s="1"/>
  <c r="AI126" i="3"/>
  <c r="AM125" i="3"/>
  <c r="AK125" i="3"/>
  <c r="AJ125" i="3"/>
  <c r="AL125" i="3" s="1"/>
  <c r="AI125" i="3"/>
  <c r="AM124" i="3"/>
  <c r="AK124" i="3"/>
  <c r="AJ124" i="3"/>
  <c r="AL124" i="3" s="1"/>
  <c r="AI124" i="3"/>
  <c r="AM123" i="3"/>
  <c r="AK123" i="3"/>
  <c r="AJ123" i="3"/>
  <c r="AL123" i="3" s="1"/>
  <c r="AI123" i="3"/>
  <c r="AM122" i="3"/>
  <c r="AK122" i="3"/>
  <c r="AJ122" i="3"/>
  <c r="AL122" i="3" s="1"/>
  <c r="AI122" i="3"/>
  <c r="AM121" i="3"/>
  <c r="AK121" i="3"/>
  <c r="AJ121" i="3"/>
  <c r="AL121" i="3" s="1"/>
  <c r="AI121" i="3"/>
  <c r="AM120" i="3"/>
  <c r="AK120" i="3"/>
  <c r="AJ120" i="3"/>
  <c r="AL120" i="3" s="1"/>
  <c r="AI120" i="3"/>
  <c r="AM119" i="3"/>
  <c r="AK119" i="3"/>
  <c r="AJ119" i="3"/>
  <c r="AL119" i="3" s="1"/>
  <c r="AI119" i="3"/>
  <c r="AM118" i="3"/>
  <c r="AK118" i="3"/>
  <c r="AJ118" i="3"/>
  <c r="AL118" i="3" s="1"/>
  <c r="AI118" i="3"/>
  <c r="AM117" i="3"/>
  <c r="AK117" i="3"/>
  <c r="AJ117" i="3"/>
  <c r="AL117" i="3" s="1"/>
  <c r="AI117" i="3"/>
  <c r="AM116" i="3"/>
  <c r="AK116" i="3"/>
  <c r="AJ116" i="3"/>
  <c r="AL116" i="3" s="1"/>
  <c r="AI116" i="3"/>
  <c r="AM115" i="3"/>
  <c r="AK115" i="3"/>
  <c r="AJ115" i="3"/>
  <c r="AL115" i="3" s="1"/>
  <c r="AI115" i="3"/>
  <c r="AM114" i="3"/>
  <c r="AK114" i="3"/>
  <c r="AJ114" i="3"/>
  <c r="AL114" i="3" s="1"/>
  <c r="AI114" i="3"/>
  <c r="AM113" i="3"/>
  <c r="AK113" i="3"/>
  <c r="AJ113" i="3"/>
  <c r="AL113" i="3" s="1"/>
  <c r="AI113" i="3"/>
  <c r="AM112" i="3"/>
  <c r="AK112" i="3"/>
  <c r="AJ112" i="3"/>
  <c r="AL112" i="3" s="1"/>
  <c r="AI112" i="3"/>
  <c r="AM111" i="3"/>
  <c r="AK111" i="3"/>
  <c r="AJ111" i="3"/>
  <c r="AL111" i="3" s="1"/>
  <c r="AI111" i="3"/>
  <c r="AM110" i="3"/>
  <c r="AK110" i="3"/>
  <c r="AJ110" i="3"/>
  <c r="AL110" i="3" s="1"/>
  <c r="AI110" i="3"/>
  <c r="AM109" i="3"/>
  <c r="AK109" i="3"/>
  <c r="AJ109" i="3"/>
  <c r="AL109" i="3" s="1"/>
  <c r="AI109" i="3"/>
  <c r="AM108" i="3"/>
  <c r="AK108" i="3"/>
  <c r="AJ108" i="3"/>
  <c r="AL108" i="3" s="1"/>
  <c r="AI108" i="3"/>
  <c r="AM107" i="3"/>
  <c r="AK107" i="3"/>
  <c r="AJ107" i="3"/>
  <c r="AL107" i="3" s="1"/>
  <c r="AI107" i="3"/>
  <c r="AM106" i="3"/>
  <c r="AK106" i="3"/>
  <c r="AJ106" i="3"/>
  <c r="AL106" i="3" s="1"/>
  <c r="AI106" i="3"/>
  <c r="AM105" i="3"/>
  <c r="AK105" i="3"/>
  <c r="AJ105" i="3"/>
  <c r="AL105" i="3" s="1"/>
  <c r="AI105" i="3"/>
  <c r="AM104" i="3"/>
  <c r="AK104" i="3"/>
  <c r="AJ104" i="3"/>
  <c r="AL104" i="3" s="1"/>
  <c r="AI104" i="3"/>
  <c r="AM103" i="3"/>
  <c r="AK103" i="3"/>
  <c r="AJ103" i="3"/>
  <c r="AL103" i="3" s="1"/>
  <c r="AI103" i="3"/>
  <c r="AM102" i="3"/>
  <c r="AK102" i="3"/>
  <c r="AJ102" i="3"/>
  <c r="AL102" i="3" s="1"/>
  <c r="AI102" i="3"/>
  <c r="AM101" i="3"/>
  <c r="AK101" i="3"/>
  <c r="AJ101" i="3"/>
  <c r="AL101" i="3" s="1"/>
  <c r="AI101" i="3"/>
  <c r="AM100" i="3"/>
  <c r="AK100" i="3"/>
  <c r="AJ100" i="3"/>
  <c r="AL100" i="3" s="1"/>
  <c r="AI100" i="3"/>
  <c r="AM99" i="3"/>
  <c r="AK99" i="3"/>
  <c r="AJ99" i="3"/>
  <c r="AL99" i="3" s="1"/>
  <c r="AI99" i="3"/>
  <c r="AM98" i="3"/>
  <c r="AK98" i="3"/>
  <c r="AJ98" i="3"/>
  <c r="AL98" i="3" s="1"/>
  <c r="AI98" i="3"/>
  <c r="AM97" i="3"/>
  <c r="AK97" i="3"/>
  <c r="AJ97" i="3"/>
  <c r="AL97" i="3" s="1"/>
  <c r="AI97" i="3"/>
  <c r="AM96" i="3"/>
  <c r="AK96" i="3"/>
  <c r="AJ96" i="3"/>
  <c r="AL96" i="3" s="1"/>
  <c r="AI96" i="3"/>
  <c r="AM95" i="3"/>
  <c r="AK95" i="3"/>
  <c r="AJ95" i="3"/>
  <c r="AL95" i="3" s="1"/>
  <c r="AI95" i="3"/>
  <c r="AM94" i="3"/>
  <c r="AK94" i="3"/>
  <c r="AJ94" i="3"/>
  <c r="AL94" i="3" s="1"/>
  <c r="AI94" i="3"/>
  <c r="AM93" i="3"/>
  <c r="AK93" i="3"/>
  <c r="AJ93" i="3"/>
  <c r="AL93" i="3" s="1"/>
  <c r="AI93" i="3"/>
  <c r="AM92" i="3"/>
  <c r="AK92" i="3"/>
  <c r="AJ92" i="3"/>
  <c r="AL92" i="3" s="1"/>
  <c r="AI92" i="3"/>
  <c r="AM91" i="3"/>
  <c r="AK91" i="3"/>
  <c r="AJ91" i="3"/>
  <c r="AL91" i="3" s="1"/>
  <c r="AI91" i="3"/>
  <c r="AM90" i="3"/>
  <c r="AK90" i="3"/>
  <c r="AJ90" i="3"/>
  <c r="AL90" i="3" s="1"/>
  <c r="AI90" i="3"/>
  <c r="AM89" i="3"/>
  <c r="AK89" i="3"/>
  <c r="AJ89" i="3"/>
  <c r="AL89" i="3" s="1"/>
  <c r="AI89" i="3"/>
  <c r="AM88" i="3"/>
  <c r="AK88" i="3"/>
  <c r="AJ88" i="3"/>
  <c r="AL88" i="3" s="1"/>
  <c r="AI88" i="3"/>
  <c r="AM87" i="3"/>
  <c r="AK87" i="3"/>
  <c r="AJ87" i="3"/>
  <c r="AL87" i="3" s="1"/>
  <c r="AI87" i="3"/>
  <c r="AM86" i="3"/>
  <c r="AK86" i="3"/>
  <c r="AJ86" i="3"/>
  <c r="AL86" i="3" s="1"/>
  <c r="AI86" i="3"/>
  <c r="AM85" i="3"/>
  <c r="AK85" i="3"/>
  <c r="AJ85" i="3"/>
  <c r="AL85" i="3"/>
  <c r="AI85" i="3"/>
  <c r="AM84" i="3"/>
  <c r="AK84" i="3"/>
  <c r="AJ84" i="3"/>
  <c r="AL84" i="3" s="1"/>
  <c r="AI84" i="3"/>
  <c r="AM83" i="3"/>
  <c r="AK83" i="3"/>
  <c r="AJ83" i="3"/>
  <c r="AL83" i="3" s="1"/>
  <c r="AI83" i="3"/>
  <c r="AM82" i="3"/>
  <c r="AK82" i="3"/>
  <c r="AJ82" i="3"/>
  <c r="AL82" i="3" s="1"/>
  <c r="AI82" i="3"/>
  <c r="AM81" i="3"/>
  <c r="AK81" i="3"/>
  <c r="AJ81" i="3"/>
  <c r="AL81" i="3" s="1"/>
  <c r="AI81" i="3"/>
  <c r="AM80" i="3"/>
  <c r="AK80" i="3"/>
  <c r="AJ80" i="3"/>
  <c r="AL80" i="3" s="1"/>
  <c r="AI80" i="3"/>
  <c r="AM79" i="3"/>
  <c r="AK79" i="3"/>
  <c r="AJ79" i="3"/>
  <c r="AL79" i="3" s="1"/>
  <c r="AI79" i="3"/>
  <c r="AM78" i="3"/>
  <c r="AK78" i="3"/>
  <c r="AJ78" i="3"/>
  <c r="AL78" i="3" s="1"/>
  <c r="AI78" i="3"/>
  <c r="AM77" i="3"/>
  <c r="AK77" i="3"/>
  <c r="AJ77" i="3"/>
  <c r="AL77" i="3" s="1"/>
  <c r="AI77" i="3"/>
  <c r="AM76" i="3"/>
  <c r="AK76" i="3"/>
  <c r="AJ76" i="3"/>
  <c r="AL76" i="3"/>
  <c r="AI76" i="3"/>
  <c r="AM75" i="3"/>
  <c r="AK75" i="3"/>
  <c r="AJ75" i="3"/>
  <c r="AL75" i="3" s="1"/>
  <c r="AI75" i="3"/>
  <c r="AM74" i="3"/>
  <c r="AK74" i="3"/>
  <c r="AJ74" i="3"/>
  <c r="AL74" i="3" s="1"/>
  <c r="AI74" i="3"/>
  <c r="AM73" i="3"/>
  <c r="AK73" i="3"/>
  <c r="AJ73" i="3"/>
  <c r="AL73" i="3" s="1"/>
  <c r="AI73" i="3"/>
  <c r="AM72" i="3"/>
  <c r="AK72" i="3"/>
  <c r="AJ72" i="3"/>
  <c r="AL72" i="3" s="1"/>
  <c r="AI72" i="3"/>
  <c r="AM71" i="3"/>
  <c r="AK71" i="3"/>
  <c r="AJ71" i="3"/>
  <c r="AL71" i="3" s="1"/>
  <c r="AI71" i="3"/>
  <c r="AM70" i="3"/>
  <c r="AK70" i="3"/>
  <c r="AJ70" i="3"/>
  <c r="AL70" i="3" s="1"/>
  <c r="AI70" i="3"/>
  <c r="AM69" i="3"/>
  <c r="AK69" i="3"/>
  <c r="AJ69" i="3"/>
  <c r="AL69" i="3" s="1"/>
  <c r="AI69" i="3"/>
  <c r="AM68" i="3"/>
  <c r="AK68" i="3"/>
  <c r="AJ68" i="3"/>
  <c r="AL68" i="3"/>
  <c r="AI68" i="3"/>
  <c r="AM67" i="3"/>
  <c r="AK67" i="3"/>
  <c r="AJ67" i="3"/>
  <c r="AL67" i="3" s="1"/>
  <c r="AI67" i="3"/>
  <c r="AM66" i="3"/>
  <c r="AK66" i="3"/>
  <c r="AJ66" i="3"/>
  <c r="AL66" i="3" s="1"/>
  <c r="AI66" i="3"/>
  <c r="AM65" i="3"/>
  <c r="AK65" i="3"/>
  <c r="AJ65" i="3"/>
  <c r="AL65" i="3" s="1"/>
  <c r="AI65" i="3"/>
  <c r="AM64" i="3"/>
  <c r="AK64" i="3"/>
  <c r="AJ64" i="3"/>
  <c r="AL64" i="3" s="1"/>
  <c r="AI64" i="3"/>
  <c r="AM63" i="3"/>
  <c r="AK63" i="3"/>
  <c r="AJ63" i="3"/>
  <c r="AL63" i="3" s="1"/>
  <c r="AI63" i="3"/>
  <c r="AM62" i="3"/>
  <c r="AK62" i="3"/>
  <c r="AJ62" i="3"/>
  <c r="AL62" i="3" s="1"/>
  <c r="AI62" i="3"/>
  <c r="AM61" i="3"/>
  <c r="AK61" i="3"/>
  <c r="AJ61" i="3"/>
  <c r="AL61" i="3" s="1"/>
  <c r="AI61" i="3"/>
  <c r="AM60" i="3"/>
  <c r="AK60" i="3"/>
  <c r="AJ60" i="3"/>
  <c r="AL60" i="3" s="1"/>
  <c r="AI60" i="3"/>
  <c r="AM59" i="3"/>
  <c r="AK59" i="3"/>
  <c r="AJ59" i="3"/>
  <c r="AL59" i="3" s="1"/>
  <c r="AI59" i="3"/>
  <c r="AM58" i="3"/>
  <c r="AK58" i="3"/>
  <c r="AJ58" i="3"/>
  <c r="AL58" i="3" s="1"/>
  <c r="AI58" i="3"/>
  <c r="AM57" i="3"/>
  <c r="AK57" i="3"/>
  <c r="AJ57" i="3"/>
  <c r="AL57" i="3" s="1"/>
  <c r="AI57" i="3"/>
  <c r="AM56" i="3"/>
  <c r="AK56" i="3"/>
  <c r="AJ56" i="3"/>
  <c r="AL56" i="3" s="1"/>
  <c r="AI56" i="3"/>
  <c r="AM55" i="3"/>
  <c r="AK55" i="3"/>
  <c r="AJ55" i="3"/>
  <c r="AL55" i="3" s="1"/>
  <c r="AI55" i="3"/>
  <c r="AM54" i="3"/>
  <c r="AK54" i="3"/>
  <c r="AJ54" i="3"/>
  <c r="AL54" i="3" s="1"/>
  <c r="AI54" i="3"/>
  <c r="AM53" i="3"/>
  <c r="AK53" i="3"/>
  <c r="AJ53" i="3"/>
  <c r="AL53" i="3"/>
  <c r="AI53" i="3"/>
  <c r="AM52" i="3"/>
  <c r="AK52" i="3"/>
  <c r="AJ52" i="3"/>
  <c r="AL52" i="3" s="1"/>
  <c r="AI52" i="3"/>
  <c r="AM51" i="3"/>
  <c r="AK51" i="3"/>
  <c r="AJ51" i="3"/>
  <c r="AL51" i="3" s="1"/>
  <c r="AI51" i="3"/>
  <c r="AM50" i="3"/>
  <c r="AK50" i="3"/>
  <c r="AJ50" i="3"/>
  <c r="AL50" i="3" s="1"/>
  <c r="AI50" i="3"/>
  <c r="AM49" i="3"/>
  <c r="AK49" i="3"/>
  <c r="AJ49" i="3"/>
  <c r="AL49" i="3" s="1"/>
  <c r="AI49" i="3"/>
  <c r="AM48" i="3"/>
  <c r="AK48" i="3"/>
  <c r="AJ48" i="3"/>
  <c r="AL48" i="3" s="1"/>
  <c r="AI48" i="3"/>
  <c r="AM47" i="3"/>
  <c r="AK47" i="3"/>
  <c r="AJ47" i="3"/>
  <c r="AL47" i="3" s="1"/>
  <c r="AI47" i="3"/>
  <c r="AM46" i="3"/>
  <c r="AK46" i="3"/>
  <c r="AJ46" i="3"/>
  <c r="AL46" i="3" s="1"/>
  <c r="AI46" i="3"/>
  <c r="AM45" i="3"/>
  <c r="AK45" i="3"/>
  <c r="AJ45" i="3"/>
  <c r="AL45" i="3" s="1"/>
  <c r="AI45" i="3"/>
  <c r="AM44" i="3"/>
  <c r="AK44" i="3"/>
  <c r="AJ44" i="3"/>
  <c r="AL44" i="3"/>
  <c r="AI44" i="3"/>
  <c r="AM43" i="3"/>
  <c r="AK43" i="3"/>
  <c r="AJ43" i="3"/>
  <c r="AL43" i="3" s="1"/>
  <c r="AI43" i="3"/>
  <c r="AM42" i="3"/>
  <c r="AK42" i="3"/>
  <c r="AJ42" i="3"/>
  <c r="AL42" i="3" s="1"/>
  <c r="AI42" i="3"/>
  <c r="AM41" i="3"/>
  <c r="AK41" i="3"/>
  <c r="AJ41" i="3"/>
  <c r="AL41" i="3" s="1"/>
  <c r="AI41" i="3"/>
  <c r="AM40" i="3"/>
  <c r="AK40" i="3"/>
  <c r="AJ40" i="3"/>
  <c r="AL40" i="3" s="1"/>
  <c r="AI40" i="3"/>
  <c r="AM39" i="3"/>
  <c r="AK39" i="3"/>
  <c r="AJ39" i="3"/>
  <c r="AL39" i="3" s="1"/>
  <c r="AI39" i="3"/>
  <c r="AM38" i="3"/>
  <c r="AK38" i="3"/>
  <c r="AJ38" i="3"/>
  <c r="AL38" i="3" s="1"/>
  <c r="AI38" i="3"/>
  <c r="AM37" i="3"/>
  <c r="AK37" i="3"/>
  <c r="AJ37" i="3"/>
  <c r="AL37" i="3" s="1"/>
  <c r="AI37" i="3"/>
  <c r="AM36" i="3"/>
  <c r="AK36" i="3"/>
  <c r="AJ36" i="3"/>
  <c r="AL36" i="3" s="1"/>
  <c r="AI36" i="3"/>
  <c r="AM35" i="3"/>
  <c r="AK35" i="3"/>
  <c r="AJ35" i="3"/>
  <c r="AL35" i="3" s="1"/>
  <c r="AI35" i="3"/>
  <c r="AM34" i="3"/>
  <c r="AK34" i="3"/>
  <c r="AJ34" i="3"/>
  <c r="AL34" i="3" s="1"/>
  <c r="AI34" i="3"/>
  <c r="AM33" i="3"/>
  <c r="AK33" i="3"/>
  <c r="AJ33" i="3"/>
  <c r="AL33" i="3" s="1"/>
  <c r="AI33" i="3"/>
  <c r="AM32" i="3"/>
  <c r="AK32" i="3"/>
  <c r="AJ32" i="3"/>
  <c r="AL32" i="3" s="1"/>
  <c r="AI32" i="3"/>
  <c r="AM31" i="3"/>
  <c r="AK31" i="3"/>
  <c r="AJ31" i="3"/>
  <c r="AL31" i="3" s="1"/>
  <c r="AI31" i="3"/>
  <c r="AM30" i="3"/>
  <c r="AK30" i="3"/>
  <c r="AJ30" i="3"/>
  <c r="AL30" i="3" s="1"/>
  <c r="AI30" i="3"/>
  <c r="AM29" i="3"/>
  <c r="AK29" i="3"/>
  <c r="AJ29" i="3"/>
  <c r="AL29" i="3" s="1"/>
  <c r="AI29" i="3"/>
  <c r="AM28" i="3"/>
  <c r="AK28" i="3"/>
  <c r="AJ28" i="3"/>
  <c r="AL28" i="3" s="1"/>
  <c r="AI28" i="3"/>
  <c r="AM27" i="3"/>
  <c r="AK27" i="3"/>
  <c r="AJ27" i="3"/>
  <c r="AL27" i="3" s="1"/>
  <c r="AI27" i="3"/>
  <c r="AM26" i="3"/>
  <c r="AK26" i="3"/>
  <c r="AJ26" i="3"/>
  <c r="AL26" i="3" s="1"/>
  <c r="AI26" i="3"/>
  <c r="AM25" i="3"/>
  <c r="AK25" i="3"/>
  <c r="AJ25" i="3"/>
  <c r="AL25" i="3" s="1"/>
  <c r="AI25" i="3"/>
  <c r="AM24" i="3"/>
  <c r="AK24" i="3"/>
  <c r="AJ24" i="3"/>
  <c r="AL24" i="3"/>
  <c r="AI24" i="3"/>
  <c r="AM23" i="3"/>
  <c r="AK23" i="3"/>
  <c r="AJ23" i="3"/>
  <c r="AL23" i="3" s="1"/>
  <c r="AI23" i="3"/>
  <c r="AM22" i="3"/>
  <c r="AK22" i="3"/>
  <c r="AJ22" i="3"/>
  <c r="AL22" i="3" s="1"/>
  <c r="AI22" i="3"/>
  <c r="AM21" i="3"/>
  <c r="AK21" i="3"/>
  <c r="AJ21" i="3"/>
  <c r="AL21" i="3" s="1"/>
  <c r="AI21" i="3"/>
  <c r="AM20" i="3"/>
  <c r="AK20" i="3"/>
  <c r="AJ20" i="3"/>
  <c r="AL20" i="3" s="1"/>
  <c r="AI20" i="3"/>
  <c r="AM19" i="3"/>
  <c r="AK19" i="3"/>
  <c r="AJ19" i="3"/>
  <c r="AL19" i="3" s="1"/>
  <c r="AI19" i="3"/>
  <c r="AM18" i="3"/>
  <c r="AK18" i="3"/>
  <c r="AJ18" i="3"/>
  <c r="AL18" i="3" s="1"/>
  <c r="AI18" i="3"/>
  <c r="AM17" i="3"/>
  <c r="AK17" i="3"/>
  <c r="AJ17" i="3"/>
  <c r="AL17" i="3" s="1"/>
  <c r="AI17" i="3"/>
  <c r="AM16" i="3"/>
  <c r="AK16" i="3"/>
  <c r="AJ16" i="3"/>
  <c r="AL16" i="3" s="1"/>
  <c r="AI16" i="3"/>
  <c r="AM15" i="3"/>
  <c r="AK15" i="3"/>
  <c r="AJ15" i="3"/>
  <c r="AL15" i="3" s="1"/>
  <c r="AI15" i="3"/>
  <c r="AM14" i="3"/>
  <c r="AK14" i="3"/>
  <c r="AJ14" i="3"/>
  <c r="AL14" i="3" s="1"/>
  <c r="AI14" i="3"/>
  <c r="AM13" i="3"/>
  <c r="AK13" i="3"/>
  <c r="AJ13" i="3"/>
  <c r="AL13" i="3" s="1"/>
  <c r="AI13" i="3"/>
  <c r="AM12" i="3"/>
  <c r="AK12" i="3"/>
  <c r="AJ12" i="3"/>
  <c r="AL12" i="3" s="1"/>
  <c r="AI12" i="3"/>
  <c r="AM11" i="3"/>
  <c r="AK11" i="3"/>
  <c r="AJ11" i="3"/>
  <c r="AL11" i="3" s="1"/>
  <c r="AI11" i="3"/>
  <c r="AM10" i="3"/>
  <c r="AK10" i="3"/>
  <c r="AJ10" i="3"/>
  <c r="AL10" i="3" s="1"/>
  <c r="AI10" i="3"/>
  <c r="AM9" i="3"/>
  <c r="AK9" i="3"/>
  <c r="AJ9" i="3"/>
  <c r="AL9" i="3" s="1"/>
  <c r="AI9" i="3"/>
  <c r="AA1091" i="3"/>
  <c r="Y1091" i="3"/>
  <c r="X1091" i="3"/>
  <c r="Z1091" i="3" s="1"/>
  <c r="W1091" i="3"/>
  <c r="AA1090" i="3"/>
  <c r="Y1090" i="3"/>
  <c r="X1090" i="3"/>
  <c r="Z1090" i="3" s="1"/>
  <c r="W1090" i="3"/>
  <c r="AA1089" i="3"/>
  <c r="Y1089" i="3"/>
  <c r="X1089" i="3"/>
  <c r="Z1089" i="3" s="1"/>
  <c r="W1089" i="3"/>
  <c r="AA1088" i="3"/>
  <c r="Y1088" i="3"/>
  <c r="X1088" i="3"/>
  <c r="Z1088" i="3" s="1"/>
  <c r="W1088" i="3"/>
  <c r="AA1087" i="3"/>
  <c r="Y1087" i="3"/>
  <c r="X1087" i="3"/>
  <c r="Z1087" i="3"/>
  <c r="W1087" i="3"/>
  <c r="AA1086" i="3"/>
  <c r="Y1086" i="3"/>
  <c r="X1086" i="3"/>
  <c r="Z1086" i="3" s="1"/>
  <c r="W1086" i="3"/>
  <c r="AA1085" i="3"/>
  <c r="Y1085" i="3"/>
  <c r="X1085" i="3"/>
  <c r="Z1085" i="3" s="1"/>
  <c r="W1085" i="3"/>
  <c r="AA1084" i="3"/>
  <c r="Y1084" i="3"/>
  <c r="X1084" i="3"/>
  <c r="Z1084" i="3" s="1"/>
  <c r="W1084" i="3"/>
  <c r="AA1083" i="3"/>
  <c r="Y1083" i="3"/>
  <c r="X1083" i="3"/>
  <c r="Z1083" i="3" s="1"/>
  <c r="W1083" i="3"/>
  <c r="AA1082" i="3"/>
  <c r="Y1082" i="3"/>
  <c r="X1082" i="3"/>
  <c r="Z1082" i="3" s="1"/>
  <c r="W1082" i="3"/>
  <c r="AA1081" i="3"/>
  <c r="Y1081" i="3"/>
  <c r="X1081" i="3"/>
  <c r="Z1081" i="3" s="1"/>
  <c r="W1081" i="3"/>
  <c r="AA1080" i="3"/>
  <c r="Y1080" i="3"/>
  <c r="X1080" i="3"/>
  <c r="Z1080" i="3" s="1"/>
  <c r="W1080" i="3"/>
  <c r="AA1079" i="3"/>
  <c r="Y1079" i="3"/>
  <c r="X1079" i="3"/>
  <c r="Z1079" i="3" s="1"/>
  <c r="W1079" i="3"/>
  <c r="AA1078" i="3"/>
  <c r="Y1078" i="3"/>
  <c r="X1078" i="3"/>
  <c r="Z1078" i="3" s="1"/>
  <c r="W1078" i="3"/>
  <c r="AA1077" i="3"/>
  <c r="Y1077" i="3"/>
  <c r="X1077" i="3"/>
  <c r="Z1077" i="3" s="1"/>
  <c r="W1077" i="3"/>
  <c r="AA1076" i="3"/>
  <c r="Y1076" i="3"/>
  <c r="X1076" i="3"/>
  <c r="Z1076" i="3"/>
  <c r="W1076" i="3"/>
  <c r="AA1075" i="3"/>
  <c r="Y1075" i="3"/>
  <c r="X1075" i="3"/>
  <c r="Z1075" i="3" s="1"/>
  <c r="W1075" i="3"/>
  <c r="AA1074" i="3"/>
  <c r="Y1074" i="3"/>
  <c r="X1074" i="3"/>
  <c r="Z1074" i="3" s="1"/>
  <c r="W1074" i="3"/>
  <c r="AA1073" i="3"/>
  <c r="Y1073" i="3"/>
  <c r="X1073" i="3"/>
  <c r="Z1073" i="3" s="1"/>
  <c r="W1073" i="3"/>
  <c r="AA1072" i="3"/>
  <c r="Y1072" i="3"/>
  <c r="X1072" i="3"/>
  <c r="Z1072" i="3" s="1"/>
  <c r="W1072" i="3"/>
  <c r="AA1071" i="3"/>
  <c r="Y1071" i="3"/>
  <c r="X1071" i="3"/>
  <c r="Z1071" i="3" s="1"/>
  <c r="W1071" i="3"/>
  <c r="AA1070" i="3"/>
  <c r="Y1070" i="3"/>
  <c r="X1070" i="3"/>
  <c r="Z1070" i="3" s="1"/>
  <c r="W1070" i="3"/>
  <c r="AA1069" i="3"/>
  <c r="Y1069" i="3"/>
  <c r="X1069" i="3"/>
  <c r="Z1069" i="3" s="1"/>
  <c r="W1069" i="3"/>
  <c r="AA1068" i="3"/>
  <c r="Y1068" i="3"/>
  <c r="X1068" i="3"/>
  <c r="Z1068" i="3" s="1"/>
  <c r="W1068" i="3"/>
  <c r="AA1067" i="3"/>
  <c r="Y1067" i="3"/>
  <c r="X1067" i="3"/>
  <c r="Z1067" i="3" s="1"/>
  <c r="W1067" i="3"/>
  <c r="AA1066" i="3"/>
  <c r="Y1066" i="3"/>
  <c r="X1066" i="3"/>
  <c r="Z1066" i="3" s="1"/>
  <c r="W1066" i="3"/>
  <c r="AA1065" i="3"/>
  <c r="Y1065" i="3"/>
  <c r="X1065" i="3"/>
  <c r="Z1065" i="3" s="1"/>
  <c r="W1065" i="3"/>
  <c r="AA1064" i="3"/>
  <c r="Y1064" i="3"/>
  <c r="X1064" i="3"/>
  <c r="Z1064" i="3" s="1"/>
  <c r="W1064" i="3"/>
  <c r="AA1063" i="3"/>
  <c r="Y1063" i="3"/>
  <c r="X1063" i="3"/>
  <c r="Z1063" i="3" s="1"/>
  <c r="W1063" i="3"/>
  <c r="AA1062" i="3"/>
  <c r="Y1062" i="3"/>
  <c r="X1062" i="3"/>
  <c r="Z1062" i="3" s="1"/>
  <c r="W1062" i="3"/>
  <c r="AA1061" i="3"/>
  <c r="Y1061" i="3"/>
  <c r="X1061" i="3"/>
  <c r="Z1061" i="3" s="1"/>
  <c r="W1061" i="3"/>
  <c r="AA1060" i="3"/>
  <c r="Y1060" i="3"/>
  <c r="X1060" i="3"/>
  <c r="Z1060" i="3" s="1"/>
  <c r="W1060" i="3"/>
  <c r="AA1059" i="3"/>
  <c r="Y1059" i="3"/>
  <c r="X1059" i="3"/>
  <c r="Z1059" i="3" s="1"/>
  <c r="W1059" i="3"/>
  <c r="AA1058" i="3"/>
  <c r="Y1058" i="3"/>
  <c r="X1058" i="3"/>
  <c r="Z1058" i="3" s="1"/>
  <c r="W1058" i="3"/>
  <c r="AA1057" i="3"/>
  <c r="Y1057" i="3"/>
  <c r="X1057" i="3"/>
  <c r="Z1057" i="3" s="1"/>
  <c r="W1057" i="3"/>
  <c r="AA1056" i="3"/>
  <c r="Y1056" i="3"/>
  <c r="X1056" i="3"/>
  <c r="Z1056" i="3" s="1"/>
  <c r="W1056" i="3"/>
  <c r="AA1055" i="3"/>
  <c r="Y1055" i="3"/>
  <c r="X1055" i="3"/>
  <c r="Z1055" i="3" s="1"/>
  <c r="W1055" i="3"/>
  <c r="AA1054" i="3"/>
  <c r="Y1054" i="3"/>
  <c r="X1054" i="3"/>
  <c r="Z1054" i="3" s="1"/>
  <c r="W1054" i="3"/>
  <c r="AA1053" i="3"/>
  <c r="Y1053" i="3"/>
  <c r="X1053" i="3"/>
  <c r="Z1053" i="3" s="1"/>
  <c r="W1053" i="3"/>
  <c r="AA1052" i="3"/>
  <c r="Y1052" i="3"/>
  <c r="X1052" i="3"/>
  <c r="Z1052" i="3" s="1"/>
  <c r="W1052" i="3"/>
  <c r="AA1051" i="3"/>
  <c r="Y1051" i="3"/>
  <c r="X1051" i="3"/>
  <c r="Z1051" i="3" s="1"/>
  <c r="W1051" i="3"/>
  <c r="AA1050" i="3"/>
  <c r="Y1050" i="3"/>
  <c r="X1050" i="3"/>
  <c r="Z1050" i="3" s="1"/>
  <c r="W1050" i="3"/>
  <c r="AA1049" i="3"/>
  <c r="Y1049" i="3"/>
  <c r="X1049" i="3"/>
  <c r="Z1049" i="3" s="1"/>
  <c r="W1049" i="3"/>
  <c r="AA1048" i="3"/>
  <c r="Y1048" i="3"/>
  <c r="X1048" i="3"/>
  <c r="Z1048" i="3" s="1"/>
  <c r="W1048" i="3"/>
  <c r="AA1047" i="3"/>
  <c r="Y1047" i="3"/>
  <c r="X1047" i="3"/>
  <c r="Z1047" i="3" s="1"/>
  <c r="W1047" i="3"/>
  <c r="AA1046" i="3"/>
  <c r="Y1046" i="3"/>
  <c r="X1046" i="3"/>
  <c r="Z1046" i="3" s="1"/>
  <c r="W1046" i="3"/>
  <c r="AA1045" i="3"/>
  <c r="Y1045" i="3"/>
  <c r="X1045" i="3"/>
  <c r="Z1045" i="3" s="1"/>
  <c r="W1045" i="3"/>
  <c r="AA1044" i="3"/>
  <c r="Y1044" i="3"/>
  <c r="X1044" i="3"/>
  <c r="Z1044" i="3" s="1"/>
  <c r="W1044" i="3"/>
  <c r="AA1043" i="3"/>
  <c r="Y1043" i="3"/>
  <c r="X1043" i="3"/>
  <c r="Z1043" i="3" s="1"/>
  <c r="W1043" i="3"/>
  <c r="AA1042" i="3"/>
  <c r="Y1042" i="3"/>
  <c r="X1042" i="3"/>
  <c r="Z1042" i="3" s="1"/>
  <c r="W1042" i="3"/>
  <c r="AA1041" i="3"/>
  <c r="Y1041" i="3"/>
  <c r="X1041" i="3"/>
  <c r="Z1041" i="3" s="1"/>
  <c r="W1041" i="3"/>
  <c r="AA1040" i="3"/>
  <c r="Y1040" i="3"/>
  <c r="X1040" i="3"/>
  <c r="Z1040" i="3" s="1"/>
  <c r="W1040" i="3"/>
  <c r="AA1039" i="3"/>
  <c r="Y1039" i="3"/>
  <c r="X1039" i="3"/>
  <c r="Z1039" i="3" s="1"/>
  <c r="W1039" i="3"/>
  <c r="AA1038" i="3"/>
  <c r="Y1038" i="3"/>
  <c r="X1038" i="3"/>
  <c r="Z1038" i="3" s="1"/>
  <c r="W1038" i="3"/>
  <c r="AA1037" i="3"/>
  <c r="Y1037" i="3"/>
  <c r="X1037" i="3"/>
  <c r="Z1037" i="3" s="1"/>
  <c r="W1037" i="3"/>
  <c r="AA1036" i="3"/>
  <c r="Y1036" i="3"/>
  <c r="X1036" i="3"/>
  <c r="Z1036" i="3" s="1"/>
  <c r="W1036" i="3"/>
  <c r="AA1035" i="3"/>
  <c r="Y1035" i="3"/>
  <c r="X1035" i="3"/>
  <c r="Z1035" i="3" s="1"/>
  <c r="W1035" i="3"/>
  <c r="AA1034" i="3"/>
  <c r="Y1034" i="3"/>
  <c r="X1034" i="3"/>
  <c r="Z1034" i="3" s="1"/>
  <c r="W1034" i="3"/>
  <c r="AA1033" i="3"/>
  <c r="Y1033" i="3"/>
  <c r="X1033" i="3"/>
  <c r="Z1033" i="3" s="1"/>
  <c r="W1033" i="3"/>
  <c r="AA1032" i="3"/>
  <c r="Y1032" i="3"/>
  <c r="X1032" i="3"/>
  <c r="Z1032" i="3" s="1"/>
  <c r="W1032" i="3"/>
  <c r="AA1031" i="3"/>
  <c r="Y1031" i="3"/>
  <c r="X1031" i="3"/>
  <c r="Z1031" i="3" s="1"/>
  <c r="W1031" i="3"/>
  <c r="AA1030" i="3"/>
  <c r="Y1030" i="3"/>
  <c r="X1030" i="3"/>
  <c r="Z1030" i="3" s="1"/>
  <c r="W1030" i="3"/>
  <c r="AA1029" i="3"/>
  <c r="Y1029" i="3"/>
  <c r="X1029" i="3"/>
  <c r="Z1029" i="3" s="1"/>
  <c r="W1029" i="3"/>
  <c r="AA1028" i="3"/>
  <c r="Y1028" i="3"/>
  <c r="X1028" i="3"/>
  <c r="Z1028" i="3" s="1"/>
  <c r="W1028" i="3"/>
  <c r="AA1027" i="3"/>
  <c r="Y1027" i="3"/>
  <c r="X1027" i="3"/>
  <c r="Z1027" i="3" s="1"/>
  <c r="W1027" i="3"/>
  <c r="AA1026" i="3"/>
  <c r="Y1026" i="3"/>
  <c r="X1026" i="3"/>
  <c r="Z1026" i="3" s="1"/>
  <c r="W1026" i="3"/>
  <c r="AA1025" i="3"/>
  <c r="Y1025" i="3"/>
  <c r="X1025" i="3"/>
  <c r="Z1025" i="3" s="1"/>
  <c r="W1025" i="3"/>
  <c r="AA1024" i="3"/>
  <c r="Y1024" i="3"/>
  <c r="X1024" i="3"/>
  <c r="Z1024" i="3" s="1"/>
  <c r="W1024" i="3"/>
  <c r="AA1023" i="3"/>
  <c r="Y1023" i="3"/>
  <c r="X1023" i="3"/>
  <c r="Z1023" i="3" s="1"/>
  <c r="W1023" i="3"/>
  <c r="AA1022" i="3"/>
  <c r="Y1022" i="3"/>
  <c r="X1022" i="3"/>
  <c r="Z1022" i="3" s="1"/>
  <c r="W1022" i="3"/>
  <c r="AA1021" i="3"/>
  <c r="Y1021" i="3"/>
  <c r="X1021" i="3"/>
  <c r="Z1021" i="3" s="1"/>
  <c r="W1021" i="3"/>
  <c r="AA1020" i="3"/>
  <c r="Y1020" i="3"/>
  <c r="X1020" i="3"/>
  <c r="Z1020" i="3" s="1"/>
  <c r="W1020" i="3"/>
  <c r="AA1019" i="3"/>
  <c r="Y1019" i="3"/>
  <c r="X1019" i="3"/>
  <c r="Z1019" i="3" s="1"/>
  <c r="W1019" i="3"/>
  <c r="AA1018" i="3"/>
  <c r="Y1018" i="3"/>
  <c r="X1018" i="3"/>
  <c r="Z1018" i="3" s="1"/>
  <c r="W1018" i="3"/>
  <c r="AA1017" i="3"/>
  <c r="Y1017" i="3"/>
  <c r="X1017" i="3"/>
  <c r="Z1017" i="3" s="1"/>
  <c r="W1017" i="3"/>
  <c r="AA1016" i="3"/>
  <c r="Y1016" i="3"/>
  <c r="X1016" i="3"/>
  <c r="Z1016" i="3" s="1"/>
  <c r="W1016" i="3"/>
  <c r="AA1015" i="3"/>
  <c r="Y1015" i="3"/>
  <c r="X1015" i="3"/>
  <c r="Z1015" i="3" s="1"/>
  <c r="W1015" i="3"/>
  <c r="AA1014" i="3"/>
  <c r="Y1014" i="3"/>
  <c r="X1014" i="3"/>
  <c r="Z1014" i="3" s="1"/>
  <c r="W1014" i="3"/>
  <c r="AA1013" i="3"/>
  <c r="Y1013" i="3"/>
  <c r="X1013" i="3"/>
  <c r="Z1013" i="3" s="1"/>
  <c r="W1013" i="3"/>
  <c r="AA1012" i="3"/>
  <c r="Y1012" i="3"/>
  <c r="X1012" i="3"/>
  <c r="Z1012" i="3" s="1"/>
  <c r="W1012" i="3"/>
  <c r="AA1011" i="3"/>
  <c r="Y1011" i="3"/>
  <c r="X1011" i="3"/>
  <c r="Z1011" i="3" s="1"/>
  <c r="W1011" i="3"/>
  <c r="AA1010" i="3"/>
  <c r="Y1010" i="3"/>
  <c r="X1010" i="3"/>
  <c r="Z1010" i="3" s="1"/>
  <c r="W1010" i="3"/>
  <c r="AA1009" i="3"/>
  <c r="Y1009" i="3"/>
  <c r="X1009" i="3"/>
  <c r="Z1009" i="3" s="1"/>
  <c r="W1009" i="3"/>
  <c r="AA1008" i="3"/>
  <c r="Y1008" i="3"/>
  <c r="X1008" i="3"/>
  <c r="Z1008" i="3"/>
  <c r="W1008" i="3"/>
  <c r="AA1007" i="3"/>
  <c r="Y1007" i="3"/>
  <c r="X1007" i="3"/>
  <c r="Z1007" i="3" s="1"/>
  <c r="W1007" i="3"/>
  <c r="AA1006" i="3"/>
  <c r="Y1006" i="3"/>
  <c r="X1006" i="3"/>
  <c r="Z1006" i="3"/>
  <c r="W1006" i="3"/>
  <c r="AA1005" i="3"/>
  <c r="Y1005" i="3"/>
  <c r="X1005" i="3"/>
  <c r="Z1005" i="3" s="1"/>
  <c r="W1005" i="3"/>
  <c r="AA1004" i="3"/>
  <c r="Y1004" i="3"/>
  <c r="X1004" i="3"/>
  <c r="Z1004" i="3" s="1"/>
  <c r="W1004" i="3"/>
  <c r="AA1003" i="3"/>
  <c r="Y1003" i="3"/>
  <c r="X1003" i="3"/>
  <c r="Z1003" i="3" s="1"/>
  <c r="W1003" i="3"/>
  <c r="AA1002" i="3"/>
  <c r="Y1002" i="3"/>
  <c r="X1002" i="3"/>
  <c r="Z1002" i="3" s="1"/>
  <c r="W1002" i="3"/>
  <c r="AA1001" i="3"/>
  <c r="Y1001" i="3"/>
  <c r="X1001" i="3"/>
  <c r="Z1001" i="3" s="1"/>
  <c r="W1001" i="3"/>
  <c r="AA1000" i="3"/>
  <c r="Y1000" i="3"/>
  <c r="X1000" i="3"/>
  <c r="Z1000" i="3" s="1"/>
  <c r="W1000" i="3"/>
  <c r="AA999" i="3"/>
  <c r="Y999" i="3"/>
  <c r="X999" i="3"/>
  <c r="Z999" i="3" s="1"/>
  <c r="W999" i="3"/>
  <c r="AA998" i="3"/>
  <c r="Y998" i="3"/>
  <c r="X998" i="3"/>
  <c r="Z998" i="3" s="1"/>
  <c r="W998" i="3"/>
  <c r="AA997" i="3"/>
  <c r="Y997" i="3"/>
  <c r="X997" i="3"/>
  <c r="Z997" i="3" s="1"/>
  <c r="W997" i="3"/>
  <c r="AA996" i="3"/>
  <c r="Y996" i="3"/>
  <c r="X996" i="3"/>
  <c r="Z996" i="3" s="1"/>
  <c r="W996" i="3"/>
  <c r="AA995" i="3"/>
  <c r="Y995" i="3"/>
  <c r="X995" i="3"/>
  <c r="Z995" i="3" s="1"/>
  <c r="W995" i="3"/>
  <c r="AA994" i="3"/>
  <c r="Y994" i="3"/>
  <c r="X994" i="3"/>
  <c r="Z994" i="3" s="1"/>
  <c r="W994" i="3"/>
  <c r="AA993" i="3"/>
  <c r="Y993" i="3"/>
  <c r="X993" i="3"/>
  <c r="Z993" i="3" s="1"/>
  <c r="W993" i="3"/>
  <c r="AA992" i="3"/>
  <c r="Y992" i="3"/>
  <c r="X992" i="3"/>
  <c r="Z992" i="3" s="1"/>
  <c r="W992" i="3"/>
  <c r="AA991" i="3"/>
  <c r="Y991" i="3"/>
  <c r="X991" i="3"/>
  <c r="Z991" i="3" s="1"/>
  <c r="W991" i="3"/>
  <c r="AA990" i="3"/>
  <c r="Y990" i="3"/>
  <c r="X990" i="3"/>
  <c r="Z990" i="3" s="1"/>
  <c r="W990" i="3"/>
  <c r="AA989" i="3"/>
  <c r="Y989" i="3"/>
  <c r="X989" i="3"/>
  <c r="Z989" i="3" s="1"/>
  <c r="W989" i="3"/>
  <c r="AA988" i="3"/>
  <c r="Y988" i="3"/>
  <c r="X988" i="3"/>
  <c r="Z988" i="3" s="1"/>
  <c r="W988" i="3"/>
  <c r="AA987" i="3"/>
  <c r="Y987" i="3"/>
  <c r="X987" i="3"/>
  <c r="Z987" i="3" s="1"/>
  <c r="W987" i="3"/>
  <c r="AA986" i="3"/>
  <c r="Y986" i="3"/>
  <c r="X986" i="3"/>
  <c r="Z986" i="3" s="1"/>
  <c r="W986" i="3"/>
  <c r="AA985" i="3"/>
  <c r="Y985" i="3"/>
  <c r="X985" i="3"/>
  <c r="Z985" i="3" s="1"/>
  <c r="W985" i="3"/>
  <c r="AA984" i="3"/>
  <c r="Y984" i="3"/>
  <c r="X984" i="3"/>
  <c r="Z984" i="3" s="1"/>
  <c r="W984" i="3"/>
  <c r="AA983" i="3"/>
  <c r="Y983" i="3"/>
  <c r="X983" i="3"/>
  <c r="Z983" i="3" s="1"/>
  <c r="W983" i="3"/>
  <c r="AA982" i="3"/>
  <c r="Y982" i="3"/>
  <c r="X982" i="3"/>
  <c r="Z982" i="3" s="1"/>
  <c r="W982" i="3"/>
  <c r="AA981" i="3"/>
  <c r="Y981" i="3"/>
  <c r="X981" i="3"/>
  <c r="Z981" i="3" s="1"/>
  <c r="W981" i="3"/>
  <c r="AA980" i="3"/>
  <c r="Y980" i="3"/>
  <c r="X980" i="3"/>
  <c r="Z980" i="3" s="1"/>
  <c r="W980" i="3"/>
  <c r="AA979" i="3"/>
  <c r="Y979" i="3"/>
  <c r="X979" i="3"/>
  <c r="Z979" i="3" s="1"/>
  <c r="W979" i="3"/>
  <c r="AA978" i="3"/>
  <c r="Y978" i="3"/>
  <c r="X978" i="3"/>
  <c r="Z978" i="3" s="1"/>
  <c r="W978" i="3"/>
  <c r="AA977" i="3"/>
  <c r="Y977" i="3"/>
  <c r="X977" i="3"/>
  <c r="Z977" i="3" s="1"/>
  <c r="W977" i="3"/>
  <c r="AA976" i="3"/>
  <c r="Y976" i="3"/>
  <c r="X976" i="3"/>
  <c r="Z976" i="3" s="1"/>
  <c r="W976" i="3"/>
  <c r="AA975" i="3"/>
  <c r="Y975" i="3"/>
  <c r="X975" i="3"/>
  <c r="Z975" i="3" s="1"/>
  <c r="W975" i="3"/>
  <c r="AA974" i="3"/>
  <c r="Y974" i="3"/>
  <c r="X974" i="3"/>
  <c r="Z974" i="3" s="1"/>
  <c r="W974" i="3"/>
  <c r="AA973" i="3"/>
  <c r="Y973" i="3"/>
  <c r="X973" i="3"/>
  <c r="Z973" i="3" s="1"/>
  <c r="W973" i="3"/>
  <c r="AA972" i="3"/>
  <c r="Y972" i="3"/>
  <c r="X972" i="3"/>
  <c r="Z972" i="3" s="1"/>
  <c r="W972" i="3"/>
  <c r="AA971" i="3"/>
  <c r="Y971" i="3"/>
  <c r="X971" i="3"/>
  <c r="Z971" i="3" s="1"/>
  <c r="W971" i="3"/>
  <c r="AA970" i="3"/>
  <c r="Y970" i="3"/>
  <c r="X970" i="3"/>
  <c r="Z970" i="3" s="1"/>
  <c r="W970" i="3"/>
  <c r="AA969" i="3"/>
  <c r="Y969" i="3"/>
  <c r="X969" i="3"/>
  <c r="Z969" i="3" s="1"/>
  <c r="W969" i="3"/>
  <c r="AA968" i="3"/>
  <c r="Y968" i="3"/>
  <c r="X968" i="3"/>
  <c r="Z968" i="3" s="1"/>
  <c r="W968" i="3"/>
  <c r="AA967" i="3"/>
  <c r="Y967" i="3"/>
  <c r="X967" i="3"/>
  <c r="Z967" i="3" s="1"/>
  <c r="W967" i="3"/>
  <c r="AA966" i="3"/>
  <c r="Y966" i="3"/>
  <c r="X966" i="3"/>
  <c r="Z966" i="3" s="1"/>
  <c r="W966" i="3"/>
  <c r="AA965" i="3"/>
  <c r="Y965" i="3"/>
  <c r="X965" i="3"/>
  <c r="Z965" i="3" s="1"/>
  <c r="W965" i="3"/>
  <c r="AA964" i="3"/>
  <c r="Y964" i="3"/>
  <c r="X964" i="3"/>
  <c r="Z964" i="3" s="1"/>
  <c r="W964" i="3"/>
  <c r="AA963" i="3"/>
  <c r="Y963" i="3"/>
  <c r="X963" i="3"/>
  <c r="Z963" i="3" s="1"/>
  <c r="W963" i="3"/>
  <c r="AA962" i="3"/>
  <c r="Y962" i="3"/>
  <c r="X962" i="3"/>
  <c r="Z962" i="3" s="1"/>
  <c r="W962" i="3"/>
  <c r="AA961" i="3"/>
  <c r="Y961" i="3"/>
  <c r="X961" i="3"/>
  <c r="Z961" i="3" s="1"/>
  <c r="W961" i="3"/>
  <c r="AA960" i="3"/>
  <c r="Y960" i="3"/>
  <c r="X960" i="3"/>
  <c r="Z960" i="3" s="1"/>
  <c r="W960" i="3"/>
  <c r="AA959" i="3"/>
  <c r="Y959" i="3"/>
  <c r="X959" i="3"/>
  <c r="Z959" i="3" s="1"/>
  <c r="W959" i="3"/>
  <c r="AA958" i="3"/>
  <c r="Y958" i="3"/>
  <c r="X958" i="3"/>
  <c r="Z958" i="3" s="1"/>
  <c r="W958" i="3"/>
  <c r="AA957" i="3"/>
  <c r="Y957" i="3"/>
  <c r="X957" i="3"/>
  <c r="Z957" i="3" s="1"/>
  <c r="W957" i="3"/>
  <c r="AA956" i="3"/>
  <c r="Y956" i="3"/>
  <c r="X956" i="3"/>
  <c r="Z956" i="3" s="1"/>
  <c r="W956" i="3"/>
  <c r="AA955" i="3"/>
  <c r="Y955" i="3"/>
  <c r="X955" i="3"/>
  <c r="Z955" i="3" s="1"/>
  <c r="W955" i="3"/>
  <c r="AA954" i="3"/>
  <c r="Y954" i="3"/>
  <c r="X954" i="3"/>
  <c r="Z954" i="3" s="1"/>
  <c r="W954" i="3"/>
  <c r="AA953" i="3"/>
  <c r="Y953" i="3"/>
  <c r="X953" i="3"/>
  <c r="Z953" i="3" s="1"/>
  <c r="W953" i="3"/>
  <c r="AA952" i="3"/>
  <c r="Y952" i="3"/>
  <c r="X952" i="3"/>
  <c r="Z952" i="3" s="1"/>
  <c r="W952" i="3"/>
  <c r="AA951" i="3"/>
  <c r="Y951" i="3"/>
  <c r="X951" i="3"/>
  <c r="Z951" i="3" s="1"/>
  <c r="W951" i="3"/>
  <c r="AA950" i="3"/>
  <c r="Y950" i="3"/>
  <c r="X950" i="3"/>
  <c r="Z950" i="3" s="1"/>
  <c r="W950" i="3"/>
  <c r="AA949" i="3"/>
  <c r="Y949" i="3"/>
  <c r="X949" i="3"/>
  <c r="Z949" i="3" s="1"/>
  <c r="W949" i="3"/>
  <c r="AA948" i="3"/>
  <c r="Y948" i="3"/>
  <c r="X948" i="3"/>
  <c r="Z948" i="3" s="1"/>
  <c r="W948" i="3"/>
  <c r="AA947" i="3"/>
  <c r="Y947" i="3"/>
  <c r="X947" i="3"/>
  <c r="Z947" i="3" s="1"/>
  <c r="W947" i="3"/>
  <c r="AA946" i="3"/>
  <c r="Y946" i="3"/>
  <c r="X946" i="3"/>
  <c r="Z946" i="3" s="1"/>
  <c r="W946" i="3"/>
  <c r="AA945" i="3"/>
  <c r="Y945" i="3"/>
  <c r="X945" i="3"/>
  <c r="Z945" i="3" s="1"/>
  <c r="W945" i="3"/>
  <c r="AA944" i="3"/>
  <c r="Y944" i="3"/>
  <c r="X944" i="3"/>
  <c r="Z944" i="3" s="1"/>
  <c r="W944" i="3"/>
  <c r="AA943" i="3"/>
  <c r="Y943" i="3"/>
  <c r="X943" i="3"/>
  <c r="Z943" i="3" s="1"/>
  <c r="W943" i="3"/>
  <c r="AA942" i="3"/>
  <c r="Y942" i="3"/>
  <c r="X942" i="3"/>
  <c r="Z942" i="3" s="1"/>
  <c r="W942" i="3"/>
  <c r="AA941" i="3"/>
  <c r="Y941" i="3"/>
  <c r="X941" i="3"/>
  <c r="Z941" i="3" s="1"/>
  <c r="W941" i="3"/>
  <c r="AA940" i="3"/>
  <c r="Y940" i="3"/>
  <c r="X940" i="3"/>
  <c r="Z940" i="3" s="1"/>
  <c r="W940" i="3"/>
  <c r="AA939" i="3"/>
  <c r="Y939" i="3"/>
  <c r="X939" i="3"/>
  <c r="Z939" i="3"/>
  <c r="W939" i="3"/>
  <c r="AA938" i="3"/>
  <c r="Y938" i="3"/>
  <c r="X938" i="3"/>
  <c r="Z938" i="3" s="1"/>
  <c r="W938" i="3"/>
  <c r="AA937" i="3"/>
  <c r="Y937" i="3"/>
  <c r="X937" i="3"/>
  <c r="Z937" i="3" s="1"/>
  <c r="W937" i="3"/>
  <c r="AA936" i="3"/>
  <c r="Y936" i="3"/>
  <c r="X936" i="3"/>
  <c r="Z936" i="3" s="1"/>
  <c r="W936" i="3"/>
  <c r="AA935" i="3"/>
  <c r="Y935" i="3"/>
  <c r="X935" i="3"/>
  <c r="Z935" i="3" s="1"/>
  <c r="W935" i="3"/>
  <c r="AA934" i="3"/>
  <c r="Y934" i="3"/>
  <c r="X934" i="3"/>
  <c r="Z934" i="3" s="1"/>
  <c r="W934" i="3"/>
  <c r="AA933" i="3"/>
  <c r="Y933" i="3"/>
  <c r="X933" i="3"/>
  <c r="Z933" i="3" s="1"/>
  <c r="W933" i="3"/>
  <c r="AA932" i="3"/>
  <c r="Y932" i="3"/>
  <c r="X932" i="3"/>
  <c r="Z932" i="3" s="1"/>
  <c r="W932" i="3"/>
  <c r="AA931" i="3"/>
  <c r="Y931" i="3"/>
  <c r="X931" i="3"/>
  <c r="Z931" i="3" s="1"/>
  <c r="W931" i="3"/>
  <c r="AA930" i="3"/>
  <c r="Y930" i="3"/>
  <c r="X930" i="3"/>
  <c r="Z930" i="3" s="1"/>
  <c r="W930" i="3"/>
  <c r="AA929" i="3"/>
  <c r="Y929" i="3"/>
  <c r="X929" i="3"/>
  <c r="Z929" i="3" s="1"/>
  <c r="W929" i="3"/>
  <c r="AA928" i="3"/>
  <c r="Y928" i="3"/>
  <c r="X928" i="3"/>
  <c r="Z928" i="3" s="1"/>
  <c r="W928" i="3"/>
  <c r="AA927" i="3"/>
  <c r="Y927" i="3"/>
  <c r="X927" i="3"/>
  <c r="Z927" i="3" s="1"/>
  <c r="W927" i="3"/>
  <c r="AA926" i="3"/>
  <c r="Y926" i="3"/>
  <c r="X926" i="3"/>
  <c r="Z926" i="3" s="1"/>
  <c r="W926" i="3"/>
  <c r="AA925" i="3"/>
  <c r="Y925" i="3"/>
  <c r="X925" i="3"/>
  <c r="Z925" i="3" s="1"/>
  <c r="W925" i="3"/>
  <c r="AA924" i="3"/>
  <c r="Y924" i="3"/>
  <c r="X924" i="3"/>
  <c r="Z924" i="3" s="1"/>
  <c r="W924" i="3"/>
  <c r="AA923" i="3"/>
  <c r="Y923" i="3"/>
  <c r="X923" i="3"/>
  <c r="Z923" i="3" s="1"/>
  <c r="W923" i="3"/>
  <c r="AA922" i="3"/>
  <c r="Y922" i="3"/>
  <c r="X922" i="3"/>
  <c r="Z922" i="3" s="1"/>
  <c r="W922" i="3"/>
  <c r="AA921" i="3"/>
  <c r="Y921" i="3"/>
  <c r="X921" i="3"/>
  <c r="Z921" i="3" s="1"/>
  <c r="W921" i="3"/>
  <c r="AA920" i="3"/>
  <c r="Y920" i="3"/>
  <c r="X920" i="3"/>
  <c r="Z920" i="3" s="1"/>
  <c r="W920" i="3"/>
  <c r="AA919" i="3"/>
  <c r="Y919" i="3"/>
  <c r="X919" i="3"/>
  <c r="Z919" i="3" s="1"/>
  <c r="W919" i="3"/>
  <c r="AA918" i="3"/>
  <c r="Y918" i="3"/>
  <c r="X918" i="3"/>
  <c r="Z918" i="3" s="1"/>
  <c r="W918" i="3"/>
  <c r="AA917" i="3"/>
  <c r="Y917" i="3"/>
  <c r="X917" i="3"/>
  <c r="Z917" i="3" s="1"/>
  <c r="W917" i="3"/>
  <c r="AA916" i="3"/>
  <c r="Y916" i="3"/>
  <c r="X916" i="3"/>
  <c r="Z916" i="3" s="1"/>
  <c r="W916" i="3"/>
  <c r="AA915" i="3"/>
  <c r="Y915" i="3"/>
  <c r="X915" i="3"/>
  <c r="Z915" i="3" s="1"/>
  <c r="W915" i="3"/>
  <c r="AA914" i="3"/>
  <c r="Y914" i="3"/>
  <c r="X914" i="3"/>
  <c r="Z914" i="3" s="1"/>
  <c r="W914" i="3"/>
  <c r="AA913" i="3"/>
  <c r="Y913" i="3"/>
  <c r="X913" i="3"/>
  <c r="Z913" i="3" s="1"/>
  <c r="W913" i="3"/>
  <c r="AA912" i="3"/>
  <c r="Y912" i="3"/>
  <c r="X912" i="3"/>
  <c r="Z912" i="3"/>
  <c r="W912" i="3"/>
  <c r="AA911" i="3"/>
  <c r="Y911" i="3"/>
  <c r="X911" i="3"/>
  <c r="Z911" i="3" s="1"/>
  <c r="W911" i="3"/>
  <c r="AA910" i="3"/>
  <c r="Y910" i="3"/>
  <c r="X910" i="3"/>
  <c r="Z910" i="3" s="1"/>
  <c r="W910" i="3"/>
  <c r="AA909" i="3"/>
  <c r="Y909" i="3"/>
  <c r="X909" i="3"/>
  <c r="Z909" i="3" s="1"/>
  <c r="W909" i="3"/>
  <c r="AA908" i="3"/>
  <c r="Y908" i="3"/>
  <c r="X908" i="3"/>
  <c r="Z908" i="3" s="1"/>
  <c r="W908" i="3"/>
  <c r="AA907" i="3"/>
  <c r="Y907" i="3"/>
  <c r="X907" i="3"/>
  <c r="Z907" i="3" s="1"/>
  <c r="W907" i="3"/>
  <c r="AA906" i="3"/>
  <c r="Y906" i="3"/>
  <c r="X906" i="3"/>
  <c r="Z906" i="3" s="1"/>
  <c r="W906" i="3"/>
  <c r="AA905" i="3"/>
  <c r="Y905" i="3"/>
  <c r="X905" i="3"/>
  <c r="Z905" i="3" s="1"/>
  <c r="W905" i="3"/>
  <c r="AA904" i="3"/>
  <c r="Y904" i="3"/>
  <c r="X904" i="3"/>
  <c r="Z904" i="3" s="1"/>
  <c r="W904" i="3"/>
  <c r="AA903" i="3"/>
  <c r="Y903" i="3"/>
  <c r="X903" i="3"/>
  <c r="Z903" i="3" s="1"/>
  <c r="W903" i="3"/>
  <c r="AA902" i="3"/>
  <c r="Y902" i="3"/>
  <c r="X902" i="3"/>
  <c r="Z902" i="3" s="1"/>
  <c r="W902" i="3"/>
  <c r="AA901" i="3"/>
  <c r="Y901" i="3"/>
  <c r="X901" i="3"/>
  <c r="Z901" i="3" s="1"/>
  <c r="W901" i="3"/>
  <c r="AA900" i="3"/>
  <c r="Y900" i="3"/>
  <c r="X900" i="3"/>
  <c r="Z900" i="3" s="1"/>
  <c r="W900" i="3"/>
  <c r="AA899" i="3"/>
  <c r="Y899" i="3"/>
  <c r="X899" i="3"/>
  <c r="Z899" i="3" s="1"/>
  <c r="W899" i="3"/>
  <c r="AA898" i="3"/>
  <c r="Y898" i="3"/>
  <c r="X898" i="3"/>
  <c r="Z898" i="3" s="1"/>
  <c r="W898" i="3"/>
  <c r="AA897" i="3"/>
  <c r="Y897" i="3"/>
  <c r="X897" i="3"/>
  <c r="Z897" i="3" s="1"/>
  <c r="W897" i="3"/>
  <c r="AA896" i="3"/>
  <c r="Y896" i="3"/>
  <c r="X896" i="3"/>
  <c r="Z896" i="3" s="1"/>
  <c r="W896" i="3"/>
  <c r="AA895" i="3"/>
  <c r="Y895" i="3"/>
  <c r="X895" i="3"/>
  <c r="Z895" i="3" s="1"/>
  <c r="W895" i="3"/>
  <c r="AA894" i="3"/>
  <c r="Y894" i="3"/>
  <c r="X894" i="3"/>
  <c r="Z894" i="3" s="1"/>
  <c r="W894" i="3"/>
  <c r="AA893" i="3"/>
  <c r="Y893" i="3"/>
  <c r="X893" i="3"/>
  <c r="Z893" i="3" s="1"/>
  <c r="W893" i="3"/>
  <c r="AA892" i="3"/>
  <c r="Y892" i="3"/>
  <c r="X892" i="3"/>
  <c r="Z892" i="3"/>
  <c r="W892" i="3"/>
  <c r="AA891" i="3"/>
  <c r="Y891" i="3"/>
  <c r="X891" i="3"/>
  <c r="Z891" i="3" s="1"/>
  <c r="W891" i="3"/>
  <c r="AA890" i="3"/>
  <c r="Y890" i="3"/>
  <c r="X890" i="3"/>
  <c r="Z890" i="3" s="1"/>
  <c r="W890" i="3"/>
  <c r="AA889" i="3"/>
  <c r="Y889" i="3"/>
  <c r="X889" i="3"/>
  <c r="Z889" i="3" s="1"/>
  <c r="W889" i="3"/>
  <c r="AA888" i="3"/>
  <c r="Y888" i="3"/>
  <c r="X888" i="3"/>
  <c r="Z888" i="3" s="1"/>
  <c r="W888" i="3"/>
  <c r="AA887" i="3"/>
  <c r="Y887" i="3"/>
  <c r="X887" i="3"/>
  <c r="Z887" i="3" s="1"/>
  <c r="W887" i="3"/>
  <c r="AA886" i="3"/>
  <c r="Y886" i="3"/>
  <c r="X886" i="3"/>
  <c r="Z886" i="3" s="1"/>
  <c r="W886" i="3"/>
  <c r="AA885" i="3"/>
  <c r="Y885" i="3"/>
  <c r="X885" i="3"/>
  <c r="Z885" i="3" s="1"/>
  <c r="W885" i="3"/>
  <c r="AA884" i="3"/>
  <c r="Y884" i="3"/>
  <c r="X884" i="3"/>
  <c r="Z884" i="3" s="1"/>
  <c r="W884" i="3"/>
  <c r="AA883" i="3"/>
  <c r="Y883" i="3"/>
  <c r="X883" i="3"/>
  <c r="Z883" i="3" s="1"/>
  <c r="W883" i="3"/>
  <c r="AA882" i="3"/>
  <c r="Y882" i="3"/>
  <c r="X882" i="3"/>
  <c r="Z882" i="3" s="1"/>
  <c r="W882" i="3"/>
  <c r="AA881" i="3"/>
  <c r="Y881" i="3"/>
  <c r="X881" i="3"/>
  <c r="Z881" i="3" s="1"/>
  <c r="W881" i="3"/>
  <c r="AA880" i="3"/>
  <c r="Y880" i="3"/>
  <c r="X880" i="3"/>
  <c r="Z880" i="3" s="1"/>
  <c r="W880" i="3"/>
  <c r="AA879" i="3"/>
  <c r="Y879" i="3"/>
  <c r="X879" i="3"/>
  <c r="Z879" i="3" s="1"/>
  <c r="W879" i="3"/>
  <c r="AA878" i="3"/>
  <c r="Y878" i="3"/>
  <c r="X878" i="3"/>
  <c r="Z878" i="3" s="1"/>
  <c r="W878" i="3"/>
  <c r="AA877" i="3"/>
  <c r="Y877" i="3"/>
  <c r="X877" i="3"/>
  <c r="Z877" i="3" s="1"/>
  <c r="W877" i="3"/>
  <c r="AA876" i="3"/>
  <c r="Y876" i="3"/>
  <c r="X876" i="3"/>
  <c r="Z876" i="3" s="1"/>
  <c r="W876" i="3"/>
  <c r="AA875" i="3"/>
  <c r="Y875" i="3"/>
  <c r="X875" i="3"/>
  <c r="Z875" i="3" s="1"/>
  <c r="W875" i="3"/>
  <c r="AA874" i="3"/>
  <c r="Y874" i="3"/>
  <c r="X874" i="3"/>
  <c r="Z874" i="3" s="1"/>
  <c r="W874" i="3"/>
  <c r="AA873" i="3"/>
  <c r="Y873" i="3"/>
  <c r="X873" i="3"/>
  <c r="Z873" i="3" s="1"/>
  <c r="W873" i="3"/>
  <c r="AA872" i="3"/>
  <c r="Y872" i="3"/>
  <c r="X872" i="3"/>
  <c r="Z872" i="3" s="1"/>
  <c r="W872" i="3"/>
  <c r="AA871" i="3"/>
  <c r="Y871" i="3"/>
  <c r="X871" i="3"/>
  <c r="Z871" i="3" s="1"/>
  <c r="W871" i="3"/>
  <c r="AA870" i="3"/>
  <c r="Y870" i="3"/>
  <c r="X870" i="3"/>
  <c r="Z870" i="3" s="1"/>
  <c r="W870" i="3"/>
  <c r="AA869" i="3"/>
  <c r="Y869" i="3"/>
  <c r="X869" i="3"/>
  <c r="Z869" i="3" s="1"/>
  <c r="W869" i="3"/>
  <c r="AA868" i="3"/>
  <c r="Y868" i="3"/>
  <c r="X868" i="3"/>
  <c r="Z868" i="3" s="1"/>
  <c r="W868" i="3"/>
  <c r="AA867" i="3"/>
  <c r="Y867" i="3"/>
  <c r="X867" i="3"/>
  <c r="Z867" i="3" s="1"/>
  <c r="W867" i="3"/>
  <c r="AA866" i="3"/>
  <c r="Y866" i="3"/>
  <c r="X866" i="3"/>
  <c r="Z866" i="3" s="1"/>
  <c r="W866" i="3"/>
  <c r="AA865" i="3"/>
  <c r="Y865" i="3"/>
  <c r="X865" i="3"/>
  <c r="Z865" i="3" s="1"/>
  <c r="W865" i="3"/>
  <c r="AA864" i="3"/>
  <c r="Y864" i="3"/>
  <c r="X864" i="3"/>
  <c r="Z864" i="3" s="1"/>
  <c r="W864" i="3"/>
  <c r="AA863" i="3"/>
  <c r="Y863" i="3"/>
  <c r="X863" i="3"/>
  <c r="Z863" i="3" s="1"/>
  <c r="W863" i="3"/>
  <c r="AA862" i="3"/>
  <c r="Y862" i="3"/>
  <c r="X862" i="3"/>
  <c r="Z862" i="3" s="1"/>
  <c r="W862" i="3"/>
  <c r="AA861" i="3"/>
  <c r="Y861" i="3"/>
  <c r="X861" i="3"/>
  <c r="Z861" i="3" s="1"/>
  <c r="W861" i="3"/>
  <c r="AA860" i="3"/>
  <c r="Y860" i="3"/>
  <c r="X860" i="3"/>
  <c r="Z860" i="3" s="1"/>
  <c r="W860" i="3"/>
  <c r="AA859" i="3"/>
  <c r="Y859" i="3"/>
  <c r="X859" i="3"/>
  <c r="Z859" i="3" s="1"/>
  <c r="W859" i="3"/>
  <c r="AA858" i="3"/>
  <c r="Y858" i="3"/>
  <c r="X858" i="3"/>
  <c r="Z858" i="3" s="1"/>
  <c r="W858" i="3"/>
  <c r="AA857" i="3"/>
  <c r="Y857" i="3"/>
  <c r="X857" i="3"/>
  <c r="Z857" i="3" s="1"/>
  <c r="W857" i="3"/>
  <c r="AA856" i="3"/>
  <c r="Y856" i="3"/>
  <c r="X856" i="3"/>
  <c r="Z856" i="3" s="1"/>
  <c r="W856" i="3"/>
  <c r="AA855" i="3"/>
  <c r="Y855" i="3"/>
  <c r="X855" i="3"/>
  <c r="Z855" i="3" s="1"/>
  <c r="W855" i="3"/>
  <c r="AA854" i="3"/>
  <c r="Y854" i="3"/>
  <c r="X854" i="3"/>
  <c r="Z854" i="3" s="1"/>
  <c r="W854" i="3"/>
  <c r="AA853" i="3"/>
  <c r="Y853" i="3"/>
  <c r="X853" i="3"/>
  <c r="Z853" i="3" s="1"/>
  <c r="W853" i="3"/>
  <c r="AA852" i="3"/>
  <c r="Y852" i="3"/>
  <c r="X852" i="3"/>
  <c r="Z852" i="3" s="1"/>
  <c r="W852" i="3"/>
  <c r="AA851" i="3"/>
  <c r="Y851" i="3"/>
  <c r="X851" i="3"/>
  <c r="Z851" i="3" s="1"/>
  <c r="W851" i="3"/>
  <c r="AA850" i="3"/>
  <c r="Y850" i="3"/>
  <c r="X850" i="3"/>
  <c r="Z850" i="3" s="1"/>
  <c r="W850" i="3"/>
  <c r="AA849" i="3"/>
  <c r="Y849" i="3"/>
  <c r="X849" i="3"/>
  <c r="Z849" i="3" s="1"/>
  <c r="W849" i="3"/>
  <c r="AA848" i="3"/>
  <c r="Y848" i="3"/>
  <c r="X848" i="3"/>
  <c r="Z848" i="3" s="1"/>
  <c r="W848" i="3"/>
  <c r="AA847" i="3"/>
  <c r="Y847" i="3"/>
  <c r="X847" i="3"/>
  <c r="Z847" i="3" s="1"/>
  <c r="W847" i="3"/>
  <c r="AA846" i="3"/>
  <c r="Y846" i="3"/>
  <c r="X846" i="3"/>
  <c r="Z846" i="3" s="1"/>
  <c r="W846" i="3"/>
  <c r="AA845" i="3"/>
  <c r="Y845" i="3"/>
  <c r="X845" i="3"/>
  <c r="Z845" i="3" s="1"/>
  <c r="W845" i="3"/>
  <c r="AA844" i="3"/>
  <c r="Y844" i="3"/>
  <c r="X844" i="3"/>
  <c r="Z844" i="3" s="1"/>
  <c r="W844" i="3"/>
  <c r="AA843" i="3"/>
  <c r="Y843" i="3"/>
  <c r="X843" i="3"/>
  <c r="Z843" i="3" s="1"/>
  <c r="W843" i="3"/>
  <c r="AA842" i="3"/>
  <c r="Y842" i="3"/>
  <c r="X842" i="3"/>
  <c r="Z842" i="3" s="1"/>
  <c r="W842" i="3"/>
  <c r="AA841" i="3"/>
  <c r="Y841" i="3"/>
  <c r="X841" i="3"/>
  <c r="Z841" i="3" s="1"/>
  <c r="W841" i="3"/>
  <c r="AA840" i="3"/>
  <c r="Y840" i="3"/>
  <c r="X840" i="3"/>
  <c r="Z840" i="3" s="1"/>
  <c r="W840" i="3"/>
  <c r="AA839" i="3"/>
  <c r="Y839" i="3"/>
  <c r="X839" i="3"/>
  <c r="Z839" i="3" s="1"/>
  <c r="W839" i="3"/>
  <c r="AA838" i="3"/>
  <c r="Y838" i="3"/>
  <c r="X838" i="3"/>
  <c r="Z838" i="3" s="1"/>
  <c r="W838" i="3"/>
  <c r="AA837" i="3"/>
  <c r="Y837" i="3"/>
  <c r="X837" i="3"/>
  <c r="Z837" i="3" s="1"/>
  <c r="W837" i="3"/>
  <c r="AA836" i="3"/>
  <c r="Y836" i="3"/>
  <c r="X836" i="3"/>
  <c r="Z836" i="3" s="1"/>
  <c r="W836" i="3"/>
  <c r="AA835" i="3"/>
  <c r="Y835" i="3"/>
  <c r="X835" i="3"/>
  <c r="Z835" i="3" s="1"/>
  <c r="W835" i="3"/>
  <c r="AA834" i="3"/>
  <c r="Y834" i="3"/>
  <c r="X834" i="3"/>
  <c r="Z834" i="3" s="1"/>
  <c r="W834" i="3"/>
  <c r="AA833" i="3"/>
  <c r="Y833" i="3"/>
  <c r="X833" i="3"/>
  <c r="Z833" i="3" s="1"/>
  <c r="W833" i="3"/>
  <c r="AA832" i="3"/>
  <c r="Y832" i="3"/>
  <c r="X832" i="3"/>
  <c r="Z832" i="3" s="1"/>
  <c r="W832" i="3"/>
  <c r="AA831" i="3"/>
  <c r="Y831" i="3"/>
  <c r="X831" i="3"/>
  <c r="Z831" i="3" s="1"/>
  <c r="W831" i="3"/>
  <c r="AA830" i="3"/>
  <c r="Y830" i="3"/>
  <c r="X830" i="3"/>
  <c r="Z830" i="3" s="1"/>
  <c r="W830" i="3"/>
  <c r="AA829" i="3"/>
  <c r="Y829" i="3"/>
  <c r="X829" i="3"/>
  <c r="Z829" i="3" s="1"/>
  <c r="W829" i="3"/>
  <c r="AA828" i="3"/>
  <c r="Y828" i="3"/>
  <c r="X828" i="3"/>
  <c r="Z828" i="3" s="1"/>
  <c r="W828" i="3"/>
  <c r="AA827" i="3"/>
  <c r="Y827" i="3"/>
  <c r="X827" i="3"/>
  <c r="Z827" i="3" s="1"/>
  <c r="W827" i="3"/>
  <c r="AA826" i="3"/>
  <c r="Y826" i="3"/>
  <c r="X826" i="3"/>
  <c r="Z826" i="3" s="1"/>
  <c r="W826" i="3"/>
  <c r="AA825" i="3"/>
  <c r="Y825" i="3"/>
  <c r="X825" i="3"/>
  <c r="Z825" i="3" s="1"/>
  <c r="W825" i="3"/>
  <c r="AA824" i="3"/>
  <c r="Y824" i="3"/>
  <c r="X824" i="3"/>
  <c r="Z824" i="3" s="1"/>
  <c r="W824" i="3"/>
  <c r="AA823" i="3"/>
  <c r="Y823" i="3"/>
  <c r="X823" i="3"/>
  <c r="Z823" i="3" s="1"/>
  <c r="W823" i="3"/>
  <c r="AA822" i="3"/>
  <c r="Y822" i="3"/>
  <c r="X822" i="3"/>
  <c r="Z822" i="3" s="1"/>
  <c r="W822" i="3"/>
  <c r="AA821" i="3"/>
  <c r="Y821" i="3"/>
  <c r="X821" i="3"/>
  <c r="Z821" i="3" s="1"/>
  <c r="W821" i="3"/>
  <c r="AA820" i="3"/>
  <c r="Y820" i="3"/>
  <c r="X820" i="3"/>
  <c r="Z820" i="3" s="1"/>
  <c r="W820" i="3"/>
  <c r="AA819" i="3"/>
  <c r="Y819" i="3"/>
  <c r="X819" i="3"/>
  <c r="Z819" i="3" s="1"/>
  <c r="W819" i="3"/>
  <c r="AA818" i="3"/>
  <c r="Y818" i="3"/>
  <c r="X818" i="3"/>
  <c r="Z818" i="3" s="1"/>
  <c r="W818" i="3"/>
  <c r="AA817" i="3"/>
  <c r="Y817" i="3"/>
  <c r="X817" i="3"/>
  <c r="Z817" i="3" s="1"/>
  <c r="W817" i="3"/>
  <c r="AA816" i="3"/>
  <c r="Y816" i="3"/>
  <c r="X816" i="3"/>
  <c r="Z816" i="3" s="1"/>
  <c r="W816" i="3"/>
  <c r="AA815" i="3"/>
  <c r="Y815" i="3"/>
  <c r="X815" i="3"/>
  <c r="Z815" i="3" s="1"/>
  <c r="W815" i="3"/>
  <c r="AA814" i="3"/>
  <c r="Y814" i="3"/>
  <c r="X814" i="3"/>
  <c r="Z814" i="3"/>
  <c r="W814" i="3"/>
  <c r="AA813" i="3"/>
  <c r="Y813" i="3"/>
  <c r="X813" i="3"/>
  <c r="Z813" i="3" s="1"/>
  <c r="W813" i="3"/>
  <c r="AA812" i="3"/>
  <c r="Y812" i="3"/>
  <c r="X812" i="3"/>
  <c r="Z812" i="3" s="1"/>
  <c r="W812" i="3"/>
  <c r="AA811" i="3"/>
  <c r="Y811" i="3"/>
  <c r="X811" i="3"/>
  <c r="Z811" i="3" s="1"/>
  <c r="W811" i="3"/>
  <c r="AA810" i="3"/>
  <c r="Y810" i="3"/>
  <c r="X810" i="3"/>
  <c r="Z810" i="3" s="1"/>
  <c r="W810" i="3"/>
  <c r="AA809" i="3"/>
  <c r="Y809" i="3"/>
  <c r="X809" i="3"/>
  <c r="Z809" i="3" s="1"/>
  <c r="W809" i="3"/>
  <c r="AA808" i="3"/>
  <c r="Y808" i="3"/>
  <c r="X808" i="3"/>
  <c r="Z808" i="3" s="1"/>
  <c r="W808" i="3"/>
  <c r="AA807" i="3"/>
  <c r="Y807" i="3"/>
  <c r="X807" i="3"/>
  <c r="Z807" i="3" s="1"/>
  <c r="W807" i="3"/>
  <c r="AA806" i="3"/>
  <c r="Y806" i="3"/>
  <c r="X806" i="3"/>
  <c r="Z806" i="3" s="1"/>
  <c r="W806" i="3"/>
  <c r="AA805" i="3"/>
  <c r="Y805" i="3"/>
  <c r="X805" i="3"/>
  <c r="Z805" i="3" s="1"/>
  <c r="W805" i="3"/>
  <c r="AA804" i="3"/>
  <c r="Y804" i="3"/>
  <c r="X804" i="3"/>
  <c r="Z804" i="3" s="1"/>
  <c r="W804" i="3"/>
  <c r="AA803" i="3"/>
  <c r="Y803" i="3"/>
  <c r="X803" i="3"/>
  <c r="Z803" i="3" s="1"/>
  <c r="W803" i="3"/>
  <c r="AA802" i="3"/>
  <c r="Y802" i="3"/>
  <c r="X802" i="3"/>
  <c r="Z802" i="3" s="1"/>
  <c r="W802" i="3"/>
  <c r="AA801" i="3"/>
  <c r="Y801" i="3"/>
  <c r="X801" i="3"/>
  <c r="Z801" i="3" s="1"/>
  <c r="W801" i="3"/>
  <c r="AA800" i="3"/>
  <c r="Y800" i="3"/>
  <c r="X800" i="3"/>
  <c r="Z800" i="3" s="1"/>
  <c r="W800" i="3"/>
  <c r="AA799" i="3"/>
  <c r="Y799" i="3"/>
  <c r="X799" i="3"/>
  <c r="Z799" i="3" s="1"/>
  <c r="W799" i="3"/>
  <c r="AA798" i="3"/>
  <c r="Y798" i="3"/>
  <c r="X798" i="3"/>
  <c r="Z798" i="3"/>
  <c r="W798" i="3"/>
  <c r="AA797" i="3"/>
  <c r="Y797" i="3"/>
  <c r="X797" i="3"/>
  <c r="Z797" i="3" s="1"/>
  <c r="W797" i="3"/>
  <c r="AA796" i="3"/>
  <c r="Y796" i="3"/>
  <c r="X796" i="3"/>
  <c r="Z796" i="3" s="1"/>
  <c r="W796" i="3"/>
  <c r="AA795" i="3"/>
  <c r="Y795" i="3"/>
  <c r="X795" i="3"/>
  <c r="Z795" i="3" s="1"/>
  <c r="W795" i="3"/>
  <c r="AA794" i="3"/>
  <c r="Y794" i="3"/>
  <c r="X794" i="3"/>
  <c r="Z794" i="3" s="1"/>
  <c r="W794" i="3"/>
  <c r="AA793" i="3"/>
  <c r="Y793" i="3"/>
  <c r="X793" i="3"/>
  <c r="Z793" i="3" s="1"/>
  <c r="W793" i="3"/>
  <c r="AA792" i="3"/>
  <c r="Y792" i="3"/>
  <c r="X792" i="3"/>
  <c r="Z792" i="3" s="1"/>
  <c r="W792" i="3"/>
  <c r="AA791" i="3"/>
  <c r="Y791" i="3"/>
  <c r="X791" i="3"/>
  <c r="Z791" i="3" s="1"/>
  <c r="W791" i="3"/>
  <c r="AA790" i="3"/>
  <c r="Y790" i="3"/>
  <c r="X790" i="3"/>
  <c r="Z790" i="3" s="1"/>
  <c r="W790" i="3"/>
  <c r="AA789" i="3"/>
  <c r="Y789" i="3"/>
  <c r="X789" i="3"/>
  <c r="Z789" i="3" s="1"/>
  <c r="W789" i="3"/>
  <c r="AA788" i="3"/>
  <c r="Y788" i="3"/>
  <c r="X788" i="3"/>
  <c r="Z788" i="3" s="1"/>
  <c r="W788" i="3"/>
  <c r="AA787" i="3"/>
  <c r="Y787" i="3"/>
  <c r="X787" i="3"/>
  <c r="Z787" i="3" s="1"/>
  <c r="W787" i="3"/>
  <c r="AA786" i="3"/>
  <c r="Y786" i="3"/>
  <c r="X786" i="3"/>
  <c r="Z786" i="3" s="1"/>
  <c r="W786" i="3"/>
  <c r="AA785" i="3"/>
  <c r="Y785" i="3"/>
  <c r="X785" i="3"/>
  <c r="Z785" i="3" s="1"/>
  <c r="W785" i="3"/>
  <c r="AA784" i="3"/>
  <c r="Y784" i="3"/>
  <c r="X784" i="3"/>
  <c r="Z784" i="3" s="1"/>
  <c r="W784" i="3"/>
  <c r="AA783" i="3"/>
  <c r="Y783" i="3"/>
  <c r="X783" i="3"/>
  <c r="Z783" i="3" s="1"/>
  <c r="W783" i="3"/>
  <c r="AA782" i="3"/>
  <c r="Y782" i="3"/>
  <c r="X782" i="3"/>
  <c r="Z782" i="3" s="1"/>
  <c r="W782" i="3"/>
  <c r="AA781" i="3"/>
  <c r="Y781" i="3"/>
  <c r="X781" i="3"/>
  <c r="Z781" i="3" s="1"/>
  <c r="W781" i="3"/>
  <c r="AA780" i="3"/>
  <c r="Y780" i="3"/>
  <c r="X780" i="3"/>
  <c r="Z780" i="3" s="1"/>
  <c r="W780" i="3"/>
  <c r="AA779" i="3"/>
  <c r="Y779" i="3"/>
  <c r="X779" i="3"/>
  <c r="Z779" i="3" s="1"/>
  <c r="W779" i="3"/>
  <c r="AA778" i="3"/>
  <c r="Y778" i="3"/>
  <c r="X778" i="3"/>
  <c r="Z778" i="3" s="1"/>
  <c r="W778" i="3"/>
  <c r="AA777" i="3"/>
  <c r="Y777" i="3"/>
  <c r="X777" i="3"/>
  <c r="Z777" i="3" s="1"/>
  <c r="W777" i="3"/>
  <c r="AA776" i="3"/>
  <c r="Y776" i="3"/>
  <c r="X776" i="3"/>
  <c r="Z776" i="3" s="1"/>
  <c r="W776" i="3"/>
  <c r="AA775" i="3"/>
  <c r="Y775" i="3"/>
  <c r="X775" i="3"/>
  <c r="Z775" i="3" s="1"/>
  <c r="W775" i="3"/>
  <c r="AA774" i="3"/>
  <c r="Y774" i="3"/>
  <c r="X774" i="3"/>
  <c r="Z774" i="3" s="1"/>
  <c r="W774" i="3"/>
  <c r="AA773" i="3"/>
  <c r="Y773" i="3"/>
  <c r="X773" i="3"/>
  <c r="Z773" i="3" s="1"/>
  <c r="W773" i="3"/>
  <c r="AA772" i="3"/>
  <c r="Y772" i="3"/>
  <c r="X772" i="3"/>
  <c r="Z772" i="3" s="1"/>
  <c r="W772" i="3"/>
  <c r="AA771" i="3"/>
  <c r="Y771" i="3"/>
  <c r="X771" i="3"/>
  <c r="Z771" i="3" s="1"/>
  <c r="W771" i="3"/>
  <c r="AA770" i="3"/>
  <c r="Y770" i="3"/>
  <c r="X770" i="3"/>
  <c r="Z770" i="3" s="1"/>
  <c r="W770" i="3"/>
  <c r="AA769" i="3"/>
  <c r="Y769" i="3"/>
  <c r="X769" i="3"/>
  <c r="Z769" i="3" s="1"/>
  <c r="W769" i="3"/>
  <c r="AA768" i="3"/>
  <c r="Y768" i="3"/>
  <c r="X768" i="3"/>
  <c r="Z768" i="3" s="1"/>
  <c r="W768" i="3"/>
  <c r="AA767" i="3"/>
  <c r="Y767" i="3"/>
  <c r="X767" i="3"/>
  <c r="Z767" i="3" s="1"/>
  <c r="W767" i="3"/>
  <c r="AA766" i="3"/>
  <c r="Y766" i="3"/>
  <c r="X766" i="3"/>
  <c r="Z766" i="3"/>
  <c r="W766" i="3"/>
  <c r="AA765" i="3"/>
  <c r="Y765" i="3"/>
  <c r="X765" i="3"/>
  <c r="Z765" i="3" s="1"/>
  <c r="W765" i="3"/>
  <c r="AA764" i="3"/>
  <c r="Y764" i="3"/>
  <c r="X764" i="3"/>
  <c r="Z764" i="3" s="1"/>
  <c r="W764" i="3"/>
  <c r="AA763" i="3"/>
  <c r="Y763" i="3"/>
  <c r="X763" i="3"/>
  <c r="Z763" i="3" s="1"/>
  <c r="W763" i="3"/>
  <c r="AA762" i="3"/>
  <c r="Y762" i="3"/>
  <c r="X762" i="3"/>
  <c r="Z762" i="3" s="1"/>
  <c r="W762" i="3"/>
  <c r="AA761" i="3"/>
  <c r="Y761" i="3"/>
  <c r="X761" i="3"/>
  <c r="Z761" i="3" s="1"/>
  <c r="W761" i="3"/>
  <c r="AA760" i="3"/>
  <c r="Y760" i="3"/>
  <c r="X760" i="3"/>
  <c r="Z760" i="3" s="1"/>
  <c r="W760" i="3"/>
  <c r="AA759" i="3"/>
  <c r="Y759" i="3"/>
  <c r="X759" i="3"/>
  <c r="Z759" i="3" s="1"/>
  <c r="W759" i="3"/>
  <c r="AA758" i="3"/>
  <c r="Y758" i="3"/>
  <c r="X758" i="3"/>
  <c r="Z758" i="3" s="1"/>
  <c r="W758" i="3"/>
  <c r="AA757" i="3"/>
  <c r="Y757" i="3"/>
  <c r="X757" i="3"/>
  <c r="Z757" i="3" s="1"/>
  <c r="W757" i="3"/>
  <c r="AA756" i="3"/>
  <c r="Y756" i="3"/>
  <c r="X756" i="3"/>
  <c r="Z756" i="3" s="1"/>
  <c r="W756" i="3"/>
  <c r="AA755" i="3"/>
  <c r="Y755" i="3"/>
  <c r="X755" i="3"/>
  <c r="Z755" i="3" s="1"/>
  <c r="W755" i="3"/>
  <c r="AA754" i="3"/>
  <c r="Y754" i="3"/>
  <c r="X754" i="3"/>
  <c r="Z754" i="3" s="1"/>
  <c r="W754" i="3"/>
  <c r="AA753" i="3"/>
  <c r="Y753" i="3"/>
  <c r="X753" i="3"/>
  <c r="Z753" i="3" s="1"/>
  <c r="W753" i="3"/>
  <c r="AA752" i="3"/>
  <c r="Y752" i="3"/>
  <c r="X752" i="3"/>
  <c r="Z752" i="3" s="1"/>
  <c r="W752" i="3"/>
  <c r="AA751" i="3"/>
  <c r="Y751" i="3"/>
  <c r="X751" i="3"/>
  <c r="Z751" i="3" s="1"/>
  <c r="W751" i="3"/>
  <c r="AA750" i="3"/>
  <c r="Y750" i="3"/>
  <c r="X750" i="3"/>
  <c r="Z750" i="3" s="1"/>
  <c r="W750" i="3"/>
  <c r="AA749" i="3"/>
  <c r="Y749" i="3"/>
  <c r="X749" i="3"/>
  <c r="Z749" i="3" s="1"/>
  <c r="W749" i="3"/>
  <c r="AA748" i="3"/>
  <c r="Y748" i="3"/>
  <c r="X748" i="3"/>
  <c r="Z748" i="3"/>
  <c r="W748" i="3"/>
  <c r="AA747" i="3"/>
  <c r="Y747" i="3"/>
  <c r="X747" i="3"/>
  <c r="Z747" i="3" s="1"/>
  <c r="W747" i="3"/>
  <c r="AA746" i="3"/>
  <c r="Y746" i="3"/>
  <c r="X746" i="3"/>
  <c r="Z746" i="3" s="1"/>
  <c r="W746" i="3"/>
  <c r="AA745" i="3"/>
  <c r="Y745" i="3"/>
  <c r="X745" i="3"/>
  <c r="Z745" i="3" s="1"/>
  <c r="W745" i="3"/>
  <c r="AA744" i="3"/>
  <c r="Y744" i="3"/>
  <c r="X744" i="3"/>
  <c r="Z744" i="3" s="1"/>
  <c r="W744" i="3"/>
  <c r="AA743" i="3"/>
  <c r="Y743" i="3"/>
  <c r="X743" i="3"/>
  <c r="Z743" i="3" s="1"/>
  <c r="W743" i="3"/>
  <c r="AA742" i="3"/>
  <c r="Y742" i="3"/>
  <c r="X742" i="3"/>
  <c r="Z742" i="3" s="1"/>
  <c r="W742" i="3"/>
  <c r="AA741" i="3"/>
  <c r="Y741" i="3"/>
  <c r="X741" i="3"/>
  <c r="Z741" i="3" s="1"/>
  <c r="W741" i="3"/>
  <c r="AA740" i="3"/>
  <c r="Y740" i="3"/>
  <c r="X740" i="3"/>
  <c r="Z740" i="3" s="1"/>
  <c r="W740" i="3"/>
  <c r="AA739" i="3"/>
  <c r="Y739" i="3"/>
  <c r="X739" i="3"/>
  <c r="Z739" i="3" s="1"/>
  <c r="W739" i="3"/>
  <c r="AA738" i="3"/>
  <c r="Y738" i="3"/>
  <c r="X738" i="3"/>
  <c r="Z738" i="3" s="1"/>
  <c r="W738" i="3"/>
  <c r="AA737" i="3"/>
  <c r="Y737" i="3"/>
  <c r="X737" i="3"/>
  <c r="Z737" i="3" s="1"/>
  <c r="W737" i="3"/>
  <c r="AA736" i="3"/>
  <c r="Y736" i="3"/>
  <c r="X736" i="3"/>
  <c r="Z736" i="3" s="1"/>
  <c r="W736" i="3"/>
  <c r="AA735" i="3"/>
  <c r="Y735" i="3"/>
  <c r="X735" i="3"/>
  <c r="Z735" i="3" s="1"/>
  <c r="W735" i="3"/>
  <c r="AA734" i="3"/>
  <c r="Y734" i="3"/>
  <c r="X734" i="3"/>
  <c r="Z734" i="3" s="1"/>
  <c r="W734" i="3"/>
  <c r="AA733" i="3"/>
  <c r="Y733" i="3"/>
  <c r="X733" i="3"/>
  <c r="Z733" i="3" s="1"/>
  <c r="W733" i="3"/>
  <c r="AA732" i="3"/>
  <c r="Y732" i="3"/>
  <c r="X732" i="3"/>
  <c r="Z732" i="3" s="1"/>
  <c r="W732" i="3"/>
  <c r="AA731" i="3"/>
  <c r="Y731" i="3"/>
  <c r="X731" i="3"/>
  <c r="Z731" i="3" s="1"/>
  <c r="W731" i="3"/>
  <c r="AA730" i="3"/>
  <c r="Y730" i="3"/>
  <c r="X730" i="3"/>
  <c r="Z730" i="3" s="1"/>
  <c r="W730" i="3"/>
  <c r="AA729" i="3"/>
  <c r="Y729" i="3"/>
  <c r="X729" i="3"/>
  <c r="Z729" i="3" s="1"/>
  <c r="W729" i="3"/>
  <c r="AA728" i="3"/>
  <c r="Y728" i="3"/>
  <c r="X728" i="3"/>
  <c r="Z728" i="3" s="1"/>
  <c r="W728" i="3"/>
  <c r="AA727" i="3"/>
  <c r="Y727" i="3"/>
  <c r="X727" i="3"/>
  <c r="Z727" i="3" s="1"/>
  <c r="W727" i="3"/>
  <c r="AA726" i="3"/>
  <c r="Y726" i="3"/>
  <c r="X726" i="3"/>
  <c r="Z726" i="3" s="1"/>
  <c r="W726" i="3"/>
  <c r="AA725" i="3"/>
  <c r="Y725" i="3"/>
  <c r="X725" i="3"/>
  <c r="Z725" i="3" s="1"/>
  <c r="W725" i="3"/>
  <c r="AA724" i="3"/>
  <c r="Y724" i="3"/>
  <c r="X724" i="3"/>
  <c r="Z724" i="3" s="1"/>
  <c r="W724" i="3"/>
  <c r="AA723" i="3"/>
  <c r="Y723" i="3"/>
  <c r="X723" i="3"/>
  <c r="Z723" i="3" s="1"/>
  <c r="W723" i="3"/>
  <c r="AA722" i="3"/>
  <c r="Y722" i="3"/>
  <c r="X722" i="3"/>
  <c r="Z722" i="3" s="1"/>
  <c r="W722" i="3"/>
  <c r="AA721" i="3"/>
  <c r="Y721" i="3"/>
  <c r="X721" i="3"/>
  <c r="Z721" i="3" s="1"/>
  <c r="W721" i="3"/>
  <c r="AA720" i="3"/>
  <c r="Y720" i="3"/>
  <c r="X720" i="3"/>
  <c r="Z720" i="3" s="1"/>
  <c r="W720" i="3"/>
  <c r="AA719" i="3"/>
  <c r="Y719" i="3"/>
  <c r="X719" i="3"/>
  <c r="Z719" i="3" s="1"/>
  <c r="W719" i="3"/>
  <c r="AA718" i="3"/>
  <c r="Y718" i="3"/>
  <c r="X718" i="3"/>
  <c r="Z718" i="3" s="1"/>
  <c r="W718" i="3"/>
  <c r="AA717" i="3"/>
  <c r="Y717" i="3"/>
  <c r="X717" i="3"/>
  <c r="Z717" i="3" s="1"/>
  <c r="W717" i="3"/>
  <c r="AA716" i="3"/>
  <c r="Y716" i="3"/>
  <c r="X716" i="3"/>
  <c r="Z716" i="3" s="1"/>
  <c r="W716" i="3"/>
  <c r="AA715" i="3"/>
  <c r="Y715" i="3"/>
  <c r="X715" i="3"/>
  <c r="Z715" i="3" s="1"/>
  <c r="W715" i="3"/>
  <c r="AA714" i="3"/>
  <c r="Y714" i="3"/>
  <c r="X714" i="3"/>
  <c r="Z714" i="3" s="1"/>
  <c r="W714" i="3"/>
  <c r="AA713" i="3"/>
  <c r="Y713" i="3"/>
  <c r="X713" i="3"/>
  <c r="Z713" i="3" s="1"/>
  <c r="W713" i="3"/>
  <c r="AA712" i="3"/>
  <c r="Y712" i="3"/>
  <c r="X712" i="3"/>
  <c r="Z712" i="3" s="1"/>
  <c r="W712" i="3"/>
  <c r="AA711" i="3"/>
  <c r="Y711" i="3"/>
  <c r="X711" i="3"/>
  <c r="Z711" i="3" s="1"/>
  <c r="W711" i="3"/>
  <c r="AA710" i="3"/>
  <c r="Y710" i="3"/>
  <c r="X710" i="3"/>
  <c r="Z710" i="3" s="1"/>
  <c r="W710" i="3"/>
  <c r="AA709" i="3"/>
  <c r="Y709" i="3"/>
  <c r="X709" i="3"/>
  <c r="Z709" i="3" s="1"/>
  <c r="W709" i="3"/>
  <c r="AA708" i="3"/>
  <c r="Y708" i="3"/>
  <c r="X708" i="3"/>
  <c r="Z708" i="3" s="1"/>
  <c r="W708" i="3"/>
  <c r="AA707" i="3"/>
  <c r="Y707" i="3"/>
  <c r="X707" i="3"/>
  <c r="Z707" i="3" s="1"/>
  <c r="W707" i="3"/>
  <c r="AA706" i="3"/>
  <c r="Y706" i="3"/>
  <c r="X706" i="3"/>
  <c r="Z706" i="3"/>
  <c r="W706" i="3"/>
  <c r="AA705" i="3"/>
  <c r="Y705" i="3"/>
  <c r="X705" i="3"/>
  <c r="Z705" i="3" s="1"/>
  <c r="W705" i="3"/>
  <c r="AA704" i="3"/>
  <c r="Y704" i="3"/>
  <c r="X704" i="3"/>
  <c r="Z704" i="3" s="1"/>
  <c r="W704" i="3"/>
  <c r="AA703" i="3"/>
  <c r="Y703" i="3"/>
  <c r="X703" i="3"/>
  <c r="Z703" i="3" s="1"/>
  <c r="W703" i="3"/>
  <c r="AA702" i="3"/>
  <c r="Y702" i="3"/>
  <c r="X702" i="3"/>
  <c r="Z702" i="3" s="1"/>
  <c r="W702" i="3"/>
  <c r="AA701" i="3"/>
  <c r="Y701" i="3"/>
  <c r="X701" i="3"/>
  <c r="Z701" i="3" s="1"/>
  <c r="W701" i="3"/>
  <c r="AA700" i="3"/>
  <c r="Y700" i="3"/>
  <c r="X700" i="3"/>
  <c r="Z700" i="3" s="1"/>
  <c r="W700" i="3"/>
  <c r="AA699" i="3"/>
  <c r="Y699" i="3"/>
  <c r="X699" i="3"/>
  <c r="Z699" i="3" s="1"/>
  <c r="W699" i="3"/>
  <c r="AA698" i="3"/>
  <c r="Y698" i="3"/>
  <c r="X698" i="3"/>
  <c r="Z698" i="3" s="1"/>
  <c r="W698" i="3"/>
  <c r="AA697" i="3"/>
  <c r="Y697" i="3"/>
  <c r="X697" i="3"/>
  <c r="Z697" i="3" s="1"/>
  <c r="W697" i="3"/>
  <c r="AA696" i="3"/>
  <c r="Y696" i="3"/>
  <c r="X696" i="3"/>
  <c r="Z696" i="3" s="1"/>
  <c r="W696" i="3"/>
  <c r="AA695" i="3"/>
  <c r="Y695" i="3"/>
  <c r="X695" i="3"/>
  <c r="Z695" i="3" s="1"/>
  <c r="W695" i="3"/>
  <c r="AA694" i="3"/>
  <c r="Y694" i="3"/>
  <c r="X694" i="3"/>
  <c r="Z694" i="3" s="1"/>
  <c r="W694" i="3"/>
  <c r="AA693" i="3"/>
  <c r="Y693" i="3"/>
  <c r="X693" i="3"/>
  <c r="Z693" i="3"/>
  <c r="W693" i="3"/>
  <c r="AA692" i="3"/>
  <c r="Y692" i="3"/>
  <c r="X692" i="3"/>
  <c r="Z692" i="3" s="1"/>
  <c r="W692" i="3"/>
  <c r="AA691" i="3"/>
  <c r="Y691" i="3"/>
  <c r="X691" i="3"/>
  <c r="Z691" i="3" s="1"/>
  <c r="W691" i="3"/>
  <c r="AA690" i="3"/>
  <c r="Y690" i="3"/>
  <c r="X690" i="3"/>
  <c r="Z690" i="3" s="1"/>
  <c r="W690" i="3"/>
  <c r="AA689" i="3"/>
  <c r="Y689" i="3"/>
  <c r="X689" i="3"/>
  <c r="Z689" i="3" s="1"/>
  <c r="W689" i="3"/>
  <c r="AA688" i="3"/>
  <c r="Y688" i="3"/>
  <c r="X688" i="3"/>
  <c r="Z688" i="3" s="1"/>
  <c r="W688" i="3"/>
  <c r="AA687" i="3"/>
  <c r="Y687" i="3"/>
  <c r="X687" i="3"/>
  <c r="Z687" i="3" s="1"/>
  <c r="W687" i="3"/>
  <c r="AA686" i="3"/>
  <c r="Y686" i="3"/>
  <c r="X686" i="3"/>
  <c r="Z686" i="3" s="1"/>
  <c r="W686" i="3"/>
  <c r="AA685" i="3"/>
  <c r="Y685" i="3"/>
  <c r="X685" i="3"/>
  <c r="Z685" i="3" s="1"/>
  <c r="W685" i="3"/>
  <c r="AA684" i="3"/>
  <c r="Y684" i="3"/>
  <c r="X684" i="3"/>
  <c r="Z684" i="3" s="1"/>
  <c r="W684" i="3"/>
  <c r="AA683" i="3"/>
  <c r="Y683" i="3"/>
  <c r="X683" i="3"/>
  <c r="Z683" i="3" s="1"/>
  <c r="W683" i="3"/>
  <c r="AA682" i="3"/>
  <c r="Y682" i="3"/>
  <c r="X682" i="3"/>
  <c r="Z682" i="3" s="1"/>
  <c r="W682" i="3"/>
  <c r="AA681" i="3"/>
  <c r="Y681" i="3"/>
  <c r="X681" i="3"/>
  <c r="Z681" i="3" s="1"/>
  <c r="W681" i="3"/>
  <c r="AA680" i="3"/>
  <c r="Y680" i="3"/>
  <c r="X680" i="3"/>
  <c r="Z680" i="3"/>
  <c r="W680" i="3"/>
  <c r="AA679" i="3"/>
  <c r="Y679" i="3"/>
  <c r="X679" i="3"/>
  <c r="Z679" i="3" s="1"/>
  <c r="W679" i="3"/>
  <c r="AA678" i="3"/>
  <c r="Y678" i="3"/>
  <c r="X678" i="3"/>
  <c r="Z678" i="3" s="1"/>
  <c r="W678" i="3"/>
  <c r="AA677" i="3"/>
  <c r="Y677" i="3"/>
  <c r="X677" i="3"/>
  <c r="Z677" i="3" s="1"/>
  <c r="W677" i="3"/>
  <c r="AA676" i="3"/>
  <c r="Y676" i="3"/>
  <c r="X676" i="3"/>
  <c r="Z676" i="3" s="1"/>
  <c r="W676" i="3"/>
  <c r="AA675" i="3"/>
  <c r="Y675" i="3"/>
  <c r="X675" i="3"/>
  <c r="Z675" i="3" s="1"/>
  <c r="W675" i="3"/>
  <c r="AA674" i="3"/>
  <c r="Y674" i="3"/>
  <c r="X674" i="3"/>
  <c r="Z674" i="3" s="1"/>
  <c r="W674" i="3"/>
  <c r="AA673" i="3"/>
  <c r="Y673" i="3"/>
  <c r="X673" i="3"/>
  <c r="Z673" i="3" s="1"/>
  <c r="W673" i="3"/>
  <c r="AA672" i="3"/>
  <c r="Y672" i="3"/>
  <c r="X672" i="3"/>
  <c r="Z672" i="3" s="1"/>
  <c r="W672" i="3"/>
  <c r="AA671" i="3"/>
  <c r="Y671" i="3"/>
  <c r="X671" i="3"/>
  <c r="Z671" i="3" s="1"/>
  <c r="W671" i="3"/>
  <c r="AA670" i="3"/>
  <c r="Y670" i="3"/>
  <c r="X670" i="3"/>
  <c r="Z670" i="3" s="1"/>
  <c r="W670" i="3"/>
  <c r="AA669" i="3"/>
  <c r="Y669" i="3"/>
  <c r="X669" i="3"/>
  <c r="Z669" i="3" s="1"/>
  <c r="W669" i="3"/>
  <c r="AA668" i="3"/>
  <c r="Y668" i="3"/>
  <c r="X668" i="3"/>
  <c r="Z668" i="3" s="1"/>
  <c r="W668" i="3"/>
  <c r="AA667" i="3"/>
  <c r="Y667" i="3"/>
  <c r="X667" i="3"/>
  <c r="Z667" i="3" s="1"/>
  <c r="W667" i="3"/>
  <c r="AA666" i="3"/>
  <c r="Y666" i="3"/>
  <c r="X666" i="3"/>
  <c r="Z666" i="3" s="1"/>
  <c r="W666" i="3"/>
  <c r="AA665" i="3"/>
  <c r="Y665" i="3"/>
  <c r="X665" i="3"/>
  <c r="Z665" i="3" s="1"/>
  <c r="W665" i="3"/>
  <c r="AA664" i="3"/>
  <c r="Y664" i="3"/>
  <c r="X664" i="3"/>
  <c r="Z664" i="3" s="1"/>
  <c r="W664" i="3"/>
  <c r="AA663" i="3"/>
  <c r="Y663" i="3"/>
  <c r="X663" i="3"/>
  <c r="Z663" i="3" s="1"/>
  <c r="W663" i="3"/>
  <c r="AA662" i="3"/>
  <c r="Y662" i="3"/>
  <c r="X662" i="3"/>
  <c r="Z662" i="3" s="1"/>
  <c r="W662" i="3"/>
  <c r="AA661" i="3"/>
  <c r="Y661" i="3"/>
  <c r="X661" i="3"/>
  <c r="Z661" i="3" s="1"/>
  <c r="W661" i="3"/>
  <c r="AA660" i="3"/>
  <c r="Y660" i="3"/>
  <c r="X660" i="3"/>
  <c r="Z660" i="3" s="1"/>
  <c r="W660" i="3"/>
  <c r="AA659" i="3"/>
  <c r="Y659" i="3"/>
  <c r="X659" i="3"/>
  <c r="Z659" i="3" s="1"/>
  <c r="W659" i="3"/>
  <c r="AA658" i="3"/>
  <c r="Y658" i="3"/>
  <c r="X658" i="3"/>
  <c r="Z658" i="3" s="1"/>
  <c r="W658" i="3"/>
  <c r="AA657" i="3"/>
  <c r="Y657" i="3"/>
  <c r="X657" i="3"/>
  <c r="Z657" i="3" s="1"/>
  <c r="W657" i="3"/>
  <c r="AA656" i="3"/>
  <c r="Y656" i="3"/>
  <c r="X656" i="3"/>
  <c r="Z656" i="3" s="1"/>
  <c r="W656" i="3"/>
  <c r="AA655" i="3"/>
  <c r="Y655" i="3"/>
  <c r="X655" i="3"/>
  <c r="Z655" i="3" s="1"/>
  <c r="W655" i="3"/>
  <c r="AA654" i="3"/>
  <c r="Y654" i="3"/>
  <c r="X654" i="3"/>
  <c r="Z654" i="3"/>
  <c r="W654" i="3"/>
  <c r="AA653" i="3"/>
  <c r="Y653" i="3"/>
  <c r="X653" i="3"/>
  <c r="Z653" i="3" s="1"/>
  <c r="W653" i="3"/>
  <c r="AA652" i="3"/>
  <c r="Y652" i="3"/>
  <c r="X652" i="3"/>
  <c r="Z652" i="3" s="1"/>
  <c r="W652" i="3"/>
  <c r="AA651" i="3"/>
  <c r="Y651" i="3"/>
  <c r="X651" i="3"/>
  <c r="Z651" i="3" s="1"/>
  <c r="W651" i="3"/>
  <c r="AA650" i="3"/>
  <c r="Y650" i="3"/>
  <c r="X650" i="3"/>
  <c r="Z650" i="3" s="1"/>
  <c r="W650" i="3"/>
  <c r="AA649" i="3"/>
  <c r="Y649" i="3"/>
  <c r="X649" i="3"/>
  <c r="Z649" i="3" s="1"/>
  <c r="W649" i="3"/>
  <c r="AA648" i="3"/>
  <c r="Y648" i="3"/>
  <c r="X648" i="3"/>
  <c r="Z648" i="3" s="1"/>
  <c r="W648" i="3"/>
  <c r="AA647" i="3"/>
  <c r="Y647" i="3"/>
  <c r="X647" i="3"/>
  <c r="Z647" i="3" s="1"/>
  <c r="W647" i="3"/>
  <c r="AA646" i="3"/>
  <c r="Y646" i="3"/>
  <c r="X646" i="3"/>
  <c r="Z646" i="3" s="1"/>
  <c r="W646" i="3"/>
  <c r="AA645" i="3"/>
  <c r="Y645" i="3"/>
  <c r="X645" i="3"/>
  <c r="Z645" i="3" s="1"/>
  <c r="W645" i="3"/>
  <c r="AA644" i="3"/>
  <c r="Y644" i="3"/>
  <c r="X644" i="3"/>
  <c r="Z644" i="3" s="1"/>
  <c r="W644" i="3"/>
  <c r="AA643" i="3"/>
  <c r="Y643" i="3"/>
  <c r="X643" i="3"/>
  <c r="Z643" i="3" s="1"/>
  <c r="W643" i="3"/>
  <c r="AA642" i="3"/>
  <c r="Y642" i="3"/>
  <c r="X642" i="3"/>
  <c r="Z642" i="3" s="1"/>
  <c r="W642" i="3"/>
  <c r="AA641" i="3"/>
  <c r="Y641" i="3"/>
  <c r="X641" i="3"/>
  <c r="Z641" i="3" s="1"/>
  <c r="W641" i="3"/>
  <c r="AA640" i="3"/>
  <c r="Y640" i="3"/>
  <c r="X640" i="3"/>
  <c r="Z640" i="3" s="1"/>
  <c r="W640" i="3"/>
  <c r="AA639" i="3"/>
  <c r="Y639" i="3"/>
  <c r="X639" i="3"/>
  <c r="Z639" i="3" s="1"/>
  <c r="W639" i="3"/>
  <c r="AA638" i="3"/>
  <c r="Y638" i="3"/>
  <c r="X638" i="3"/>
  <c r="Z638" i="3" s="1"/>
  <c r="W638" i="3"/>
  <c r="AA637" i="3"/>
  <c r="Y637" i="3"/>
  <c r="X637" i="3"/>
  <c r="Z637" i="3" s="1"/>
  <c r="W637" i="3"/>
  <c r="AA636" i="3"/>
  <c r="Y636" i="3"/>
  <c r="X636" i="3"/>
  <c r="Z636" i="3" s="1"/>
  <c r="W636" i="3"/>
  <c r="AA635" i="3"/>
  <c r="Y635" i="3"/>
  <c r="X635" i="3"/>
  <c r="Z635" i="3" s="1"/>
  <c r="W635" i="3"/>
  <c r="AA634" i="3"/>
  <c r="Y634" i="3"/>
  <c r="X634" i="3"/>
  <c r="Z634" i="3" s="1"/>
  <c r="W634" i="3"/>
  <c r="AA633" i="3"/>
  <c r="Y633" i="3"/>
  <c r="X633" i="3"/>
  <c r="Z633" i="3" s="1"/>
  <c r="W633" i="3"/>
  <c r="AA632" i="3"/>
  <c r="Y632" i="3"/>
  <c r="X632" i="3"/>
  <c r="Z632" i="3" s="1"/>
  <c r="W632" i="3"/>
  <c r="AA631" i="3"/>
  <c r="Y631" i="3"/>
  <c r="X631" i="3"/>
  <c r="Z631" i="3" s="1"/>
  <c r="W631" i="3"/>
  <c r="AA630" i="3"/>
  <c r="Y630" i="3"/>
  <c r="X630" i="3"/>
  <c r="Z630" i="3" s="1"/>
  <c r="W630" i="3"/>
  <c r="AA629" i="3"/>
  <c r="Y629" i="3"/>
  <c r="X629" i="3"/>
  <c r="Z629" i="3" s="1"/>
  <c r="W629" i="3"/>
  <c r="AA628" i="3"/>
  <c r="Y628" i="3"/>
  <c r="X628" i="3"/>
  <c r="Z628" i="3" s="1"/>
  <c r="W628" i="3"/>
  <c r="AA627" i="3"/>
  <c r="Y627" i="3"/>
  <c r="X627" i="3"/>
  <c r="Z627" i="3" s="1"/>
  <c r="W627" i="3"/>
  <c r="AA626" i="3"/>
  <c r="Y626" i="3"/>
  <c r="X626" i="3"/>
  <c r="Z626" i="3" s="1"/>
  <c r="W626" i="3"/>
  <c r="AA625" i="3"/>
  <c r="Y625" i="3"/>
  <c r="X625" i="3"/>
  <c r="Z625" i="3" s="1"/>
  <c r="W625" i="3"/>
  <c r="AA624" i="3"/>
  <c r="Y624" i="3"/>
  <c r="X624" i="3"/>
  <c r="Z624" i="3" s="1"/>
  <c r="W624" i="3"/>
  <c r="AA623" i="3"/>
  <c r="Y623" i="3"/>
  <c r="X623" i="3"/>
  <c r="Z623" i="3" s="1"/>
  <c r="W623" i="3"/>
  <c r="AA622" i="3"/>
  <c r="Y622" i="3"/>
  <c r="X622" i="3"/>
  <c r="Z622" i="3" s="1"/>
  <c r="W622" i="3"/>
  <c r="AA621" i="3"/>
  <c r="Y621" i="3"/>
  <c r="X621" i="3"/>
  <c r="Z621" i="3" s="1"/>
  <c r="W621" i="3"/>
  <c r="AA620" i="3"/>
  <c r="Y620" i="3"/>
  <c r="X620" i="3"/>
  <c r="Z620" i="3" s="1"/>
  <c r="W620" i="3"/>
  <c r="AA619" i="3"/>
  <c r="Y619" i="3"/>
  <c r="X619" i="3"/>
  <c r="Z619" i="3" s="1"/>
  <c r="W619" i="3"/>
  <c r="AA618" i="3"/>
  <c r="Y618" i="3"/>
  <c r="X618" i="3"/>
  <c r="Z618" i="3" s="1"/>
  <c r="W618" i="3"/>
  <c r="AA617" i="3"/>
  <c r="Y617" i="3"/>
  <c r="X617" i="3"/>
  <c r="Z617" i="3" s="1"/>
  <c r="W617" i="3"/>
  <c r="AA616" i="3"/>
  <c r="Y616" i="3"/>
  <c r="X616" i="3"/>
  <c r="Z616" i="3" s="1"/>
  <c r="W616" i="3"/>
  <c r="AA615" i="3"/>
  <c r="Y615" i="3"/>
  <c r="X615" i="3"/>
  <c r="Z615" i="3" s="1"/>
  <c r="W615" i="3"/>
  <c r="AA614" i="3"/>
  <c r="Y614" i="3"/>
  <c r="X614" i="3"/>
  <c r="Z614" i="3" s="1"/>
  <c r="W614" i="3"/>
  <c r="AA613" i="3"/>
  <c r="Y613" i="3"/>
  <c r="X613" i="3"/>
  <c r="Z613" i="3" s="1"/>
  <c r="W613" i="3"/>
  <c r="AA612" i="3"/>
  <c r="Y612" i="3"/>
  <c r="X612" i="3"/>
  <c r="Z612" i="3" s="1"/>
  <c r="W612" i="3"/>
  <c r="AA611" i="3"/>
  <c r="Y611" i="3"/>
  <c r="X611" i="3"/>
  <c r="Z611" i="3" s="1"/>
  <c r="W611" i="3"/>
  <c r="AA610" i="3"/>
  <c r="Y610" i="3"/>
  <c r="X610" i="3"/>
  <c r="Z610" i="3" s="1"/>
  <c r="W610" i="3"/>
  <c r="AA609" i="3"/>
  <c r="Y609" i="3"/>
  <c r="X609" i="3"/>
  <c r="Z609" i="3" s="1"/>
  <c r="W609" i="3"/>
  <c r="AA608" i="3"/>
  <c r="Y608" i="3"/>
  <c r="X608" i="3"/>
  <c r="Z608" i="3" s="1"/>
  <c r="W608" i="3"/>
  <c r="AA607" i="3"/>
  <c r="Y607" i="3"/>
  <c r="X607" i="3"/>
  <c r="Z607" i="3" s="1"/>
  <c r="W607" i="3"/>
  <c r="AA606" i="3"/>
  <c r="Y606" i="3"/>
  <c r="X606" i="3"/>
  <c r="Z606" i="3" s="1"/>
  <c r="W606" i="3"/>
  <c r="AA605" i="3"/>
  <c r="Y605" i="3"/>
  <c r="X605" i="3"/>
  <c r="Z605" i="3" s="1"/>
  <c r="W605" i="3"/>
  <c r="AA604" i="3"/>
  <c r="Y604" i="3"/>
  <c r="X604" i="3"/>
  <c r="Z604" i="3" s="1"/>
  <c r="W604" i="3"/>
  <c r="AA603" i="3"/>
  <c r="Y603" i="3"/>
  <c r="X603" i="3"/>
  <c r="Z603" i="3" s="1"/>
  <c r="W603" i="3"/>
  <c r="AA602" i="3"/>
  <c r="Y602" i="3"/>
  <c r="X602" i="3"/>
  <c r="Z602" i="3" s="1"/>
  <c r="W602" i="3"/>
  <c r="AA601" i="3"/>
  <c r="Y601" i="3"/>
  <c r="X601" i="3"/>
  <c r="Z601" i="3" s="1"/>
  <c r="W601" i="3"/>
  <c r="AA600" i="3"/>
  <c r="Y600" i="3"/>
  <c r="X600" i="3"/>
  <c r="Z600" i="3" s="1"/>
  <c r="W600" i="3"/>
  <c r="AA599" i="3"/>
  <c r="Y599" i="3"/>
  <c r="X599" i="3"/>
  <c r="Z599" i="3" s="1"/>
  <c r="W599" i="3"/>
  <c r="AA598" i="3"/>
  <c r="Y598" i="3"/>
  <c r="X598" i="3"/>
  <c r="Z598" i="3" s="1"/>
  <c r="W598" i="3"/>
  <c r="AA597" i="3"/>
  <c r="Y597" i="3"/>
  <c r="X597" i="3"/>
  <c r="Z597" i="3" s="1"/>
  <c r="W597" i="3"/>
  <c r="AA596" i="3"/>
  <c r="Y596" i="3"/>
  <c r="X596" i="3"/>
  <c r="Z596" i="3" s="1"/>
  <c r="W596" i="3"/>
  <c r="AA595" i="3"/>
  <c r="Y595" i="3"/>
  <c r="X595" i="3"/>
  <c r="Z595" i="3" s="1"/>
  <c r="W595" i="3"/>
  <c r="AA594" i="3"/>
  <c r="Y594" i="3"/>
  <c r="X594" i="3"/>
  <c r="Z594" i="3"/>
  <c r="W594" i="3"/>
  <c r="AA593" i="3"/>
  <c r="Y593" i="3"/>
  <c r="X593" i="3"/>
  <c r="Z593" i="3" s="1"/>
  <c r="W593" i="3"/>
  <c r="AA592" i="3"/>
  <c r="Y592" i="3"/>
  <c r="X592" i="3"/>
  <c r="Z592" i="3" s="1"/>
  <c r="W592" i="3"/>
  <c r="AA591" i="3"/>
  <c r="Y591" i="3"/>
  <c r="X591" i="3"/>
  <c r="Z591" i="3" s="1"/>
  <c r="W591" i="3"/>
  <c r="AA590" i="3"/>
  <c r="Y590" i="3"/>
  <c r="X590" i="3"/>
  <c r="Z590" i="3" s="1"/>
  <c r="W590" i="3"/>
  <c r="AA589" i="3"/>
  <c r="Y589" i="3"/>
  <c r="X589" i="3"/>
  <c r="Z589" i="3" s="1"/>
  <c r="W589" i="3"/>
  <c r="AA588" i="3"/>
  <c r="Y588" i="3"/>
  <c r="X588" i="3"/>
  <c r="Z588" i="3" s="1"/>
  <c r="W588" i="3"/>
  <c r="AA587" i="3"/>
  <c r="Y587" i="3"/>
  <c r="X587" i="3"/>
  <c r="Z587" i="3" s="1"/>
  <c r="W587" i="3"/>
  <c r="AA586" i="3"/>
  <c r="Y586" i="3"/>
  <c r="X586" i="3"/>
  <c r="Z586" i="3" s="1"/>
  <c r="W586" i="3"/>
  <c r="AA585" i="3"/>
  <c r="Y585" i="3"/>
  <c r="X585" i="3"/>
  <c r="Z585" i="3" s="1"/>
  <c r="W585" i="3"/>
  <c r="AA584" i="3"/>
  <c r="Y584" i="3"/>
  <c r="X584" i="3"/>
  <c r="Z584" i="3" s="1"/>
  <c r="W584" i="3"/>
  <c r="AA583" i="3"/>
  <c r="Y583" i="3"/>
  <c r="X583" i="3"/>
  <c r="Z583" i="3" s="1"/>
  <c r="W583" i="3"/>
  <c r="AA582" i="3"/>
  <c r="Y582" i="3"/>
  <c r="X582" i="3"/>
  <c r="Z582" i="3" s="1"/>
  <c r="W582" i="3"/>
  <c r="AA581" i="3"/>
  <c r="Y581" i="3"/>
  <c r="X581" i="3"/>
  <c r="Z581" i="3" s="1"/>
  <c r="W581" i="3"/>
  <c r="AA580" i="3"/>
  <c r="Y580" i="3"/>
  <c r="X580" i="3"/>
  <c r="Z580" i="3" s="1"/>
  <c r="W580" i="3"/>
  <c r="AA579" i="3"/>
  <c r="Y579" i="3"/>
  <c r="X579" i="3"/>
  <c r="Z579" i="3" s="1"/>
  <c r="W579" i="3"/>
  <c r="AA578" i="3"/>
  <c r="Y578" i="3"/>
  <c r="X578" i="3"/>
  <c r="Z578" i="3" s="1"/>
  <c r="W578" i="3"/>
  <c r="AA577" i="3"/>
  <c r="Y577" i="3"/>
  <c r="X577" i="3"/>
  <c r="Z577" i="3" s="1"/>
  <c r="W577" i="3"/>
  <c r="AA576" i="3"/>
  <c r="Y576" i="3"/>
  <c r="X576" i="3"/>
  <c r="Z576" i="3" s="1"/>
  <c r="W576" i="3"/>
  <c r="AA575" i="3"/>
  <c r="Y575" i="3"/>
  <c r="X575" i="3"/>
  <c r="Z575" i="3" s="1"/>
  <c r="W575" i="3"/>
  <c r="AA574" i="3"/>
  <c r="Y574" i="3"/>
  <c r="X574" i="3"/>
  <c r="Z574" i="3" s="1"/>
  <c r="W574" i="3"/>
  <c r="AA573" i="3"/>
  <c r="Y573" i="3"/>
  <c r="X573" i="3"/>
  <c r="Z573" i="3" s="1"/>
  <c r="W573" i="3"/>
  <c r="AA572" i="3"/>
  <c r="Y572" i="3"/>
  <c r="X572" i="3"/>
  <c r="Z572" i="3" s="1"/>
  <c r="W572" i="3"/>
  <c r="AA571" i="3"/>
  <c r="Y571" i="3"/>
  <c r="X571" i="3"/>
  <c r="Z571" i="3" s="1"/>
  <c r="W571" i="3"/>
  <c r="AA570" i="3"/>
  <c r="Y570" i="3"/>
  <c r="X570" i="3"/>
  <c r="Z570" i="3" s="1"/>
  <c r="W570" i="3"/>
  <c r="AA569" i="3"/>
  <c r="Y569" i="3"/>
  <c r="X569" i="3"/>
  <c r="Z569" i="3" s="1"/>
  <c r="W569" i="3"/>
  <c r="AA568" i="3"/>
  <c r="Y568" i="3"/>
  <c r="X568" i="3"/>
  <c r="Z568" i="3" s="1"/>
  <c r="W568" i="3"/>
  <c r="AA567" i="3"/>
  <c r="Y567" i="3"/>
  <c r="X567" i="3"/>
  <c r="Z567" i="3" s="1"/>
  <c r="W567" i="3"/>
  <c r="AA566" i="3"/>
  <c r="Y566" i="3"/>
  <c r="X566" i="3"/>
  <c r="Z566" i="3" s="1"/>
  <c r="W566" i="3"/>
  <c r="AA565" i="3"/>
  <c r="Y565" i="3"/>
  <c r="X565" i="3"/>
  <c r="Z565" i="3" s="1"/>
  <c r="W565" i="3"/>
  <c r="AA564" i="3"/>
  <c r="Y564" i="3"/>
  <c r="X564" i="3"/>
  <c r="Z564" i="3" s="1"/>
  <c r="W564" i="3"/>
  <c r="AA563" i="3"/>
  <c r="Y563" i="3"/>
  <c r="X563" i="3"/>
  <c r="Z563" i="3" s="1"/>
  <c r="W563" i="3"/>
  <c r="AA562" i="3"/>
  <c r="Y562" i="3"/>
  <c r="X562" i="3"/>
  <c r="Z562" i="3" s="1"/>
  <c r="W562" i="3"/>
  <c r="AA561" i="3"/>
  <c r="Y561" i="3"/>
  <c r="X561" i="3"/>
  <c r="Z561" i="3" s="1"/>
  <c r="W561" i="3"/>
  <c r="AA560" i="3"/>
  <c r="Y560" i="3"/>
  <c r="X560" i="3"/>
  <c r="Z560" i="3" s="1"/>
  <c r="W560" i="3"/>
  <c r="AA559" i="3"/>
  <c r="Y559" i="3"/>
  <c r="X559" i="3"/>
  <c r="Z559" i="3" s="1"/>
  <c r="W559" i="3"/>
  <c r="AA558" i="3"/>
  <c r="Y558" i="3"/>
  <c r="X558" i="3"/>
  <c r="Z558" i="3" s="1"/>
  <c r="W558" i="3"/>
  <c r="AA557" i="3"/>
  <c r="Y557" i="3"/>
  <c r="X557" i="3"/>
  <c r="Z557" i="3" s="1"/>
  <c r="W557" i="3"/>
  <c r="AA556" i="3"/>
  <c r="Y556" i="3"/>
  <c r="X556" i="3"/>
  <c r="Z556" i="3"/>
  <c r="W556" i="3"/>
  <c r="AA555" i="3"/>
  <c r="Y555" i="3"/>
  <c r="X555" i="3"/>
  <c r="Z555" i="3" s="1"/>
  <c r="W555" i="3"/>
  <c r="AA554" i="3"/>
  <c r="Y554" i="3"/>
  <c r="X554" i="3"/>
  <c r="Z554" i="3" s="1"/>
  <c r="W554" i="3"/>
  <c r="AA553" i="3"/>
  <c r="Y553" i="3"/>
  <c r="X553" i="3"/>
  <c r="Z553" i="3" s="1"/>
  <c r="W553" i="3"/>
  <c r="AA552" i="3"/>
  <c r="Y552" i="3"/>
  <c r="X552" i="3"/>
  <c r="Z552" i="3" s="1"/>
  <c r="W552" i="3"/>
  <c r="AA551" i="3"/>
  <c r="Y551" i="3"/>
  <c r="X551" i="3"/>
  <c r="Z551" i="3" s="1"/>
  <c r="W551" i="3"/>
  <c r="AA550" i="3"/>
  <c r="Y550" i="3"/>
  <c r="X550" i="3"/>
  <c r="Z550" i="3" s="1"/>
  <c r="W550" i="3"/>
  <c r="AA549" i="3"/>
  <c r="Y549" i="3"/>
  <c r="X549" i="3"/>
  <c r="Z549" i="3" s="1"/>
  <c r="W549" i="3"/>
  <c r="AA548" i="3"/>
  <c r="Y548" i="3"/>
  <c r="X548" i="3"/>
  <c r="Z548" i="3" s="1"/>
  <c r="W548" i="3"/>
  <c r="AA547" i="3"/>
  <c r="Y547" i="3"/>
  <c r="X547" i="3"/>
  <c r="Z547" i="3" s="1"/>
  <c r="W547" i="3"/>
  <c r="AA546" i="3"/>
  <c r="Y546" i="3"/>
  <c r="X546" i="3"/>
  <c r="Z546" i="3" s="1"/>
  <c r="W546" i="3"/>
  <c r="AA545" i="3"/>
  <c r="Y545" i="3"/>
  <c r="X545" i="3"/>
  <c r="Z545" i="3" s="1"/>
  <c r="W545" i="3"/>
  <c r="AA544" i="3"/>
  <c r="Y544" i="3"/>
  <c r="X544" i="3"/>
  <c r="Z544" i="3" s="1"/>
  <c r="W544" i="3"/>
  <c r="AA543" i="3"/>
  <c r="Y543" i="3"/>
  <c r="X543" i="3"/>
  <c r="Z543" i="3" s="1"/>
  <c r="W543" i="3"/>
  <c r="AA542" i="3"/>
  <c r="Y542" i="3"/>
  <c r="X542" i="3"/>
  <c r="Z542" i="3" s="1"/>
  <c r="W542" i="3"/>
  <c r="AA541" i="3"/>
  <c r="Y541" i="3"/>
  <c r="X541" i="3"/>
  <c r="Z541" i="3" s="1"/>
  <c r="W541" i="3"/>
  <c r="AA540" i="3"/>
  <c r="Y540" i="3"/>
  <c r="X540" i="3"/>
  <c r="Z540" i="3" s="1"/>
  <c r="W540" i="3"/>
  <c r="AA539" i="3"/>
  <c r="Y539" i="3"/>
  <c r="X539" i="3"/>
  <c r="Z539" i="3" s="1"/>
  <c r="W539" i="3"/>
  <c r="AA538" i="3"/>
  <c r="Y538" i="3"/>
  <c r="X538" i="3"/>
  <c r="Z538" i="3" s="1"/>
  <c r="W538" i="3"/>
  <c r="AA537" i="3"/>
  <c r="Y537" i="3"/>
  <c r="X537" i="3"/>
  <c r="Z537" i="3" s="1"/>
  <c r="W537" i="3"/>
  <c r="AA536" i="3"/>
  <c r="Y536" i="3"/>
  <c r="X536" i="3"/>
  <c r="Z536" i="3"/>
  <c r="W536" i="3"/>
  <c r="AA535" i="3"/>
  <c r="Y535" i="3"/>
  <c r="X535" i="3"/>
  <c r="Z535" i="3" s="1"/>
  <c r="W535" i="3"/>
  <c r="AA534" i="3"/>
  <c r="Y534" i="3"/>
  <c r="X534" i="3"/>
  <c r="Z534" i="3" s="1"/>
  <c r="W534" i="3"/>
  <c r="AA533" i="3"/>
  <c r="Y533" i="3"/>
  <c r="X533" i="3"/>
  <c r="Z533" i="3" s="1"/>
  <c r="W533" i="3"/>
  <c r="AA532" i="3"/>
  <c r="Y532" i="3"/>
  <c r="X532" i="3"/>
  <c r="Z532" i="3" s="1"/>
  <c r="W532" i="3"/>
  <c r="AA531" i="3"/>
  <c r="Y531" i="3"/>
  <c r="X531" i="3"/>
  <c r="Z531" i="3" s="1"/>
  <c r="W531" i="3"/>
  <c r="AA530" i="3"/>
  <c r="Y530" i="3"/>
  <c r="X530" i="3"/>
  <c r="Z530" i="3" s="1"/>
  <c r="W530" i="3"/>
  <c r="AA529" i="3"/>
  <c r="Y529" i="3"/>
  <c r="X529" i="3"/>
  <c r="Z529" i="3" s="1"/>
  <c r="W529" i="3"/>
  <c r="AA528" i="3"/>
  <c r="Y528" i="3"/>
  <c r="X528" i="3"/>
  <c r="Z528" i="3" s="1"/>
  <c r="W528" i="3"/>
  <c r="AA527" i="3"/>
  <c r="Y527" i="3"/>
  <c r="X527" i="3"/>
  <c r="Z527" i="3" s="1"/>
  <c r="W527" i="3"/>
  <c r="AA526" i="3"/>
  <c r="Y526" i="3"/>
  <c r="X526" i="3"/>
  <c r="Z526" i="3" s="1"/>
  <c r="W526" i="3"/>
  <c r="AA525" i="3"/>
  <c r="Y525" i="3"/>
  <c r="X525" i="3"/>
  <c r="Z525" i="3" s="1"/>
  <c r="W525" i="3"/>
  <c r="AA524" i="3"/>
  <c r="Y524" i="3"/>
  <c r="X524" i="3"/>
  <c r="Z524" i="3" s="1"/>
  <c r="W524" i="3"/>
  <c r="AA523" i="3"/>
  <c r="Y523" i="3"/>
  <c r="X523" i="3"/>
  <c r="Z523" i="3" s="1"/>
  <c r="W523" i="3"/>
  <c r="AA522" i="3"/>
  <c r="Y522" i="3"/>
  <c r="X522" i="3"/>
  <c r="Z522" i="3" s="1"/>
  <c r="W522" i="3"/>
  <c r="AA521" i="3"/>
  <c r="Y521" i="3"/>
  <c r="X521" i="3"/>
  <c r="Z521" i="3" s="1"/>
  <c r="W521" i="3"/>
  <c r="AA520" i="3"/>
  <c r="Y520" i="3"/>
  <c r="X520" i="3"/>
  <c r="Z520" i="3" s="1"/>
  <c r="W520" i="3"/>
  <c r="AA519" i="3"/>
  <c r="Y519" i="3"/>
  <c r="X519" i="3"/>
  <c r="Z519" i="3" s="1"/>
  <c r="W519" i="3"/>
  <c r="AA518" i="3"/>
  <c r="Y518" i="3"/>
  <c r="X518" i="3"/>
  <c r="Z518" i="3" s="1"/>
  <c r="W518" i="3"/>
  <c r="AA517" i="3"/>
  <c r="Y517" i="3"/>
  <c r="X517" i="3"/>
  <c r="Z517" i="3" s="1"/>
  <c r="W517" i="3"/>
  <c r="AA516" i="3"/>
  <c r="Y516" i="3"/>
  <c r="X516" i="3"/>
  <c r="Z516" i="3"/>
  <c r="W516" i="3"/>
  <c r="AA515" i="3"/>
  <c r="Y515" i="3"/>
  <c r="X515" i="3"/>
  <c r="Z515" i="3" s="1"/>
  <c r="W515" i="3"/>
  <c r="AA514" i="3"/>
  <c r="Y514" i="3"/>
  <c r="X514" i="3"/>
  <c r="Z514" i="3" s="1"/>
  <c r="W514" i="3"/>
  <c r="AA513" i="3"/>
  <c r="Y513" i="3"/>
  <c r="X513" i="3"/>
  <c r="Z513" i="3" s="1"/>
  <c r="W513" i="3"/>
  <c r="AA512" i="3"/>
  <c r="Y512" i="3"/>
  <c r="X512" i="3"/>
  <c r="Z512" i="3" s="1"/>
  <c r="W512" i="3"/>
  <c r="AA511" i="3"/>
  <c r="Y511" i="3"/>
  <c r="X511" i="3"/>
  <c r="Z511" i="3" s="1"/>
  <c r="W511" i="3"/>
  <c r="AA510" i="3"/>
  <c r="Y510" i="3"/>
  <c r="X510" i="3"/>
  <c r="Z510" i="3" s="1"/>
  <c r="W510" i="3"/>
  <c r="AA509" i="3"/>
  <c r="Y509" i="3"/>
  <c r="X509" i="3"/>
  <c r="Z509" i="3" s="1"/>
  <c r="W509" i="3"/>
  <c r="AA508" i="3"/>
  <c r="Y508" i="3"/>
  <c r="X508" i="3"/>
  <c r="Z508" i="3" s="1"/>
  <c r="W508" i="3"/>
  <c r="AA507" i="3"/>
  <c r="Y507" i="3"/>
  <c r="X507" i="3"/>
  <c r="Z507" i="3" s="1"/>
  <c r="W507" i="3"/>
  <c r="AA506" i="3"/>
  <c r="Y506" i="3"/>
  <c r="X506" i="3"/>
  <c r="Z506" i="3" s="1"/>
  <c r="W506" i="3"/>
  <c r="AA505" i="3"/>
  <c r="Y505" i="3"/>
  <c r="X505" i="3"/>
  <c r="Z505" i="3" s="1"/>
  <c r="W505" i="3"/>
  <c r="AA504" i="3"/>
  <c r="Y504" i="3"/>
  <c r="X504" i="3"/>
  <c r="Z504" i="3" s="1"/>
  <c r="W504" i="3"/>
  <c r="AA503" i="3"/>
  <c r="Y503" i="3"/>
  <c r="X503" i="3"/>
  <c r="Z503" i="3" s="1"/>
  <c r="W503" i="3"/>
  <c r="AA502" i="3"/>
  <c r="Y502" i="3"/>
  <c r="X502" i="3"/>
  <c r="Z502" i="3" s="1"/>
  <c r="W502" i="3"/>
  <c r="AA501" i="3"/>
  <c r="Y501" i="3"/>
  <c r="X501" i="3"/>
  <c r="Z501" i="3" s="1"/>
  <c r="W501" i="3"/>
  <c r="AA500" i="3"/>
  <c r="Y500" i="3"/>
  <c r="X500" i="3"/>
  <c r="Z500" i="3"/>
  <c r="W500" i="3"/>
  <c r="AA499" i="3"/>
  <c r="Y499" i="3"/>
  <c r="X499" i="3"/>
  <c r="Z499" i="3" s="1"/>
  <c r="W499" i="3"/>
  <c r="AA498" i="3"/>
  <c r="Y498" i="3"/>
  <c r="X498" i="3"/>
  <c r="Z498" i="3" s="1"/>
  <c r="W498" i="3"/>
  <c r="AA497" i="3"/>
  <c r="Y497" i="3"/>
  <c r="X497" i="3"/>
  <c r="Z497" i="3" s="1"/>
  <c r="W497" i="3"/>
  <c r="AA496" i="3"/>
  <c r="Y496" i="3"/>
  <c r="X496" i="3"/>
  <c r="Z496" i="3" s="1"/>
  <c r="W496" i="3"/>
  <c r="AA495" i="3"/>
  <c r="Y495" i="3"/>
  <c r="X495" i="3"/>
  <c r="Z495" i="3" s="1"/>
  <c r="W495" i="3"/>
  <c r="AA494" i="3"/>
  <c r="Y494" i="3"/>
  <c r="X494" i="3"/>
  <c r="Z494" i="3" s="1"/>
  <c r="W494" i="3"/>
  <c r="AA493" i="3"/>
  <c r="Y493" i="3"/>
  <c r="X493" i="3"/>
  <c r="Z493" i="3" s="1"/>
  <c r="W493" i="3"/>
  <c r="AA492" i="3"/>
  <c r="Y492" i="3"/>
  <c r="X492" i="3"/>
  <c r="Z492" i="3" s="1"/>
  <c r="W492" i="3"/>
  <c r="AA491" i="3"/>
  <c r="Y491" i="3"/>
  <c r="X491" i="3"/>
  <c r="Z491" i="3" s="1"/>
  <c r="W491" i="3"/>
  <c r="AA490" i="3"/>
  <c r="Y490" i="3"/>
  <c r="X490" i="3"/>
  <c r="Z490" i="3" s="1"/>
  <c r="W490" i="3"/>
  <c r="AA489" i="3"/>
  <c r="Y489" i="3"/>
  <c r="X489" i="3"/>
  <c r="Z489" i="3" s="1"/>
  <c r="W489" i="3"/>
  <c r="AA488" i="3"/>
  <c r="Y488" i="3"/>
  <c r="X488" i="3"/>
  <c r="Z488" i="3" s="1"/>
  <c r="W488" i="3"/>
  <c r="AA487" i="3"/>
  <c r="Y487" i="3"/>
  <c r="X487" i="3"/>
  <c r="Z487" i="3" s="1"/>
  <c r="W487" i="3"/>
  <c r="AA486" i="3"/>
  <c r="Y486" i="3"/>
  <c r="X486" i="3"/>
  <c r="Z486" i="3" s="1"/>
  <c r="W486" i="3"/>
  <c r="AA485" i="3"/>
  <c r="Y485" i="3"/>
  <c r="X485" i="3"/>
  <c r="Z485" i="3" s="1"/>
  <c r="W485" i="3"/>
  <c r="AA484" i="3"/>
  <c r="Y484" i="3"/>
  <c r="X484" i="3"/>
  <c r="Z484" i="3" s="1"/>
  <c r="W484" i="3"/>
  <c r="AA483" i="3"/>
  <c r="Y483" i="3"/>
  <c r="X483" i="3"/>
  <c r="Z483" i="3" s="1"/>
  <c r="W483" i="3"/>
  <c r="AA482" i="3"/>
  <c r="Y482" i="3"/>
  <c r="X482" i="3"/>
  <c r="Z482" i="3" s="1"/>
  <c r="W482" i="3"/>
  <c r="AA481" i="3"/>
  <c r="Y481" i="3"/>
  <c r="X481" i="3"/>
  <c r="Z481" i="3" s="1"/>
  <c r="W481" i="3"/>
  <c r="AA480" i="3"/>
  <c r="Y480" i="3"/>
  <c r="X480" i="3"/>
  <c r="Z480" i="3" s="1"/>
  <c r="W480" i="3"/>
  <c r="AA479" i="3"/>
  <c r="Y479" i="3"/>
  <c r="X479" i="3"/>
  <c r="Z479" i="3" s="1"/>
  <c r="W479" i="3"/>
  <c r="AA478" i="3"/>
  <c r="Y478" i="3"/>
  <c r="X478" i="3"/>
  <c r="Z478" i="3" s="1"/>
  <c r="W478" i="3"/>
  <c r="AA477" i="3"/>
  <c r="Y477" i="3"/>
  <c r="X477" i="3"/>
  <c r="Z477" i="3" s="1"/>
  <c r="W477" i="3"/>
  <c r="AA476" i="3"/>
  <c r="Y476" i="3"/>
  <c r="X476" i="3"/>
  <c r="Z476" i="3" s="1"/>
  <c r="W476" i="3"/>
  <c r="AA475" i="3"/>
  <c r="Y475" i="3"/>
  <c r="X475" i="3"/>
  <c r="Z475" i="3" s="1"/>
  <c r="W475" i="3"/>
  <c r="AA474" i="3"/>
  <c r="Y474" i="3"/>
  <c r="X474" i="3"/>
  <c r="Z474" i="3" s="1"/>
  <c r="W474" i="3"/>
  <c r="AA473" i="3"/>
  <c r="Y473" i="3"/>
  <c r="X473" i="3"/>
  <c r="Z473" i="3" s="1"/>
  <c r="W473" i="3"/>
  <c r="AA472" i="3"/>
  <c r="Y472" i="3"/>
  <c r="X472" i="3"/>
  <c r="Z472" i="3" s="1"/>
  <c r="W472" i="3"/>
  <c r="AA471" i="3"/>
  <c r="Y471" i="3"/>
  <c r="X471" i="3"/>
  <c r="Z471" i="3" s="1"/>
  <c r="W471" i="3"/>
  <c r="AA470" i="3"/>
  <c r="Y470" i="3"/>
  <c r="X470" i="3"/>
  <c r="Z470" i="3" s="1"/>
  <c r="W470" i="3"/>
  <c r="AA469" i="3"/>
  <c r="Y469" i="3"/>
  <c r="X469" i="3"/>
  <c r="Z469" i="3" s="1"/>
  <c r="W469" i="3"/>
  <c r="AA468" i="3"/>
  <c r="Y468" i="3"/>
  <c r="X468" i="3"/>
  <c r="Z468" i="3" s="1"/>
  <c r="W468" i="3"/>
  <c r="AA467" i="3"/>
  <c r="Y467" i="3"/>
  <c r="X467" i="3"/>
  <c r="Z467" i="3" s="1"/>
  <c r="W467" i="3"/>
  <c r="AA466" i="3"/>
  <c r="Y466" i="3"/>
  <c r="X466" i="3"/>
  <c r="Z466" i="3" s="1"/>
  <c r="W466" i="3"/>
  <c r="AA465" i="3"/>
  <c r="Y465" i="3"/>
  <c r="X465" i="3"/>
  <c r="Z465" i="3" s="1"/>
  <c r="W465" i="3"/>
  <c r="AA464" i="3"/>
  <c r="Y464" i="3"/>
  <c r="X464" i="3"/>
  <c r="Z464" i="3" s="1"/>
  <c r="W464" i="3"/>
  <c r="AA463" i="3"/>
  <c r="Y463" i="3"/>
  <c r="X463" i="3"/>
  <c r="Z463" i="3" s="1"/>
  <c r="W463" i="3"/>
  <c r="AA462" i="3"/>
  <c r="Y462" i="3"/>
  <c r="X462" i="3"/>
  <c r="Z462" i="3" s="1"/>
  <c r="W462" i="3"/>
  <c r="AA461" i="3"/>
  <c r="Y461" i="3"/>
  <c r="X461" i="3"/>
  <c r="Z461" i="3"/>
  <c r="W461" i="3"/>
  <c r="AA460" i="3"/>
  <c r="Y460" i="3"/>
  <c r="X460" i="3"/>
  <c r="Z460" i="3" s="1"/>
  <c r="W460" i="3"/>
  <c r="AA459" i="3"/>
  <c r="Y459" i="3"/>
  <c r="X459" i="3"/>
  <c r="Z459" i="3" s="1"/>
  <c r="W459" i="3"/>
  <c r="AA458" i="3"/>
  <c r="Y458" i="3"/>
  <c r="X458" i="3"/>
  <c r="Z458" i="3" s="1"/>
  <c r="W458" i="3"/>
  <c r="AA457" i="3"/>
  <c r="Y457" i="3"/>
  <c r="X457" i="3"/>
  <c r="Z457" i="3" s="1"/>
  <c r="W457" i="3"/>
  <c r="AA456" i="3"/>
  <c r="Y456" i="3"/>
  <c r="X456" i="3"/>
  <c r="Z456" i="3" s="1"/>
  <c r="W456" i="3"/>
  <c r="AA455" i="3"/>
  <c r="Y455" i="3"/>
  <c r="X455" i="3"/>
  <c r="Z455" i="3" s="1"/>
  <c r="W455" i="3"/>
  <c r="AA454" i="3"/>
  <c r="Y454" i="3"/>
  <c r="X454" i="3"/>
  <c r="Z454" i="3" s="1"/>
  <c r="W454" i="3"/>
  <c r="AA453" i="3"/>
  <c r="Y453" i="3"/>
  <c r="X453" i="3"/>
  <c r="Z453" i="3" s="1"/>
  <c r="W453" i="3"/>
  <c r="AA452" i="3"/>
  <c r="Y452" i="3"/>
  <c r="X452" i="3"/>
  <c r="Z452" i="3" s="1"/>
  <c r="W452" i="3"/>
  <c r="AA451" i="3"/>
  <c r="Y451" i="3"/>
  <c r="X451" i="3"/>
  <c r="Z451" i="3" s="1"/>
  <c r="W451" i="3"/>
  <c r="AA450" i="3"/>
  <c r="Y450" i="3"/>
  <c r="X450" i="3"/>
  <c r="Z450" i="3" s="1"/>
  <c r="W450" i="3"/>
  <c r="AA449" i="3"/>
  <c r="Y449" i="3"/>
  <c r="X449" i="3"/>
  <c r="Z449" i="3" s="1"/>
  <c r="W449" i="3"/>
  <c r="AA448" i="3"/>
  <c r="Y448" i="3"/>
  <c r="X448" i="3"/>
  <c r="Z448" i="3" s="1"/>
  <c r="W448" i="3"/>
  <c r="AA447" i="3"/>
  <c r="Y447" i="3"/>
  <c r="X447" i="3"/>
  <c r="Z447" i="3" s="1"/>
  <c r="W447" i="3"/>
  <c r="AA446" i="3"/>
  <c r="Y446" i="3"/>
  <c r="X446" i="3"/>
  <c r="Z446" i="3" s="1"/>
  <c r="W446" i="3"/>
  <c r="AA445" i="3"/>
  <c r="Y445" i="3"/>
  <c r="X445" i="3"/>
  <c r="Z445" i="3" s="1"/>
  <c r="W445" i="3"/>
  <c r="AA444" i="3"/>
  <c r="Y444" i="3"/>
  <c r="X444" i="3"/>
  <c r="Z444" i="3" s="1"/>
  <c r="W444" i="3"/>
  <c r="AA443" i="3"/>
  <c r="Y443" i="3"/>
  <c r="X443" i="3"/>
  <c r="Z443" i="3" s="1"/>
  <c r="W443" i="3"/>
  <c r="AA442" i="3"/>
  <c r="Y442" i="3"/>
  <c r="X442" i="3"/>
  <c r="Z442" i="3" s="1"/>
  <c r="W442" i="3"/>
  <c r="AA441" i="3"/>
  <c r="Y441" i="3"/>
  <c r="X441" i="3"/>
  <c r="Z441" i="3" s="1"/>
  <c r="W441" i="3"/>
  <c r="AA440" i="3"/>
  <c r="Y440" i="3"/>
  <c r="X440" i="3"/>
  <c r="Z440" i="3" s="1"/>
  <c r="W440" i="3"/>
  <c r="AA439" i="3"/>
  <c r="Y439" i="3"/>
  <c r="X439" i="3"/>
  <c r="Z439" i="3" s="1"/>
  <c r="W439" i="3"/>
  <c r="AA438" i="3"/>
  <c r="Y438" i="3"/>
  <c r="X438" i="3"/>
  <c r="Z438" i="3"/>
  <c r="W438" i="3"/>
  <c r="AA437" i="3"/>
  <c r="Y437" i="3"/>
  <c r="X437" i="3"/>
  <c r="Z437" i="3" s="1"/>
  <c r="W437" i="3"/>
  <c r="AA436" i="3"/>
  <c r="Y436" i="3"/>
  <c r="X436" i="3"/>
  <c r="Z436" i="3" s="1"/>
  <c r="W436" i="3"/>
  <c r="AA435" i="3"/>
  <c r="Y435" i="3"/>
  <c r="X435" i="3"/>
  <c r="Z435" i="3" s="1"/>
  <c r="W435" i="3"/>
  <c r="AA434" i="3"/>
  <c r="Y434" i="3"/>
  <c r="X434" i="3"/>
  <c r="Z434" i="3" s="1"/>
  <c r="W434" i="3"/>
  <c r="AA433" i="3"/>
  <c r="Y433" i="3"/>
  <c r="X433" i="3"/>
  <c r="Z433" i="3" s="1"/>
  <c r="W433" i="3"/>
  <c r="AA432" i="3"/>
  <c r="Y432" i="3"/>
  <c r="X432" i="3"/>
  <c r="Z432" i="3" s="1"/>
  <c r="W432" i="3"/>
  <c r="AA431" i="3"/>
  <c r="Y431" i="3"/>
  <c r="X431" i="3"/>
  <c r="Z431" i="3" s="1"/>
  <c r="W431" i="3"/>
  <c r="AA430" i="3"/>
  <c r="Y430" i="3"/>
  <c r="X430" i="3"/>
  <c r="Z430" i="3" s="1"/>
  <c r="W430" i="3"/>
  <c r="AA429" i="3"/>
  <c r="Y429" i="3"/>
  <c r="X429" i="3"/>
  <c r="Z429" i="3" s="1"/>
  <c r="W429" i="3"/>
  <c r="AA428" i="3"/>
  <c r="Y428" i="3"/>
  <c r="X428" i="3"/>
  <c r="Z428" i="3" s="1"/>
  <c r="W428" i="3"/>
  <c r="AA427" i="3"/>
  <c r="Y427" i="3"/>
  <c r="X427" i="3"/>
  <c r="Z427" i="3" s="1"/>
  <c r="W427" i="3"/>
  <c r="AA426" i="3"/>
  <c r="Y426" i="3"/>
  <c r="X426" i="3"/>
  <c r="Z426" i="3" s="1"/>
  <c r="W426" i="3"/>
  <c r="AA425" i="3"/>
  <c r="Y425" i="3"/>
  <c r="X425" i="3"/>
  <c r="Z425" i="3" s="1"/>
  <c r="W425" i="3"/>
  <c r="AA424" i="3"/>
  <c r="Y424" i="3"/>
  <c r="X424" i="3"/>
  <c r="Z424" i="3" s="1"/>
  <c r="W424" i="3"/>
  <c r="AA423" i="3"/>
  <c r="Y423" i="3"/>
  <c r="X423" i="3"/>
  <c r="Z423" i="3" s="1"/>
  <c r="W423" i="3"/>
  <c r="AA422" i="3"/>
  <c r="Y422" i="3"/>
  <c r="X422" i="3"/>
  <c r="Z422" i="3" s="1"/>
  <c r="W422" i="3"/>
  <c r="AA421" i="3"/>
  <c r="Y421" i="3"/>
  <c r="X421" i="3"/>
  <c r="Z421" i="3" s="1"/>
  <c r="W421" i="3"/>
  <c r="AA420" i="3"/>
  <c r="Y420" i="3"/>
  <c r="X420" i="3"/>
  <c r="Z420" i="3" s="1"/>
  <c r="W420" i="3"/>
  <c r="AA419" i="3"/>
  <c r="Y419" i="3"/>
  <c r="X419" i="3"/>
  <c r="Z419" i="3" s="1"/>
  <c r="W419" i="3"/>
  <c r="AA418" i="3"/>
  <c r="Y418" i="3"/>
  <c r="X418" i="3"/>
  <c r="Z418" i="3" s="1"/>
  <c r="W418" i="3"/>
  <c r="AA417" i="3"/>
  <c r="Y417" i="3"/>
  <c r="X417" i="3"/>
  <c r="Z417" i="3" s="1"/>
  <c r="W417" i="3"/>
  <c r="AA416" i="3"/>
  <c r="Y416" i="3"/>
  <c r="X416" i="3"/>
  <c r="Z416" i="3" s="1"/>
  <c r="W416" i="3"/>
  <c r="AA415" i="3"/>
  <c r="Y415" i="3"/>
  <c r="X415" i="3"/>
  <c r="Z415" i="3" s="1"/>
  <c r="W415" i="3"/>
  <c r="AA414" i="3"/>
  <c r="Y414" i="3"/>
  <c r="X414" i="3"/>
  <c r="Z414" i="3" s="1"/>
  <c r="W414" i="3"/>
  <c r="AA413" i="3"/>
  <c r="Y413" i="3"/>
  <c r="X413" i="3"/>
  <c r="Z413" i="3" s="1"/>
  <c r="W413" i="3"/>
  <c r="AA412" i="3"/>
  <c r="Y412" i="3"/>
  <c r="X412" i="3"/>
  <c r="Z412" i="3"/>
  <c r="W412" i="3"/>
  <c r="AA411" i="3"/>
  <c r="Y411" i="3"/>
  <c r="X411" i="3"/>
  <c r="Z411" i="3" s="1"/>
  <c r="W411" i="3"/>
  <c r="AA410" i="3"/>
  <c r="Y410" i="3"/>
  <c r="X410" i="3"/>
  <c r="Z410" i="3" s="1"/>
  <c r="W410" i="3"/>
  <c r="AA409" i="3"/>
  <c r="Y409" i="3"/>
  <c r="X409" i="3"/>
  <c r="Z409" i="3" s="1"/>
  <c r="W409" i="3"/>
  <c r="AA408" i="3"/>
  <c r="Y408" i="3"/>
  <c r="X408" i="3"/>
  <c r="Z408" i="3" s="1"/>
  <c r="W408" i="3"/>
  <c r="AA407" i="3"/>
  <c r="Y407" i="3"/>
  <c r="X407" i="3"/>
  <c r="Z407" i="3" s="1"/>
  <c r="W407" i="3"/>
  <c r="AA406" i="3"/>
  <c r="Y406" i="3"/>
  <c r="X406" i="3"/>
  <c r="Z406" i="3" s="1"/>
  <c r="W406" i="3"/>
  <c r="AA405" i="3"/>
  <c r="Y405" i="3"/>
  <c r="X405" i="3"/>
  <c r="Z405" i="3" s="1"/>
  <c r="W405" i="3"/>
  <c r="AA404" i="3"/>
  <c r="Y404" i="3"/>
  <c r="X404" i="3"/>
  <c r="Z404" i="3" s="1"/>
  <c r="W404" i="3"/>
  <c r="AA403" i="3"/>
  <c r="Y403" i="3"/>
  <c r="X403" i="3"/>
  <c r="Z403" i="3" s="1"/>
  <c r="W403" i="3"/>
  <c r="AA402" i="3"/>
  <c r="Y402" i="3"/>
  <c r="X402" i="3"/>
  <c r="Z402" i="3"/>
  <c r="W402" i="3"/>
  <c r="AA401" i="3"/>
  <c r="Y401" i="3"/>
  <c r="X401" i="3"/>
  <c r="Z401" i="3" s="1"/>
  <c r="W401" i="3"/>
  <c r="AA400" i="3"/>
  <c r="Y400" i="3"/>
  <c r="X400" i="3"/>
  <c r="Z400" i="3" s="1"/>
  <c r="W400" i="3"/>
  <c r="AA399" i="3"/>
  <c r="Y399" i="3"/>
  <c r="X399" i="3"/>
  <c r="Z399" i="3" s="1"/>
  <c r="W399" i="3"/>
  <c r="AA398" i="3"/>
  <c r="Y398" i="3"/>
  <c r="X398" i="3"/>
  <c r="Z398" i="3" s="1"/>
  <c r="W398" i="3"/>
  <c r="AA397" i="3"/>
  <c r="Y397" i="3"/>
  <c r="X397" i="3"/>
  <c r="Z397" i="3" s="1"/>
  <c r="W397" i="3"/>
  <c r="AA396" i="3"/>
  <c r="Y396" i="3"/>
  <c r="X396" i="3"/>
  <c r="Z396" i="3" s="1"/>
  <c r="W396" i="3"/>
  <c r="AA395" i="3"/>
  <c r="Y395" i="3"/>
  <c r="X395" i="3"/>
  <c r="Z395" i="3" s="1"/>
  <c r="W395" i="3"/>
  <c r="AA394" i="3"/>
  <c r="Y394" i="3"/>
  <c r="X394" i="3"/>
  <c r="Z394" i="3" s="1"/>
  <c r="W394" i="3"/>
  <c r="AA393" i="3"/>
  <c r="Y393" i="3"/>
  <c r="X393" i="3"/>
  <c r="Z393" i="3"/>
  <c r="W393" i="3"/>
  <c r="AA392" i="3"/>
  <c r="Y392" i="3"/>
  <c r="X392" i="3"/>
  <c r="Z392" i="3" s="1"/>
  <c r="W392" i="3"/>
  <c r="AA391" i="3"/>
  <c r="Y391" i="3"/>
  <c r="X391" i="3"/>
  <c r="Z391" i="3" s="1"/>
  <c r="W391" i="3"/>
  <c r="AA390" i="3"/>
  <c r="Y390" i="3"/>
  <c r="X390" i="3"/>
  <c r="Z390" i="3" s="1"/>
  <c r="W390" i="3"/>
  <c r="AA389" i="3"/>
  <c r="Y389" i="3"/>
  <c r="X389" i="3"/>
  <c r="Z389" i="3" s="1"/>
  <c r="W389" i="3"/>
  <c r="AA388" i="3"/>
  <c r="Y388" i="3"/>
  <c r="X388" i="3"/>
  <c r="Z388" i="3" s="1"/>
  <c r="W388" i="3"/>
  <c r="AA387" i="3"/>
  <c r="Y387" i="3"/>
  <c r="X387" i="3"/>
  <c r="Z387" i="3" s="1"/>
  <c r="W387" i="3"/>
  <c r="AA386" i="3"/>
  <c r="Y386" i="3"/>
  <c r="X386" i="3"/>
  <c r="Z386" i="3" s="1"/>
  <c r="W386" i="3"/>
  <c r="AA385" i="3"/>
  <c r="Y385" i="3"/>
  <c r="X385" i="3"/>
  <c r="Z385" i="3" s="1"/>
  <c r="W385" i="3"/>
  <c r="AA384" i="3"/>
  <c r="Y384" i="3"/>
  <c r="X384" i="3"/>
  <c r="Z384" i="3" s="1"/>
  <c r="W384" i="3"/>
  <c r="AA383" i="3"/>
  <c r="Y383" i="3"/>
  <c r="X383" i="3"/>
  <c r="Z383" i="3" s="1"/>
  <c r="W383" i="3"/>
  <c r="AA382" i="3"/>
  <c r="Y382" i="3"/>
  <c r="X382" i="3"/>
  <c r="Z382" i="3" s="1"/>
  <c r="W382" i="3"/>
  <c r="AA381" i="3"/>
  <c r="Y381" i="3"/>
  <c r="X381" i="3"/>
  <c r="Z381" i="3" s="1"/>
  <c r="W381" i="3"/>
  <c r="AA380" i="3"/>
  <c r="Y380" i="3"/>
  <c r="X380" i="3"/>
  <c r="Z380" i="3" s="1"/>
  <c r="W380" i="3"/>
  <c r="AA379" i="3"/>
  <c r="Y379" i="3"/>
  <c r="X379" i="3"/>
  <c r="Z379" i="3" s="1"/>
  <c r="W379" i="3"/>
  <c r="AA378" i="3"/>
  <c r="Y378" i="3"/>
  <c r="X378" i="3"/>
  <c r="Z378" i="3" s="1"/>
  <c r="W378" i="3"/>
  <c r="AA377" i="3"/>
  <c r="Y377" i="3"/>
  <c r="X377" i="3"/>
  <c r="Z377" i="3" s="1"/>
  <c r="W377" i="3"/>
  <c r="AA376" i="3"/>
  <c r="Y376" i="3"/>
  <c r="X376" i="3"/>
  <c r="Z376" i="3" s="1"/>
  <c r="W376" i="3"/>
  <c r="AA375" i="3"/>
  <c r="Y375" i="3"/>
  <c r="X375" i="3"/>
  <c r="Z375" i="3" s="1"/>
  <c r="W375" i="3"/>
  <c r="AA374" i="3"/>
  <c r="Y374" i="3"/>
  <c r="X374" i="3"/>
  <c r="Z374" i="3" s="1"/>
  <c r="W374" i="3"/>
  <c r="AA373" i="3"/>
  <c r="Y373" i="3"/>
  <c r="X373" i="3"/>
  <c r="Z373" i="3" s="1"/>
  <c r="W373" i="3"/>
  <c r="AA372" i="3"/>
  <c r="Y372" i="3"/>
  <c r="X372" i="3"/>
  <c r="Z372" i="3" s="1"/>
  <c r="W372" i="3"/>
  <c r="AA371" i="3"/>
  <c r="Y371" i="3"/>
  <c r="X371" i="3"/>
  <c r="Z371" i="3" s="1"/>
  <c r="W371" i="3"/>
  <c r="AA370" i="3"/>
  <c r="Y370" i="3"/>
  <c r="X370" i="3"/>
  <c r="Z370" i="3" s="1"/>
  <c r="W370" i="3"/>
  <c r="AA369" i="3"/>
  <c r="Y369" i="3"/>
  <c r="X369" i="3"/>
  <c r="Z369" i="3" s="1"/>
  <c r="W369" i="3"/>
  <c r="AA368" i="3"/>
  <c r="Y368" i="3"/>
  <c r="X368" i="3"/>
  <c r="Z368" i="3" s="1"/>
  <c r="W368" i="3"/>
  <c r="AA367" i="3"/>
  <c r="Y367" i="3"/>
  <c r="X367" i="3"/>
  <c r="Z367" i="3" s="1"/>
  <c r="W367" i="3"/>
  <c r="AA366" i="3"/>
  <c r="Y366" i="3"/>
  <c r="X366" i="3"/>
  <c r="Z366" i="3" s="1"/>
  <c r="W366" i="3"/>
  <c r="AA365" i="3"/>
  <c r="Y365" i="3"/>
  <c r="X365" i="3"/>
  <c r="Z365" i="3"/>
  <c r="W365" i="3"/>
  <c r="AA364" i="3"/>
  <c r="Y364" i="3"/>
  <c r="X364" i="3"/>
  <c r="Z364" i="3" s="1"/>
  <c r="W364" i="3"/>
  <c r="AA363" i="3"/>
  <c r="Y363" i="3"/>
  <c r="X363" i="3"/>
  <c r="Z363" i="3" s="1"/>
  <c r="W363" i="3"/>
  <c r="AA362" i="3"/>
  <c r="Y362" i="3"/>
  <c r="X362" i="3"/>
  <c r="Z362" i="3" s="1"/>
  <c r="W362" i="3"/>
  <c r="AA361" i="3"/>
  <c r="Y361" i="3"/>
  <c r="X361" i="3"/>
  <c r="Z361" i="3" s="1"/>
  <c r="W361" i="3"/>
  <c r="AA360" i="3"/>
  <c r="Y360" i="3"/>
  <c r="X360" i="3"/>
  <c r="Z360" i="3" s="1"/>
  <c r="W360" i="3"/>
  <c r="AA359" i="3"/>
  <c r="Y359" i="3"/>
  <c r="X359" i="3"/>
  <c r="Z359" i="3" s="1"/>
  <c r="W359" i="3"/>
  <c r="AA358" i="3"/>
  <c r="Y358" i="3"/>
  <c r="X358" i="3"/>
  <c r="Z358" i="3" s="1"/>
  <c r="W358" i="3"/>
  <c r="AA357" i="3"/>
  <c r="Y357" i="3"/>
  <c r="X357" i="3"/>
  <c r="Z357" i="3" s="1"/>
  <c r="W357" i="3"/>
  <c r="AA356" i="3"/>
  <c r="Y356" i="3"/>
  <c r="X356" i="3"/>
  <c r="Z356" i="3" s="1"/>
  <c r="W356" i="3"/>
  <c r="AA355" i="3"/>
  <c r="Y355" i="3"/>
  <c r="X355" i="3"/>
  <c r="Z355" i="3" s="1"/>
  <c r="W355" i="3"/>
  <c r="AA354" i="3"/>
  <c r="Y354" i="3"/>
  <c r="X354" i="3"/>
  <c r="Z354" i="3" s="1"/>
  <c r="W354" i="3"/>
  <c r="AA353" i="3"/>
  <c r="Y353" i="3"/>
  <c r="X353" i="3"/>
  <c r="Z353" i="3" s="1"/>
  <c r="W353" i="3"/>
  <c r="AA352" i="3"/>
  <c r="Y352" i="3"/>
  <c r="X352" i="3"/>
  <c r="Z352" i="3" s="1"/>
  <c r="W352" i="3"/>
  <c r="AA351" i="3"/>
  <c r="Y351" i="3"/>
  <c r="X351" i="3"/>
  <c r="Z351" i="3" s="1"/>
  <c r="W351" i="3"/>
  <c r="AA350" i="3"/>
  <c r="Y350" i="3"/>
  <c r="X350" i="3"/>
  <c r="Z350" i="3" s="1"/>
  <c r="W350" i="3"/>
  <c r="AA349" i="3"/>
  <c r="Y349" i="3"/>
  <c r="X349" i="3"/>
  <c r="Z349" i="3" s="1"/>
  <c r="W349" i="3"/>
  <c r="AA348" i="3"/>
  <c r="Y348" i="3"/>
  <c r="X348" i="3"/>
  <c r="Z348" i="3" s="1"/>
  <c r="W348" i="3"/>
  <c r="AA347" i="3"/>
  <c r="Y347" i="3"/>
  <c r="X347" i="3"/>
  <c r="Z347" i="3" s="1"/>
  <c r="W347" i="3"/>
  <c r="AA346" i="3"/>
  <c r="Y346" i="3"/>
  <c r="X346" i="3"/>
  <c r="Z346" i="3" s="1"/>
  <c r="W346" i="3"/>
  <c r="AA345" i="3"/>
  <c r="Y345" i="3"/>
  <c r="X345" i="3"/>
  <c r="Z345" i="3" s="1"/>
  <c r="W345" i="3"/>
  <c r="AA344" i="3"/>
  <c r="Y344" i="3"/>
  <c r="X344" i="3"/>
  <c r="Z344" i="3" s="1"/>
  <c r="W344" i="3"/>
  <c r="AA343" i="3"/>
  <c r="Y343" i="3"/>
  <c r="X343" i="3"/>
  <c r="Z343" i="3" s="1"/>
  <c r="W343" i="3"/>
  <c r="AA342" i="3"/>
  <c r="Y342" i="3"/>
  <c r="X342" i="3"/>
  <c r="Z342" i="3" s="1"/>
  <c r="W342" i="3"/>
  <c r="AA341" i="3"/>
  <c r="Y341" i="3"/>
  <c r="X341" i="3"/>
  <c r="Z341" i="3" s="1"/>
  <c r="W341" i="3"/>
  <c r="AA340" i="3"/>
  <c r="Y340" i="3"/>
  <c r="X340" i="3"/>
  <c r="Z340" i="3"/>
  <c r="W340" i="3"/>
  <c r="AA339" i="3"/>
  <c r="Y339" i="3"/>
  <c r="X339" i="3"/>
  <c r="Z339" i="3" s="1"/>
  <c r="W339" i="3"/>
  <c r="AA338" i="3"/>
  <c r="Y338" i="3"/>
  <c r="X338" i="3"/>
  <c r="Z338" i="3" s="1"/>
  <c r="W338" i="3"/>
  <c r="AA337" i="3"/>
  <c r="Y337" i="3"/>
  <c r="X337" i="3"/>
  <c r="Z337" i="3" s="1"/>
  <c r="W337" i="3"/>
  <c r="AA336" i="3"/>
  <c r="Y336" i="3"/>
  <c r="X336" i="3"/>
  <c r="Z336" i="3" s="1"/>
  <c r="W336" i="3"/>
  <c r="AA335" i="3"/>
  <c r="Y335" i="3"/>
  <c r="X335" i="3"/>
  <c r="Z335" i="3" s="1"/>
  <c r="W335" i="3"/>
  <c r="AA334" i="3"/>
  <c r="Y334" i="3"/>
  <c r="X334" i="3"/>
  <c r="Z334" i="3" s="1"/>
  <c r="W334" i="3"/>
  <c r="AA333" i="3"/>
  <c r="Y333" i="3"/>
  <c r="X333" i="3"/>
  <c r="Z333" i="3" s="1"/>
  <c r="W333" i="3"/>
  <c r="AA332" i="3"/>
  <c r="Y332" i="3"/>
  <c r="X332" i="3"/>
  <c r="Z332" i="3" s="1"/>
  <c r="W332" i="3"/>
  <c r="AA331" i="3"/>
  <c r="Y331" i="3"/>
  <c r="X331" i="3"/>
  <c r="Z331" i="3" s="1"/>
  <c r="W331" i="3"/>
  <c r="AA330" i="3"/>
  <c r="Y330" i="3"/>
  <c r="X330" i="3"/>
  <c r="Z330" i="3" s="1"/>
  <c r="W330" i="3"/>
  <c r="AA329" i="3"/>
  <c r="Y329" i="3"/>
  <c r="X329" i="3"/>
  <c r="Z329" i="3" s="1"/>
  <c r="W329" i="3"/>
  <c r="AA328" i="3"/>
  <c r="Y328" i="3"/>
  <c r="X328" i="3"/>
  <c r="Z328" i="3" s="1"/>
  <c r="W328" i="3"/>
  <c r="AA327" i="3"/>
  <c r="Y327" i="3"/>
  <c r="X327" i="3"/>
  <c r="Z327" i="3" s="1"/>
  <c r="W327" i="3"/>
  <c r="AA326" i="3"/>
  <c r="Y326" i="3"/>
  <c r="X326" i="3"/>
  <c r="Z326" i="3" s="1"/>
  <c r="W326" i="3"/>
  <c r="AA325" i="3"/>
  <c r="Y325" i="3"/>
  <c r="X325" i="3"/>
  <c r="Z325" i="3" s="1"/>
  <c r="W325" i="3"/>
  <c r="AA324" i="3"/>
  <c r="Y324" i="3"/>
  <c r="X324" i="3"/>
  <c r="Z324" i="3" s="1"/>
  <c r="W324" i="3"/>
  <c r="AA323" i="3"/>
  <c r="Y323" i="3"/>
  <c r="X323" i="3"/>
  <c r="Z323" i="3" s="1"/>
  <c r="W323" i="3"/>
  <c r="AA322" i="3"/>
  <c r="Y322" i="3"/>
  <c r="X322" i="3"/>
  <c r="Z322" i="3" s="1"/>
  <c r="W322" i="3"/>
  <c r="AA321" i="3"/>
  <c r="Y321" i="3"/>
  <c r="X321" i="3"/>
  <c r="Z321" i="3" s="1"/>
  <c r="W321" i="3"/>
  <c r="AA320" i="3"/>
  <c r="Y320" i="3"/>
  <c r="X320" i="3"/>
  <c r="Z320" i="3" s="1"/>
  <c r="W320" i="3"/>
  <c r="AA319" i="3"/>
  <c r="Y319" i="3"/>
  <c r="X319" i="3"/>
  <c r="Z319" i="3" s="1"/>
  <c r="W319" i="3"/>
  <c r="AA318" i="3"/>
  <c r="Y318" i="3"/>
  <c r="X318" i="3"/>
  <c r="Z318" i="3" s="1"/>
  <c r="W318" i="3"/>
  <c r="AA317" i="3"/>
  <c r="Y317" i="3"/>
  <c r="X317" i="3"/>
  <c r="Z317" i="3" s="1"/>
  <c r="W317" i="3"/>
  <c r="AA316" i="3"/>
  <c r="Y316" i="3"/>
  <c r="X316" i="3"/>
  <c r="Z316" i="3" s="1"/>
  <c r="W316" i="3"/>
  <c r="AA315" i="3"/>
  <c r="Y315" i="3"/>
  <c r="X315" i="3"/>
  <c r="Z315" i="3" s="1"/>
  <c r="W315" i="3"/>
  <c r="AA314" i="3"/>
  <c r="Y314" i="3"/>
  <c r="X314" i="3"/>
  <c r="Z314" i="3" s="1"/>
  <c r="W314" i="3"/>
  <c r="AA313" i="3"/>
  <c r="Y313" i="3"/>
  <c r="X313" i="3"/>
  <c r="Z313" i="3" s="1"/>
  <c r="W313" i="3"/>
  <c r="AA312" i="3"/>
  <c r="Y312" i="3"/>
  <c r="X312" i="3"/>
  <c r="Z312" i="3" s="1"/>
  <c r="W312" i="3"/>
  <c r="AA311" i="3"/>
  <c r="Y311" i="3"/>
  <c r="X311" i="3"/>
  <c r="Z311" i="3" s="1"/>
  <c r="W311" i="3"/>
  <c r="AA310" i="3"/>
  <c r="Y310" i="3"/>
  <c r="X310" i="3"/>
  <c r="Z310" i="3" s="1"/>
  <c r="W310" i="3"/>
  <c r="AA309" i="3"/>
  <c r="Y309" i="3"/>
  <c r="X309" i="3"/>
  <c r="Z309" i="3" s="1"/>
  <c r="W309" i="3"/>
  <c r="AA308" i="3"/>
  <c r="Y308" i="3"/>
  <c r="X308" i="3"/>
  <c r="Z308" i="3"/>
  <c r="W308" i="3"/>
  <c r="AA307" i="3"/>
  <c r="Y307" i="3"/>
  <c r="X307" i="3"/>
  <c r="Z307" i="3" s="1"/>
  <c r="W307" i="3"/>
  <c r="AA306" i="3"/>
  <c r="Y306" i="3"/>
  <c r="X306" i="3"/>
  <c r="Z306" i="3" s="1"/>
  <c r="W306" i="3"/>
  <c r="AA305" i="3"/>
  <c r="Y305" i="3"/>
  <c r="X305" i="3"/>
  <c r="Z305" i="3" s="1"/>
  <c r="W305" i="3"/>
  <c r="AA304" i="3"/>
  <c r="Y304" i="3"/>
  <c r="X304" i="3"/>
  <c r="Z304" i="3" s="1"/>
  <c r="W304" i="3"/>
  <c r="AA303" i="3"/>
  <c r="Y303" i="3"/>
  <c r="X303" i="3"/>
  <c r="Z303" i="3" s="1"/>
  <c r="W303" i="3"/>
  <c r="AA302" i="3"/>
  <c r="Y302" i="3"/>
  <c r="X302" i="3"/>
  <c r="Z302" i="3" s="1"/>
  <c r="W302" i="3"/>
  <c r="AA301" i="3"/>
  <c r="Y301" i="3"/>
  <c r="X301" i="3"/>
  <c r="Z301" i="3" s="1"/>
  <c r="W301" i="3"/>
  <c r="AA300" i="3"/>
  <c r="Y300" i="3"/>
  <c r="X300" i="3"/>
  <c r="Z300" i="3" s="1"/>
  <c r="W300" i="3"/>
  <c r="AA299" i="3"/>
  <c r="Y299" i="3"/>
  <c r="X299" i="3"/>
  <c r="Z299" i="3" s="1"/>
  <c r="W299" i="3"/>
  <c r="AA298" i="3"/>
  <c r="Y298" i="3"/>
  <c r="X298" i="3"/>
  <c r="Z298" i="3" s="1"/>
  <c r="W298" i="3"/>
  <c r="AA297" i="3"/>
  <c r="Y297" i="3"/>
  <c r="X297" i="3"/>
  <c r="Z297" i="3" s="1"/>
  <c r="W297" i="3"/>
  <c r="AA296" i="3"/>
  <c r="Y296" i="3"/>
  <c r="X296" i="3"/>
  <c r="Z296" i="3" s="1"/>
  <c r="W296" i="3"/>
  <c r="AA295" i="3"/>
  <c r="Y295" i="3"/>
  <c r="X295" i="3"/>
  <c r="Z295" i="3" s="1"/>
  <c r="W295" i="3"/>
  <c r="AA294" i="3"/>
  <c r="Y294" i="3"/>
  <c r="X294" i="3"/>
  <c r="Z294" i="3" s="1"/>
  <c r="W294" i="3"/>
  <c r="AA293" i="3"/>
  <c r="Y293" i="3"/>
  <c r="X293" i="3"/>
  <c r="Z293" i="3" s="1"/>
  <c r="W293" i="3"/>
  <c r="AA292" i="3"/>
  <c r="Y292" i="3"/>
  <c r="X292" i="3"/>
  <c r="Z292" i="3" s="1"/>
  <c r="W292" i="3"/>
  <c r="AA291" i="3"/>
  <c r="Y291" i="3"/>
  <c r="X291" i="3"/>
  <c r="Z291" i="3" s="1"/>
  <c r="W291" i="3"/>
  <c r="AA290" i="3"/>
  <c r="Y290" i="3"/>
  <c r="X290" i="3"/>
  <c r="Z290" i="3" s="1"/>
  <c r="W290" i="3"/>
  <c r="AA289" i="3"/>
  <c r="Y289" i="3"/>
  <c r="X289" i="3"/>
  <c r="Z289" i="3" s="1"/>
  <c r="W289" i="3"/>
  <c r="AA288" i="3"/>
  <c r="Y288" i="3"/>
  <c r="X288" i="3"/>
  <c r="Z288" i="3" s="1"/>
  <c r="W288" i="3"/>
  <c r="AA287" i="3"/>
  <c r="Y287" i="3"/>
  <c r="X287" i="3"/>
  <c r="Z287" i="3" s="1"/>
  <c r="W287" i="3"/>
  <c r="AA286" i="3"/>
  <c r="Y286" i="3"/>
  <c r="X286" i="3"/>
  <c r="Z286" i="3" s="1"/>
  <c r="W286" i="3"/>
  <c r="AA285" i="3"/>
  <c r="Y285" i="3"/>
  <c r="X285" i="3"/>
  <c r="Z285" i="3" s="1"/>
  <c r="W285" i="3"/>
  <c r="AA284" i="3"/>
  <c r="Y284" i="3"/>
  <c r="X284" i="3"/>
  <c r="Z284" i="3" s="1"/>
  <c r="W284" i="3"/>
  <c r="AA283" i="3"/>
  <c r="Y283" i="3"/>
  <c r="X283" i="3"/>
  <c r="Z283" i="3" s="1"/>
  <c r="W283" i="3"/>
  <c r="AA282" i="3"/>
  <c r="Y282" i="3"/>
  <c r="X282" i="3"/>
  <c r="Z282" i="3" s="1"/>
  <c r="W282" i="3"/>
  <c r="AA281" i="3"/>
  <c r="Y281" i="3"/>
  <c r="X281" i="3"/>
  <c r="Z281" i="3" s="1"/>
  <c r="W281" i="3"/>
  <c r="AA280" i="3"/>
  <c r="Y280" i="3"/>
  <c r="X280" i="3"/>
  <c r="Z280" i="3" s="1"/>
  <c r="W280" i="3"/>
  <c r="AA279" i="3"/>
  <c r="Y279" i="3"/>
  <c r="X279" i="3"/>
  <c r="Z279" i="3" s="1"/>
  <c r="W279" i="3"/>
  <c r="AA278" i="3"/>
  <c r="Y278" i="3"/>
  <c r="X278" i="3"/>
  <c r="Z278" i="3" s="1"/>
  <c r="W278" i="3"/>
  <c r="AA277" i="3"/>
  <c r="Y277" i="3"/>
  <c r="X277" i="3"/>
  <c r="Z277" i="3" s="1"/>
  <c r="W277" i="3"/>
  <c r="AA276" i="3"/>
  <c r="Y276" i="3"/>
  <c r="X276" i="3"/>
  <c r="Z276" i="3" s="1"/>
  <c r="W276" i="3"/>
  <c r="AA275" i="3"/>
  <c r="Y275" i="3"/>
  <c r="X275" i="3"/>
  <c r="Z275" i="3" s="1"/>
  <c r="W275" i="3"/>
  <c r="AA274" i="3"/>
  <c r="Y274" i="3"/>
  <c r="X274" i="3"/>
  <c r="Z274" i="3" s="1"/>
  <c r="W274" i="3"/>
  <c r="AA273" i="3"/>
  <c r="Y273" i="3"/>
  <c r="X273" i="3"/>
  <c r="Z273" i="3" s="1"/>
  <c r="W273" i="3"/>
  <c r="AA272" i="3"/>
  <c r="Y272" i="3"/>
  <c r="X272" i="3"/>
  <c r="Z272" i="3" s="1"/>
  <c r="W272" i="3"/>
  <c r="AA271" i="3"/>
  <c r="Y271" i="3"/>
  <c r="X271" i="3"/>
  <c r="Z271" i="3" s="1"/>
  <c r="W271" i="3"/>
  <c r="AA270" i="3"/>
  <c r="Y270" i="3"/>
  <c r="X270" i="3"/>
  <c r="Z270" i="3" s="1"/>
  <c r="W270" i="3"/>
  <c r="AA269" i="3"/>
  <c r="Y269" i="3"/>
  <c r="X269" i="3"/>
  <c r="Z269" i="3" s="1"/>
  <c r="W269" i="3"/>
  <c r="AA268" i="3"/>
  <c r="Y268" i="3"/>
  <c r="X268" i="3"/>
  <c r="Z268" i="3" s="1"/>
  <c r="W268" i="3"/>
  <c r="AA267" i="3"/>
  <c r="Y267" i="3"/>
  <c r="X267" i="3"/>
  <c r="Z267" i="3" s="1"/>
  <c r="W267" i="3"/>
  <c r="AA266" i="3"/>
  <c r="Y266" i="3"/>
  <c r="X266" i="3"/>
  <c r="Z266" i="3" s="1"/>
  <c r="W266" i="3"/>
  <c r="AA265" i="3"/>
  <c r="Y265" i="3"/>
  <c r="X265" i="3"/>
  <c r="Z265" i="3" s="1"/>
  <c r="W265" i="3"/>
  <c r="AA264" i="3"/>
  <c r="Y264" i="3"/>
  <c r="X264" i="3"/>
  <c r="Z264" i="3" s="1"/>
  <c r="W264" i="3"/>
  <c r="AA263" i="3"/>
  <c r="Y263" i="3"/>
  <c r="X263" i="3"/>
  <c r="Z263" i="3" s="1"/>
  <c r="W263" i="3"/>
  <c r="AA262" i="3"/>
  <c r="Y262" i="3"/>
  <c r="X262" i="3"/>
  <c r="Z262" i="3"/>
  <c r="W262" i="3"/>
  <c r="AA261" i="3"/>
  <c r="Y261" i="3"/>
  <c r="X261" i="3"/>
  <c r="Z261" i="3" s="1"/>
  <c r="W261" i="3"/>
  <c r="AA260" i="3"/>
  <c r="Y260" i="3"/>
  <c r="X260" i="3"/>
  <c r="Z260" i="3" s="1"/>
  <c r="W260" i="3"/>
  <c r="AA259" i="3"/>
  <c r="Y259" i="3"/>
  <c r="X259" i="3"/>
  <c r="Z259" i="3" s="1"/>
  <c r="W259" i="3"/>
  <c r="AA258" i="3"/>
  <c r="Y258" i="3"/>
  <c r="X258" i="3"/>
  <c r="Z258" i="3" s="1"/>
  <c r="W258" i="3"/>
  <c r="AA257" i="3"/>
  <c r="Y257" i="3"/>
  <c r="X257" i="3"/>
  <c r="Z257" i="3" s="1"/>
  <c r="W257" i="3"/>
  <c r="AA256" i="3"/>
  <c r="Y256" i="3"/>
  <c r="X256" i="3"/>
  <c r="Z256" i="3" s="1"/>
  <c r="W256" i="3"/>
  <c r="AA255" i="3"/>
  <c r="Y255" i="3"/>
  <c r="X255" i="3"/>
  <c r="Z255" i="3" s="1"/>
  <c r="W255" i="3"/>
  <c r="AA254" i="3"/>
  <c r="Y254" i="3"/>
  <c r="X254" i="3"/>
  <c r="Z254" i="3" s="1"/>
  <c r="W254" i="3"/>
  <c r="AA253" i="3"/>
  <c r="Y253" i="3"/>
  <c r="X253" i="3"/>
  <c r="Z253" i="3" s="1"/>
  <c r="W253" i="3"/>
  <c r="AA252" i="3"/>
  <c r="Y252" i="3"/>
  <c r="X252" i="3"/>
  <c r="Z252" i="3" s="1"/>
  <c r="W252" i="3"/>
  <c r="AA251" i="3"/>
  <c r="Y251" i="3"/>
  <c r="X251" i="3"/>
  <c r="Z251" i="3" s="1"/>
  <c r="W251" i="3"/>
  <c r="AA250" i="3"/>
  <c r="Y250" i="3"/>
  <c r="X250" i="3"/>
  <c r="Z250" i="3" s="1"/>
  <c r="W250" i="3"/>
  <c r="AA249" i="3"/>
  <c r="Y249" i="3"/>
  <c r="X249" i="3"/>
  <c r="Z249" i="3" s="1"/>
  <c r="W249" i="3"/>
  <c r="AA248" i="3"/>
  <c r="Y248" i="3"/>
  <c r="X248" i="3"/>
  <c r="Z248" i="3" s="1"/>
  <c r="W248" i="3"/>
  <c r="AA247" i="3"/>
  <c r="Y247" i="3"/>
  <c r="X247" i="3"/>
  <c r="Z247" i="3" s="1"/>
  <c r="W247" i="3"/>
  <c r="AA246" i="3"/>
  <c r="Y246" i="3"/>
  <c r="X246" i="3"/>
  <c r="Z246" i="3" s="1"/>
  <c r="W246" i="3"/>
  <c r="AA245" i="3"/>
  <c r="Y245" i="3"/>
  <c r="X245" i="3"/>
  <c r="Z245" i="3" s="1"/>
  <c r="W245" i="3"/>
  <c r="AA244" i="3"/>
  <c r="Y244" i="3"/>
  <c r="X244" i="3"/>
  <c r="Z244" i="3" s="1"/>
  <c r="W244" i="3"/>
  <c r="AA243" i="3"/>
  <c r="Y243" i="3"/>
  <c r="X243" i="3"/>
  <c r="Z243" i="3" s="1"/>
  <c r="W243" i="3"/>
  <c r="AA242" i="3"/>
  <c r="Y242" i="3"/>
  <c r="X242" i="3"/>
  <c r="Z242" i="3" s="1"/>
  <c r="W242" i="3"/>
  <c r="AA241" i="3"/>
  <c r="Y241" i="3"/>
  <c r="X241" i="3"/>
  <c r="Z241" i="3" s="1"/>
  <c r="W241" i="3"/>
  <c r="AA240" i="3"/>
  <c r="Y240" i="3"/>
  <c r="X240" i="3"/>
  <c r="Z240" i="3" s="1"/>
  <c r="W240" i="3"/>
  <c r="AA239" i="3"/>
  <c r="Y239" i="3"/>
  <c r="X239" i="3"/>
  <c r="Z239" i="3" s="1"/>
  <c r="W239" i="3"/>
  <c r="AA238" i="3"/>
  <c r="Y238" i="3"/>
  <c r="X238" i="3"/>
  <c r="Z238" i="3"/>
  <c r="W238" i="3"/>
  <c r="AA237" i="3"/>
  <c r="Y237" i="3"/>
  <c r="X237" i="3"/>
  <c r="Z237" i="3" s="1"/>
  <c r="W237" i="3"/>
  <c r="AA236" i="3"/>
  <c r="Y236" i="3"/>
  <c r="X236" i="3"/>
  <c r="Z236" i="3" s="1"/>
  <c r="W236" i="3"/>
  <c r="AA235" i="3"/>
  <c r="Y235" i="3"/>
  <c r="X235" i="3"/>
  <c r="Z235" i="3" s="1"/>
  <c r="W235" i="3"/>
  <c r="AA234" i="3"/>
  <c r="Y234" i="3"/>
  <c r="X234" i="3"/>
  <c r="Z234" i="3" s="1"/>
  <c r="W234" i="3"/>
  <c r="AA233" i="3"/>
  <c r="Y233" i="3"/>
  <c r="X233" i="3"/>
  <c r="Z233" i="3" s="1"/>
  <c r="W233" i="3"/>
  <c r="AA232" i="3"/>
  <c r="Y232" i="3"/>
  <c r="X232" i="3"/>
  <c r="Z232" i="3" s="1"/>
  <c r="W232" i="3"/>
  <c r="AA231" i="3"/>
  <c r="Y231" i="3"/>
  <c r="X231" i="3"/>
  <c r="Z231" i="3" s="1"/>
  <c r="W231" i="3"/>
  <c r="AA230" i="3"/>
  <c r="Y230" i="3"/>
  <c r="X230" i="3"/>
  <c r="Z230" i="3" s="1"/>
  <c r="W230" i="3"/>
  <c r="AA229" i="3"/>
  <c r="Y229" i="3"/>
  <c r="X229" i="3"/>
  <c r="Z229" i="3" s="1"/>
  <c r="W229" i="3"/>
  <c r="AA228" i="3"/>
  <c r="Y228" i="3"/>
  <c r="X228" i="3"/>
  <c r="Z228" i="3" s="1"/>
  <c r="W228" i="3"/>
  <c r="AA227" i="3"/>
  <c r="Y227" i="3"/>
  <c r="X227" i="3"/>
  <c r="Z227" i="3" s="1"/>
  <c r="W227" i="3"/>
  <c r="AA226" i="3"/>
  <c r="Y226" i="3"/>
  <c r="X226" i="3"/>
  <c r="Z226" i="3" s="1"/>
  <c r="W226" i="3"/>
  <c r="AA225" i="3"/>
  <c r="Y225" i="3"/>
  <c r="X225" i="3"/>
  <c r="Z225" i="3" s="1"/>
  <c r="W225" i="3"/>
  <c r="AA224" i="3"/>
  <c r="Y224" i="3"/>
  <c r="X224" i="3"/>
  <c r="Z224" i="3" s="1"/>
  <c r="W224" i="3"/>
  <c r="AA223" i="3"/>
  <c r="Y223" i="3"/>
  <c r="X223" i="3"/>
  <c r="Z223" i="3" s="1"/>
  <c r="W223" i="3"/>
  <c r="AA222" i="3"/>
  <c r="Y222" i="3"/>
  <c r="X222" i="3"/>
  <c r="Z222" i="3" s="1"/>
  <c r="W222" i="3"/>
  <c r="AA221" i="3"/>
  <c r="Y221" i="3"/>
  <c r="X221" i="3"/>
  <c r="Z221" i="3" s="1"/>
  <c r="W221" i="3"/>
  <c r="AA220" i="3"/>
  <c r="Y220" i="3"/>
  <c r="X220" i="3"/>
  <c r="Z220" i="3" s="1"/>
  <c r="W220" i="3"/>
  <c r="AA219" i="3"/>
  <c r="Y219" i="3"/>
  <c r="X219" i="3"/>
  <c r="Z219" i="3" s="1"/>
  <c r="W219" i="3"/>
  <c r="AA218" i="3"/>
  <c r="Y218" i="3"/>
  <c r="X218" i="3"/>
  <c r="Z218" i="3" s="1"/>
  <c r="W218" i="3"/>
  <c r="AA217" i="3"/>
  <c r="Y217" i="3"/>
  <c r="X217" i="3"/>
  <c r="Z217" i="3" s="1"/>
  <c r="W217" i="3"/>
  <c r="AA216" i="3"/>
  <c r="Y216" i="3"/>
  <c r="X216" i="3"/>
  <c r="Z216" i="3" s="1"/>
  <c r="W216" i="3"/>
  <c r="AA215" i="3"/>
  <c r="Y215" i="3"/>
  <c r="X215" i="3"/>
  <c r="Z215" i="3" s="1"/>
  <c r="W215" i="3"/>
  <c r="AA214" i="3"/>
  <c r="Y214" i="3"/>
  <c r="X214" i="3"/>
  <c r="Z214" i="3" s="1"/>
  <c r="W214" i="3"/>
  <c r="AA213" i="3"/>
  <c r="Y213" i="3"/>
  <c r="X213" i="3"/>
  <c r="Z213" i="3" s="1"/>
  <c r="W213" i="3"/>
  <c r="AA212" i="3"/>
  <c r="Y212" i="3"/>
  <c r="X212" i="3"/>
  <c r="Z212" i="3"/>
  <c r="W212" i="3"/>
  <c r="AA211" i="3"/>
  <c r="Y211" i="3"/>
  <c r="X211" i="3"/>
  <c r="Z211" i="3" s="1"/>
  <c r="W211" i="3"/>
  <c r="AA210" i="3"/>
  <c r="Y210" i="3"/>
  <c r="X210" i="3"/>
  <c r="Z210" i="3" s="1"/>
  <c r="W210" i="3"/>
  <c r="AA209" i="3"/>
  <c r="Y209" i="3"/>
  <c r="X209" i="3"/>
  <c r="Z209" i="3" s="1"/>
  <c r="W209" i="3"/>
  <c r="AA208" i="3"/>
  <c r="Y208" i="3"/>
  <c r="X208" i="3"/>
  <c r="Z208" i="3" s="1"/>
  <c r="W208" i="3"/>
  <c r="AA207" i="3"/>
  <c r="Y207" i="3"/>
  <c r="X207" i="3"/>
  <c r="Z207" i="3" s="1"/>
  <c r="W207" i="3"/>
  <c r="AA206" i="3"/>
  <c r="Y206" i="3"/>
  <c r="X206" i="3"/>
  <c r="Z206" i="3"/>
  <c r="W206" i="3"/>
  <c r="AA205" i="3"/>
  <c r="Y205" i="3"/>
  <c r="X205" i="3"/>
  <c r="Z205" i="3" s="1"/>
  <c r="W205" i="3"/>
  <c r="AA204" i="3"/>
  <c r="Y204" i="3"/>
  <c r="X204" i="3"/>
  <c r="Z204" i="3" s="1"/>
  <c r="W204" i="3"/>
  <c r="AA203" i="3"/>
  <c r="Y203" i="3"/>
  <c r="X203" i="3"/>
  <c r="Z203" i="3" s="1"/>
  <c r="W203" i="3"/>
  <c r="AA202" i="3"/>
  <c r="Y202" i="3"/>
  <c r="X202" i="3"/>
  <c r="Z202" i="3" s="1"/>
  <c r="W202" i="3"/>
  <c r="AA201" i="3"/>
  <c r="Y201" i="3"/>
  <c r="X201" i="3"/>
  <c r="Z201" i="3" s="1"/>
  <c r="W201" i="3"/>
  <c r="AA200" i="3"/>
  <c r="Y200" i="3"/>
  <c r="X200" i="3"/>
  <c r="Z200" i="3" s="1"/>
  <c r="W200" i="3"/>
  <c r="AA199" i="3"/>
  <c r="Y199" i="3"/>
  <c r="X199" i="3"/>
  <c r="Z199" i="3" s="1"/>
  <c r="W199" i="3"/>
  <c r="AA198" i="3"/>
  <c r="Y198" i="3"/>
  <c r="X198" i="3"/>
  <c r="Z198" i="3" s="1"/>
  <c r="W198" i="3"/>
  <c r="AA197" i="3"/>
  <c r="Y197" i="3"/>
  <c r="X197" i="3"/>
  <c r="Z197" i="3" s="1"/>
  <c r="W197" i="3"/>
  <c r="AA196" i="3"/>
  <c r="Y196" i="3"/>
  <c r="X196" i="3"/>
  <c r="Z196" i="3" s="1"/>
  <c r="W196" i="3"/>
  <c r="AA195" i="3"/>
  <c r="Y195" i="3"/>
  <c r="X195" i="3"/>
  <c r="Z195" i="3" s="1"/>
  <c r="W195" i="3"/>
  <c r="AA194" i="3"/>
  <c r="Y194" i="3"/>
  <c r="X194" i="3"/>
  <c r="Z194" i="3" s="1"/>
  <c r="W194" i="3"/>
  <c r="AA193" i="3"/>
  <c r="Y193" i="3"/>
  <c r="X193" i="3"/>
  <c r="Z193" i="3" s="1"/>
  <c r="W193" i="3"/>
  <c r="AA192" i="3"/>
  <c r="Y192" i="3"/>
  <c r="X192" i="3"/>
  <c r="Z192" i="3" s="1"/>
  <c r="W192" i="3"/>
  <c r="AA191" i="3"/>
  <c r="Y191" i="3"/>
  <c r="X191" i="3"/>
  <c r="Z191" i="3" s="1"/>
  <c r="W191" i="3"/>
  <c r="AA190" i="3"/>
  <c r="Y190" i="3"/>
  <c r="X190" i="3"/>
  <c r="Z190" i="3" s="1"/>
  <c r="W190" i="3"/>
  <c r="AA189" i="3"/>
  <c r="Y189" i="3"/>
  <c r="X189" i="3"/>
  <c r="Z189" i="3" s="1"/>
  <c r="W189" i="3"/>
  <c r="AA188" i="3"/>
  <c r="Y188" i="3"/>
  <c r="X188" i="3"/>
  <c r="Z188" i="3" s="1"/>
  <c r="W188" i="3"/>
  <c r="AA187" i="3"/>
  <c r="Y187" i="3"/>
  <c r="X187" i="3"/>
  <c r="Z187" i="3" s="1"/>
  <c r="W187" i="3"/>
  <c r="AA186" i="3"/>
  <c r="Y186" i="3"/>
  <c r="X186" i="3"/>
  <c r="Z186" i="3" s="1"/>
  <c r="W186" i="3"/>
  <c r="AA185" i="3"/>
  <c r="Y185" i="3"/>
  <c r="X185" i="3"/>
  <c r="Z185" i="3" s="1"/>
  <c r="W185" i="3"/>
  <c r="AA184" i="3"/>
  <c r="Y184" i="3"/>
  <c r="X184" i="3"/>
  <c r="Z184" i="3" s="1"/>
  <c r="W184" i="3"/>
  <c r="AA183" i="3"/>
  <c r="Y183" i="3"/>
  <c r="X183" i="3"/>
  <c r="Z183" i="3" s="1"/>
  <c r="W183" i="3"/>
  <c r="AA182" i="3"/>
  <c r="Y182" i="3"/>
  <c r="X182" i="3"/>
  <c r="Z182" i="3" s="1"/>
  <c r="W182" i="3"/>
  <c r="AA181" i="3"/>
  <c r="Y181" i="3"/>
  <c r="X181" i="3"/>
  <c r="Z181" i="3" s="1"/>
  <c r="W181" i="3"/>
  <c r="AA180" i="3"/>
  <c r="Y180" i="3"/>
  <c r="X180" i="3"/>
  <c r="Z180" i="3" s="1"/>
  <c r="W180" i="3"/>
  <c r="AA179" i="3"/>
  <c r="Y179" i="3"/>
  <c r="X179" i="3"/>
  <c r="Z179" i="3" s="1"/>
  <c r="W179" i="3"/>
  <c r="AA178" i="3"/>
  <c r="Y178" i="3"/>
  <c r="X178" i="3"/>
  <c r="Z178" i="3" s="1"/>
  <c r="W178" i="3"/>
  <c r="AA177" i="3"/>
  <c r="Y177" i="3"/>
  <c r="X177" i="3"/>
  <c r="Z177" i="3" s="1"/>
  <c r="W177" i="3"/>
  <c r="AA176" i="3"/>
  <c r="Y176" i="3"/>
  <c r="X176" i="3"/>
  <c r="Z176" i="3" s="1"/>
  <c r="W176" i="3"/>
  <c r="AA175" i="3"/>
  <c r="Y175" i="3"/>
  <c r="X175" i="3"/>
  <c r="Z175" i="3" s="1"/>
  <c r="W175" i="3"/>
  <c r="AA174" i="3"/>
  <c r="Y174" i="3"/>
  <c r="X174" i="3"/>
  <c r="Z174" i="3" s="1"/>
  <c r="W174" i="3"/>
  <c r="AA173" i="3"/>
  <c r="Y173" i="3"/>
  <c r="X173" i="3"/>
  <c r="Z173" i="3" s="1"/>
  <c r="W173" i="3"/>
  <c r="AA172" i="3"/>
  <c r="Y172" i="3"/>
  <c r="X172" i="3"/>
  <c r="Z172" i="3" s="1"/>
  <c r="W172" i="3"/>
  <c r="AA171" i="3"/>
  <c r="Y171" i="3"/>
  <c r="X171" i="3"/>
  <c r="Z171" i="3" s="1"/>
  <c r="W171" i="3"/>
  <c r="AA170" i="3"/>
  <c r="Y170" i="3"/>
  <c r="X170" i="3"/>
  <c r="Z170" i="3" s="1"/>
  <c r="W170" i="3"/>
  <c r="AA169" i="3"/>
  <c r="Y169" i="3"/>
  <c r="X169" i="3"/>
  <c r="Z169" i="3" s="1"/>
  <c r="W169" i="3"/>
  <c r="AA168" i="3"/>
  <c r="Y168" i="3"/>
  <c r="X168" i="3"/>
  <c r="Z168" i="3" s="1"/>
  <c r="W168" i="3"/>
  <c r="AA167" i="3"/>
  <c r="Y167" i="3"/>
  <c r="X167" i="3"/>
  <c r="Z167" i="3" s="1"/>
  <c r="W167" i="3"/>
  <c r="AA166" i="3"/>
  <c r="Y166" i="3"/>
  <c r="X166" i="3"/>
  <c r="Z166" i="3"/>
  <c r="W166" i="3"/>
  <c r="AA165" i="3"/>
  <c r="Y165" i="3"/>
  <c r="X165" i="3"/>
  <c r="Z165" i="3" s="1"/>
  <c r="W165" i="3"/>
  <c r="AA164" i="3"/>
  <c r="Y164" i="3"/>
  <c r="X164" i="3"/>
  <c r="Z164" i="3" s="1"/>
  <c r="W164" i="3"/>
  <c r="AA163" i="3"/>
  <c r="Y163" i="3"/>
  <c r="X163" i="3"/>
  <c r="Z163" i="3" s="1"/>
  <c r="W163" i="3"/>
  <c r="AA162" i="3"/>
  <c r="Y162" i="3"/>
  <c r="X162" i="3"/>
  <c r="Z162" i="3" s="1"/>
  <c r="W162" i="3"/>
  <c r="AA161" i="3"/>
  <c r="Y161" i="3"/>
  <c r="X161" i="3"/>
  <c r="Z161" i="3" s="1"/>
  <c r="W161" i="3"/>
  <c r="AA160" i="3"/>
  <c r="Y160" i="3"/>
  <c r="X160" i="3"/>
  <c r="Z160" i="3" s="1"/>
  <c r="W160" i="3"/>
  <c r="AA159" i="3"/>
  <c r="Y159" i="3"/>
  <c r="X159" i="3"/>
  <c r="Z159" i="3" s="1"/>
  <c r="W159" i="3"/>
  <c r="AA158" i="3"/>
  <c r="Y158" i="3"/>
  <c r="X158" i="3"/>
  <c r="Z158" i="3" s="1"/>
  <c r="W158" i="3"/>
  <c r="AA157" i="3"/>
  <c r="Y157" i="3"/>
  <c r="X157" i="3"/>
  <c r="Z157" i="3" s="1"/>
  <c r="W157" i="3"/>
  <c r="AA156" i="3"/>
  <c r="Y156" i="3"/>
  <c r="X156" i="3"/>
  <c r="Z156" i="3" s="1"/>
  <c r="W156" i="3"/>
  <c r="AA155" i="3"/>
  <c r="Y155" i="3"/>
  <c r="X155" i="3"/>
  <c r="Z155" i="3" s="1"/>
  <c r="W155" i="3"/>
  <c r="AA154" i="3"/>
  <c r="Y154" i="3"/>
  <c r="X154" i="3"/>
  <c r="Z154" i="3" s="1"/>
  <c r="W154" i="3"/>
  <c r="AA153" i="3"/>
  <c r="Y153" i="3"/>
  <c r="X153" i="3"/>
  <c r="Z153" i="3" s="1"/>
  <c r="W153" i="3"/>
  <c r="AA152" i="3"/>
  <c r="Y152" i="3"/>
  <c r="X152" i="3"/>
  <c r="Z152" i="3" s="1"/>
  <c r="W152" i="3"/>
  <c r="AA151" i="3"/>
  <c r="Y151" i="3"/>
  <c r="X151" i="3"/>
  <c r="Z151" i="3" s="1"/>
  <c r="W151" i="3"/>
  <c r="AA150" i="3"/>
  <c r="Y150" i="3"/>
  <c r="X150" i="3"/>
  <c r="Z150" i="3" s="1"/>
  <c r="W150" i="3"/>
  <c r="AA149" i="3"/>
  <c r="Y149" i="3"/>
  <c r="X149" i="3"/>
  <c r="Z149" i="3" s="1"/>
  <c r="W149" i="3"/>
  <c r="AA148" i="3"/>
  <c r="Y148" i="3"/>
  <c r="X148" i="3"/>
  <c r="Z148" i="3" s="1"/>
  <c r="W148" i="3"/>
  <c r="AA147" i="3"/>
  <c r="Y147" i="3"/>
  <c r="X147" i="3"/>
  <c r="Z147" i="3" s="1"/>
  <c r="W147" i="3"/>
  <c r="AA146" i="3"/>
  <c r="Y146" i="3"/>
  <c r="X146" i="3"/>
  <c r="Z146" i="3" s="1"/>
  <c r="W146" i="3"/>
  <c r="AA145" i="3"/>
  <c r="Y145" i="3"/>
  <c r="X145" i="3"/>
  <c r="Z145" i="3" s="1"/>
  <c r="W145" i="3"/>
  <c r="AA144" i="3"/>
  <c r="Y144" i="3"/>
  <c r="X144" i="3"/>
  <c r="Z144" i="3" s="1"/>
  <c r="W144" i="3"/>
  <c r="AA143" i="3"/>
  <c r="Y143" i="3"/>
  <c r="X143" i="3"/>
  <c r="Z143" i="3" s="1"/>
  <c r="W143" i="3"/>
  <c r="AA142" i="3"/>
  <c r="Y142" i="3"/>
  <c r="X142" i="3"/>
  <c r="Z142" i="3"/>
  <c r="W142" i="3"/>
  <c r="AA141" i="3"/>
  <c r="Y141" i="3"/>
  <c r="X141" i="3"/>
  <c r="Z141" i="3" s="1"/>
  <c r="W141" i="3"/>
  <c r="AA140" i="3"/>
  <c r="Y140" i="3"/>
  <c r="X140" i="3"/>
  <c r="Z140" i="3" s="1"/>
  <c r="W140" i="3"/>
  <c r="AA139" i="3"/>
  <c r="Y139" i="3"/>
  <c r="X139" i="3"/>
  <c r="Z139" i="3" s="1"/>
  <c r="W139" i="3"/>
  <c r="AA138" i="3"/>
  <c r="Y138" i="3"/>
  <c r="X138" i="3"/>
  <c r="Z138" i="3" s="1"/>
  <c r="W138" i="3"/>
  <c r="AA137" i="3"/>
  <c r="Y137" i="3"/>
  <c r="X137" i="3"/>
  <c r="Z137" i="3" s="1"/>
  <c r="W137" i="3"/>
  <c r="AA136" i="3"/>
  <c r="Y136" i="3"/>
  <c r="X136" i="3"/>
  <c r="Z136" i="3" s="1"/>
  <c r="W136" i="3"/>
  <c r="AA135" i="3"/>
  <c r="Y135" i="3"/>
  <c r="X135" i="3"/>
  <c r="Z135" i="3" s="1"/>
  <c r="W135" i="3"/>
  <c r="AA134" i="3"/>
  <c r="Y134" i="3"/>
  <c r="X134" i="3"/>
  <c r="Z134" i="3" s="1"/>
  <c r="W134" i="3"/>
  <c r="AA133" i="3"/>
  <c r="Y133" i="3"/>
  <c r="X133" i="3"/>
  <c r="Z133" i="3" s="1"/>
  <c r="W133" i="3"/>
  <c r="AA132" i="3"/>
  <c r="Y132" i="3"/>
  <c r="X132" i="3"/>
  <c r="Z132" i="3" s="1"/>
  <c r="W132" i="3"/>
  <c r="AA131" i="3"/>
  <c r="Y131" i="3"/>
  <c r="X131" i="3"/>
  <c r="Z131" i="3" s="1"/>
  <c r="W131" i="3"/>
  <c r="AA130" i="3"/>
  <c r="Y130" i="3"/>
  <c r="X130" i="3"/>
  <c r="Z130" i="3" s="1"/>
  <c r="W130" i="3"/>
  <c r="AA129" i="3"/>
  <c r="Y129" i="3"/>
  <c r="X129" i="3"/>
  <c r="Z129" i="3" s="1"/>
  <c r="W129" i="3"/>
  <c r="AA128" i="3"/>
  <c r="Y128" i="3"/>
  <c r="X128" i="3"/>
  <c r="Z128" i="3" s="1"/>
  <c r="W128" i="3"/>
  <c r="AA127" i="3"/>
  <c r="Y127" i="3"/>
  <c r="X127" i="3"/>
  <c r="Z127" i="3" s="1"/>
  <c r="W127" i="3"/>
  <c r="AA126" i="3"/>
  <c r="Y126" i="3"/>
  <c r="X126" i="3"/>
  <c r="Z126" i="3" s="1"/>
  <c r="W126" i="3"/>
  <c r="AA125" i="3"/>
  <c r="Y125" i="3"/>
  <c r="X125" i="3"/>
  <c r="Z125" i="3" s="1"/>
  <c r="W125" i="3"/>
  <c r="AA124" i="3"/>
  <c r="Y124" i="3"/>
  <c r="X124" i="3"/>
  <c r="Z124" i="3" s="1"/>
  <c r="W124" i="3"/>
  <c r="AA123" i="3"/>
  <c r="Y123" i="3"/>
  <c r="X123" i="3"/>
  <c r="Z123" i="3" s="1"/>
  <c r="W123" i="3"/>
  <c r="AA122" i="3"/>
  <c r="Y122" i="3"/>
  <c r="X122" i="3"/>
  <c r="Z122" i="3" s="1"/>
  <c r="W122" i="3"/>
  <c r="AA121" i="3"/>
  <c r="Y121" i="3"/>
  <c r="X121" i="3"/>
  <c r="Z121" i="3" s="1"/>
  <c r="W121" i="3"/>
  <c r="AA120" i="3"/>
  <c r="Y120" i="3"/>
  <c r="X120" i="3"/>
  <c r="Z120" i="3" s="1"/>
  <c r="W120" i="3"/>
  <c r="AA119" i="3"/>
  <c r="Y119" i="3"/>
  <c r="X119" i="3"/>
  <c r="Z119" i="3" s="1"/>
  <c r="W119" i="3"/>
  <c r="AA118" i="3"/>
  <c r="Y118" i="3"/>
  <c r="X118" i="3"/>
  <c r="Z118" i="3" s="1"/>
  <c r="W118" i="3"/>
  <c r="AA117" i="3"/>
  <c r="Y117" i="3"/>
  <c r="X117" i="3"/>
  <c r="Z117" i="3" s="1"/>
  <c r="W117" i="3"/>
  <c r="AA116" i="3"/>
  <c r="Y116" i="3"/>
  <c r="X116" i="3"/>
  <c r="Z116" i="3" s="1"/>
  <c r="W116" i="3"/>
  <c r="AA115" i="3"/>
  <c r="Y115" i="3"/>
  <c r="X115" i="3"/>
  <c r="Z115" i="3" s="1"/>
  <c r="W115" i="3"/>
  <c r="AA114" i="3"/>
  <c r="Y114" i="3"/>
  <c r="X114" i="3"/>
  <c r="Z114" i="3" s="1"/>
  <c r="W114" i="3"/>
  <c r="AA113" i="3"/>
  <c r="Y113" i="3"/>
  <c r="X113" i="3"/>
  <c r="Z113" i="3" s="1"/>
  <c r="W113" i="3"/>
  <c r="AA112" i="3"/>
  <c r="Y112" i="3"/>
  <c r="X112" i="3"/>
  <c r="Z112" i="3" s="1"/>
  <c r="W112" i="3"/>
  <c r="AA111" i="3"/>
  <c r="Y111" i="3"/>
  <c r="X111" i="3"/>
  <c r="Z111" i="3" s="1"/>
  <c r="W111" i="3"/>
  <c r="AA110" i="3"/>
  <c r="Y110" i="3"/>
  <c r="X110" i="3"/>
  <c r="Z110" i="3" s="1"/>
  <c r="W110" i="3"/>
  <c r="AA109" i="3"/>
  <c r="Y109" i="3"/>
  <c r="X109" i="3"/>
  <c r="Z109" i="3" s="1"/>
  <c r="W109" i="3"/>
  <c r="AA108" i="3"/>
  <c r="Y108" i="3"/>
  <c r="X108" i="3"/>
  <c r="Z108" i="3"/>
  <c r="W108" i="3"/>
  <c r="AA107" i="3"/>
  <c r="Y107" i="3"/>
  <c r="X107" i="3"/>
  <c r="Z107" i="3" s="1"/>
  <c r="W107" i="3"/>
  <c r="AA106" i="3"/>
  <c r="Y106" i="3"/>
  <c r="X106" i="3"/>
  <c r="Z106" i="3" s="1"/>
  <c r="W106" i="3"/>
  <c r="AA105" i="3"/>
  <c r="Y105" i="3"/>
  <c r="X105" i="3"/>
  <c r="Z105" i="3" s="1"/>
  <c r="W105" i="3"/>
  <c r="AA104" i="3"/>
  <c r="Y104" i="3"/>
  <c r="X104" i="3"/>
  <c r="Z104" i="3" s="1"/>
  <c r="W104" i="3"/>
  <c r="AA103" i="3"/>
  <c r="Y103" i="3"/>
  <c r="X103" i="3"/>
  <c r="Z103" i="3" s="1"/>
  <c r="W103" i="3"/>
  <c r="AA102" i="3"/>
  <c r="Y102" i="3"/>
  <c r="X102" i="3"/>
  <c r="Z102" i="3" s="1"/>
  <c r="W102" i="3"/>
  <c r="AA101" i="3"/>
  <c r="Y101" i="3"/>
  <c r="X101" i="3"/>
  <c r="Z101" i="3" s="1"/>
  <c r="W101" i="3"/>
  <c r="AA100" i="3"/>
  <c r="Y100" i="3"/>
  <c r="X100" i="3"/>
  <c r="Z100" i="3" s="1"/>
  <c r="W100" i="3"/>
  <c r="AA99" i="3"/>
  <c r="Y99" i="3"/>
  <c r="X99" i="3"/>
  <c r="Z99" i="3" s="1"/>
  <c r="W99" i="3"/>
  <c r="AA98" i="3"/>
  <c r="Y98" i="3"/>
  <c r="X98" i="3"/>
  <c r="Z98" i="3" s="1"/>
  <c r="W98" i="3"/>
  <c r="AA97" i="3"/>
  <c r="Y97" i="3"/>
  <c r="X97" i="3"/>
  <c r="Z97" i="3" s="1"/>
  <c r="W97" i="3"/>
  <c r="AA96" i="3"/>
  <c r="Y96" i="3"/>
  <c r="X96" i="3"/>
  <c r="Z96" i="3" s="1"/>
  <c r="W96" i="3"/>
  <c r="AA95" i="3"/>
  <c r="Y95" i="3"/>
  <c r="X95" i="3"/>
  <c r="Z95" i="3" s="1"/>
  <c r="W95" i="3"/>
  <c r="AA94" i="3"/>
  <c r="Y94" i="3"/>
  <c r="X94" i="3"/>
  <c r="Z94" i="3" s="1"/>
  <c r="W94" i="3"/>
  <c r="AA93" i="3"/>
  <c r="Y93" i="3"/>
  <c r="X93" i="3"/>
  <c r="Z93" i="3" s="1"/>
  <c r="W93" i="3"/>
  <c r="AA92" i="3"/>
  <c r="Y92" i="3"/>
  <c r="X92" i="3"/>
  <c r="Z92" i="3"/>
  <c r="W92" i="3"/>
  <c r="AA91" i="3"/>
  <c r="Y91" i="3"/>
  <c r="X91" i="3"/>
  <c r="Z91" i="3" s="1"/>
  <c r="W91" i="3"/>
  <c r="AA90" i="3"/>
  <c r="Y90" i="3"/>
  <c r="X90" i="3"/>
  <c r="Z90" i="3" s="1"/>
  <c r="W90" i="3"/>
  <c r="AA89" i="3"/>
  <c r="Y89" i="3"/>
  <c r="X89" i="3"/>
  <c r="Z89" i="3" s="1"/>
  <c r="W89" i="3"/>
  <c r="AA88" i="3"/>
  <c r="Y88" i="3"/>
  <c r="X88" i="3"/>
  <c r="Z88" i="3" s="1"/>
  <c r="W88" i="3"/>
  <c r="AA87" i="3"/>
  <c r="Y87" i="3"/>
  <c r="X87" i="3"/>
  <c r="Z87" i="3" s="1"/>
  <c r="W87" i="3"/>
  <c r="AA86" i="3"/>
  <c r="Y86" i="3"/>
  <c r="X86" i="3"/>
  <c r="Z86" i="3" s="1"/>
  <c r="W86" i="3"/>
  <c r="AA85" i="3"/>
  <c r="Y85" i="3"/>
  <c r="X85" i="3"/>
  <c r="Z85" i="3" s="1"/>
  <c r="W85" i="3"/>
  <c r="AA84" i="3"/>
  <c r="Y84" i="3"/>
  <c r="X84" i="3"/>
  <c r="Z84" i="3" s="1"/>
  <c r="W84" i="3"/>
  <c r="AA83" i="3"/>
  <c r="Y83" i="3"/>
  <c r="X83" i="3"/>
  <c r="Z83" i="3" s="1"/>
  <c r="W83" i="3"/>
  <c r="AA82" i="3"/>
  <c r="Y82" i="3"/>
  <c r="X82" i="3"/>
  <c r="Z82" i="3" s="1"/>
  <c r="W82" i="3"/>
  <c r="AA81" i="3"/>
  <c r="Y81" i="3"/>
  <c r="X81" i="3"/>
  <c r="Z81" i="3" s="1"/>
  <c r="W81" i="3"/>
  <c r="AA80" i="3"/>
  <c r="Y80" i="3"/>
  <c r="X80" i="3"/>
  <c r="Z80" i="3" s="1"/>
  <c r="W80" i="3"/>
  <c r="AA79" i="3"/>
  <c r="Y79" i="3"/>
  <c r="X79" i="3"/>
  <c r="Z79" i="3" s="1"/>
  <c r="W79" i="3"/>
  <c r="AA78" i="3"/>
  <c r="Y78" i="3"/>
  <c r="X78" i="3"/>
  <c r="Z78" i="3" s="1"/>
  <c r="W78" i="3"/>
  <c r="AA77" i="3"/>
  <c r="Y77" i="3"/>
  <c r="X77" i="3"/>
  <c r="Z77" i="3" s="1"/>
  <c r="W77" i="3"/>
  <c r="AA76" i="3"/>
  <c r="Y76" i="3"/>
  <c r="X76" i="3"/>
  <c r="Z76" i="3" s="1"/>
  <c r="W76" i="3"/>
  <c r="AA75" i="3"/>
  <c r="Y75" i="3"/>
  <c r="X75" i="3"/>
  <c r="Z75" i="3" s="1"/>
  <c r="W75" i="3"/>
  <c r="AA74" i="3"/>
  <c r="Y74" i="3"/>
  <c r="X74" i="3"/>
  <c r="Z74" i="3" s="1"/>
  <c r="W74" i="3"/>
  <c r="AA73" i="3"/>
  <c r="Y73" i="3"/>
  <c r="X73" i="3"/>
  <c r="Z73" i="3" s="1"/>
  <c r="W73" i="3"/>
  <c r="AA72" i="3"/>
  <c r="Y72" i="3"/>
  <c r="X72" i="3"/>
  <c r="Z72" i="3" s="1"/>
  <c r="W72" i="3"/>
  <c r="AA71" i="3"/>
  <c r="Y71" i="3"/>
  <c r="X71" i="3"/>
  <c r="Z71" i="3" s="1"/>
  <c r="W71" i="3"/>
  <c r="AA70" i="3"/>
  <c r="Y70" i="3"/>
  <c r="X70" i="3"/>
  <c r="Z70" i="3" s="1"/>
  <c r="W70" i="3"/>
  <c r="AA69" i="3"/>
  <c r="Y69" i="3"/>
  <c r="X69" i="3"/>
  <c r="Z69" i="3" s="1"/>
  <c r="W69" i="3"/>
  <c r="AA68" i="3"/>
  <c r="Y68" i="3"/>
  <c r="X68" i="3"/>
  <c r="Z68" i="3" s="1"/>
  <c r="W68" i="3"/>
  <c r="AA67" i="3"/>
  <c r="Y67" i="3"/>
  <c r="X67" i="3"/>
  <c r="Z67" i="3" s="1"/>
  <c r="W67" i="3"/>
  <c r="AA66" i="3"/>
  <c r="Y66" i="3"/>
  <c r="X66" i="3"/>
  <c r="Z66" i="3" s="1"/>
  <c r="W66" i="3"/>
  <c r="AA65" i="3"/>
  <c r="Y65" i="3"/>
  <c r="X65" i="3"/>
  <c r="Z65" i="3" s="1"/>
  <c r="W65" i="3"/>
  <c r="AA64" i="3"/>
  <c r="Y64" i="3"/>
  <c r="X64" i="3"/>
  <c r="Z64" i="3" s="1"/>
  <c r="W64" i="3"/>
  <c r="AA63" i="3"/>
  <c r="Y63" i="3"/>
  <c r="X63" i="3"/>
  <c r="Z63" i="3" s="1"/>
  <c r="W63" i="3"/>
  <c r="AA62" i="3"/>
  <c r="Y62" i="3"/>
  <c r="X62" i="3"/>
  <c r="Z62" i="3" s="1"/>
  <c r="W62" i="3"/>
  <c r="AA61" i="3"/>
  <c r="Y61" i="3"/>
  <c r="X61" i="3"/>
  <c r="Z61" i="3" s="1"/>
  <c r="W61" i="3"/>
  <c r="AA60" i="3"/>
  <c r="Y60" i="3"/>
  <c r="X60" i="3"/>
  <c r="Z60" i="3" s="1"/>
  <c r="W60" i="3"/>
  <c r="AA59" i="3"/>
  <c r="Y59" i="3"/>
  <c r="X59" i="3"/>
  <c r="Z59" i="3" s="1"/>
  <c r="W59" i="3"/>
  <c r="AA58" i="3"/>
  <c r="Y58" i="3"/>
  <c r="X58" i="3"/>
  <c r="Z58" i="3" s="1"/>
  <c r="W58" i="3"/>
  <c r="AA57" i="3"/>
  <c r="Y57" i="3"/>
  <c r="X57" i="3"/>
  <c r="Z57" i="3" s="1"/>
  <c r="W57" i="3"/>
  <c r="AA56" i="3"/>
  <c r="Y56" i="3"/>
  <c r="X56" i="3"/>
  <c r="Z56" i="3" s="1"/>
  <c r="W56" i="3"/>
  <c r="AA55" i="3"/>
  <c r="Y55" i="3"/>
  <c r="X55" i="3"/>
  <c r="Z55" i="3" s="1"/>
  <c r="W55" i="3"/>
  <c r="AA54" i="3"/>
  <c r="Y54" i="3"/>
  <c r="X54" i="3"/>
  <c r="Z54" i="3"/>
  <c r="W54" i="3"/>
  <c r="AA53" i="3"/>
  <c r="Y53" i="3"/>
  <c r="X53" i="3"/>
  <c r="Z53" i="3" s="1"/>
  <c r="W53" i="3"/>
  <c r="AA52" i="3"/>
  <c r="Y52" i="3"/>
  <c r="X52" i="3"/>
  <c r="Z52" i="3" s="1"/>
  <c r="W52" i="3"/>
  <c r="AA51" i="3"/>
  <c r="Y51" i="3"/>
  <c r="X51" i="3"/>
  <c r="Z51" i="3" s="1"/>
  <c r="W51" i="3"/>
  <c r="AA50" i="3"/>
  <c r="Y50" i="3"/>
  <c r="X50" i="3"/>
  <c r="Z50" i="3" s="1"/>
  <c r="W50" i="3"/>
  <c r="AA49" i="3"/>
  <c r="Y49" i="3"/>
  <c r="X49" i="3"/>
  <c r="Z49" i="3" s="1"/>
  <c r="W49" i="3"/>
  <c r="AA48" i="3"/>
  <c r="Y48" i="3"/>
  <c r="X48" i="3"/>
  <c r="Z48" i="3" s="1"/>
  <c r="W48" i="3"/>
  <c r="AA47" i="3"/>
  <c r="Y47" i="3"/>
  <c r="X47" i="3"/>
  <c r="Z47" i="3" s="1"/>
  <c r="W47" i="3"/>
  <c r="AA46" i="3"/>
  <c r="Y46" i="3"/>
  <c r="X46" i="3"/>
  <c r="Z46" i="3" s="1"/>
  <c r="W46" i="3"/>
  <c r="AA45" i="3"/>
  <c r="Y45" i="3"/>
  <c r="X45" i="3"/>
  <c r="Z45" i="3" s="1"/>
  <c r="W45" i="3"/>
  <c r="AA44" i="3"/>
  <c r="Y44" i="3"/>
  <c r="X44" i="3"/>
  <c r="Z44" i="3" s="1"/>
  <c r="W44" i="3"/>
  <c r="AA43" i="3"/>
  <c r="Y43" i="3"/>
  <c r="X43" i="3"/>
  <c r="Z43" i="3" s="1"/>
  <c r="W43" i="3"/>
  <c r="AA42" i="3"/>
  <c r="Y42" i="3"/>
  <c r="X42" i="3"/>
  <c r="Z42" i="3" s="1"/>
  <c r="W42" i="3"/>
  <c r="AA41" i="3"/>
  <c r="Y41" i="3"/>
  <c r="X41" i="3"/>
  <c r="Z41" i="3" s="1"/>
  <c r="W41" i="3"/>
  <c r="AA40" i="3"/>
  <c r="Y40" i="3"/>
  <c r="X40" i="3"/>
  <c r="Z40" i="3" s="1"/>
  <c r="W40" i="3"/>
  <c r="AA39" i="3"/>
  <c r="Y39" i="3"/>
  <c r="X39" i="3"/>
  <c r="Z39" i="3" s="1"/>
  <c r="W39" i="3"/>
  <c r="AA38" i="3"/>
  <c r="Y38" i="3"/>
  <c r="X38" i="3"/>
  <c r="Z38" i="3" s="1"/>
  <c r="W38" i="3"/>
  <c r="AA37" i="3"/>
  <c r="Y37" i="3"/>
  <c r="X37" i="3"/>
  <c r="Z37" i="3" s="1"/>
  <c r="W37" i="3"/>
  <c r="AA36" i="3"/>
  <c r="Y36" i="3"/>
  <c r="X36" i="3"/>
  <c r="Z36" i="3" s="1"/>
  <c r="W36" i="3"/>
  <c r="AA35" i="3"/>
  <c r="Y35" i="3"/>
  <c r="X35" i="3"/>
  <c r="Z35" i="3" s="1"/>
  <c r="W35" i="3"/>
  <c r="AA34" i="3"/>
  <c r="Y34" i="3"/>
  <c r="X34" i="3"/>
  <c r="Z34" i="3" s="1"/>
  <c r="W34" i="3"/>
  <c r="AA33" i="3"/>
  <c r="Y33" i="3"/>
  <c r="X33" i="3"/>
  <c r="Z33" i="3" s="1"/>
  <c r="W33" i="3"/>
  <c r="AA32" i="3"/>
  <c r="Y32" i="3"/>
  <c r="X32" i="3"/>
  <c r="Z32" i="3" s="1"/>
  <c r="W32" i="3"/>
  <c r="AA31" i="3"/>
  <c r="Y31" i="3"/>
  <c r="X31" i="3"/>
  <c r="Z31" i="3" s="1"/>
  <c r="W31" i="3"/>
  <c r="AA30" i="3"/>
  <c r="Y30" i="3"/>
  <c r="X30" i="3"/>
  <c r="Z30" i="3" s="1"/>
  <c r="W30" i="3"/>
  <c r="AA29" i="3"/>
  <c r="Y29" i="3"/>
  <c r="X29" i="3"/>
  <c r="Z29" i="3" s="1"/>
  <c r="W29" i="3"/>
  <c r="AA28" i="3"/>
  <c r="Y28" i="3"/>
  <c r="X28" i="3"/>
  <c r="Z28" i="3" s="1"/>
  <c r="W28" i="3"/>
  <c r="AA27" i="3"/>
  <c r="Y27" i="3"/>
  <c r="X27" i="3"/>
  <c r="Z27" i="3" s="1"/>
  <c r="W27" i="3"/>
  <c r="AA26" i="3"/>
  <c r="Y26" i="3"/>
  <c r="X26" i="3"/>
  <c r="Z26" i="3" s="1"/>
  <c r="W26" i="3"/>
  <c r="AA25" i="3"/>
  <c r="Y25" i="3"/>
  <c r="X25" i="3"/>
  <c r="Z25" i="3" s="1"/>
  <c r="W25" i="3"/>
  <c r="AA24" i="3"/>
  <c r="Y24" i="3"/>
  <c r="X24" i="3"/>
  <c r="Z24" i="3" s="1"/>
  <c r="W24" i="3"/>
  <c r="AA23" i="3"/>
  <c r="Y23" i="3"/>
  <c r="X23" i="3"/>
  <c r="Z23" i="3" s="1"/>
  <c r="W23" i="3"/>
  <c r="AA22" i="3"/>
  <c r="Y22" i="3"/>
  <c r="X22" i="3"/>
  <c r="Z22" i="3"/>
  <c r="W22" i="3"/>
  <c r="AA21" i="3"/>
  <c r="Y21" i="3"/>
  <c r="X21" i="3"/>
  <c r="Z21" i="3" s="1"/>
  <c r="W21" i="3"/>
  <c r="AA20" i="3"/>
  <c r="Y20" i="3"/>
  <c r="X20" i="3"/>
  <c r="Z20" i="3" s="1"/>
  <c r="W20" i="3"/>
  <c r="AA19" i="3"/>
  <c r="Y19" i="3"/>
  <c r="X19" i="3"/>
  <c r="Z19" i="3" s="1"/>
  <c r="W19" i="3"/>
  <c r="AA18" i="3"/>
  <c r="Y18" i="3"/>
  <c r="X18" i="3"/>
  <c r="Z18" i="3" s="1"/>
  <c r="W18" i="3"/>
  <c r="AA17" i="3"/>
  <c r="Y17" i="3"/>
  <c r="X17" i="3"/>
  <c r="Z17" i="3" s="1"/>
  <c r="W17" i="3"/>
  <c r="AA16" i="3"/>
  <c r="Y16" i="3"/>
  <c r="X16" i="3"/>
  <c r="Z16" i="3" s="1"/>
  <c r="W16" i="3"/>
  <c r="AA15" i="3"/>
  <c r="Y15" i="3"/>
  <c r="X15" i="3"/>
  <c r="Z15" i="3" s="1"/>
  <c r="W15" i="3"/>
  <c r="AA14" i="3"/>
  <c r="Y14" i="3"/>
  <c r="X14" i="3"/>
  <c r="Z14" i="3" s="1"/>
  <c r="W14" i="3"/>
  <c r="AA13" i="3"/>
  <c r="Y13" i="3"/>
  <c r="X13" i="3"/>
  <c r="Z13" i="3" s="1"/>
  <c r="W13" i="3"/>
  <c r="AA12" i="3"/>
  <c r="Y12" i="3"/>
  <c r="X12" i="3"/>
  <c r="Z12" i="3" s="1"/>
  <c r="W12" i="3"/>
  <c r="AA11" i="3"/>
  <c r="Y11" i="3"/>
  <c r="X11" i="3"/>
  <c r="Z11" i="3" s="1"/>
  <c r="W11" i="3"/>
  <c r="AA10" i="3"/>
  <c r="Y10" i="3"/>
  <c r="X10" i="3"/>
  <c r="Z10" i="3" s="1"/>
  <c r="W10" i="3"/>
  <c r="AA9" i="3"/>
  <c r="Y9" i="3"/>
  <c r="X9" i="3"/>
  <c r="Z9" i="3" s="1"/>
  <c r="W9" i="3"/>
  <c r="O1084" i="3"/>
  <c r="M1084" i="3"/>
  <c r="L1084" i="3"/>
  <c r="N1084" i="3" s="1"/>
  <c r="K1084" i="3"/>
  <c r="O1083" i="3"/>
  <c r="M1083" i="3"/>
  <c r="L1083" i="3"/>
  <c r="N1083" i="3" s="1"/>
  <c r="K1083" i="3"/>
  <c r="O1082" i="3"/>
  <c r="M1082" i="3"/>
  <c r="L1082" i="3"/>
  <c r="N1082" i="3" s="1"/>
  <c r="K1082" i="3"/>
  <c r="O1081" i="3"/>
  <c r="M1081" i="3"/>
  <c r="L1081" i="3"/>
  <c r="N1081" i="3" s="1"/>
  <c r="K1081" i="3"/>
  <c r="O1080" i="3"/>
  <c r="M1080" i="3"/>
  <c r="L1080" i="3"/>
  <c r="N1080" i="3" s="1"/>
  <c r="K1080" i="3"/>
  <c r="O1079" i="3"/>
  <c r="M1079" i="3"/>
  <c r="L1079" i="3"/>
  <c r="N1079" i="3" s="1"/>
  <c r="K1079" i="3"/>
  <c r="O1078" i="3"/>
  <c r="M1078" i="3"/>
  <c r="L1078" i="3"/>
  <c r="N1078" i="3" s="1"/>
  <c r="K1078" i="3"/>
  <c r="O1077" i="3"/>
  <c r="M1077" i="3"/>
  <c r="L1077" i="3"/>
  <c r="N1077" i="3" s="1"/>
  <c r="K1077" i="3"/>
  <c r="O1076" i="3"/>
  <c r="M1076" i="3"/>
  <c r="L1076" i="3"/>
  <c r="N1076" i="3" s="1"/>
  <c r="K1076" i="3"/>
  <c r="O1075" i="3"/>
  <c r="M1075" i="3"/>
  <c r="L1075" i="3"/>
  <c r="N1075" i="3" s="1"/>
  <c r="K1075" i="3"/>
  <c r="O1074" i="3"/>
  <c r="M1074" i="3"/>
  <c r="L1074" i="3"/>
  <c r="N1074" i="3"/>
  <c r="K1074" i="3"/>
  <c r="O1073" i="3"/>
  <c r="M1073" i="3"/>
  <c r="L1073" i="3"/>
  <c r="N1073" i="3" s="1"/>
  <c r="K1073" i="3"/>
  <c r="O1072" i="3"/>
  <c r="M1072" i="3"/>
  <c r="L1072" i="3"/>
  <c r="N1072" i="3" s="1"/>
  <c r="K1072" i="3"/>
  <c r="O1071" i="3"/>
  <c r="M1071" i="3"/>
  <c r="L1071" i="3"/>
  <c r="N1071" i="3" s="1"/>
  <c r="K1071" i="3"/>
  <c r="O1070" i="3"/>
  <c r="M1070" i="3"/>
  <c r="L1070" i="3"/>
  <c r="N1070" i="3" s="1"/>
  <c r="K1070" i="3"/>
  <c r="O1069" i="3"/>
  <c r="M1069" i="3"/>
  <c r="L1069" i="3"/>
  <c r="N1069" i="3" s="1"/>
  <c r="K1069" i="3"/>
  <c r="O1068" i="3"/>
  <c r="M1068" i="3"/>
  <c r="L1068" i="3"/>
  <c r="N1068" i="3" s="1"/>
  <c r="K1068" i="3"/>
  <c r="O1067" i="3"/>
  <c r="M1067" i="3"/>
  <c r="L1067" i="3"/>
  <c r="N1067" i="3" s="1"/>
  <c r="K1067" i="3"/>
  <c r="O1066" i="3"/>
  <c r="M1066" i="3"/>
  <c r="L1066" i="3"/>
  <c r="N1066" i="3" s="1"/>
  <c r="K1066" i="3"/>
  <c r="O1065" i="3"/>
  <c r="M1065" i="3"/>
  <c r="L1065" i="3"/>
  <c r="N1065" i="3" s="1"/>
  <c r="K1065" i="3"/>
  <c r="O1064" i="3"/>
  <c r="M1064" i="3"/>
  <c r="L1064" i="3"/>
  <c r="N1064" i="3" s="1"/>
  <c r="K1064" i="3"/>
  <c r="O1063" i="3"/>
  <c r="M1063" i="3"/>
  <c r="L1063" i="3"/>
  <c r="N1063" i="3" s="1"/>
  <c r="K1063" i="3"/>
  <c r="O1062" i="3"/>
  <c r="M1062" i="3"/>
  <c r="L1062" i="3"/>
  <c r="N1062" i="3" s="1"/>
  <c r="K1062" i="3"/>
  <c r="O1061" i="3"/>
  <c r="M1061" i="3"/>
  <c r="L1061" i="3"/>
  <c r="N1061" i="3" s="1"/>
  <c r="K1061" i="3"/>
  <c r="O1060" i="3"/>
  <c r="M1060" i="3"/>
  <c r="L1060" i="3"/>
  <c r="N1060" i="3" s="1"/>
  <c r="K1060" i="3"/>
  <c r="O1059" i="3"/>
  <c r="M1059" i="3"/>
  <c r="L1059" i="3"/>
  <c r="N1059" i="3" s="1"/>
  <c r="K1059" i="3"/>
  <c r="O1058" i="3"/>
  <c r="M1058" i="3"/>
  <c r="L1058" i="3"/>
  <c r="N1058" i="3" s="1"/>
  <c r="K1058" i="3"/>
  <c r="O1057" i="3"/>
  <c r="M1057" i="3"/>
  <c r="L1057" i="3"/>
  <c r="N1057" i="3" s="1"/>
  <c r="K1057" i="3"/>
  <c r="O1056" i="3"/>
  <c r="M1056" i="3"/>
  <c r="L1056" i="3"/>
  <c r="N1056" i="3"/>
  <c r="K1056" i="3"/>
  <c r="O1055" i="3"/>
  <c r="M1055" i="3"/>
  <c r="L1055" i="3"/>
  <c r="N1055" i="3" s="1"/>
  <c r="K1055" i="3"/>
  <c r="O1054" i="3"/>
  <c r="M1054" i="3"/>
  <c r="L1054" i="3"/>
  <c r="N1054" i="3" s="1"/>
  <c r="K1054" i="3"/>
  <c r="O1053" i="3"/>
  <c r="M1053" i="3"/>
  <c r="L1053" i="3"/>
  <c r="N1053" i="3" s="1"/>
  <c r="K1053" i="3"/>
  <c r="O1052" i="3"/>
  <c r="M1052" i="3"/>
  <c r="L1052" i="3"/>
  <c r="N1052" i="3" s="1"/>
  <c r="K1052" i="3"/>
  <c r="O1051" i="3"/>
  <c r="M1051" i="3"/>
  <c r="L1051" i="3"/>
  <c r="N1051" i="3" s="1"/>
  <c r="K1051" i="3"/>
  <c r="O1050" i="3"/>
  <c r="M1050" i="3"/>
  <c r="L1050" i="3"/>
  <c r="N1050" i="3" s="1"/>
  <c r="K1050" i="3"/>
  <c r="O1049" i="3"/>
  <c r="M1049" i="3"/>
  <c r="L1049" i="3"/>
  <c r="N1049" i="3" s="1"/>
  <c r="K1049" i="3"/>
  <c r="O1048" i="3"/>
  <c r="M1048" i="3"/>
  <c r="L1048" i="3"/>
  <c r="N1048" i="3" s="1"/>
  <c r="K1048" i="3"/>
  <c r="O1047" i="3"/>
  <c r="M1047" i="3"/>
  <c r="L1047" i="3"/>
  <c r="N1047" i="3" s="1"/>
  <c r="K1047" i="3"/>
  <c r="O1046" i="3"/>
  <c r="M1046" i="3"/>
  <c r="L1046" i="3"/>
  <c r="N1046" i="3" s="1"/>
  <c r="K1046" i="3"/>
  <c r="O1045" i="3"/>
  <c r="M1045" i="3"/>
  <c r="L1045" i="3"/>
  <c r="N1045" i="3" s="1"/>
  <c r="K1045" i="3"/>
  <c r="O1044" i="3"/>
  <c r="M1044" i="3"/>
  <c r="L1044" i="3"/>
  <c r="N1044" i="3" s="1"/>
  <c r="K1044" i="3"/>
  <c r="O1043" i="3"/>
  <c r="M1043" i="3"/>
  <c r="L1043" i="3"/>
  <c r="N1043" i="3" s="1"/>
  <c r="K1043" i="3"/>
  <c r="O1042" i="3"/>
  <c r="M1042" i="3"/>
  <c r="L1042" i="3"/>
  <c r="N1042" i="3" s="1"/>
  <c r="K1042" i="3"/>
  <c r="O1041" i="3"/>
  <c r="M1041" i="3"/>
  <c r="L1041" i="3"/>
  <c r="N1041" i="3" s="1"/>
  <c r="K1041" i="3"/>
  <c r="O1040" i="3"/>
  <c r="M1040" i="3"/>
  <c r="L1040" i="3"/>
  <c r="N1040" i="3" s="1"/>
  <c r="K1040" i="3"/>
  <c r="O1039" i="3"/>
  <c r="M1039" i="3"/>
  <c r="L1039" i="3"/>
  <c r="N1039" i="3" s="1"/>
  <c r="K1039" i="3"/>
  <c r="O1038" i="3"/>
  <c r="M1038" i="3"/>
  <c r="L1038" i="3"/>
  <c r="N1038" i="3" s="1"/>
  <c r="K1038" i="3"/>
  <c r="O1037" i="3"/>
  <c r="M1037" i="3"/>
  <c r="L1037" i="3"/>
  <c r="N1037" i="3" s="1"/>
  <c r="K1037" i="3"/>
  <c r="O1036" i="3"/>
  <c r="M1036" i="3"/>
  <c r="L1036" i="3"/>
  <c r="N1036" i="3" s="1"/>
  <c r="K1036" i="3"/>
  <c r="O1035" i="3"/>
  <c r="M1035" i="3"/>
  <c r="L1035" i="3"/>
  <c r="N1035" i="3" s="1"/>
  <c r="K1035" i="3"/>
  <c r="O1034" i="3"/>
  <c r="M1034" i="3"/>
  <c r="L1034" i="3"/>
  <c r="N1034" i="3" s="1"/>
  <c r="K1034" i="3"/>
  <c r="O1033" i="3"/>
  <c r="M1033" i="3"/>
  <c r="L1033" i="3"/>
  <c r="N1033" i="3" s="1"/>
  <c r="K1033" i="3"/>
  <c r="O1032" i="3"/>
  <c r="M1032" i="3"/>
  <c r="L1032" i="3"/>
  <c r="N1032" i="3" s="1"/>
  <c r="K1032" i="3"/>
  <c r="O1031" i="3"/>
  <c r="M1031" i="3"/>
  <c r="L1031" i="3"/>
  <c r="N1031" i="3" s="1"/>
  <c r="K1031" i="3"/>
  <c r="O1030" i="3"/>
  <c r="M1030" i="3"/>
  <c r="L1030" i="3"/>
  <c r="N1030" i="3" s="1"/>
  <c r="K1030" i="3"/>
  <c r="O1029" i="3"/>
  <c r="M1029" i="3"/>
  <c r="L1029" i="3"/>
  <c r="N1029" i="3" s="1"/>
  <c r="K1029" i="3"/>
  <c r="O1028" i="3"/>
  <c r="M1028" i="3"/>
  <c r="L1028" i="3"/>
  <c r="N1028" i="3" s="1"/>
  <c r="K1028" i="3"/>
  <c r="O1027" i="3"/>
  <c r="M1027" i="3"/>
  <c r="L1027" i="3"/>
  <c r="N1027" i="3" s="1"/>
  <c r="K1027" i="3"/>
  <c r="O1026" i="3"/>
  <c r="M1026" i="3"/>
  <c r="L1026" i="3"/>
  <c r="N1026" i="3" s="1"/>
  <c r="K1026" i="3"/>
  <c r="O1025" i="3"/>
  <c r="M1025" i="3"/>
  <c r="L1025" i="3"/>
  <c r="N1025" i="3" s="1"/>
  <c r="K1025" i="3"/>
  <c r="O1024" i="3"/>
  <c r="M1024" i="3"/>
  <c r="L1024" i="3"/>
  <c r="N1024" i="3" s="1"/>
  <c r="K1024" i="3"/>
  <c r="O1023" i="3"/>
  <c r="M1023" i="3"/>
  <c r="L1023" i="3"/>
  <c r="N1023" i="3" s="1"/>
  <c r="K1023" i="3"/>
  <c r="O1022" i="3"/>
  <c r="M1022" i="3"/>
  <c r="L1022" i="3"/>
  <c r="N1022" i="3" s="1"/>
  <c r="K1022" i="3"/>
  <c r="O1021" i="3"/>
  <c r="M1021" i="3"/>
  <c r="L1021" i="3"/>
  <c r="N1021" i="3" s="1"/>
  <c r="K1021" i="3"/>
  <c r="O1020" i="3"/>
  <c r="M1020" i="3"/>
  <c r="L1020" i="3"/>
  <c r="N1020" i="3" s="1"/>
  <c r="K1020" i="3"/>
  <c r="O1019" i="3"/>
  <c r="M1019" i="3"/>
  <c r="L1019" i="3"/>
  <c r="N1019" i="3" s="1"/>
  <c r="K1019" i="3"/>
  <c r="O1018" i="3"/>
  <c r="M1018" i="3"/>
  <c r="L1018" i="3"/>
  <c r="N1018" i="3" s="1"/>
  <c r="K1018" i="3"/>
  <c r="O1017" i="3"/>
  <c r="M1017" i="3"/>
  <c r="L1017" i="3"/>
  <c r="N1017" i="3" s="1"/>
  <c r="K1017" i="3"/>
  <c r="O1016" i="3"/>
  <c r="M1016" i="3"/>
  <c r="L1016" i="3"/>
  <c r="N1016" i="3" s="1"/>
  <c r="K1016" i="3"/>
  <c r="O1015" i="3"/>
  <c r="M1015" i="3"/>
  <c r="L1015" i="3"/>
  <c r="N1015" i="3" s="1"/>
  <c r="K1015" i="3"/>
  <c r="O1014" i="3"/>
  <c r="M1014" i="3"/>
  <c r="L1014" i="3"/>
  <c r="N1014" i="3"/>
  <c r="K1014" i="3"/>
  <c r="O1013" i="3"/>
  <c r="M1013" i="3"/>
  <c r="L1013" i="3"/>
  <c r="N1013" i="3" s="1"/>
  <c r="K1013" i="3"/>
  <c r="O1012" i="3"/>
  <c r="M1012" i="3"/>
  <c r="L1012" i="3"/>
  <c r="N1012" i="3" s="1"/>
  <c r="K1012" i="3"/>
  <c r="O1011" i="3"/>
  <c r="M1011" i="3"/>
  <c r="L1011" i="3"/>
  <c r="N1011" i="3" s="1"/>
  <c r="K1011" i="3"/>
  <c r="O1010" i="3"/>
  <c r="M1010" i="3"/>
  <c r="L1010" i="3"/>
  <c r="N1010" i="3" s="1"/>
  <c r="K1010" i="3"/>
  <c r="O1009" i="3"/>
  <c r="M1009" i="3"/>
  <c r="L1009" i="3"/>
  <c r="N1009" i="3" s="1"/>
  <c r="K1009" i="3"/>
  <c r="O1008" i="3"/>
  <c r="M1008" i="3"/>
  <c r="L1008" i="3"/>
  <c r="N1008" i="3" s="1"/>
  <c r="K1008" i="3"/>
  <c r="O1007" i="3"/>
  <c r="M1007" i="3"/>
  <c r="L1007" i="3"/>
  <c r="N1007" i="3" s="1"/>
  <c r="K1007" i="3"/>
  <c r="O1006" i="3"/>
  <c r="M1006" i="3"/>
  <c r="L1006" i="3"/>
  <c r="N1006" i="3" s="1"/>
  <c r="K1006" i="3"/>
  <c r="O1005" i="3"/>
  <c r="M1005" i="3"/>
  <c r="L1005" i="3"/>
  <c r="N1005" i="3" s="1"/>
  <c r="K1005" i="3"/>
  <c r="O1004" i="3"/>
  <c r="M1004" i="3"/>
  <c r="L1004" i="3"/>
  <c r="N1004" i="3" s="1"/>
  <c r="K1004" i="3"/>
  <c r="O1003" i="3"/>
  <c r="M1003" i="3"/>
  <c r="L1003" i="3"/>
  <c r="N1003" i="3" s="1"/>
  <c r="K1003" i="3"/>
  <c r="O1002" i="3"/>
  <c r="M1002" i="3"/>
  <c r="L1002" i="3"/>
  <c r="N1002" i="3" s="1"/>
  <c r="K1002" i="3"/>
  <c r="O1001" i="3"/>
  <c r="M1001" i="3"/>
  <c r="L1001" i="3"/>
  <c r="N1001" i="3" s="1"/>
  <c r="K1001" i="3"/>
  <c r="O1000" i="3"/>
  <c r="M1000" i="3"/>
  <c r="L1000" i="3"/>
  <c r="N1000" i="3" s="1"/>
  <c r="K1000" i="3"/>
  <c r="O999" i="3"/>
  <c r="M999" i="3"/>
  <c r="L999" i="3"/>
  <c r="N999" i="3" s="1"/>
  <c r="K999" i="3"/>
  <c r="O998" i="3"/>
  <c r="M998" i="3"/>
  <c r="L998" i="3"/>
  <c r="N998" i="3" s="1"/>
  <c r="K998" i="3"/>
  <c r="O997" i="3"/>
  <c r="M997" i="3"/>
  <c r="L997" i="3"/>
  <c r="N997" i="3" s="1"/>
  <c r="K997" i="3"/>
  <c r="O996" i="3"/>
  <c r="M996" i="3"/>
  <c r="L996" i="3"/>
  <c r="N996" i="3" s="1"/>
  <c r="K996" i="3"/>
  <c r="O995" i="3"/>
  <c r="M995" i="3"/>
  <c r="L995" i="3"/>
  <c r="N995" i="3" s="1"/>
  <c r="K995" i="3"/>
  <c r="O994" i="3"/>
  <c r="M994" i="3"/>
  <c r="L994" i="3"/>
  <c r="N994" i="3" s="1"/>
  <c r="K994" i="3"/>
  <c r="O993" i="3"/>
  <c r="M993" i="3"/>
  <c r="L993" i="3"/>
  <c r="N993" i="3" s="1"/>
  <c r="K993" i="3"/>
  <c r="O992" i="3"/>
  <c r="M992" i="3"/>
  <c r="L992" i="3"/>
  <c r="N992" i="3" s="1"/>
  <c r="K992" i="3"/>
  <c r="O991" i="3"/>
  <c r="M991" i="3"/>
  <c r="L991" i="3"/>
  <c r="N991" i="3" s="1"/>
  <c r="K991" i="3"/>
  <c r="O990" i="3"/>
  <c r="M990" i="3"/>
  <c r="L990" i="3"/>
  <c r="N990" i="3" s="1"/>
  <c r="K990" i="3"/>
  <c r="O989" i="3"/>
  <c r="M989" i="3"/>
  <c r="L989" i="3"/>
  <c r="N989" i="3" s="1"/>
  <c r="K989" i="3"/>
  <c r="O988" i="3"/>
  <c r="M988" i="3"/>
  <c r="L988" i="3"/>
  <c r="N988" i="3" s="1"/>
  <c r="K988" i="3"/>
  <c r="O987" i="3"/>
  <c r="M987" i="3"/>
  <c r="L987" i="3"/>
  <c r="N987" i="3" s="1"/>
  <c r="K987" i="3"/>
  <c r="O986" i="3"/>
  <c r="M986" i="3"/>
  <c r="L986" i="3"/>
  <c r="N986" i="3" s="1"/>
  <c r="K986" i="3"/>
  <c r="O985" i="3"/>
  <c r="M985" i="3"/>
  <c r="L985" i="3"/>
  <c r="N985" i="3" s="1"/>
  <c r="K985" i="3"/>
  <c r="O984" i="3"/>
  <c r="M984" i="3"/>
  <c r="L984" i="3"/>
  <c r="N984" i="3" s="1"/>
  <c r="K984" i="3"/>
  <c r="O983" i="3"/>
  <c r="M983" i="3"/>
  <c r="L983" i="3"/>
  <c r="N983" i="3" s="1"/>
  <c r="K983" i="3"/>
  <c r="O982" i="3"/>
  <c r="M982" i="3"/>
  <c r="L982" i="3"/>
  <c r="N982" i="3"/>
  <c r="K982" i="3"/>
  <c r="O981" i="3"/>
  <c r="M981" i="3"/>
  <c r="L981" i="3"/>
  <c r="N981" i="3" s="1"/>
  <c r="K981" i="3"/>
  <c r="O980" i="3"/>
  <c r="M980" i="3"/>
  <c r="L980" i="3"/>
  <c r="N980" i="3" s="1"/>
  <c r="K980" i="3"/>
  <c r="O979" i="3"/>
  <c r="M979" i="3"/>
  <c r="L979" i="3"/>
  <c r="N979" i="3" s="1"/>
  <c r="K979" i="3"/>
  <c r="O978" i="3"/>
  <c r="M978" i="3"/>
  <c r="L978" i="3"/>
  <c r="N978" i="3" s="1"/>
  <c r="K978" i="3"/>
  <c r="O977" i="3"/>
  <c r="M977" i="3"/>
  <c r="L977" i="3"/>
  <c r="N977" i="3" s="1"/>
  <c r="K977" i="3"/>
  <c r="O976" i="3"/>
  <c r="M976" i="3"/>
  <c r="L976" i="3"/>
  <c r="N976" i="3" s="1"/>
  <c r="K976" i="3"/>
  <c r="O975" i="3"/>
  <c r="M975" i="3"/>
  <c r="L975" i="3"/>
  <c r="N975" i="3" s="1"/>
  <c r="K975" i="3"/>
  <c r="O974" i="3"/>
  <c r="M974" i="3"/>
  <c r="L974" i="3"/>
  <c r="N974" i="3" s="1"/>
  <c r="K974" i="3"/>
  <c r="O973" i="3"/>
  <c r="M973" i="3"/>
  <c r="L973" i="3"/>
  <c r="N973" i="3" s="1"/>
  <c r="K973" i="3"/>
  <c r="O972" i="3"/>
  <c r="M972" i="3"/>
  <c r="L972" i="3"/>
  <c r="N972" i="3" s="1"/>
  <c r="K972" i="3"/>
  <c r="O971" i="3"/>
  <c r="M971" i="3"/>
  <c r="L971" i="3"/>
  <c r="N971" i="3" s="1"/>
  <c r="K971" i="3"/>
  <c r="O970" i="3"/>
  <c r="M970" i="3"/>
  <c r="L970" i="3"/>
  <c r="N970" i="3" s="1"/>
  <c r="K970" i="3"/>
  <c r="O969" i="3"/>
  <c r="M969" i="3"/>
  <c r="L969" i="3"/>
  <c r="N969" i="3" s="1"/>
  <c r="K969" i="3"/>
  <c r="O968" i="3"/>
  <c r="M968" i="3"/>
  <c r="L968" i="3"/>
  <c r="N968" i="3" s="1"/>
  <c r="K968" i="3"/>
  <c r="O967" i="3"/>
  <c r="M967" i="3"/>
  <c r="L967" i="3"/>
  <c r="N967" i="3" s="1"/>
  <c r="K967" i="3"/>
  <c r="O966" i="3"/>
  <c r="M966" i="3"/>
  <c r="L966" i="3"/>
  <c r="N966" i="3" s="1"/>
  <c r="K966" i="3"/>
  <c r="O965" i="3"/>
  <c r="M965" i="3"/>
  <c r="L965" i="3"/>
  <c r="N965" i="3" s="1"/>
  <c r="K965" i="3"/>
  <c r="O964" i="3"/>
  <c r="M964" i="3"/>
  <c r="L964" i="3"/>
  <c r="N964" i="3" s="1"/>
  <c r="K964" i="3"/>
  <c r="O963" i="3"/>
  <c r="M963" i="3"/>
  <c r="L963" i="3"/>
  <c r="N963" i="3" s="1"/>
  <c r="K963" i="3"/>
  <c r="O962" i="3"/>
  <c r="M962" i="3"/>
  <c r="L962" i="3"/>
  <c r="N962" i="3" s="1"/>
  <c r="K962" i="3"/>
  <c r="O961" i="3"/>
  <c r="M961" i="3"/>
  <c r="L961" i="3"/>
  <c r="N961" i="3" s="1"/>
  <c r="K961" i="3"/>
  <c r="O960" i="3"/>
  <c r="M960" i="3"/>
  <c r="L960" i="3"/>
  <c r="N960" i="3"/>
  <c r="K960" i="3"/>
  <c r="O959" i="3"/>
  <c r="M959" i="3"/>
  <c r="L959" i="3"/>
  <c r="N959" i="3" s="1"/>
  <c r="K959" i="3"/>
  <c r="O958" i="3"/>
  <c r="M958" i="3"/>
  <c r="L958" i="3"/>
  <c r="N958" i="3" s="1"/>
  <c r="K958" i="3"/>
  <c r="O957" i="3"/>
  <c r="M957" i="3"/>
  <c r="L957" i="3"/>
  <c r="N957" i="3" s="1"/>
  <c r="K957" i="3"/>
  <c r="O956" i="3"/>
  <c r="M956" i="3"/>
  <c r="L956" i="3"/>
  <c r="N956" i="3" s="1"/>
  <c r="K956" i="3"/>
  <c r="O955" i="3"/>
  <c r="M955" i="3"/>
  <c r="L955" i="3"/>
  <c r="N955" i="3" s="1"/>
  <c r="K955" i="3"/>
  <c r="O954" i="3"/>
  <c r="M954" i="3"/>
  <c r="L954" i="3"/>
  <c r="N954" i="3" s="1"/>
  <c r="K954" i="3"/>
  <c r="O953" i="3"/>
  <c r="M953" i="3"/>
  <c r="L953" i="3"/>
  <c r="N953" i="3" s="1"/>
  <c r="K953" i="3"/>
  <c r="O952" i="3"/>
  <c r="M952" i="3"/>
  <c r="L952" i="3"/>
  <c r="N952" i="3" s="1"/>
  <c r="K952" i="3"/>
  <c r="O951" i="3"/>
  <c r="M951" i="3"/>
  <c r="L951" i="3"/>
  <c r="N951" i="3" s="1"/>
  <c r="K951" i="3"/>
  <c r="O950" i="3"/>
  <c r="M950" i="3"/>
  <c r="L950" i="3"/>
  <c r="N950" i="3" s="1"/>
  <c r="K950" i="3"/>
  <c r="O949" i="3"/>
  <c r="M949" i="3"/>
  <c r="L949" i="3"/>
  <c r="N949" i="3" s="1"/>
  <c r="K949" i="3"/>
  <c r="O948" i="3"/>
  <c r="M948" i="3"/>
  <c r="L948" i="3"/>
  <c r="N948" i="3" s="1"/>
  <c r="K948" i="3"/>
  <c r="O947" i="3"/>
  <c r="M947" i="3"/>
  <c r="L947" i="3"/>
  <c r="N947" i="3" s="1"/>
  <c r="K947" i="3"/>
  <c r="O946" i="3"/>
  <c r="M946" i="3"/>
  <c r="L946" i="3"/>
  <c r="N946" i="3" s="1"/>
  <c r="K946" i="3"/>
  <c r="O945" i="3"/>
  <c r="M945" i="3"/>
  <c r="L945" i="3"/>
  <c r="N945" i="3" s="1"/>
  <c r="K945" i="3"/>
  <c r="O944" i="3"/>
  <c r="M944" i="3"/>
  <c r="L944" i="3"/>
  <c r="N944" i="3" s="1"/>
  <c r="K944" i="3"/>
  <c r="O943" i="3"/>
  <c r="M943" i="3"/>
  <c r="L943" i="3"/>
  <c r="N943" i="3" s="1"/>
  <c r="K943" i="3"/>
  <c r="O942" i="3"/>
  <c r="M942" i="3"/>
  <c r="L942" i="3"/>
  <c r="N942" i="3" s="1"/>
  <c r="K942" i="3"/>
  <c r="O941" i="3"/>
  <c r="M941" i="3"/>
  <c r="L941" i="3"/>
  <c r="N941" i="3" s="1"/>
  <c r="K941" i="3"/>
  <c r="O940" i="3"/>
  <c r="M940" i="3"/>
  <c r="L940" i="3"/>
  <c r="N940" i="3" s="1"/>
  <c r="K940" i="3"/>
  <c r="O939" i="3"/>
  <c r="M939" i="3"/>
  <c r="L939" i="3"/>
  <c r="N939" i="3" s="1"/>
  <c r="K939" i="3"/>
  <c r="O938" i="3"/>
  <c r="M938" i="3"/>
  <c r="L938" i="3"/>
  <c r="N938" i="3"/>
  <c r="K938" i="3"/>
  <c r="O937" i="3"/>
  <c r="M937" i="3"/>
  <c r="L937" i="3"/>
  <c r="N937" i="3" s="1"/>
  <c r="K937" i="3"/>
  <c r="O936" i="3"/>
  <c r="M936" i="3"/>
  <c r="L936" i="3"/>
  <c r="N936" i="3" s="1"/>
  <c r="K936" i="3"/>
  <c r="O935" i="3"/>
  <c r="M935" i="3"/>
  <c r="L935" i="3"/>
  <c r="N935" i="3" s="1"/>
  <c r="K935" i="3"/>
  <c r="O934" i="3"/>
  <c r="M934" i="3"/>
  <c r="L934" i="3"/>
  <c r="N934" i="3" s="1"/>
  <c r="K934" i="3"/>
  <c r="O933" i="3"/>
  <c r="M933" i="3"/>
  <c r="L933" i="3"/>
  <c r="N933" i="3" s="1"/>
  <c r="K933" i="3"/>
  <c r="O932" i="3"/>
  <c r="M932" i="3"/>
  <c r="L932" i="3"/>
  <c r="N932" i="3" s="1"/>
  <c r="K932" i="3"/>
  <c r="O931" i="3"/>
  <c r="M931" i="3"/>
  <c r="L931" i="3"/>
  <c r="N931" i="3" s="1"/>
  <c r="K931" i="3"/>
  <c r="O930" i="3"/>
  <c r="M930" i="3"/>
  <c r="L930" i="3"/>
  <c r="N930" i="3" s="1"/>
  <c r="K930" i="3"/>
  <c r="O929" i="3"/>
  <c r="M929" i="3"/>
  <c r="L929" i="3"/>
  <c r="N929" i="3" s="1"/>
  <c r="K929" i="3"/>
  <c r="O928" i="3"/>
  <c r="M928" i="3"/>
  <c r="L928" i="3"/>
  <c r="N928" i="3" s="1"/>
  <c r="K928" i="3"/>
  <c r="O927" i="3"/>
  <c r="M927" i="3"/>
  <c r="L927" i="3"/>
  <c r="N927" i="3" s="1"/>
  <c r="K927" i="3"/>
  <c r="O926" i="3"/>
  <c r="M926" i="3"/>
  <c r="L926" i="3"/>
  <c r="N926" i="3" s="1"/>
  <c r="K926" i="3"/>
  <c r="O925" i="3"/>
  <c r="M925" i="3"/>
  <c r="L925" i="3"/>
  <c r="N925" i="3" s="1"/>
  <c r="K925" i="3"/>
  <c r="O924" i="3"/>
  <c r="M924" i="3"/>
  <c r="L924" i="3"/>
  <c r="N924" i="3" s="1"/>
  <c r="K924" i="3"/>
  <c r="O923" i="3"/>
  <c r="M923" i="3"/>
  <c r="L923" i="3"/>
  <c r="N923" i="3" s="1"/>
  <c r="K923" i="3"/>
  <c r="O922" i="3"/>
  <c r="M922" i="3"/>
  <c r="L922" i="3"/>
  <c r="N922" i="3" s="1"/>
  <c r="K922" i="3"/>
  <c r="O921" i="3"/>
  <c r="M921" i="3"/>
  <c r="L921" i="3"/>
  <c r="N921" i="3" s="1"/>
  <c r="K921" i="3"/>
  <c r="O920" i="3"/>
  <c r="M920" i="3"/>
  <c r="L920" i="3"/>
  <c r="N920" i="3" s="1"/>
  <c r="K920" i="3"/>
  <c r="O919" i="3"/>
  <c r="M919" i="3"/>
  <c r="L919" i="3"/>
  <c r="N919" i="3" s="1"/>
  <c r="K919" i="3"/>
  <c r="O918" i="3"/>
  <c r="M918" i="3"/>
  <c r="L918" i="3"/>
  <c r="N918" i="3" s="1"/>
  <c r="K918" i="3"/>
  <c r="O917" i="3"/>
  <c r="M917" i="3"/>
  <c r="L917" i="3"/>
  <c r="N917" i="3" s="1"/>
  <c r="K917" i="3"/>
  <c r="O916" i="3"/>
  <c r="M916" i="3"/>
  <c r="L916" i="3"/>
  <c r="N916" i="3" s="1"/>
  <c r="K916" i="3"/>
  <c r="O915" i="3"/>
  <c r="M915" i="3"/>
  <c r="L915" i="3"/>
  <c r="N915" i="3" s="1"/>
  <c r="K915" i="3"/>
  <c r="O914" i="3"/>
  <c r="M914" i="3"/>
  <c r="L914" i="3"/>
  <c r="N914" i="3" s="1"/>
  <c r="K914" i="3"/>
  <c r="O913" i="3"/>
  <c r="M913" i="3"/>
  <c r="L913" i="3"/>
  <c r="N913" i="3" s="1"/>
  <c r="K913" i="3"/>
  <c r="O912" i="3"/>
  <c r="M912" i="3"/>
  <c r="L912" i="3"/>
  <c r="N912" i="3" s="1"/>
  <c r="K912" i="3"/>
  <c r="O911" i="3"/>
  <c r="M911" i="3"/>
  <c r="L911" i="3"/>
  <c r="N911" i="3" s="1"/>
  <c r="K911" i="3"/>
  <c r="O910" i="3"/>
  <c r="M910" i="3"/>
  <c r="L910" i="3"/>
  <c r="N910" i="3" s="1"/>
  <c r="K910" i="3"/>
  <c r="O909" i="3"/>
  <c r="M909" i="3"/>
  <c r="L909" i="3"/>
  <c r="N909" i="3" s="1"/>
  <c r="K909" i="3"/>
  <c r="O908" i="3"/>
  <c r="M908" i="3"/>
  <c r="L908" i="3"/>
  <c r="N908" i="3" s="1"/>
  <c r="K908" i="3"/>
  <c r="O907" i="3"/>
  <c r="M907" i="3"/>
  <c r="L907" i="3"/>
  <c r="N907" i="3" s="1"/>
  <c r="K907" i="3"/>
  <c r="O906" i="3"/>
  <c r="M906" i="3"/>
  <c r="L906" i="3"/>
  <c r="N906" i="3"/>
  <c r="K906" i="3"/>
  <c r="O905" i="3"/>
  <c r="M905" i="3"/>
  <c r="L905" i="3"/>
  <c r="N905" i="3" s="1"/>
  <c r="K905" i="3"/>
  <c r="O904" i="3"/>
  <c r="M904" i="3"/>
  <c r="L904" i="3"/>
  <c r="N904" i="3"/>
  <c r="K904" i="3"/>
  <c r="O903" i="3"/>
  <c r="M903" i="3"/>
  <c r="L903" i="3"/>
  <c r="N903" i="3" s="1"/>
  <c r="K903" i="3"/>
  <c r="O902" i="3"/>
  <c r="M902" i="3"/>
  <c r="L902" i="3"/>
  <c r="N902" i="3" s="1"/>
  <c r="K902" i="3"/>
  <c r="O901" i="3"/>
  <c r="M901" i="3"/>
  <c r="L901" i="3"/>
  <c r="N901" i="3" s="1"/>
  <c r="K901" i="3"/>
  <c r="O900" i="3"/>
  <c r="M900" i="3"/>
  <c r="L900" i="3"/>
  <c r="N900" i="3" s="1"/>
  <c r="K900" i="3"/>
  <c r="O899" i="3"/>
  <c r="M899" i="3"/>
  <c r="L899" i="3"/>
  <c r="N899" i="3" s="1"/>
  <c r="K899" i="3"/>
  <c r="O898" i="3"/>
  <c r="M898" i="3"/>
  <c r="L898" i="3"/>
  <c r="N898" i="3" s="1"/>
  <c r="K898" i="3"/>
  <c r="O897" i="3"/>
  <c r="M897" i="3"/>
  <c r="L897" i="3"/>
  <c r="N897" i="3" s="1"/>
  <c r="K897" i="3"/>
  <c r="O896" i="3"/>
  <c r="M896" i="3"/>
  <c r="L896" i="3"/>
  <c r="N896" i="3" s="1"/>
  <c r="K896" i="3"/>
  <c r="O895" i="3"/>
  <c r="M895" i="3"/>
  <c r="L895" i="3"/>
  <c r="N895" i="3" s="1"/>
  <c r="K895" i="3"/>
  <c r="O894" i="3"/>
  <c r="M894" i="3"/>
  <c r="L894" i="3"/>
  <c r="N894" i="3" s="1"/>
  <c r="K894" i="3"/>
  <c r="O893" i="3"/>
  <c r="M893" i="3"/>
  <c r="L893" i="3"/>
  <c r="N893" i="3" s="1"/>
  <c r="K893" i="3"/>
  <c r="O892" i="3"/>
  <c r="M892" i="3"/>
  <c r="L892" i="3"/>
  <c r="N892" i="3" s="1"/>
  <c r="K892" i="3"/>
  <c r="O891" i="3"/>
  <c r="M891" i="3"/>
  <c r="L891" i="3"/>
  <c r="N891" i="3" s="1"/>
  <c r="K891" i="3"/>
  <c r="O890" i="3"/>
  <c r="M890" i="3"/>
  <c r="L890" i="3"/>
  <c r="N890" i="3" s="1"/>
  <c r="K890" i="3"/>
  <c r="O889" i="3"/>
  <c r="M889" i="3"/>
  <c r="L889" i="3"/>
  <c r="N889" i="3" s="1"/>
  <c r="K889" i="3"/>
  <c r="O888" i="3"/>
  <c r="M888" i="3"/>
  <c r="L888" i="3"/>
  <c r="N888" i="3" s="1"/>
  <c r="K888" i="3"/>
  <c r="O887" i="3"/>
  <c r="M887" i="3"/>
  <c r="L887" i="3"/>
  <c r="N887" i="3" s="1"/>
  <c r="K887" i="3"/>
  <c r="O886" i="3"/>
  <c r="M886" i="3"/>
  <c r="L886" i="3"/>
  <c r="N886" i="3" s="1"/>
  <c r="K886" i="3"/>
  <c r="O885" i="3"/>
  <c r="M885" i="3"/>
  <c r="L885" i="3"/>
  <c r="N885" i="3" s="1"/>
  <c r="K885" i="3"/>
  <c r="O884" i="3"/>
  <c r="M884" i="3"/>
  <c r="L884" i="3"/>
  <c r="N884" i="3" s="1"/>
  <c r="K884" i="3"/>
  <c r="O883" i="3"/>
  <c r="M883" i="3"/>
  <c r="L883" i="3"/>
  <c r="N883" i="3" s="1"/>
  <c r="K883" i="3"/>
  <c r="O882" i="3"/>
  <c r="M882" i="3"/>
  <c r="L882" i="3"/>
  <c r="N882" i="3" s="1"/>
  <c r="K882" i="3"/>
  <c r="O881" i="3"/>
  <c r="M881" i="3"/>
  <c r="L881" i="3"/>
  <c r="N881" i="3" s="1"/>
  <c r="K881" i="3"/>
  <c r="O880" i="3"/>
  <c r="M880" i="3"/>
  <c r="L880" i="3"/>
  <c r="N880" i="3" s="1"/>
  <c r="K880" i="3"/>
  <c r="O879" i="3"/>
  <c r="M879" i="3"/>
  <c r="L879" i="3"/>
  <c r="N879" i="3" s="1"/>
  <c r="K879" i="3"/>
  <c r="O878" i="3"/>
  <c r="M878" i="3"/>
  <c r="L878" i="3"/>
  <c r="N878" i="3" s="1"/>
  <c r="K878" i="3"/>
  <c r="O877" i="3"/>
  <c r="M877" i="3"/>
  <c r="L877" i="3"/>
  <c r="N877" i="3" s="1"/>
  <c r="K877" i="3"/>
  <c r="O876" i="3"/>
  <c r="M876" i="3"/>
  <c r="L876" i="3"/>
  <c r="N876" i="3" s="1"/>
  <c r="K876" i="3"/>
  <c r="O875" i="3"/>
  <c r="M875" i="3"/>
  <c r="L875" i="3"/>
  <c r="N875" i="3" s="1"/>
  <c r="K875" i="3"/>
  <c r="O874" i="3"/>
  <c r="M874" i="3"/>
  <c r="L874" i="3"/>
  <c r="N874" i="3"/>
  <c r="K874" i="3"/>
  <c r="O873" i="3"/>
  <c r="M873" i="3"/>
  <c r="L873" i="3"/>
  <c r="N873" i="3" s="1"/>
  <c r="K873" i="3"/>
  <c r="O872" i="3"/>
  <c r="M872" i="3"/>
  <c r="L872" i="3"/>
  <c r="N872" i="3" s="1"/>
  <c r="K872" i="3"/>
  <c r="O871" i="3"/>
  <c r="M871" i="3"/>
  <c r="L871" i="3"/>
  <c r="N871" i="3" s="1"/>
  <c r="K871" i="3"/>
  <c r="O870" i="3"/>
  <c r="M870" i="3"/>
  <c r="L870" i="3"/>
  <c r="N870" i="3" s="1"/>
  <c r="K870" i="3"/>
  <c r="O869" i="3"/>
  <c r="M869" i="3"/>
  <c r="L869" i="3"/>
  <c r="N869" i="3" s="1"/>
  <c r="K869" i="3"/>
  <c r="O868" i="3"/>
  <c r="M868" i="3"/>
  <c r="L868" i="3"/>
  <c r="N868" i="3" s="1"/>
  <c r="K868" i="3"/>
  <c r="O867" i="3"/>
  <c r="M867" i="3"/>
  <c r="L867" i="3"/>
  <c r="N867" i="3" s="1"/>
  <c r="K867" i="3"/>
  <c r="O866" i="3"/>
  <c r="M866" i="3"/>
  <c r="L866" i="3"/>
  <c r="N866" i="3" s="1"/>
  <c r="K866" i="3"/>
  <c r="O865" i="3"/>
  <c r="M865" i="3"/>
  <c r="L865" i="3"/>
  <c r="N865" i="3" s="1"/>
  <c r="K865" i="3"/>
  <c r="O864" i="3"/>
  <c r="M864" i="3"/>
  <c r="L864" i="3"/>
  <c r="N864" i="3" s="1"/>
  <c r="K864" i="3"/>
  <c r="O863" i="3"/>
  <c r="M863" i="3"/>
  <c r="L863" i="3"/>
  <c r="N863" i="3" s="1"/>
  <c r="K863" i="3"/>
  <c r="O862" i="3"/>
  <c r="M862" i="3"/>
  <c r="L862" i="3"/>
  <c r="N862" i="3" s="1"/>
  <c r="K862" i="3"/>
  <c r="O861" i="3"/>
  <c r="M861" i="3"/>
  <c r="L861" i="3"/>
  <c r="N861" i="3" s="1"/>
  <c r="K861" i="3"/>
  <c r="O860" i="3"/>
  <c r="M860" i="3"/>
  <c r="L860" i="3"/>
  <c r="N860" i="3" s="1"/>
  <c r="K860" i="3"/>
  <c r="O859" i="3"/>
  <c r="M859" i="3"/>
  <c r="L859" i="3"/>
  <c r="N859" i="3" s="1"/>
  <c r="K859" i="3"/>
  <c r="O858" i="3"/>
  <c r="M858" i="3"/>
  <c r="L858" i="3"/>
  <c r="N858" i="3" s="1"/>
  <c r="K858" i="3"/>
  <c r="O857" i="3"/>
  <c r="M857" i="3"/>
  <c r="L857" i="3"/>
  <c r="N857" i="3" s="1"/>
  <c r="K857" i="3"/>
  <c r="O856" i="3"/>
  <c r="M856" i="3"/>
  <c r="L856" i="3"/>
  <c r="N856" i="3" s="1"/>
  <c r="K856" i="3"/>
  <c r="O855" i="3"/>
  <c r="M855" i="3"/>
  <c r="L855" i="3"/>
  <c r="N855" i="3" s="1"/>
  <c r="K855" i="3"/>
  <c r="O854" i="3"/>
  <c r="M854" i="3"/>
  <c r="L854" i="3"/>
  <c r="N854" i="3"/>
  <c r="K854" i="3"/>
  <c r="O853" i="3"/>
  <c r="M853" i="3"/>
  <c r="L853" i="3"/>
  <c r="N853" i="3" s="1"/>
  <c r="K853" i="3"/>
  <c r="O852" i="3"/>
  <c r="M852" i="3"/>
  <c r="L852" i="3"/>
  <c r="N852" i="3" s="1"/>
  <c r="K852" i="3"/>
  <c r="O851" i="3"/>
  <c r="M851" i="3"/>
  <c r="L851" i="3"/>
  <c r="N851" i="3" s="1"/>
  <c r="K851" i="3"/>
  <c r="O850" i="3"/>
  <c r="M850" i="3"/>
  <c r="L850" i="3"/>
  <c r="N850" i="3" s="1"/>
  <c r="K850" i="3"/>
  <c r="O849" i="3"/>
  <c r="M849" i="3"/>
  <c r="L849" i="3"/>
  <c r="N849" i="3" s="1"/>
  <c r="K849" i="3"/>
  <c r="O848" i="3"/>
  <c r="M848" i="3"/>
  <c r="L848" i="3"/>
  <c r="N848" i="3" s="1"/>
  <c r="K848" i="3"/>
  <c r="O847" i="3"/>
  <c r="M847" i="3"/>
  <c r="L847" i="3"/>
  <c r="N847" i="3" s="1"/>
  <c r="K847" i="3"/>
  <c r="O846" i="3"/>
  <c r="M846" i="3"/>
  <c r="L846" i="3"/>
  <c r="N846" i="3"/>
  <c r="K846" i="3"/>
  <c r="O845" i="3"/>
  <c r="M845" i="3"/>
  <c r="L845" i="3"/>
  <c r="N845" i="3" s="1"/>
  <c r="K845" i="3"/>
  <c r="O844" i="3"/>
  <c r="M844" i="3"/>
  <c r="L844" i="3"/>
  <c r="N844" i="3" s="1"/>
  <c r="K844" i="3"/>
  <c r="O843" i="3"/>
  <c r="M843" i="3"/>
  <c r="L843" i="3"/>
  <c r="N843" i="3" s="1"/>
  <c r="K843" i="3"/>
  <c r="O842" i="3"/>
  <c r="M842" i="3"/>
  <c r="L842" i="3"/>
  <c r="N842" i="3" s="1"/>
  <c r="K842" i="3"/>
  <c r="O841" i="3"/>
  <c r="M841" i="3"/>
  <c r="L841" i="3"/>
  <c r="N841" i="3" s="1"/>
  <c r="K841" i="3"/>
  <c r="O840" i="3"/>
  <c r="M840" i="3"/>
  <c r="L840" i="3"/>
  <c r="N840" i="3" s="1"/>
  <c r="K840" i="3"/>
  <c r="O839" i="3"/>
  <c r="M839" i="3"/>
  <c r="L839" i="3"/>
  <c r="N839" i="3" s="1"/>
  <c r="K839" i="3"/>
  <c r="O838" i="3"/>
  <c r="M838" i="3"/>
  <c r="L838" i="3"/>
  <c r="N838" i="3" s="1"/>
  <c r="K838" i="3"/>
  <c r="O837" i="3"/>
  <c r="M837" i="3"/>
  <c r="L837" i="3"/>
  <c r="N837" i="3" s="1"/>
  <c r="K837" i="3"/>
  <c r="O836" i="3"/>
  <c r="M836" i="3"/>
  <c r="L836" i="3"/>
  <c r="N836" i="3" s="1"/>
  <c r="K836" i="3"/>
  <c r="O835" i="3"/>
  <c r="M835" i="3"/>
  <c r="L835" i="3"/>
  <c r="N835" i="3" s="1"/>
  <c r="K835" i="3"/>
  <c r="O834" i="3"/>
  <c r="M834" i="3"/>
  <c r="L834" i="3"/>
  <c r="N834" i="3" s="1"/>
  <c r="K834" i="3"/>
  <c r="O833" i="3"/>
  <c r="M833" i="3"/>
  <c r="L833" i="3"/>
  <c r="N833" i="3" s="1"/>
  <c r="K833" i="3"/>
  <c r="O832" i="3"/>
  <c r="M832" i="3"/>
  <c r="L832" i="3"/>
  <c r="N832" i="3" s="1"/>
  <c r="K832" i="3"/>
  <c r="O831" i="3"/>
  <c r="M831" i="3"/>
  <c r="L831" i="3"/>
  <c r="N831" i="3" s="1"/>
  <c r="K831" i="3"/>
  <c r="O830" i="3"/>
  <c r="M830" i="3"/>
  <c r="L830" i="3"/>
  <c r="N830" i="3"/>
  <c r="K830" i="3"/>
  <c r="O829" i="3"/>
  <c r="M829" i="3"/>
  <c r="L829" i="3"/>
  <c r="N829" i="3" s="1"/>
  <c r="K829" i="3"/>
  <c r="O828" i="3"/>
  <c r="M828" i="3"/>
  <c r="L828" i="3"/>
  <c r="N828" i="3" s="1"/>
  <c r="K828" i="3"/>
  <c r="O827" i="3"/>
  <c r="M827" i="3"/>
  <c r="L827" i="3"/>
  <c r="N827" i="3" s="1"/>
  <c r="K827" i="3"/>
  <c r="O826" i="3"/>
  <c r="M826" i="3"/>
  <c r="L826" i="3"/>
  <c r="N826" i="3" s="1"/>
  <c r="K826" i="3"/>
  <c r="O825" i="3"/>
  <c r="M825" i="3"/>
  <c r="L825" i="3"/>
  <c r="N825" i="3" s="1"/>
  <c r="K825" i="3"/>
  <c r="O824" i="3"/>
  <c r="M824" i="3"/>
  <c r="L824" i="3"/>
  <c r="N824" i="3" s="1"/>
  <c r="K824" i="3"/>
  <c r="O823" i="3"/>
  <c r="M823" i="3"/>
  <c r="L823" i="3"/>
  <c r="N823" i="3" s="1"/>
  <c r="K823" i="3"/>
  <c r="O822" i="3"/>
  <c r="M822" i="3"/>
  <c r="L822" i="3"/>
  <c r="N822" i="3" s="1"/>
  <c r="K822" i="3"/>
  <c r="O821" i="3"/>
  <c r="M821" i="3"/>
  <c r="L821" i="3"/>
  <c r="N821" i="3" s="1"/>
  <c r="K821" i="3"/>
  <c r="O820" i="3"/>
  <c r="M820" i="3"/>
  <c r="L820" i="3"/>
  <c r="N820" i="3" s="1"/>
  <c r="K820" i="3"/>
  <c r="O819" i="3"/>
  <c r="M819" i="3"/>
  <c r="L819" i="3"/>
  <c r="N819" i="3" s="1"/>
  <c r="K819" i="3"/>
  <c r="O818" i="3"/>
  <c r="M818" i="3"/>
  <c r="L818" i="3"/>
  <c r="N818" i="3" s="1"/>
  <c r="K818" i="3"/>
  <c r="O817" i="3"/>
  <c r="M817" i="3"/>
  <c r="L817" i="3"/>
  <c r="N817" i="3" s="1"/>
  <c r="K817" i="3"/>
  <c r="O816" i="3"/>
  <c r="M816" i="3"/>
  <c r="L816" i="3"/>
  <c r="N816" i="3" s="1"/>
  <c r="K816" i="3"/>
  <c r="O815" i="3"/>
  <c r="M815" i="3"/>
  <c r="L815" i="3"/>
  <c r="N815" i="3" s="1"/>
  <c r="K815" i="3"/>
  <c r="O814" i="3"/>
  <c r="M814" i="3"/>
  <c r="L814" i="3"/>
  <c r="N814" i="3" s="1"/>
  <c r="K814" i="3"/>
  <c r="O813" i="3"/>
  <c r="M813" i="3"/>
  <c r="L813" i="3"/>
  <c r="N813" i="3" s="1"/>
  <c r="K813" i="3"/>
  <c r="O812" i="3"/>
  <c r="M812" i="3"/>
  <c r="L812" i="3"/>
  <c r="N812" i="3" s="1"/>
  <c r="K812" i="3"/>
  <c r="O811" i="3"/>
  <c r="M811" i="3"/>
  <c r="L811" i="3"/>
  <c r="N811" i="3" s="1"/>
  <c r="K811" i="3"/>
  <c r="O810" i="3"/>
  <c r="M810" i="3"/>
  <c r="L810" i="3"/>
  <c r="N810" i="3" s="1"/>
  <c r="K810" i="3"/>
  <c r="O809" i="3"/>
  <c r="M809" i="3"/>
  <c r="L809" i="3"/>
  <c r="N809" i="3" s="1"/>
  <c r="K809" i="3"/>
  <c r="O808" i="3"/>
  <c r="M808" i="3"/>
  <c r="L808" i="3"/>
  <c r="N808" i="3" s="1"/>
  <c r="K808" i="3"/>
  <c r="O807" i="3"/>
  <c r="M807" i="3"/>
  <c r="L807" i="3"/>
  <c r="N807" i="3" s="1"/>
  <c r="K807" i="3"/>
  <c r="O806" i="3"/>
  <c r="M806" i="3"/>
  <c r="L806" i="3"/>
  <c r="N806" i="3" s="1"/>
  <c r="K806" i="3"/>
  <c r="O805" i="3"/>
  <c r="M805" i="3"/>
  <c r="L805" i="3"/>
  <c r="N805" i="3" s="1"/>
  <c r="K805" i="3"/>
  <c r="O804" i="3"/>
  <c r="M804" i="3"/>
  <c r="L804" i="3"/>
  <c r="N804" i="3" s="1"/>
  <c r="K804" i="3"/>
  <c r="O803" i="3"/>
  <c r="M803" i="3"/>
  <c r="L803" i="3"/>
  <c r="N803" i="3" s="1"/>
  <c r="K803" i="3"/>
  <c r="O802" i="3"/>
  <c r="M802" i="3"/>
  <c r="L802" i="3"/>
  <c r="N802" i="3" s="1"/>
  <c r="K802" i="3"/>
  <c r="O801" i="3"/>
  <c r="M801" i="3"/>
  <c r="L801" i="3"/>
  <c r="N801" i="3"/>
  <c r="K801" i="3"/>
  <c r="O800" i="3"/>
  <c r="M800" i="3"/>
  <c r="L800" i="3"/>
  <c r="N800" i="3" s="1"/>
  <c r="K800" i="3"/>
  <c r="O799" i="3"/>
  <c r="M799" i="3"/>
  <c r="L799" i="3"/>
  <c r="N799" i="3" s="1"/>
  <c r="K799" i="3"/>
  <c r="O798" i="3"/>
  <c r="M798" i="3"/>
  <c r="L798" i="3"/>
  <c r="N798" i="3" s="1"/>
  <c r="K798" i="3"/>
  <c r="O797" i="3"/>
  <c r="M797" i="3"/>
  <c r="L797" i="3"/>
  <c r="N797" i="3" s="1"/>
  <c r="K797" i="3"/>
  <c r="O796" i="3"/>
  <c r="M796" i="3"/>
  <c r="L796" i="3"/>
  <c r="N796" i="3" s="1"/>
  <c r="K796" i="3"/>
  <c r="O795" i="3"/>
  <c r="M795" i="3"/>
  <c r="L795" i="3"/>
  <c r="N795" i="3" s="1"/>
  <c r="K795" i="3"/>
  <c r="O794" i="3"/>
  <c r="M794" i="3"/>
  <c r="L794" i="3"/>
  <c r="N794" i="3" s="1"/>
  <c r="K794" i="3"/>
  <c r="O793" i="3"/>
  <c r="M793" i="3"/>
  <c r="L793" i="3"/>
  <c r="N793" i="3" s="1"/>
  <c r="K793" i="3"/>
  <c r="O792" i="3"/>
  <c r="M792" i="3"/>
  <c r="L792" i="3"/>
  <c r="N792" i="3" s="1"/>
  <c r="K792" i="3"/>
  <c r="O791" i="3"/>
  <c r="M791" i="3"/>
  <c r="L791" i="3"/>
  <c r="N791" i="3" s="1"/>
  <c r="K791" i="3"/>
  <c r="O790" i="3"/>
  <c r="M790" i="3"/>
  <c r="L790" i="3"/>
  <c r="N790" i="3" s="1"/>
  <c r="K790" i="3"/>
  <c r="O789" i="3"/>
  <c r="M789" i="3"/>
  <c r="L789" i="3"/>
  <c r="N789" i="3" s="1"/>
  <c r="K789" i="3"/>
  <c r="O788" i="3"/>
  <c r="M788" i="3"/>
  <c r="L788" i="3"/>
  <c r="N788" i="3" s="1"/>
  <c r="K788" i="3"/>
  <c r="O787" i="3"/>
  <c r="M787" i="3"/>
  <c r="L787" i="3"/>
  <c r="N787" i="3" s="1"/>
  <c r="K787" i="3"/>
  <c r="O786" i="3"/>
  <c r="M786" i="3"/>
  <c r="L786" i="3"/>
  <c r="N786" i="3" s="1"/>
  <c r="K786" i="3"/>
  <c r="O785" i="3"/>
  <c r="M785" i="3"/>
  <c r="L785" i="3"/>
  <c r="N785" i="3" s="1"/>
  <c r="K785" i="3"/>
  <c r="O784" i="3"/>
  <c r="M784" i="3"/>
  <c r="L784" i="3"/>
  <c r="N784" i="3" s="1"/>
  <c r="K784" i="3"/>
  <c r="O783" i="3"/>
  <c r="M783" i="3"/>
  <c r="L783" i="3"/>
  <c r="N783" i="3" s="1"/>
  <c r="K783" i="3"/>
  <c r="O782" i="3"/>
  <c r="M782" i="3"/>
  <c r="L782" i="3"/>
  <c r="N782" i="3" s="1"/>
  <c r="K782" i="3"/>
  <c r="O781" i="3"/>
  <c r="M781" i="3"/>
  <c r="L781" i="3"/>
  <c r="N781" i="3" s="1"/>
  <c r="K781" i="3"/>
  <c r="O780" i="3"/>
  <c r="M780" i="3"/>
  <c r="L780" i="3"/>
  <c r="N780" i="3" s="1"/>
  <c r="K780" i="3"/>
  <c r="O779" i="3"/>
  <c r="M779" i="3"/>
  <c r="L779" i="3"/>
  <c r="N779" i="3" s="1"/>
  <c r="K779" i="3"/>
  <c r="O778" i="3"/>
  <c r="M778" i="3"/>
  <c r="L778" i="3"/>
  <c r="N778" i="3" s="1"/>
  <c r="K778" i="3"/>
  <c r="O777" i="3"/>
  <c r="M777" i="3"/>
  <c r="L777" i="3"/>
  <c r="N777" i="3" s="1"/>
  <c r="K777" i="3"/>
  <c r="O776" i="3"/>
  <c r="M776" i="3"/>
  <c r="L776" i="3"/>
  <c r="N776" i="3" s="1"/>
  <c r="K776" i="3"/>
  <c r="O775" i="3"/>
  <c r="M775" i="3"/>
  <c r="L775" i="3"/>
  <c r="N775" i="3" s="1"/>
  <c r="K775" i="3"/>
  <c r="O774" i="3"/>
  <c r="M774" i="3"/>
  <c r="L774" i="3"/>
  <c r="N774" i="3" s="1"/>
  <c r="K774" i="3"/>
  <c r="O773" i="3"/>
  <c r="M773" i="3"/>
  <c r="L773" i="3"/>
  <c r="N773" i="3" s="1"/>
  <c r="K773" i="3"/>
  <c r="O772" i="3"/>
  <c r="M772" i="3"/>
  <c r="L772" i="3"/>
  <c r="N772" i="3" s="1"/>
  <c r="K772" i="3"/>
  <c r="O771" i="3"/>
  <c r="M771" i="3"/>
  <c r="L771" i="3"/>
  <c r="N771" i="3" s="1"/>
  <c r="K771" i="3"/>
  <c r="O770" i="3"/>
  <c r="M770" i="3"/>
  <c r="L770" i="3"/>
  <c r="N770" i="3" s="1"/>
  <c r="K770" i="3"/>
  <c r="O769" i="3"/>
  <c r="M769" i="3"/>
  <c r="L769" i="3"/>
  <c r="N769" i="3" s="1"/>
  <c r="K769" i="3"/>
  <c r="O768" i="3"/>
  <c r="M768" i="3"/>
  <c r="L768" i="3"/>
  <c r="N768" i="3" s="1"/>
  <c r="K768" i="3"/>
  <c r="O767" i="3"/>
  <c r="M767" i="3"/>
  <c r="L767" i="3"/>
  <c r="N767" i="3" s="1"/>
  <c r="K767" i="3"/>
  <c r="O766" i="3"/>
  <c r="M766" i="3"/>
  <c r="L766" i="3"/>
  <c r="N766" i="3" s="1"/>
  <c r="K766" i="3"/>
  <c r="O765" i="3"/>
  <c r="M765" i="3"/>
  <c r="L765" i="3"/>
  <c r="N765" i="3" s="1"/>
  <c r="K765" i="3"/>
  <c r="O764" i="3"/>
  <c r="M764" i="3"/>
  <c r="L764" i="3"/>
  <c r="N764" i="3" s="1"/>
  <c r="K764" i="3"/>
  <c r="O763" i="3"/>
  <c r="M763" i="3"/>
  <c r="L763" i="3"/>
  <c r="N763" i="3" s="1"/>
  <c r="K763" i="3"/>
  <c r="O762" i="3"/>
  <c r="M762" i="3"/>
  <c r="L762" i="3"/>
  <c r="N762" i="3" s="1"/>
  <c r="K762" i="3"/>
  <c r="O761" i="3"/>
  <c r="M761" i="3"/>
  <c r="L761" i="3"/>
  <c r="N761" i="3" s="1"/>
  <c r="K761" i="3"/>
  <c r="O760" i="3"/>
  <c r="M760" i="3"/>
  <c r="L760" i="3"/>
  <c r="N760" i="3" s="1"/>
  <c r="K760" i="3"/>
  <c r="O759" i="3"/>
  <c r="M759" i="3"/>
  <c r="L759" i="3"/>
  <c r="N759" i="3" s="1"/>
  <c r="K759" i="3"/>
  <c r="O758" i="3"/>
  <c r="M758" i="3"/>
  <c r="L758" i="3"/>
  <c r="N758" i="3" s="1"/>
  <c r="K758" i="3"/>
  <c r="O757" i="3"/>
  <c r="M757" i="3"/>
  <c r="L757" i="3"/>
  <c r="N757" i="3" s="1"/>
  <c r="K757" i="3"/>
  <c r="O756" i="3"/>
  <c r="M756" i="3"/>
  <c r="L756" i="3"/>
  <c r="N756" i="3" s="1"/>
  <c r="K756" i="3"/>
  <c r="O755" i="3"/>
  <c r="M755" i="3"/>
  <c r="L755" i="3"/>
  <c r="N755" i="3" s="1"/>
  <c r="K755" i="3"/>
  <c r="O754" i="3"/>
  <c r="M754" i="3"/>
  <c r="L754" i="3"/>
  <c r="N754" i="3" s="1"/>
  <c r="K754" i="3"/>
  <c r="O753" i="3"/>
  <c r="M753" i="3"/>
  <c r="L753" i="3"/>
  <c r="N753" i="3" s="1"/>
  <c r="K753" i="3"/>
  <c r="O752" i="3"/>
  <c r="M752" i="3"/>
  <c r="L752" i="3"/>
  <c r="N752" i="3" s="1"/>
  <c r="K752" i="3"/>
  <c r="O751" i="3"/>
  <c r="M751" i="3"/>
  <c r="L751" i="3"/>
  <c r="N751" i="3" s="1"/>
  <c r="K751" i="3"/>
  <c r="O750" i="3"/>
  <c r="M750" i="3"/>
  <c r="L750" i="3"/>
  <c r="N750" i="3" s="1"/>
  <c r="K750" i="3"/>
  <c r="O749" i="3"/>
  <c r="M749" i="3"/>
  <c r="L749" i="3"/>
  <c r="N749" i="3" s="1"/>
  <c r="K749" i="3"/>
  <c r="O748" i="3"/>
  <c r="M748" i="3"/>
  <c r="L748" i="3"/>
  <c r="N748" i="3" s="1"/>
  <c r="K748" i="3"/>
  <c r="O747" i="3"/>
  <c r="M747" i="3"/>
  <c r="L747" i="3"/>
  <c r="N747" i="3" s="1"/>
  <c r="K747" i="3"/>
  <c r="O746" i="3"/>
  <c r="M746" i="3"/>
  <c r="L746" i="3"/>
  <c r="N746" i="3" s="1"/>
  <c r="K746" i="3"/>
  <c r="O745" i="3"/>
  <c r="M745" i="3"/>
  <c r="L745" i="3"/>
  <c r="N745" i="3" s="1"/>
  <c r="K745" i="3"/>
  <c r="O744" i="3"/>
  <c r="M744" i="3"/>
  <c r="L744" i="3"/>
  <c r="N744" i="3" s="1"/>
  <c r="K744" i="3"/>
  <c r="O743" i="3"/>
  <c r="M743" i="3"/>
  <c r="L743" i="3"/>
  <c r="N743" i="3" s="1"/>
  <c r="K743" i="3"/>
  <c r="O742" i="3"/>
  <c r="M742" i="3"/>
  <c r="L742" i="3"/>
  <c r="N742" i="3" s="1"/>
  <c r="K742" i="3"/>
  <c r="O741" i="3"/>
  <c r="M741" i="3"/>
  <c r="L741" i="3"/>
  <c r="N741" i="3" s="1"/>
  <c r="K741" i="3"/>
  <c r="O740" i="3"/>
  <c r="M740" i="3"/>
  <c r="L740" i="3"/>
  <c r="N740" i="3" s="1"/>
  <c r="K740" i="3"/>
  <c r="O739" i="3"/>
  <c r="M739" i="3"/>
  <c r="L739" i="3"/>
  <c r="N739" i="3" s="1"/>
  <c r="K739" i="3"/>
  <c r="O738" i="3"/>
  <c r="M738" i="3"/>
  <c r="L738" i="3"/>
  <c r="N738" i="3" s="1"/>
  <c r="K738" i="3"/>
  <c r="O737" i="3"/>
  <c r="M737" i="3"/>
  <c r="L737" i="3"/>
  <c r="N737" i="3" s="1"/>
  <c r="K737" i="3"/>
  <c r="O736" i="3"/>
  <c r="M736" i="3"/>
  <c r="L736" i="3"/>
  <c r="N736" i="3" s="1"/>
  <c r="K736" i="3"/>
  <c r="O735" i="3"/>
  <c r="M735" i="3"/>
  <c r="L735" i="3"/>
  <c r="N735" i="3" s="1"/>
  <c r="K735" i="3"/>
  <c r="O734" i="3"/>
  <c r="M734" i="3"/>
  <c r="L734" i="3"/>
  <c r="N734" i="3" s="1"/>
  <c r="K734" i="3"/>
  <c r="O733" i="3"/>
  <c r="M733" i="3"/>
  <c r="L733" i="3"/>
  <c r="N733" i="3" s="1"/>
  <c r="K733" i="3"/>
  <c r="O732" i="3"/>
  <c r="M732" i="3"/>
  <c r="L732" i="3"/>
  <c r="N732" i="3" s="1"/>
  <c r="K732" i="3"/>
  <c r="O731" i="3"/>
  <c r="M731" i="3"/>
  <c r="L731" i="3"/>
  <c r="N731" i="3" s="1"/>
  <c r="K731" i="3"/>
  <c r="O730" i="3"/>
  <c r="M730" i="3"/>
  <c r="L730" i="3"/>
  <c r="N730" i="3" s="1"/>
  <c r="K730" i="3"/>
  <c r="O729" i="3"/>
  <c r="M729" i="3"/>
  <c r="L729" i="3"/>
  <c r="N729" i="3" s="1"/>
  <c r="K729" i="3"/>
  <c r="O728" i="3"/>
  <c r="M728" i="3"/>
  <c r="L728" i="3"/>
  <c r="N728" i="3" s="1"/>
  <c r="K728" i="3"/>
  <c r="O727" i="3"/>
  <c r="M727" i="3"/>
  <c r="L727" i="3"/>
  <c r="N727" i="3" s="1"/>
  <c r="K727" i="3"/>
  <c r="O726" i="3"/>
  <c r="M726" i="3"/>
  <c r="L726" i="3"/>
  <c r="N726" i="3" s="1"/>
  <c r="K726" i="3"/>
  <c r="O725" i="3"/>
  <c r="M725" i="3"/>
  <c r="L725" i="3"/>
  <c r="N725" i="3" s="1"/>
  <c r="K725" i="3"/>
  <c r="O724" i="3"/>
  <c r="M724" i="3"/>
  <c r="L724" i="3"/>
  <c r="N724" i="3"/>
  <c r="K724" i="3"/>
  <c r="O723" i="3"/>
  <c r="M723" i="3"/>
  <c r="L723" i="3"/>
  <c r="N723" i="3" s="1"/>
  <c r="K723" i="3"/>
  <c r="O722" i="3"/>
  <c r="M722" i="3"/>
  <c r="L722" i="3"/>
  <c r="N722" i="3" s="1"/>
  <c r="K722" i="3"/>
  <c r="O721" i="3"/>
  <c r="M721" i="3"/>
  <c r="L721" i="3"/>
  <c r="N721" i="3" s="1"/>
  <c r="K721" i="3"/>
  <c r="O720" i="3"/>
  <c r="M720" i="3"/>
  <c r="L720" i="3"/>
  <c r="N720" i="3" s="1"/>
  <c r="K720" i="3"/>
  <c r="O719" i="3"/>
  <c r="M719" i="3"/>
  <c r="L719" i="3"/>
  <c r="N719" i="3" s="1"/>
  <c r="K719" i="3"/>
  <c r="O718" i="3"/>
  <c r="M718" i="3"/>
  <c r="L718" i="3"/>
  <c r="N718" i="3" s="1"/>
  <c r="K718" i="3"/>
  <c r="O717" i="3"/>
  <c r="M717" i="3"/>
  <c r="L717" i="3"/>
  <c r="N717" i="3" s="1"/>
  <c r="K717" i="3"/>
  <c r="O716" i="3"/>
  <c r="M716" i="3"/>
  <c r="L716" i="3"/>
  <c r="N716" i="3" s="1"/>
  <c r="K716" i="3"/>
  <c r="O715" i="3"/>
  <c r="M715" i="3"/>
  <c r="L715" i="3"/>
  <c r="N715" i="3" s="1"/>
  <c r="K715" i="3"/>
  <c r="O714" i="3"/>
  <c r="M714" i="3"/>
  <c r="L714" i="3"/>
  <c r="N714" i="3" s="1"/>
  <c r="K714" i="3"/>
  <c r="O713" i="3"/>
  <c r="M713" i="3"/>
  <c r="L713" i="3"/>
  <c r="N713" i="3" s="1"/>
  <c r="K713" i="3"/>
  <c r="O712" i="3"/>
  <c r="M712" i="3"/>
  <c r="L712" i="3"/>
  <c r="N712" i="3" s="1"/>
  <c r="K712" i="3"/>
  <c r="O711" i="3"/>
  <c r="M711" i="3"/>
  <c r="L711" i="3"/>
  <c r="N711" i="3" s="1"/>
  <c r="K711" i="3"/>
  <c r="O710" i="3"/>
  <c r="M710" i="3"/>
  <c r="L710" i="3"/>
  <c r="N710" i="3" s="1"/>
  <c r="K710" i="3"/>
  <c r="O709" i="3"/>
  <c r="M709" i="3"/>
  <c r="L709" i="3"/>
  <c r="N709" i="3" s="1"/>
  <c r="K709" i="3"/>
  <c r="O708" i="3"/>
  <c r="M708" i="3"/>
  <c r="L708" i="3"/>
  <c r="N708" i="3" s="1"/>
  <c r="K708" i="3"/>
  <c r="O707" i="3"/>
  <c r="M707" i="3"/>
  <c r="L707" i="3"/>
  <c r="N707" i="3" s="1"/>
  <c r="K707" i="3"/>
  <c r="O706" i="3"/>
  <c r="M706" i="3"/>
  <c r="L706" i="3"/>
  <c r="N706" i="3" s="1"/>
  <c r="K706" i="3"/>
  <c r="O705" i="3"/>
  <c r="M705" i="3"/>
  <c r="L705" i="3"/>
  <c r="N705" i="3" s="1"/>
  <c r="K705" i="3"/>
  <c r="O704" i="3"/>
  <c r="M704" i="3"/>
  <c r="L704" i="3"/>
  <c r="N704" i="3" s="1"/>
  <c r="K704" i="3"/>
  <c r="O703" i="3"/>
  <c r="M703" i="3"/>
  <c r="L703" i="3"/>
  <c r="N703" i="3" s="1"/>
  <c r="K703" i="3"/>
  <c r="O702" i="3"/>
  <c r="M702" i="3"/>
  <c r="L702" i="3"/>
  <c r="N702" i="3" s="1"/>
  <c r="K702" i="3"/>
  <c r="O701" i="3"/>
  <c r="M701" i="3"/>
  <c r="L701" i="3"/>
  <c r="N701" i="3" s="1"/>
  <c r="K701" i="3"/>
  <c r="O700" i="3"/>
  <c r="M700" i="3"/>
  <c r="L700" i="3"/>
  <c r="N700" i="3"/>
  <c r="K700" i="3"/>
  <c r="O699" i="3"/>
  <c r="M699" i="3"/>
  <c r="L699" i="3"/>
  <c r="N699" i="3" s="1"/>
  <c r="K699" i="3"/>
  <c r="O698" i="3"/>
  <c r="M698" i="3"/>
  <c r="L698" i="3"/>
  <c r="N698" i="3" s="1"/>
  <c r="K698" i="3"/>
  <c r="O697" i="3"/>
  <c r="M697" i="3"/>
  <c r="L697" i="3"/>
  <c r="N697" i="3" s="1"/>
  <c r="K697" i="3"/>
  <c r="O696" i="3"/>
  <c r="M696" i="3"/>
  <c r="L696" i="3"/>
  <c r="N696" i="3" s="1"/>
  <c r="K696" i="3"/>
  <c r="O695" i="3"/>
  <c r="M695" i="3"/>
  <c r="L695" i="3"/>
  <c r="N695" i="3" s="1"/>
  <c r="K695" i="3"/>
  <c r="O694" i="3"/>
  <c r="M694" i="3"/>
  <c r="L694" i="3"/>
  <c r="N694" i="3" s="1"/>
  <c r="K694" i="3"/>
  <c r="O693" i="3"/>
  <c r="M693" i="3"/>
  <c r="L693" i="3"/>
  <c r="N693" i="3" s="1"/>
  <c r="K693" i="3"/>
  <c r="O692" i="3"/>
  <c r="M692" i="3"/>
  <c r="L692" i="3"/>
  <c r="N692" i="3" s="1"/>
  <c r="K692" i="3"/>
  <c r="O691" i="3"/>
  <c r="M691" i="3"/>
  <c r="L691" i="3"/>
  <c r="N691" i="3" s="1"/>
  <c r="K691" i="3"/>
  <c r="O690" i="3"/>
  <c r="M690" i="3"/>
  <c r="L690" i="3"/>
  <c r="N690" i="3" s="1"/>
  <c r="K690" i="3"/>
  <c r="O689" i="3"/>
  <c r="M689" i="3"/>
  <c r="L689" i="3"/>
  <c r="N689" i="3" s="1"/>
  <c r="K689" i="3"/>
  <c r="O688" i="3"/>
  <c r="M688" i="3"/>
  <c r="L688" i="3"/>
  <c r="N688" i="3" s="1"/>
  <c r="K688" i="3"/>
  <c r="O687" i="3"/>
  <c r="M687" i="3"/>
  <c r="L687" i="3"/>
  <c r="N687" i="3" s="1"/>
  <c r="K687" i="3"/>
  <c r="O686" i="3"/>
  <c r="M686" i="3"/>
  <c r="L686" i="3"/>
  <c r="N686" i="3" s="1"/>
  <c r="K686" i="3"/>
  <c r="O685" i="3"/>
  <c r="M685" i="3"/>
  <c r="L685" i="3"/>
  <c r="N685" i="3" s="1"/>
  <c r="K685" i="3"/>
  <c r="O684" i="3"/>
  <c r="M684" i="3"/>
  <c r="L684" i="3"/>
  <c r="N684" i="3" s="1"/>
  <c r="K684" i="3"/>
  <c r="O683" i="3"/>
  <c r="M683" i="3"/>
  <c r="L683" i="3"/>
  <c r="N683" i="3" s="1"/>
  <c r="K683" i="3"/>
  <c r="O682" i="3"/>
  <c r="M682" i="3"/>
  <c r="L682" i="3"/>
  <c r="N682" i="3" s="1"/>
  <c r="K682" i="3"/>
  <c r="O681" i="3"/>
  <c r="M681" i="3"/>
  <c r="L681" i="3"/>
  <c r="N681" i="3" s="1"/>
  <c r="K681" i="3"/>
  <c r="O680" i="3"/>
  <c r="M680" i="3"/>
  <c r="L680" i="3"/>
  <c r="N680" i="3" s="1"/>
  <c r="K680" i="3"/>
  <c r="O679" i="3"/>
  <c r="M679" i="3"/>
  <c r="L679" i="3"/>
  <c r="N679" i="3" s="1"/>
  <c r="K679" i="3"/>
  <c r="O678" i="3"/>
  <c r="M678" i="3"/>
  <c r="L678" i="3"/>
  <c r="N678" i="3" s="1"/>
  <c r="K678" i="3"/>
  <c r="O677" i="3"/>
  <c r="M677" i="3"/>
  <c r="L677" i="3"/>
  <c r="N677" i="3" s="1"/>
  <c r="K677" i="3"/>
  <c r="O676" i="3"/>
  <c r="M676" i="3"/>
  <c r="L676" i="3"/>
  <c r="N676" i="3" s="1"/>
  <c r="K676" i="3"/>
  <c r="O675" i="3"/>
  <c r="M675" i="3"/>
  <c r="L675" i="3"/>
  <c r="N675" i="3" s="1"/>
  <c r="K675" i="3"/>
  <c r="O674" i="3"/>
  <c r="M674" i="3"/>
  <c r="L674" i="3"/>
  <c r="N674" i="3" s="1"/>
  <c r="K674" i="3"/>
  <c r="O673" i="3"/>
  <c r="M673" i="3"/>
  <c r="L673" i="3"/>
  <c r="N673" i="3" s="1"/>
  <c r="K673" i="3"/>
  <c r="O672" i="3"/>
  <c r="M672" i="3"/>
  <c r="L672" i="3"/>
  <c r="N672" i="3" s="1"/>
  <c r="K672" i="3"/>
  <c r="O671" i="3"/>
  <c r="M671" i="3"/>
  <c r="L671" i="3"/>
  <c r="N671" i="3" s="1"/>
  <c r="K671" i="3"/>
  <c r="O670" i="3"/>
  <c r="M670" i="3"/>
  <c r="L670" i="3"/>
  <c r="N670" i="3" s="1"/>
  <c r="K670" i="3"/>
  <c r="O669" i="3"/>
  <c r="M669" i="3"/>
  <c r="L669" i="3"/>
  <c r="N669" i="3" s="1"/>
  <c r="K669" i="3"/>
  <c r="O668" i="3"/>
  <c r="M668" i="3"/>
  <c r="L668" i="3"/>
  <c r="N668" i="3" s="1"/>
  <c r="K668" i="3"/>
  <c r="O667" i="3"/>
  <c r="M667" i="3"/>
  <c r="L667" i="3"/>
  <c r="N667" i="3" s="1"/>
  <c r="K667" i="3"/>
  <c r="O666" i="3"/>
  <c r="M666" i="3"/>
  <c r="L666" i="3"/>
  <c r="N666" i="3" s="1"/>
  <c r="K666" i="3"/>
  <c r="O665" i="3"/>
  <c r="M665" i="3"/>
  <c r="L665" i="3"/>
  <c r="N665" i="3" s="1"/>
  <c r="K665" i="3"/>
  <c r="O664" i="3"/>
  <c r="M664" i="3"/>
  <c r="L664" i="3"/>
  <c r="N664" i="3" s="1"/>
  <c r="K664" i="3"/>
  <c r="O663" i="3"/>
  <c r="M663" i="3"/>
  <c r="L663" i="3"/>
  <c r="N663" i="3" s="1"/>
  <c r="K663" i="3"/>
  <c r="O662" i="3"/>
  <c r="M662" i="3"/>
  <c r="L662" i="3"/>
  <c r="N662" i="3" s="1"/>
  <c r="K662" i="3"/>
  <c r="O661" i="3"/>
  <c r="M661" i="3"/>
  <c r="L661" i="3"/>
  <c r="N661" i="3" s="1"/>
  <c r="K661" i="3"/>
  <c r="O660" i="3"/>
  <c r="M660" i="3"/>
  <c r="L660" i="3"/>
  <c r="N660" i="3" s="1"/>
  <c r="K660" i="3"/>
  <c r="O659" i="3"/>
  <c r="M659" i="3"/>
  <c r="L659" i="3"/>
  <c r="N659" i="3" s="1"/>
  <c r="K659" i="3"/>
  <c r="O658" i="3"/>
  <c r="M658" i="3"/>
  <c r="L658" i="3"/>
  <c r="N658" i="3" s="1"/>
  <c r="K658" i="3"/>
  <c r="O657" i="3"/>
  <c r="M657" i="3"/>
  <c r="L657" i="3"/>
  <c r="N657" i="3" s="1"/>
  <c r="K657" i="3"/>
  <c r="O656" i="3"/>
  <c r="M656" i="3"/>
  <c r="L656" i="3"/>
  <c r="N656" i="3" s="1"/>
  <c r="K656" i="3"/>
  <c r="O655" i="3"/>
  <c r="M655" i="3"/>
  <c r="L655" i="3"/>
  <c r="N655" i="3" s="1"/>
  <c r="K655" i="3"/>
  <c r="O654" i="3"/>
  <c r="M654" i="3"/>
  <c r="L654" i="3"/>
  <c r="N654" i="3" s="1"/>
  <c r="K654" i="3"/>
  <c r="O653" i="3"/>
  <c r="M653" i="3"/>
  <c r="L653" i="3"/>
  <c r="N653" i="3" s="1"/>
  <c r="K653" i="3"/>
  <c r="O652" i="3"/>
  <c r="M652" i="3"/>
  <c r="L652" i="3"/>
  <c r="N652" i="3" s="1"/>
  <c r="K652" i="3"/>
  <c r="O651" i="3"/>
  <c r="M651" i="3"/>
  <c r="L651" i="3"/>
  <c r="N651" i="3" s="1"/>
  <c r="K651" i="3"/>
  <c r="O650" i="3"/>
  <c r="M650" i="3"/>
  <c r="L650" i="3"/>
  <c r="N650" i="3" s="1"/>
  <c r="K650" i="3"/>
  <c r="O649" i="3"/>
  <c r="M649" i="3"/>
  <c r="L649" i="3"/>
  <c r="N649" i="3" s="1"/>
  <c r="K649" i="3"/>
  <c r="O648" i="3"/>
  <c r="M648" i="3"/>
  <c r="L648" i="3"/>
  <c r="N648" i="3" s="1"/>
  <c r="K648" i="3"/>
  <c r="O647" i="3"/>
  <c r="M647" i="3"/>
  <c r="L647" i="3"/>
  <c r="N647" i="3" s="1"/>
  <c r="K647" i="3"/>
  <c r="O646" i="3"/>
  <c r="M646" i="3"/>
  <c r="L646" i="3"/>
  <c r="N646" i="3" s="1"/>
  <c r="K646" i="3"/>
  <c r="O645" i="3"/>
  <c r="M645" i="3"/>
  <c r="L645" i="3"/>
  <c r="N645" i="3" s="1"/>
  <c r="K645" i="3"/>
  <c r="O644" i="3"/>
  <c r="M644" i="3"/>
  <c r="L644" i="3"/>
  <c r="N644" i="3" s="1"/>
  <c r="K644" i="3"/>
  <c r="O643" i="3"/>
  <c r="M643" i="3"/>
  <c r="L643" i="3"/>
  <c r="N643" i="3" s="1"/>
  <c r="K643" i="3"/>
  <c r="O642" i="3"/>
  <c r="M642" i="3"/>
  <c r="L642" i="3"/>
  <c r="N642" i="3" s="1"/>
  <c r="K642" i="3"/>
  <c r="O641" i="3"/>
  <c r="M641" i="3"/>
  <c r="L641" i="3"/>
  <c r="N641" i="3" s="1"/>
  <c r="K641" i="3"/>
  <c r="O640" i="3"/>
  <c r="M640" i="3"/>
  <c r="L640" i="3"/>
  <c r="N640" i="3" s="1"/>
  <c r="K640" i="3"/>
  <c r="O639" i="3"/>
  <c r="M639" i="3"/>
  <c r="L639" i="3"/>
  <c r="N639" i="3" s="1"/>
  <c r="K639" i="3"/>
  <c r="O638" i="3"/>
  <c r="M638" i="3"/>
  <c r="L638" i="3"/>
  <c r="N638" i="3" s="1"/>
  <c r="K638" i="3"/>
  <c r="O637" i="3"/>
  <c r="M637" i="3"/>
  <c r="L637" i="3"/>
  <c r="N637" i="3" s="1"/>
  <c r="K637" i="3"/>
  <c r="O636" i="3"/>
  <c r="M636" i="3"/>
  <c r="L636" i="3"/>
  <c r="N636" i="3" s="1"/>
  <c r="K636" i="3"/>
  <c r="O635" i="3"/>
  <c r="M635" i="3"/>
  <c r="L635" i="3"/>
  <c r="N635" i="3" s="1"/>
  <c r="K635" i="3"/>
  <c r="O634" i="3"/>
  <c r="M634" i="3"/>
  <c r="L634" i="3"/>
  <c r="N634" i="3" s="1"/>
  <c r="K634" i="3"/>
  <c r="O633" i="3"/>
  <c r="M633" i="3"/>
  <c r="L633" i="3"/>
  <c r="N633" i="3" s="1"/>
  <c r="K633" i="3"/>
  <c r="O632" i="3"/>
  <c r="M632" i="3"/>
  <c r="L632" i="3"/>
  <c r="N632" i="3" s="1"/>
  <c r="K632" i="3"/>
  <c r="O631" i="3"/>
  <c r="M631" i="3"/>
  <c r="L631" i="3"/>
  <c r="N631" i="3" s="1"/>
  <c r="K631" i="3"/>
  <c r="O630" i="3"/>
  <c r="M630" i="3"/>
  <c r="L630" i="3"/>
  <c r="N630" i="3" s="1"/>
  <c r="K630" i="3"/>
  <c r="O629" i="3"/>
  <c r="M629" i="3"/>
  <c r="L629" i="3"/>
  <c r="N629" i="3" s="1"/>
  <c r="K629" i="3"/>
  <c r="O628" i="3"/>
  <c r="M628" i="3"/>
  <c r="L628" i="3"/>
  <c r="N628" i="3" s="1"/>
  <c r="K628" i="3"/>
  <c r="O627" i="3"/>
  <c r="M627" i="3"/>
  <c r="L627" i="3"/>
  <c r="N627" i="3" s="1"/>
  <c r="K627" i="3"/>
  <c r="O626" i="3"/>
  <c r="M626" i="3"/>
  <c r="L626" i="3"/>
  <c r="N626" i="3" s="1"/>
  <c r="K626" i="3"/>
  <c r="O625" i="3"/>
  <c r="M625" i="3"/>
  <c r="L625" i="3"/>
  <c r="N625" i="3" s="1"/>
  <c r="K625" i="3"/>
  <c r="O624" i="3"/>
  <c r="M624" i="3"/>
  <c r="L624" i="3"/>
  <c r="N624" i="3" s="1"/>
  <c r="K624" i="3"/>
  <c r="O623" i="3"/>
  <c r="M623" i="3"/>
  <c r="L623" i="3"/>
  <c r="N623" i="3" s="1"/>
  <c r="K623" i="3"/>
  <c r="O622" i="3"/>
  <c r="M622" i="3"/>
  <c r="L622" i="3"/>
  <c r="N622" i="3" s="1"/>
  <c r="K622" i="3"/>
  <c r="O621" i="3"/>
  <c r="M621" i="3"/>
  <c r="L621" i="3"/>
  <c r="N621" i="3" s="1"/>
  <c r="K621" i="3"/>
  <c r="O620" i="3"/>
  <c r="M620" i="3"/>
  <c r="L620" i="3"/>
  <c r="N620" i="3" s="1"/>
  <c r="K620" i="3"/>
  <c r="O619" i="3"/>
  <c r="M619" i="3"/>
  <c r="L619" i="3"/>
  <c r="N619" i="3" s="1"/>
  <c r="K619" i="3"/>
  <c r="O618" i="3"/>
  <c r="M618" i="3"/>
  <c r="L618" i="3"/>
  <c r="N618" i="3" s="1"/>
  <c r="K618" i="3"/>
  <c r="O617" i="3"/>
  <c r="M617" i="3"/>
  <c r="L617" i="3"/>
  <c r="N617" i="3" s="1"/>
  <c r="K617" i="3"/>
  <c r="O616" i="3"/>
  <c r="M616" i="3"/>
  <c r="L616" i="3"/>
  <c r="N616" i="3" s="1"/>
  <c r="K616" i="3"/>
  <c r="O615" i="3"/>
  <c r="M615" i="3"/>
  <c r="L615" i="3"/>
  <c r="N615" i="3" s="1"/>
  <c r="K615" i="3"/>
  <c r="O614" i="3"/>
  <c r="M614" i="3"/>
  <c r="L614" i="3"/>
  <c r="N614" i="3" s="1"/>
  <c r="K614" i="3"/>
  <c r="O613" i="3"/>
  <c r="M613" i="3"/>
  <c r="L613" i="3"/>
  <c r="N613" i="3" s="1"/>
  <c r="K613" i="3"/>
  <c r="O612" i="3"/>
  <c r="M612" i="3"/>
  <c r="L612" i="3"/>
  <c r="N612" i="3"/>
  <c r="K612" i="3"/>
  <c r="O611" i="3"/>
  <c r="M611" i="3"/>
  <c r="L611" i="3"/>
  <c r="N611" i="3" s="1"/>
  <c r="K611" i="3"/>
  <c r="O610" i="3"/>
  <c r="M610" i="3"/>
  <c r="L610" i="3"/>
  <c r="N610" i="3" s="1"/>
  <c r="K610" i="3"/>
  <c r="O609" i="3"/>
  <c r="M609" i="3"/>
  <c r="L609" i="3"/>
  <c r="N609" i="3" s="1"/>
  <c r="K609" i="3"/>
  <c r="O608" i="3"/>
  <c r="M608" i="3"/>
  <c r="L608" i="3"/>
  <c r="N608" i="3" s="1"/>
  <c r="K608" i="3"/>
  <c r="O607" i="3"/>
  <c r="M607" i="3"/>
  <c r="L607" i="3"/>
  <c r="N607" i="3" s="1"/>
  <c r="K607" i="3"/>
  <c r="O606" i="3"/>
  <c r="M606" i="3"/>
  <c r="L606" i="3"/>
  <c r="N606" i="3" s="1"/>
  <c r="K606" i="3"/>
  <c r="O605" i="3"/>
  <c r="M605" i="3"/>
  <c r="L605" i="3"/>
  <c r="N605" i="3" s="1"/>
  <c r="K605" i="3"/>
  <c r="O604" i="3"/>
  <c r="M604" i="3"/>
  <c r="L604" i="3"/>
  <c r="N604" i="3"/>
  <c r="K604" i="3"/>
  <c r="O603" i="3"/>
  <c r="M603" i="3"/>
  <c r="L603" i="3"/>
  <c r="N603" i="3" s="1"/>
  <c r="K603" i="3"/>
  <c r="O602" i="3"/>
  <c r="M602" i="3"/>
  <c r="L602" i="3"/>
  <c r="N602" i="3" s="1"/>
  <c r="K602" i="3"/>
  <c r="O601" i="3"/>
  <c r="M601" i="3"/>
  <c r="L601" i="3"/>
  <c r="N601" i="3" s="1"/>
  <c r="K601" i="3"/>
  <c r="O600" i="3"/>
  <c r="M600" i="3"/>
  <c r="L600" i="3"/>
  <c r="N600" i="3" s="1"/>
  <c r="K600" i="3"/>
  <c r="O599" i="3"/>
  <c r="M599" i="3"/>
  <c r="L599" i="3"/>
  <c r="N599" i="3" s="1"/>
  <c r="K599" i="3"/>
  <c r="O598" i="3"/>
  <c r="M598" i="3"/>
  <c r="L598" i="3"/>
  <c r="N598" i="3" s="1"/>
  <c r="K598" i="3"/>
  <c r="O597" i="3"/>
  <c r="M597" i="3"/>
  <c r="L597" i="3"/>
  <c r="N597" i="3" s="1"/>
  <c r="K597" i="3"/>
  <c r="O596" i="3"/>
  <c r="M596" i="3"/>
  <c r="L596" i="3"/>
  <c r="N596" i="3" s="1"/>
  <c r="K596" i="3"/>
  <c r="O595" i="3"/>
  <c r="M595" i="3"/>
  <c r="L595" i="3"/>
  <c r="N595" i="3" s="1"/>
  <c r="K595" i="3"/>
  <c r="O594" i="3"/>
  <c r="M594" i="3"/>
  <c r="L594" i="3"/>
  <c r="N594" i="3" s="1"/>
  <c r="K594" i="3"/>
  <c r="O593" i="3"/>
  <c r="M593" i="3"/>
  <c r="L593" i="3"/>
  <c r="N593" i="3"/>
  <c r="K593" i="3"/>
  <c r="O592" i="3"/>
  <c r="M592" i="3"/>
  <c r="L592" i="3"/>
  <c r="N592" i="3" s="1"/>
  <c r="K592" i="3"/>
  <c r="O591" i="3"/>
  <c r="M591" i="3"/>
  <c r="L591" i="3"/>
  <c r="N591" i="3" s="1"/>
  <c r="K591" i="3"/>
  <c r="O590" i="3"/>
  <c r="M590" i="3"/>
  <c r="L590" i="3"/>
  <c r="N590" i="3" s="1"/>
  <c r="K590" i="3"/>
  <c r="O589" i="3"/>
  <c r="M589" i="3"/>
  <c r="L589" i="3"/>
  <c r="N589" i="3" s="1"/>
  <c r="K589" i="3"/>
  <c r="O588" i="3"/>
  <c r="M588" i="3"/>
  <c r="L588" i="3"/>
  <c r="N588" i="3" s="1"/>
  <c r="K588" i="3"/>
  <c r="O587" i="3"/>
  <c r="M587" i="3"/>
  <c r="L587" i="3"/>
  <c r="N587" i="3" s="1"/>
  <c r="K587" i="3"/>
  <c r="O586" i="3"/>
  <c r="M586" i="3"/>
  <c r="L586" i="3"/>
  <c r="N586" i="3" s="1"/>
  <c r="K586" i="3"/>
  <c r="O585" i="3"/>
  <c r="M585" i="3"/>
  <c r="L585" i="3"/>
  <c r="N585" i="3" s="1"/>
  <c r="K585" i="3"/>
  <c r="O584" i="3"/>
  <c r="M584" i="3"/>
  <c r="L584" i="3"/>
  <c r="N584" i="3" s="1"/>
  <c r="K584" i="3"/>
  <c r="O583" i="3"/>
  <c r="M583" i="3"/>
  <c r="L583" i="3"/>
  <c r="N583" i="3" s="1"/>
  <c r="K583" i="3"/>
  <c r="O582" i="3"/>
  <c r="M582" i="3"/>
  <c r="L582" i="3"/>
  <c r="N582" i="3" s="1"/>
  <c r="K582" i="3"/>
  <c r="O581" i="3"/>
  <c r="M581" i="3"/>
  <c r="L581" i="3"/>
  <c r="N581" i="3" s="1"/>
  <c r="K581" i="3"/>
  <c r="O580" i="3"/>
  <c r="M580" i="3"/>
  <c r="L580" i="3"/>
  <c r="N580" i="3"/>
  <c r="K580" i="3"/>
  <c r="O579" i="3"/>
  <c r="M579" i="3"/>
  <c r="L579" i="3"/>
  <c r="N579" i="3" s="1"/>
  <c r="K579" i="3"/>
  <c r="O578" i="3"/>
  <c r="M578" i="3"/>
  <c r="L578" i="3"/>
  <c r="N578" i="3" s="1"/>
  <c r="K578" i="3"/>
  <c r="O577" i="3"/>
  <c r="M577" i="3"/>
  <c r="L577" i="3"/>
  <c r="N577" i="3" s="1"/>
  <c r="K577" i="3"/>
  <c r="O576" i="3"/>
  <c r="M576" i="3"/>
  <c r="L576" i="3"/>
  <c r="N576" i="3" s="1"/>
  <c r="K576" i="3"/>
  <c r="O575" i="3"/>
  <c r="M575" i="3"/>
  <c r="L575" i="3"/>
  <c r="N575" i="3" s="1"/>
  <c r="K575" i="3"/>
  <c r="O574" i="3"/>
  <c r="M574" i="3"/>
  <c r="L574" i="3"/>
  <c r="N574" i="3" s="1"/>
  <c r="K574" i="3"/>
  <c r="O573" i="3"/>
  <c r="M573" i="3"/>
  <c r="L573" i="3"/>
  <c r="N573" i="3" s="1"/>
  <c r="K573" i="3"/>
  <c r="O572" i="3"/>
  <c r="M572" i="3"/>
  <c r="L572" i="3"/>
  <c r="N572" i="3" s="1"/>
  <c r="K572" i="3"/>
  <c r="O571" i="3"/>
  <c r="M571" i="3"/>
  <c r="L571" i="3"/>
  <c r="N571" i="3" s="1"/>
  <c r="K571" i="3"/>
  <c r="O570" i="3"/>
  <c r="M570" i="3"/>
  <c r="L570" i="3"/>
  <c r="N570" i="3" s="1"/>
  <c r="K570" i="3"/>
  <c r="O569" i="3"/>
  <c r="M569" i="3"/>
  <c r="L569" i="3"/>
  <c r="N569" i="3" s="1"/>
  <c r="K569" i="3"/>
  <c r="O568" i="3"/>
  <c r="M568" i="3"/>
  <c r="L568" i="3"/>
  <c r="N568" i="3" s="1"/>
  <c r="K568" i="3"/>
  <c r="O567" i="3"/>
  <c r="M567" i="3"/>
  <c r="L567" i="3"/>
  <c r="N567" i="3" s="1"/>
  <c r="K567" i="3"/>
  <c r="O566" i="3"/>
  <c r="M566" i="3"/>
  <c r="L566" i="3"/>
  <c r="N566" i="3" s="1"/>
  <c r="K566" i="3"/>
  <c r="O565" i="3"/>
  <c r="M565" i="3"/>
  <c r="L565" i="3"/>
  <c r="N565" i="3" s="1"/>
  <c r="K565" i="3"/>
  <c r="O564" i="3"/>
  <c r="M564" i="3"/>
  <c r="L564" i="3"/>
  <c r="N564" i="3" s="1"/>
  <c r="K564" i="3"/>
  <c r="O563" i="3"/>
  <c r="M563" i="3"/>
  <c r="L563" i="3"/>
  <c r="N563" i="3" s="1"/>
  <c r="K563" i="3"/>
  <c r="O562" i="3"/>
  <c r="M562" i="3"/>
  <c r="L562" i="3"/>
  <c r="N562" i="3"/>
  <c r="K562" i="3"/>
  <c r="O561" i="3"/>
  <c r="M561" i="3"/>
  <c r="L561" i="3"/>
  <c r="N561" i="3" s="1"/>
  <c r="K561" i="3"/>
  <c r="O560" i="3"/>
  <c r="M560" i="3"/>
  <c r="L560" i="3"/>
  <c r="N560" i="3" s="1"/>
  <c r="K560" i="3"/>
  <c r="O559" i="3"/>
  <c r="M559" i="3"/>
  <c r="L559" i="3"/>
  <c r="N559" i="3" s="1"/>
  <c r="K559" i="3"/>
  <c r="O558" i="3"/>
  <c r="M558" i="3"/>
  <c r="L558" i="3"/>
  <c r="N558" i="3" s="1"/>
  <c r="K558" i="3"/>
  <c r="O557" i="3"/>
  <c r="M557" i="3"/>
  <c r="L557" i="3"/>
  <c r="N557" i="3" s="1"/>
  <c r="K557" i="3"/>
  <c r="O556" i="3"/>
  <c r="M556" i="3"/>
  <c r="L556" i="3"/>
  <c r="N556" i="3"/>
  <c r="K556" i="3"/>
  <c r="O555" i="3"/>
  <c r="M555" i="3"/>
  <c r="L555" i="3"/>
  <c r="N555" i="3" s="1"/>
  <c r="K555" i="3"/>
  <c r="O554" i="3"/>
  <c r="M554" i="3"/>
  <c r="L554" i="3"/>
  <c r="N554" i="3" s="1"/>
  <c r="K554" i="3"/>
  <c r="O553" i="3"/>
  <c r="M553" i="3"/>
  <c r="L553" i="3"/>
  <c r="N553" i="3" s="1"/>
  <c r="K553" i="3"/>
  <c r="O552" i="3"/>
  <c r="M552" i="3"/>
  <c r="L552" i="3"/>
  <c r="N552" i="3" s="1"/>
  <c r="K552" i="3"/>
  <c r="O551" i="3"/>
  <c r="M551" i="3"/>
  <c r="L551" i="3"/>
  <c r="N551" i="3" s="1"/>
  <c r="K551" i="3"/>
  <c r="O550" i="3"/>
  <c r="M550" i="3"/>
  <c r="L550" i="3"/>
  <c r="N550" i="3" s="1"/>
  <c r="K550" i="3"/>
  <c r="O549" i="3"/>
  <c r="M549" i="3"/>
  <c r="L549" i="3"/>
  <c r="N549" i="3" s="1"/>
  <c r="K549" i="3"/>
  <c r="O548" i="3"/>
  <c r="M548" i="3"/>
  <c r="L548" i="3"/>
  <c r="N548" i="3" s="1"/>
  <c r="K548" i="3"/>
  <c r="O547" i="3"/>
  <c r="M547" i="3"/>
  <c r="L547" i="3"/>
  <c r="N547" i="3" s="1"/>
  <c r="K547" i="3"/>
  <c r="O546" i="3"/>
  <c r="M546" i="3"/>
  <c r="L546" i="3"/>
  <c r="N546" i="3" s="1"/>
  <c r="K546" i="3"/>
  <c r="O545" i="3"/>
  <c r="M545" i="3"/>
  <c r="L545" i="3"/>
  <c r="N545" i="3" s="1"/>
  <c r="K545" i="3"/>
  <c r="O544" i="3"/>
  <c r="M544" i="3"/>
  <c r="L544" i="3"/>
  <c r="N544" i="3" s="1"/>
  <c r="K544" i="3"/>
  <c r="O543" i="3"/>
  <c r="M543" i="3"/>
  <c r="L543" i="3"/>
  <c r="N543" i="3" s="1"/>
  <c r="K543" i="3"/>
  <c r="O542" i="3"/>
  <c r="M542" i="3"/>
  <c r="L542" i="3"/>
  <c r="N542" i="3" s="1"/>
  <c r="K542" i="3"/>
  <c r="O541" i="3"/>
  <c r="M541" i="3"/>
  <c r="L541" i="3"/>
  <c r="N541" i="3" s="1"/>
  <c r="K541" i="3"/>
  <c r="O540" i="3"/>
  <c r="M540" i="3"/>
  <c r="L540" i="3"/>
  <c r="N540" i="3" s="1"/>
  <c r="K540" i="3"/>
  <c r="O539" i="3"/>
  <c r="M539" i="3"/>
  <c r="L539" i="3"/>
  <c r="N539" i="3" s="1"/>
  <c r="K539" i="3"/>
  <c r="O538" i="3"/>
  <c r="M538" i="3"/>
  <c r="L538" i="3"/>
  <c r="N538" i="3" s="1"/>
  <c r="K538" i="3"/>
  <c r="O537" i="3"/>
  <c r="M537" i="3"/>
  <c r="L537" i="3"/>
  <c r="N537" i="3" s="1"/>
  <c r="K537" i="3"/>
  <c r="O536" i="3"/>
  <c r="M536" i="3"/>
  <c r="L536" i="3"/>
  <c r="N536" i="3" s="1"/>
  <c r="K536" i="3"/>
  <c r="O535" i="3"/>
  <c r="M535" i="3"/>
  <c r="L535" i="3"/>
  <c r="N535" i="3" s="1"/>
  <c r="K535" i="3"/>
  <c r="O534" i="3"/>
  <c r="M534" i="3"/>
  <c r="L534" i="3"/>
  <c r="N534" i="3" s="1"/>
  <c r="K534" i="3"/>
  <c r="O533" i="3"/>
  <c r="M533" i="3"/>
  <c r="L533" i="3"/>
  <c r="N533" i="3" s="1"/>
  <c r="K533" i="3"/>
  <c r="O532" i="3"/>
  <c r="M532" i="3"/>
  <c r="L532" i="3"/>
  <c r="N532" i="3" s="1"/>
  <c r="K532" i="3"/>
  <c r="O531" i="3"/>
  <c r="M531" i="3"/>
  <c r="L531" i="3"/>
  <c r="N531" i="3" s="1"/>
  <c r="K531" i="3"/>
  <c r="O530" i="3"/>
  <c r="M530" i="3"/>
  <c r="L530" i="3"/>
  <c r="N530" i="3" s="1"/>
  <c r="K530" i="3"/>
  <c r="O529" i="3"/>
  <c r="M529" i="3"/>
  <c r="L529" i="3"/>
  <c r="N529" i="3" s="1"/>
  <c r="K529" i="3"/>
  <c r="O528" i="3"/>
  <c r="M528" i="3"/>
  <c r="L528" i="3"/>
  <c r="N528" i="3" s="1"/>
  <c r="K528" i="3"/>
  <c r="O527" i="3"/>
  <c r="M527" i="3"/>
  <c r="L527" i="3"/>
  <c r="N527" i="3" s="1"/>
  <c r="K527" i="3"/>
  <c r="O526" i="3"/>
  <c r="M526" i="3"/>
  <c r="L526" i="3"/>
  <c r="N526" i="3" s="1"/>
  <c r="K526" i="3"/>
  <c r="O525" i="3"/>
  <c r="M525" i="3"/>
  <c r="L525" i="3"/>
  <c r="N525" i="3" s="1"/>
  <c r="K525" i="3"/>
  <c r="O524" i="3"/>
  <c r="M524" i="3"/>
  <c r="L524" i="3"/>
  <c r="N524" i="3"/>
  <c r="K524" i="3"/>
  <c r="O523" i="3"/>
  <c r="M523" i="3"/>
  <c r="L523" i="3"/>
  <c r="N523" i="3" s="1"/>
  <c r="K523" i="3"/>
  <c r="O522" i="3"/>
  <c r="M522" i="3"/>
  <c r="L522" i="3"/>
  <c r="N522" i="3" s="1"/>
  <c r="K522" i="3"/>
  <c r="O521" i="3"/>
  <c r="M521" i="3"/>
  <c r="L521" i="3"/>
  <c r="N521" i="3" s="1"/>
  <c r="K521" i="3"/>
  <c r="O520" i="3"/>
  <c r="M520" i="3"/>
  <c r="L520" i="3"/>
  <c r="N520" i="3" s="1"/>
  <c r="K520" i="3"/>
  <c r="O519" i="3"/>
  <c r="M519" i="3"/>
  <c r="L519" i="3"/>
  <c r="N519" i="3" s="1"/>
  <c r="K519" i="3"/>
  <c r="O518" i="3"/>
  <c r="M518" i="3"/>
  <c r="L518" i="3"/>
  <c r="N518" i="3" s="1"/>
  <c r="K518" i="3"/>
  <c r="O517" i="3"/>
  <c r="M517" i="3"/>
  <c r="L517" i="3"/>
  <c r="N517" i="3" s="1"/>
  <c r="K517" i="3"/>
  <c r="O516" i="3"/>
  <c r="M516" i="3"/>
  <c r="L516" i="3"/>
  <c r="N516" i="3" s="1"/>
  <c r="K516" i="3"/>
  <c r="O515" i="3"/>
  <c r="M515" i="3"/>
  <c r="L515" i="3"/>
  <c r="N515" i="3" s="1"/>
  <c r="K515" i="3"/>
  <c r="O514" i="3"/>
  <c r="M514" i="3"/>
  <c r="L514" i="3"/>
  <c r="N514" i="3" s="1"/>
  <c r="K514" i="3"/>
  <c r="O513" i="3"/>
  <c r="M513" i="3"/>
  <c r="L513" i="3"/>
  <c r="N513" i="3" s="1"/>
  <c r="K513" i="3"/>
  <c r="O512" i="3"/>
  <c r="M512" i="3"/>
  <c r="L512" i="3"/>
  <c r="N512" i="3" s="1"/>
  <c r="K512" i="3"/>
  <c r="O511" i="3"/>
  <c r="M511" i="3"/>
  <c r="L511" i="3"/>
  <c r="N511" i="3" s="1"/>
  <c r="K511" i="3"/>
  <c r="O510" i="3"/>
  <c r="M510" i="3"/>
  <c r="L510" i="3"/>
  <c r="N510" i="3" s="1"/>
  <c r="K510" i="3"/>
  <c r="O509" i="3"/>
  <c r="M509" i="3"/>
  <c r="L509" i="3"/>
  <c r="N509" i="3" s="1"/>
  <c r="K509" i="3"/>
  <c r="O508" i="3"/>
  <c r="M508" i="3"/>
  <c r="L508" i="3"/>
  <c r="N508" i="3" s="1"/>
  <c r="K508" i="3"/>
  <c r="O507" i="3"/>
  <c r="M507" i="3"/>
  <c r="L507" i="3"/>
  <c r="N507" i="3" s="1"/>
  <c r="K507" i="3"/>
  <c r="O506" i="3"/>
  <c r="M506" i="3"/>
  <c r="L506" i="3"/>
  <c r="N506" i="3" s="1"/>
  <c r="K506" i="3"/>
  <c r="O505" i="3"/>
  <c r="M505" i="3"/>
  <c r="L505" i="3"/>
  <c r="N505" i="3" s="1"/>
  <c r="K505" i="3"/>
  <c r="O504" i="3"/>
  <c r="M504" i="3"/>
  <c r="L504" i="3"/>
  <c r="N504" i="3" s="1"/>
  <c r="K504" i="3"/>
  <c r="O503" i="3"/>
  <c r="M503" i="3"/>
  <c r="L503" i="3"/>
  <c r="N503" i="3" s="1"/>
  <c r="K503" i="3"/>
  <c r="O502" i="3"/>
  <c r="M502" i="3"/>
  <c r="L502" i="3"/>
  <c r="N502" i="3" s="1"/>
  <c r="K502" i="3"/>
  <c r="O501" i="3"/>
  <c r="M501" i="3"/>
  <c r="L501" i="3"/>
  <c r="N501" i="3" s="1"/>
  <c r="K501" i="3"/>
  <c r="O500" i="3"/>
  <c r="M500" i="3"/>
  <c r="L500" i="3"/>
  <c r="N500" i="3"/>
  <c r="K500" i="3"/>
  <c r="O499" i="3"/>
  <c r="M499" i="3"/>
  <c r="L499" i="3"/>
  <c r="N499" i="3" s="1"/>
  <c r="K499" i="3"/>
  <c r="O498" i="3"/>
  <c r="M498" i="3"/>
  <c r="L498" i="3"/>
  <c r="N498" i="3" s="1"/>
  <c r="K498" i="3"/>
  <c r="O497" i="3"/>
  <c r="M497" i="3"/>
  <c r="L497" i="3"/>
  <c r="N497" i="3"/>
  <c r="K497" i="3"/>
  <c r="O496" i="3"/>
  <c r="M496" i="3"/>
  <c r="L496" i="3"/>
  <c r="N496" i="3" s="1"/>
  <c r="K496" i="3"/>
  <c r="O495" i="3"/>
  <c r="M495" i="3"/>
  <c r="L495" i="3"/>
  <c r="N495" i="3" s="1"/>
  <c r="K495" i="3"/>
  <c r="O494" i="3"/>
  <c r="M494" i="3"/>
  <c r="L494" i="3"/>
  <c r="N494" i="3" s="1"/>
  <c r="K494" i="3"/>
  <c r="O493" i="3"/>
  <c r="M493" i="3"/>
  <c r="L493" i="3"/>
  <c r="N493" i="3" s="1"/>
  <c r="K493" i="3"/>
  <c r="O492" i="3"/>
  <c r="M492" i="3"/>
  <c r="L492" i="3"/>
  <c r="N492" i="3"/>
  <c r="K492" i="3"/>
  <c r="O491" i="3"/>
  <c r="M491" i="3"/>
  <c r="L491" i="3"/>
  <c r="N491" i="3" s="1"/>
  <c r="K491" i="3"/>
  <c r="O490" i="3"/>
  <c r="M490" i="3"/>
  <c r="L490" i="3"/>
  <c r="N490" i="3" s="1"/>
  <c r="K490" i="3"/>
  <c r="O489" i="3"/>
  <c r="M489" i="3"/>
  <c r="L489" i="3"/>
  <c r="N489" i="3" s="1"/>
  <c r="K489" i="3"/>
  <c r="O488" i="3"/>
  <c r="M488" i="3"/>
  <c r="L488" i="3"/>
  <c r="N488" i="3" s="1"/>
  <c r="K488" i="3"/>
  <c r="O487" i="3"/>
  <c r="M487" i="3"/>
  <c r="L487" i="3"/>
  <c r="N487" i="3" s="1"/>
  <c r="K487" i="3"/>
  <c r="O486" i="3"/>
  <c r="M486" i="3"/>
  <c r="L486" i="3"/>
  <c r="N486" i="3" s="1"/>
  <c r="K486" i="3"/>
  <c r="O485" i="3"/>
  <c r="M485" i="3"/>
  <c r="L485" i="3"/>
  <c r="N485" i="3" s="1"/>
  <c r="K485" i="3"/>
  <c r="O484" i="3"/>
  <c r="M484" i="3"/>
  <c r="L484" i="3"/>
  <c r="N484" i="3" s="1"/>
  <c r="K484" i="3"/>
  <c r="O483" i="3"/>
  <c r="M483" i="3"/>
  <c r="L483" i="3"/>
  <c r="N483" i="3" s="1"/>
  <c r="K483" i="3"/>
  <c r="O482" i="3"/>
  <c r="M482" i="3"/>
  <c r="L482" i="3"/>
  <c r="N482" i="3" s="1"/>
  <c r="K482" i="3"/>
  <c r="O481" i="3"/>
  <c r="M481" i="3"/>
  <c r="L481" i="3"/>
  <c r="N481" i="3" s="1"/>
  <c r="K481" i="3"/>
  <c r="O480" i="3"/>
  <c r="M480" i="3"/>
  <c r="L480" i="3"/>
  <c r="N480" i="3" s="1"/>
  <c r="K480" i="3"/>
  <c r="O479" i="3"/>
  <c r="M479" i="3"/>
  <c r="L479" i="3"/>
  <c r="N479" i="3" s="1"/>
  <c r="K479" i="3"/>
  <c r="O478" i="3"/>
  <c r="M478" i="3"/>
  <c r="L478" i="3"/>
  <c r="N478" i="3" s="1"/>
  <c r="K478" i="3"/>
  <c r="O477" i="3"/>
  <c r="M477" i="3"/>
  <c r="L477" i="3"/>
  <c r="N477" i="3" s="1"/>
  <c r="K477" i="3"/>
  <c r="O476" i="3"/>
  <c r="M476" i="3"/>
  <c r="L476" i="3"/>
  <c r="N476" i="3" s="1"/>
  <c r="K476" i="3"/>
  <c r="O475" i="3"/>
  <c r="M475" i="3"/>
  <c r="L475" i="3"/>
  <c r="N475" i="3" s="1"/>
  <c r="K475" i="3"/>
  <c r="O474" i="3"/>
  <c r="M474" i="3"/>
  <c r="L474" i="3"/>
  <c r="N474" i="3" s="1"/>
  <c r="K474" i="3"/>
  <c r="O473" i="3"/>
  <c r="M473" i="3"/>
  <c r="L473" i="3"/>
  <c r="N473" i="3" s="1"/>
  <c r="K473" i="3"/>
  <c r="O472" i="3"/>
  <c r="M472" i="3"/>
  <c r="L472" i="3"/>
  <c r="N472" i="3" s="1"/>
  <c r="K472" i="3"/>
  <c r="O471" i="3"/>
  <c r="M471" i="3"/>
  <c r="L471" i="3"/>
  <c r="N471" i="3" s="1"/>
  <c r="K471" i="3"/>
  <c r="O470" i="3"/>
  <c r="M470" i="3"/>
  <c r="L470" i="3"/>
  <c r="N470" i="3" s="1"/>
  <c r="K470" i="3"/>
  <c r="O469" i="3"/>
  <c r="M469" i="3"/>
  <c r="L469" i="3"/>
  <c r="N469" i="3" s="1"/>
  <c r="K469" i="3"/>
  <c r="O468" i="3"/>
  <c r="M468" i="3"/>
  <c r="L468" i="3"/>
  <c r="N468" i="3" s="1"/>
  <c r="K468" i="3"/>
  <c r="O467" i="3"/>
  <c r="M467" i="3"/>
  <c r="L467" i="3"/>
  <c r="N467" i="3" s="1"/>
  <c r="K467" i="3"/>
  <c r="O466" i="3"/>
  <c r="M466" i="3"/>
  <c r="L466" i="3"/>
  <c r="N466" i="3" s="1"/>
  <c r="K466" i="3"/>
  <c r="O465" i="3"/>
  <c r="M465" i="3"/>
  <c r="L465" i="3"/>
  <c r="N465" i="3" s="1"/>
  <c r="K465" i="3"/>
  <c r="O464" i="3"/>
  <c r="M464" i="3"/>
  <c r="L464" i="3"/>
  <c r="N464" i="3" s="1"/>
  <c r="K464" i="3"/>
  <c r="O463" i="3"/>
  <c r="M463" i="3"/>
  <c r="L463" i="3"/>
  <c r="N463" i="3" s="1"/>
  <c r="K463" i="3"/>
  <c r="O462" i="3"/>
  <c r="M462" i="3"/>
  <c r="L462" i="3"/>
  <c r="N462" i="3" s="1"/>
  <c r="K462" i="3"/>
  <c r="O461" i="3"/>
  <c r="M461" i="3"/>
  <c r="L461" i="3"/>
  <c r="N461" i="3" s="1"/>
  <c r="K461" i="3"/>
  <c r="O460" i="3"/>
  <c r="M460" i="3"/>
  <c r="L460" i="3"/>
  <c r="N460" i="3"/>
  <c r="K460" i="3"/>
  <c r="O459" i="3"/>
  <c r="M459" i="3"/>
  <c r="L459" i="3"/>
  <c r="N459" i="3" s="1"/>
  <c r="K459" i="3"/>
  <c r="O458" i="3"/>
  <c r="M458" i="3"/>
  <c r="L458" i="3"/>
  <c r="N458" i="3" s="1"/>
  <c r="K458" i="3"/>
  <c r="O457" i="3"/>
  <c r="M457" i="3"/>
  <c r="L457" i="3"/>
  <c r="N457" i="3" s="1"/>
  <c r="K457" i="3"/>
  <c r="O456" i="3"/>
  <c r="M456" i="3"/>
  <c r="L456" i="3"/>
  <c r="N456" i="3" s="1"/>
  <c r="K456" i="3"/>
  <c r="O455" i="3"/>
  <c r="M455" i="3"/>
  <c r="L455" i="3"/>
  <c r="N455" i="3" s="1"/>
  <c r="K455" i="3"/>
  <c r="O454" i="3"/>
  <c r="M454" i="3"/>
  <c r="L454" i="3"/>
  <c r="N454" i="3" s="1"/>
  <c r="K454" i="3"/>
  <c r="O453" i="3"/>
  <c r="M453" i="3"/>
  <c r="L453" i="3"/>
  <c r="N453" i="3" s="1"/>
  <c r="K453" i="3"/>
  <c r="O452" i="3"/>
  <c r="M452" i="3"/>
  <c r="L452" i="3"/>
  <c r="N452" i="3" s="1"/>
  <c r="K452" i="3"/>
  <c r="O451" i="3"/>
  <c r="M451" i="3"/>
  <c r="L451" i="3"/>
  <c r="N451" i="3" s="1"/>
  <c r="K451" i="3"/>
  <c r="O450" i="3"/>
  <c r="M450" i="3"/>
  <c r="L450" i="3"/>
  <c r="N450" i="3" s="1"/>
  <c r="K450" i="3"/>
  <c r="O449" i="3"/>
  <c r="M449" i="3"/>
  <c r="L449" i="3"/>
  <c r="N449" i="3" s="1"/>
  <c r="K449" i="3"/>
  <c r="O448" i="3"/>
  <c r="M448" i="3"/>
  <c r="L448" i="3"/>
  <c r="N448" i="3" s="1"/>
  <c r="K448" i="3"/>
  <c r="O447" i="3"/>
  <c r="M447" i="3"/>
  <c r="L447" i="3"/>
  <c r="N447" i="3" s="1"/>
  <c r="K447" i="3"/>
  <c r="O446" i="3"/>
  <c r="M446" i="3"/>
  <c r="L446" i="3"/>
  <c r="N446" i="3" s="1"/>
  <c r="K446" i="3"/>
  <c r="O445" i="3"/>
  <c r="M445" i="3"/>
  <c r="L445" i="3"/>
  <c r="N445" i="3" s="1"/>
  <c r="K445" i="3"/>
  <c r="O444" i="3"/>
  <c r="M444" i="3"/>
  <c r="L444" i="3"/>
  <c r="N444" i="3" s="1"/>
  <c r="K444" i="3"/>
  <c r="O443" i="3"/>
  <c r="M443" i="3"/>
  <c r="L443" i="3"/>
  <c r="N443" i="3" s="1"/>
  <c r="K443" i="3"/>
  <c r="O442" i="3"/>
  <c r="M442" i="3"/>
  <c r="L442" i="3"/>
  <c r="N442" i="3" s="1"/>
  <c r="K442" i="3"/>
  <c r="O441" i="3"/>
  <c r="M441" i="3"/>
  <c r="L441" i="3"/>
  <c r="N441" i="3" s="1"/>
  <c r="K441" i="3"/>
  <c r="O440" i="3"/>
  <c r="M440" i="3"/>
  <c r="L440" i="3"/>
  <c r="N440" i="3" s="1"/>
  <c r="K440" i="3"/>
  <c r="O439" i="3"/>
  <c r="M439" i="3"/>
  <c r="L439" i="3"/>
  <c r="N439" i="3" s="1"/>
  <c r="K439" i="3"/>
  <c r="O438" i="3"/>
  <c r="M438" i="3"/>
  <c r="L438" i="3"/>
  <c r="N438" i="3" s="1"/>
  <c r="K438" i="3"/>
  <c r="O437" i="3"/>
  <c r="M437" i="3"/>
  <c r="L437" i="3"/>
  <c r="N437" i="3" s="1"/>
  <c r="K437" i="3"/>
  <c r="O436" i="3"/>
  <c r="M436" i="3"/>
  <c r="L436" i="3"/>
  <c r="N436" i="3" s="1"/>
  <c r="K436" i="3"/>
  <c r="O435" i="3"/>
  <c r="M435" i="3"/>
  <c r="L435" i="3"/>
  <c r="N435" i="3" s="1"/>
  <c r="K435" i="3"/>
  <c r="O434" i="3"/>
  <c r="M434" i="3"/>
  <c r="L434" i="3"/>
  <c r="N434" i="3"/>
  <c r="K434" i="3"/>
  <c r="O433" i="3"/>
  <c r="M433" i="3"/>
  <c r="L433" i="3"/>
  <c r="N433" i="3"/>
  <c r="K433" i="3"/>
  <c r="O432" i="3"/>
  <c r="M432" i="3"/>
  <c r="L432" i="3"/>
  <c r="N432" i="3" s="1"/>
  <c r="K432" i="3"/>
  <c r="O431" i="3"/>
  <c r="M431" i="3"/>
  <c r="L431" i="3"/>
  <c r="N431" i="3" s="1"/>
  <c r="K431" i="3"/>
  <c r="O430" i="3"/>
  <c r="M430" i="3"/>
  <c r="L430" i="3"/>
  <c r="N430" i="3" s="1"/>
  <c r="K430" i="3"/>
  <c r="O429" i="3"/>
  <c r="M429" i="3"/>
  <c r="L429" i="3"/>
  <c r="N429" i="3" s="1"/>
  <c r="K429" i="3"/>
  <c r="O428" i="3"/>
  <c r="M428" i="3"/>
  <c r="L428" i="3"/>
  <c r="N428" i="3" s="1"/>
  <c r="K428" i="3"/>
  <c r="O427" i="3"/>
  <c r="M427" i="3"/>
  <c r="L427" i="3"/>
  <c r="N427" i="3" s="1"/>
  <c r="K427" i="3"/>
  <c r="O426" i="3"/>
  <c r="M426" i="3"/>
  <c r="L426" i="3"/>
  <c r="N426" i="3" s="1"/>
  <c r="K426" i="3"/>
  <c r="O425" i="3"/>
  <c r="M425" i="3"/>
  <c r="L425" i="3"/>
  <c r="N425" i="3" s="1"/>
  <c r="K425" i="3"/>
  <c r="O424" i="3"/>
  <c r="M424" i="3"/>
  <c r="L424" i="3"/>
  <c r="N424" i="3" s="1"/>
  <c r="K424" i="3"/>
  <c r="O423" i="3"/>
  <c r="M423" i="3"/>
  <c r="L423" i="3"/>
  <c r="N423" i="3" s="1"/>
  <c r="K423" i="3"/>
  <c r="O422" i="3"/>
  <c r="M422" i="3"/>
  <c r="L422" i="3"/>
  <c r="N422" i="3" s="1"/>
  <c r="K422" i="3"/>
  <c r="O421" i="3"/>
  <c r="M421" i="3"/>
  <c r="L421" i="3"/>
  <c r="N421" i="3" s="1"/>
  <c r="K421" i="3"/>
  <c r="O420" i="3"/>
  <c r="M420" i="3"/>
  <c r="L420" i="3"/>
  <c r="N420" i="3"/>
  <c r="K420" i="3"/>
  <c r="O419" i="3"/>
  <c r="M419" i="3"/>
  <c r="L419" i="3"/>
  <c r="N419" i="3" s="1"/>
  <c r="K419" i="3"/>
  <c r="O418" i="3"/>
  <c r="M418" i="3"/>
  <c r="L418" i="3"/>
  <c r="N418" i="3" s="1"/>
  <c r="K418" i="3"/>
  <c r="O417" i="3"/>
  <c r="M417" i="3"/>
  <c r="L417" i="3"/>
  <c r="N417" i="3" s="1"/>
  <c r="K417" i="3"/>
  <c r="O416" i="3"/>
  <c r="M416" i="3"/>
  <c r="L416" i="3"/>
  <c r="N416" i="3" s="1"/>
  <c r="K416" i="3"/>
  <c r="O415" i="3"/>
  <c r="M415" i="3"/>
  <c r="L415" i="3"/>
  <c r="N415" i="3" s="1"/>
  <c r="K415" i="3"/>
  <c r="O414" i="3"/>
  <c r="M414" i="3"/>
  <c r="L414" i="3"/>
  <c r="N414" i="3" s="1"/>
  <c r="K414" i="3"/>
  <c r="O413" i="3"/>
  <c r="M413" i="3"/>
  <c r="L413" i="3"/>
  <c r="N413" i="3" s="1"/>
  <c r="K413" i="3"/>
  <c r="O412" i="3"/>
  <c r="M412" i="3"/>
  <c r="L412" i="3"/>
  <c r="N412" i="3" s="1"/>
  <c r="K412" i="3"/>
  <c r="O411" i="3"/>
  <c r="M411" i="3"/>
  <c r="L411" i="3"/>
  <c r="N411" i="3" s="1"/>
  <c r="K411" i="3"/>
  <c r="O410" i="3"/>
  <c r="M410" i="3"/>
  <c r="L410" i="3"/>
  <c r="N410" i="3" s="1"/>
  <c r="K410" i="3"/>
  <c r="O409" i="3"/>
  <c r="M409" i="3"/>
  <c r="L409" i="3"/>
  <c r="N409" i="3" s="1"/>
  <c r="K409" i="3"/>
  <c r="O408" i="3"/>
  <c r="M408" i="3"/>
  <c r="L408" i="3"/>
  <c r="N408" i="3" s="1"/>
  <c r="K408" i="3"/>
  <c r="O407" i="3"/>
  <c r="M407" i="3"/>
  <c r="L407" i="3"/>
  <c r="N407" i="3" s="1"/>
  <c r="K407" i="3"/>
  <c r="O406" i="3"/>
  <c r="M406" i="3"/>
  <c r="L406" i="3"/>
  <c r="N406" i="3" s="1"/>
  <c r="K406" i="3"/>
  <c r="O405" i="3"/>
  <c r="M405" i="3"/>
  <c r="L405" i="3"/>
  <c r="N405" i="3" s="1"/>
  <c r="K405" i="3"/>
  <c r="O404" i="3"/>
  <c r="M404" i="3"/>
  <c r="L404" i="3"/>
  <c r="N404" i="3"/>
  <c r="K404" i="3"/>
  <c r="O403" i="3"/>
  <c r="M403" i="3"/>
  <c r="L403" i="3"/>
  <c r="N403" i="3" s="1"/>
  <c r="K403" i="3"/>
  <c r="O402" i="3"/>
  <c r="M402" i="3"/>
  <c r="L402" i="3"/>
  <c r="N402" i="3" s="1"/>
  <c r="K402" i="3"/>
  <c r="O401" i="3"/>
  <c r="M401" i="3"/>
  <c r="L401" i="3"/>
  <c r="N401" i="3" s="1"/>
  <c r="K401" i="3"/>
  <c r="O400" i="3"/>
  <c r="M400" i="3"/>
  <c r="L400" i="3"/>
  <c r="N400" i="3" s="1"/>
  <c r="K400" i="3"/>
  <c r="O399" i="3"/>
  <c r="M399" i="3"/>
  <c r="L399" i="3"/>
  <c r="N399" i="3" s="1"/>
  <c r="K399" i="3"/>
  <c r="O398" i="3"/>
  <c r="M398" i="3"/>
  <c r="L398" i="3"/>
  <c r="N398" i="3" s="1"/>
  <c r="K398" i="3"/>
  <c r="O397" i="3"/>
  <c r="M397" i="3"/>
  <c r="L397" i="3"/>
  <c r="N397" i="3" s="1"/>
  <c r="K397" i="3"/>
  <c r="O396" i="3"/>
  <c r="M396" i="3"/>
  <c r="L396" i="3"/>
  <c r="N396" i="3" s="1"/>
  <c r="K396" i="3"/>
  <c r="O395" i="3"/>
  <c r="M395" i="3"/>
  <c r="L395" i="3"/>
  <c r="N395" i="3" s="1"/>
  <c r="K395" i="3"/>
  <c r="O394" i="3"/>
  <c r="M394" i="3"/>
  <c r="L394" i="3"/>
  <c r="N394" i="3" s="1"/>
  <c r="K394" i="3"/>
  <c r="O393" i="3"/>
  <c r="M393" i="3"/>
  <c r="L393" i="3"/>
  <c r="N393" i="3" s="1"/>
  <c r="K393" i="3"/>
  <c r="O392" i="3"/>
  <c r="M392" i="3"/>
  <c r="L392" i="3"/>
  <c r="N392" i="3" s="1"/>
  <c r="K392" i="3"/>
  <c r="O391" i="3"/>
  <c r="M391" i="3"/>
  <c r="L391" i="3"/>
  <c r="N391" i="3" s="1"/>
  <c r="K391" i="3"/>
  <c r="O390" i="3"/>
  <c r="M390" i="3"/>
  <c r="L390" i="3"/>
  <c r="N390" i="3" s="1"/>
  <c r="K390" i="3"/>
  <c r="O389" i="3"/>
  <c r="M389" i="3"/>
  <c r="L389" i="3"/>
  <c r="N389" i="3" s="1"/>
  <c r="K389" i="3"/>
  <c r="O388" i="3"/>
  <c r="M388" i="3"/>
  <c r="L388" i="3"/>
  <c r="N388" i="3"/>
  <c r="K388" i="3"/>
  <c r="O387" i="3"/>
  <c r="M387" i="3"/>
  <c r="L387" i="3"/>
  <c r="N387" i="3" s="1"/>
  <c r="K387" i="3"/>
  <c r="O386" i="3"/>
  <c r="M386" i="3"/>
  <c r="L386" i="3"/>
  <c r="N386" i="3" s="1"/>
  <c r="K386" i="3"/>
  <c r="O385" i="3"/>
  <c r="M385" i="3"/>
  <c r="L385" i="3"/>
  <c r="N385" i="3" s="1"/>
  <c r="K385" i="3"/>
  <c r="O384" i="3"/>
  <c r="M384" i="3"/>
  <c r="L384" i="3"/>
  <c r="N384" i="3" s="1"/>
  <c r="K384" i="3"/>
  <c r="O383" i="3"/>
  <c r="M383" i="3"/>
  <c r="L383" i="3"/>
  <c r="N383" i="3" s="1"/>
  <c r="K383" i="3"/>
  <c r="O382" i="3"/>
  <c r="M382" i="3"/>
  <c r="L382" i="3"/>
  <c r="N382" i="3" s="1"/>
  <c r="K382" i="3"/>
  <c r="O381" i="3"/>
  <c r="M381" i="3"/>
  <c r="L381" i="3"/>
  <c r="N381" i="3" s="1"/>
  <c r="K381" i="3"/>
  <c r="O380" i="3"/>
  <c r="M380" i="3"/>
  <c r="L380" i="3"/>
  <c r="N380" i="3" s="1"/>
  <c r="K380" i="3"/>
  <c r="O379" i="3"/>
  <c r="M379" i="3"/>
  <c r="L379" i="3"/>
  <c r="N379" i="3" s="1"/>
  <c r="K379" i="3"/>
  <c r="O378" i="3"/>
  <c r="M378" i="3"/>
  <c r="L378" i="3"/>
  <c r="N378" i="3" s="1"/>
  <c r="K378" i="3"/>
  <c r="O377" i="3"/>
  <c r="M377" i="3"/>
  <c r="L377" i="3"/>
  <c r="N377" i="3" s="1"/>
  <c r="K377" i="3"/>
  <c r="O376" i="3"/>
  <c r="M376" i="3"/>
  <c r="L376" i="3"/>
  <c r="N376" i="3" s="1"/>
  <c r="K376" i="3"/>
  <c r="O375" i="3"/>
  <c r="M375" i="3"/>
  <c r="L375" i="3"/>
  <c r="N375" i="3" s="1"/>
  <c r="K375" i="3"/>
  <c r="O374" i="3"/>
  <c r="M374" i="3"/>
  <c r="L374" i="3"/>
  <c r="N374" i="3" s="1"/>
  <c r="K374" i="3"/>
  <c r="O373" i="3"/>
  <c r="M373" i="3"/>
  <c r="L373" i="3"/>
  <c r="N373" i="3" s="1"/>
  <c r="K373" i="3"/>
  <c r="O372" i="3"/>
  <c r="M372" i="3"/>
  <c r="L372" i="3"/>
  <c r="N372" i="3" s="1"/>
  <c r="K372" i="3"/>
  <c r="O371" i="3"/>
  <c r="M371" i="3"/>
  <c r="L371" i="3"/>
  <c r="N371" i="3" s="1"/>
  <c r="K371" i="3"/>
  <c r="O370" i="3"/>
  <c r="M370" i="3"/>
  <c r="L370" i="3"/>
  <c r="N370" i="3" s="1"/>
  <c r="K370" i="3"/>
  <c r="O369" i="3"/>
  <c r="M369" i="3"/>
  <c r="L369" i="3"/>
  <c r="N369" i="3" s="1"/>
  <c r="K369" i="3"/>
  <c r="O368" i="3"/>
  <c r="M368" i="3"/>
  <c r="L368" i="3"/>
  <c r="N368" i="3" s="1"/>
  <c r="K368" i="3"/>
  <c r="O367" i="3"/>
  <c r="M367" i="3"/>
  <c r="L367" i="3"/>
  <c r="N367" i="3" s="1"/>
  <c r="K367" i="3"/>
  <c r="O366" i="3"/>
  <c r="M366" i="3"/>
  <c r="L366" i="3"/>
  <c r="N366" i="3" s="1"/>
  <c r="K366" i="3"/>
  <c r="O365" i="3"/>
  <c r="M365" i="3"/>
  <c r="L365" i="3"/>
  <c r="N365" i="3" s="1"/>
  <c r="K365" i="3"/>
  <c r="O364" i="3"/>
  <c r="M364" i="3"/>
  <c r="L364" i="3"/>
  <c r="N364" i="3"/>
  <c r="K364" i="3"/>
  <c r="O363" i="3"/>
  <c r="M363" i="3"/>
  <c r="L363" i="3"/>
  <c r="N363" i="3" s="1"/>
  <c r="K363" i="3"/>
  <c r="O362" i="3"/>
  <c r="M362" i="3"/>
  <c r="L362" i="3"/>
  <c r="N362" i="3" s="1"/>
  <c r="K362" i="3"/>
  <c r="O361" i="3"/>
  <c r="M361" i="3"/>
  <c r="L361" i="3"/>
  <c r="N361" i="3" s="1"/>
  <c r="K361" i="3"/>
  <c r="O360" i="3"/>
  <c r="M360" i="3"/>
  <c r="L360" i="3"/>
  <c r="N360" i="3" s="1"/>
  <c r="K360" i="3"/>
  <c r="O359" i="3"/>
  <c r="M359" i="3"/>
  <c r="L359" i="3"/>
  <c r="N359" i="3" s="1"/>
  <c r="K359" i="3"/>
  <c r="O358" i="3"/>
  <c r="M358" i="3"/>
  <c r="L358" i="3"/>
  <c r="N358" i="3" s="1"/>
  <c r="K358" i="3"/>
  <c r="O357" i="3"/>
  <c r="M357" i="3"/>
  <c r="L357" i="3"/>
  <c r="N357" i="3" s="1"/>
  <c r="K357" i="3"/>
  <c r="O356" i="3"/>
  <c r="M356" i="3"/>
  <c r="L356" i="3"/>
  <c r="N356" i="3" s="1"/>
  <c r="K356" i="3"/>
  <c r="O355" i="3"/>
  <c r="M355" i="3"/>
  <c r="L355" i="3"/>
  <c r="N355" i="3" s="1"/>
  <c r="K355" i="3"/>
  <c r="O354" i="3"/>
  <c r="M354" i="3"/>
  <c r="L354" i="3"/>
  <c r="N354" i="3" s="1"/>
  <c r="K354" i="3"/>
  <c r="O353" i="3"/>
  <c r="M353" i="3"/>
  <c r="L353" i="3"/>
  <c r="N353" i="3" s="1"/>
  <c r="K353" i="3"/>
  <c r="O352" i="3"/>
  <c r="M352" i="3"/>
  <c r="L352" i="3"/>
  <c r="N352" i="3" s="1"/>
  <c r="K352" i="3"/>
  <c r="O351" i="3"/>
  <c r="M351" i="3"/>
  <c r="L351" i="3"/>
  <c r="N351" i="3" s="1"/>
  <c r="K351" i="3"/>
  <c r="O350" i="3"/>
  <c r="M350" i="3"/>
  <c r="L350" i="3"/>
  <c r="N350" i="3" s="1"/>
  <c r="K350" i="3"/>
  <c r="O349" i="3"/>
  <c r="M349" i="3"/>
  <c r="L349" i="3"/>
  <c r="N349" i="3" s="1"/>
  <c r="K349" i="3"/>
  <c r="O348" i="3"/>
  <c r="M348" i="3"/>
  <c r="L348" i="3"/>
  <c r="N348" i="3" s="1"/>
  <c r="K348" i="3"/>
  <c r="O347" i="3"/>
  <c r="M347" i="3"/>
  <c r="L347" i="3"/>
  <c r="N347" i="3" s="1"/>
  <c r="K347" i="3"/>
  <c r="O346" i="3"/>
  <c r="M346" i="3"/>
  <c r="L346" i="3"/>
  <c r="N346" i="3" s="1"/>
  <c r="K346" i="3"/>
  <c r="O345" i="3"/>
  <c r="M345" i="3"/>
  <c r="L345" i="3"/>
  <c r="N345" i="3" s="1"/>
  <c r="K345" i="3"/>
  <c r="O344" i="3"/>
  <c r="M344" i="3"/>
  <c r="L344" i="3"/>
  <c r="N344" i="3" s="1"/>
  <c r="K344" i="3"/>
  <c r="O343" i="3"/>
  <c r="M343" i="3"/>
  <c r="L343" i="3"/>
  <c r="N343" i="3" s="1"/>
  <c r="K343" i="3"/>
  <c r="O342" i="3"/>
  <c r="M342" i="3"/>
  <c r="L342" i="3"/>
  <c r="N342" i="3" s="1"/>
  <c r="K342" i="3"/>
  <c r="O341" i="3"/>
  <c r="M341" i="3"/>
  <c r="L341" i="3"/>
  <c r="N341" i="3" s="1"/>
  <c r="K341" i="3"/>
  <c r="O340" i="3"/>
  <c r="M340" i="3"/>
  <c r="L340" i="3"/>
  <c r="N340" i="3"/>
  <c r="K340" i="3"/>
  <c r="O339" i="3"/>
  <c r="M339" i="3"/>
  <c r="L339" i="3"/>
  <c r="N339" i="3" s="1"/>
  <c r="K339" i="3"/>
  <c r="O338" i="3"/>
  <c r="M338" i="3"/>
  <c r="L338" i="3"/>
  <c r="N338" i="3" s="1"/>
  <c r="K338" i="3"/>
  <c r="O337" i="3"/>
  <c r="M337" i="3"/>
  <c r="L337" i="3"/>
  <c r="N337" i="3"/>
  <c r="K337" i="3"/>
  <c r="O336" i="3"/>
  <c r="M336" i="3"/>
  <c r="L336" i="3"/>
  <c r="N336" i="3" s="1"/>
  <c r="K336" i="3"/>
  <c r="O335" i="3"/>
  <c r="M335" i="3"/>
  <c r="L335" i="3"/>
  <c r="N335" i="3" s="1"/>
  <c r="K335" i="3"/>
  <c r="O334" i="3"/>
  <c r="M334" i="3"/>
  <c r="L334" i="3"/>
  <c r="N334" i="3" s="1"/>
  <c r="K334" i="3"/>
  <c r="O333" i="3"/>
  <c r="M333" i="3"/>
  <c r="L333" i="3"/>
  <c r="N333" i="3" s="1"/>
  <c r="K333" i="3"/>
  <c r="O332" i="3"/>
  <c r="M332" i="3"/>
  <c r="L332" i="3"/>
  <c r="N332" i="3" s="1"/>
  <c r="K332" i="3"/>
  <c r="O331" i="3"/>
  <c r="M331" i="3"/>
  <c r="L331" i="3"/>
  <c r="N331" i="3" s="1"/>
  <c r="K331" i="3"/>
  <c r="O330" i="3"/>
  <c r="M330" i="3"/>
  <c r="L330" i="3"/>
  <c r="N330" i="3" s="1"/>
  <c r="K330" i="3"/>
  <c r="O329" i="3"/>
  <c r="M329" i="3"/>
  <c r="L329" i="3"/>
  <c r="N329" i="3" s="1"/>
  <c r="K329" i="3"/>
  <c r="O328" i="3"/>
  <c r="M328" i="3"/>
  <c r="L328" i="3"/>
  <c r="N328" i="3" s="1"/>
  <c r="K328" i="3"/>
  <c r="O327" i="3"/>
  <c r="M327" i="3"/>
  <c r="L327" i="3"/>
  <c r="N327" i="3" s="1"/>
  <c r="K327" i="3"/>
  <c r="O326" i="3"/>
  <c r="M326" i="3"/>
  <c r="L326" i="3"/>
  <c r="N326" i="3" s="1"/>
  <c r="K326" i="3"/>
  <c r="O325" i="3"/>
  <c r="M325" i="3"/>
  <c r="L325" i="3"/>
  <c r="N325" i="3" s="1"/>
  <c r="K325" i="3"/>
  <c r="O324" i="3"/>
  <c r="M324" i="3"/>
  <c r="L324" i="3"/>
  <c r="N324" i="3"/>
  <c r="K324" i="3"/>
  <c r="O323" i="3"/>
  <c r="M323" i="3"/>
  <c r="L323" i="3"/>
  <c r="N323" i="3" s="1"/>
  <c r="K323" i="3"/>
  <c r="O322" i="3"/>
  <c r="M322" i="3"/>
  <c r="L322" i="3"/>
  <c r="N322" i="3" s="1"/>
  <c r="K322" i="3"/>
  <c r="O321" i="3"/>
  <c r="M321" i="3"/>
  <c r="L321" i="3"/>
  <c r="N321" i="3" s="1"/>
  <c r="K321" i="3"/>
  <c r="O320" i="3"/>
  <c r="M320" i="3"/>
  <c r="L320" i="3"/>
  <c r="N320" i="3" s="1"/>
  <c r="K320" i="3"/>
  <c r="O319" i="3"/>
  <c r="M319" i="3"/>
  <c r="L319" i="3"/>
  <c r="N319" i="3" s="1"/>
  <c r="K319" i="3"/>
  <c r="O318" i="3"/>
  <c r="M318" i="3"/>
  <c r="L318" i="3"/>
  <c r="N318" i="3" s="1"/>
  <c r="K318" i="3"/>
  <c r="O317" i="3"/>
  <c r="M317" i="3"/>
  <c r="L317" i="3"/>
  <c r="N317" i="3" s="1"/>
  <c r="K317" i="3"/>
  <c r="O316" i="3"/>
  <c r="M316" i="3"/>
  <c r="L316" i="3"/>
  <c r="N316" i="3" s="1"/>
  <c r="K316" i="3"/>
  <c r="O315" i="3"/>
  <c r="M315" i="3"/>
  <c r="L315" i="3"/>
  <c r="N315" i="3" s="1"/>
  <c r="K315" i="3"/>
  <c r="O314" i="3"/>
  <c r="M314" i="3"/>
  <c r="L314" i="3"/>
  <c r="N314" i="3" s="1"/>
  <c r="K314" i="3"/>
  <c r="O313" i="3"/>
  <c r="M313" i="3"/>
  <c r="L313" i="3"/>
  <c r="N313" i="3" s="1"/>
  <c r="K313" i="3"/>
  <c r="O312" i="3"/>
  <c r="M312" i="3"/>
  <c r="L312" i="3"/>
  <c r="N312" i="3" s="1"/>
  <c r="K312" i="3"/>
  <c r="O311" i="3"/>
  <c r="M311" i="3"/>
  <c r="L311" i="3"/>
  <c r="N311" i="3" s="1"/>
  <c r="K311" i="3"/>
  <c r="O310" i="3"/>
  <c r="M310" i="3"/>
  <c r="L310" i="3"/>
  <c r="N310" i="3" s="1"/>
  <c r="K310" i="3"/>
  <c r="O309" i="3"/>
  <c r="M309" i="3"/>
  <c r="L309" i="3"/>
  <c r="N309" i="3" s="1"/>
  <c r="K309" i="3"/>
  <c r="O308" i="3"/>
  <c r="M308" i="3"/>
  <c r="L308" i="3"/>
  <c r="N308" i="3"/>
  <c r="K308" i="3"/>
  <c r="O307" i="3"/>
  <c r="M307" i="3"/>
  <c r="L307" i="3"/>
  <c r="N307" i="3" s="1"/>
  <c r="K307" i="3"/>
  <c r="O306" i="3"/>
  <c r="M306" i="3"/>
  <c r="L306" i="3"/>
  <c r="N306" i="3" s="1"/>
  <c r="K306" i="3"/>
  <c r="O305" i="3"/>
  <c r="M305" i="3"/>
  <c r="L305" i="3"/>
  <c r="N305" i="3" s="1"/>
  <c r="K305" i="3"/>
  <c r="O304" i="3"/>
  <c r="M304" i="3"/>
  <c r="L304" i="3"/>
  <c r="N304" i="3" s="1"/>
  <c r="K304" i="3"/>
  <c r="O303" i="3"/>
  <c r="M303" i="3"/>
  <c r="L303" i="3"/>
  <c r="N303" i="3" s="1"/>
  <c r="K303" i="3"/>
  <c r="O302" i="3"/>
  <c r="M302" i="3"/>
  <c r="L302" i="3"/>
  <c r="N302" i="3" s="1"/>
  <c r="K302" i="3"/>
  <c r="O301" i="3"/>
  <c r="M301" i="3"/>
  <c r="L301" i="3"/>
  <c r="N301" i="3" s="1"/>
  <c r="K301" i="3"/>
  <c r="O300" i="3"/>
  <c r="M300" i="3"/>
  <c r="L300" i="3"/>
  <c r="N300" i="3"/>
  <c r="K300" i="3"/>
  <c r="O299" i="3"/>
  <c r="M299" i="3"/>
  <c r="L299" i="3"/>
  <c r="N299" i="3" s="1"/>
  <c r="K299" i="3"/>
  <c r="O298" i="3"/>
  <c r="M298" i="3"/>
  <c r="L298" i="3"/>
  <c r="N298" i="3" s="1"/>
  <c r="K298" i="3"/>
  <c r="O297" i="3"/>
  <c r="M297" i="3"/>
  <c r="L297" i="3"/>
  <c r="N297" i="3" s="1"/>
  <c r="K297" i="3"/>
  <c r="O296" i="3"/>
  <c r="M296" i="3"/>
  <c r="L296" i="3"/>
  <c r="N296" i="3" s="1"/>
  <c r="K296" i="3"/>
  <c r="O295" i="3"/>
  <c r="M295" i="3"/>
  <c r="L295" i="3"/>
  <c r="N295" i="3" s="1"/>
  <c r="K295" i="3"/>
  <c r="O294" i="3"/>
  <c r="M294" i="3"/>
  <c r="L294" i="3"/>
  <c r="N294" i="3" s="1"/>
  <c r="K294" i="3"/>
  <c r="O293" i="3"/>
  <c r="M293" i="3"/>
  <c r="L293" i="3"/>
  <c r="N293" i="3" s="1"/>
  <c r="K293" i="3"/>
  <c r="O292" i="3"/>
  <c r="M292" i="3"/>
  <c r="L292" i="3"/>
  <c r="N292" i="3" s="1"/>
  <c r="K292" i="3"/>
  <c r="O291" i="3"/>
  <c r="M291" i="3"/>
  <c r="L291" i="3"/>
  <c r="N291" i="3" s="1"/>
  <c r="K291" i="3"/>
  <c r="O290" i="3"/>
  <c r="M290" i="3"/>
  <c r="L290" i="3"/>
  <c r="N290" i="3" s="1"/>
  <c r="K290" i="3"/>
  <c r="O289" i="3"/>
  <c r="M289" i="3"/>
  <c r="L289" i="3"/>
  <c r="N289" i="3" s="1"/>
  <c r="K289" i="3"/>
  <c r="O288" i="3"/>
  <c r="M288" i="3"/>
  <c r="L288" i="3"/>
  <c r="N288" i="3" s="1"/>
  <c r="K288" i="3"/>
  <c r="O287" i="3"/>
  <c r="M287" i="3"/>
  <c r="L287" i="3"/>
  <c r="N287" i="3" s="1"/>
  <c r="K287" i="3"/>
  <c r="O286" i="3"/>
  <c r="M286" i="3"/>
  <c r="L286" i="3"/>
  <c r="N286" i="3" s="1"/>
  <c r="K286" i="3"/>
  <c r="O285" i="3"/>
  <c r="M285" i="3"/>
  <c r="L285" i="3"/>
  <c r="N285" i="3" s="1"/>
  <c r="K285" i="3"/>
  <c r="O284" i="3"/>
  <c r="M284" i="3"/>
  <c r="L284" i="3"/>
  <c r="N284" i="3" s="1"/>
  <c r="K284" i="3"/>
  <c r="O283" i="3"/>
  <c r="M283" i="3"/>
  <c r="L283" i="3"/>
  <c r="N283" i="3" s="1"/>
  <c r="K283" i="3"/>
  <c r="O282" i="3"/>
  <c r="M282" i="3"/>
  <c r="L282" i="3"/>
  <c r="N282" i="3" s="1"/>
  <c r="K282" i="3"/>
  <c r="O281" i="3"/>
  <c r="M281" i="3"/>
  <c r="L281" i="3"/>
  <c r="N281" i="3" s="1"/>
  <c r="K281" i="3"/>
  <c r="O280" i="3"/>
  <c r="M280" i="3"/>
  <c r="L280" i="3"/>
  <c r="N280" i="3" s="1"/>
  <c r="K280" i="3"/>
  <c r="O279" i="3"/>
  <c r="M279" i="3"/>
  <c r="L279" i="3"/>
  <c r="N279" i="3" s="1"/>
  <c r="K279" i="3"/>
  <c r="O278" i="3"/>
  <c r="M278" i="3"/>
  <c r="L278" i="3"/>
  <c r="N278" i="3" s="1"/>
  <c r="K278" i="3"/>
  <c r="O277" i="3"/>
  <c r="M277" i="3"/>
  <c r="L277" i="3"/>
  <c r="N277" i="3" s="1"/>
  <c r="K277" i="3"/>
  <c r="O276" i="3"/>
  <c r="M276" i="3"/>
  <c r="L276" i="3"/>
  <c r="N276" i="3"/>
  <c r="K276" i="3"/>
  <c r="O275" i="3"/>
  <c r="M275" i="3"/>
  <c r="L275" i="3"/>
  <c r="N275" i="3" s="1"/>
  <c r="K275" i="3"/>
  <c r="O274" i="3"/>
  <c r="M274" i="3"/>
  <c r="L274" i="3"/>
  <c r="N274" i="3" s="1"/>
  <c r="K274" i="3"/>
  <c r="O273" i="3"/>
  <c r="M273" i="3"/>
  <c r="L273" i="3"/>
  <c r="N273" i="3"/>
  <c r="K273" i="3"/>
  <c r="O272" i="3"/>
  <c r="M272" i="3"/>
  <c r="L272" i="3"/>
  <c r="N272" i="3" s="1"/>
  <c r="K272" i="3"/>
  <c r="O271" i="3"/>
  <c r="M271" i="3"/>
  <c r="L271" i="3"/>
  <c r="N271" i="3" s="1"/>
  <c r="K271" i="3"/>
  <c r="O270" i="3"/>
  <c r="M270" i="3"/>
  <c r="L270" i="3"/>
  <c r="N270" i="3" s="1"/>
  <c r="K270" i="3"/>
  <c r="O269" i="3"/>
  <c r="M269" i="3"/>
  <c r="L269" i="3"/>
  <c r="N269" i="3" s="1"/>
  <c r="K269" i="3"/>
  <c r="O268" i="3"/>
  <c r="M268" i="3"/>
  <c r="L268" i="3"/>
  <c r="N268" i="3"/>
  <c r="K268" i="3"/>
  <c r="O267" i="3"/>
  <c r="M267" i="3"/>
  <c r="L267" i="3"/>
  <c r="N267" i="3" s="1"/>
  <c r="K267" i="3"/>
  <c r="O266" i="3"/>
  <c r="M266" i="3"/>
  <c r="L266" i="3"/>
  <c r="N266" i="3" s="1"/>
  <c r="K266" i="3"/>
  <c r="O265" i="3"/>
  <c r="M265" i="3"/>
  <c r="L265" i="3"/>
  <c r="N265" i="3" s="1"/>
  <c r="K265" i="3"/>
  <c r="O264" i="3"/>
  <c r="M264" i="3"/>
  <c r="L264" i="3"/>
  <c r="N264" i="3" s="1"/>
  <c r="K264" i="3"/>
  <c r="O263" i="3"/>
  <c r="M263" i="3"/>
  <c r="L263" i="3"/>
  <c r="N263" i="3" s="1"/>
  <c r="K263" i="3"/>
  <c r="O262" i="3"/>
  <c r="M262" i="3"/>
  <c r="L262" i="3"/>
  <c r="N262" i="3" s="1"/>
  <c r="K262" i="3"/>
  <c r="O261" i="3"/>
  <c r="M261" i="3"/>
  <c r="L261" i="3"/>
  <c r="N261" i="3" s="1"/>
  <c r="K261" i="3"/>
  <c r="O260" i="3"/>
  <c r="M260" i="3"/>
  <c r="L260" i="3"/>
  <c r="N260" i="3" s="1"/>
  <c r="K260" i="3"/>
  <c r="O259" i="3"/>
  <c r="M259" i="3"/>
  <c r="L259" i="3"/>
  <c r="N259" i="3" s="1"/>
  <c r="K259" i="3"/>
  <c r="O258" i="3"/>
  <c r="M258" i="3"/>
  <c r="L258" i="3"/>
  <c r="N258" i="3" s="1"/>
  <c r="K258" i="3"/>
  <c r="O257" i="3"/>
  <c r="M257" i="3"/>
  <c r="L257" i="3"/>
  <c r="N257" i="3" s="1"/>
  <c r="K257" i="3"/>
  <c r="O256" i="3"/>
  <c r="M256" i="3"/>
  <c r="L256" i="3"/>
  <c r="N256" i="3" s="1"/>
  <c r="K256" i="3"/>
  <c r="O255" i="3"/>
  <c r="M255" i="3"/>
  <c r="L255" i="3"/>
  <c r="N255" i="3" s="1"/>
  <c r="K255" i="3"/>
  <c r="O254" i="3"/>
  <c r="M254" i="3"/>
  <c r="L254" i="3"/>
  <c r="N254" i="3" s="1"/>
  <c r="K254" i="3"/>
  <c r="O253" i="3"/>
  <c r="M253" i="3"/>
  <c r="L253" i="3"/>
  <c r="N253" i="3" s="1"/>
  <c r="K253" i="3"/>
  <c r="O252" i="3"/>
  <c r="M252" i="3"/>
  <c r="L252" i="3"/>
  <c r="N252" i="3" s="1"/>
  <c r="K252" i="3"/>
  <c r="O251" i="3"/>
  <c r="M251" i="3"/>
  <c r="L251" i="3"/>
  <c r="N251" i="3" s="1"/>
  <c r="K251" i="3"/>
  <c r="O250" i="3"/>
  <c r="M250" i="3"/>
  <c r="L250" i="3"/>
  <c r="N250" i="3" s="1"/>
  <c r="K250" i="3"/>
  <c r="O249" i="3"/>
  <c r="M249" i="3"/>
  <c r="L249" i="3"/>
  <c r="N249" i="3" s="1"/>
  <c r="K249" i="3"/>
  <c r="O248" i="3"/>
  <c r="M248" i="3"/>
  <c r="L248" i="3"/>
  <c r="N248" i="3" s="1"/>
  <c r="K248" i="3"/>
  <c r="O247" i="3"/>
  <c r="M247" i="3"/>
  <c r="L247" i="3"/>
  <c r="N247" i="3" s="1"/>
  <c r="K247" i="3"/>
  <c r="O246" i="3"/>
  <c r="M246" i="3"/>
  <c r="L246" i="3"/>
  <c r="N246" i="3" s="1"/>
  <c r="K246" i="3"/>
  <c r="O245" i="3"/>
  <c r="M245" i="3"/>
  <c r="L245" i="3"/>
  <c r="N245" i="3" s="1"/>
  <c r="K245" i="3"/>
  <c r="O244" i="3"/>
  <c r="M244" i="3"/>
  <c r="L244" i="3"/>
  <c r="N244" i="3"/>
  <c r="K244" i="3"/>
  <c r="O243" i="3"/>
  <c r="M243" i="3"/>
  <c r="L243" i="3"/>
  <c r="N243" i="3" s="1"/>
  <c r="K243" i="3"/>
  <c r="O242" i="3"/>
  <c r="M242" i="3"/>
  <c r="L242" i="3"/>
  <c r="N242" i="3"/>
  <c r="K242" i="3"/>
  <c r="O241" i="3"/>
  <c r="M241" i="3"/>
  <c r="L241" i="3"/>
  <c r="N241" i="3" s="1"/>
  <c r="K241" i="3"/>
  <c r="O240" i="3"/>
  <c r="M240" i="3"/>
  <c r="L240" i="3"/>
  <c r="N240" i="3" s="1"/>
  <c r="K240" i="3"/>
  <c r="O239" i="3"/>
  <c r="M239" i="3"/>
  <c r="L239" i="3"/>
  <c r="N239" i="3" s="1"/>
  <c r="K239" i="3"/>
  <c r="O238" i="3"/>
  <c r="M238" i="3"/>
  <c r="L238" i="3"/>
  <c r="N238" i="3" s="1"/>
  <c r="K238" i="3"/>
  <c r="O237" i="3"/>
  <c r="M237" i="3"/>
  <c r="L237" i="3"/>
  <c r="N237" i="3" s="1"/>
  <c r="K237" i="3"/>
  <c r="O236" i="3"/>
  <c r="M236" i="3"/>
  <c r="L236" i="3"/>
  <c r="N236" i="3" s="1"/>
  <c r="K236" i="3"/>
  <c r="O235" i="3"/>
  <c r="M235" i="3"/>
  <c r="L235" i="3"/>
  <c r="N235" i="3" s="1"/>
  <c r="K235" i="3"/>
  <c r="O234" i="3"/>
  <c r="M234" i="3"/>
  <c r="L234" i="3"/>
  <c r="N234" i="3" s="1"/>
  <c r="K234" i="3"/>
  <c r="O233" i="3"/>
  <c r="M233" i="3"/>
  <c r="L233" i="3"/>
  <c r="N233" i="3" s="1"/>
  <c r="K233" i="3"/>
  <c r="O232" i="3"/>
  <c r="M232" i="3"/>
  <c r="L232" i="3"/>
  <c r="N232" i="3" s="1"/>
  <c r="K232" i="3"/>
  <c r="O231" i="3"/>
  <c r="M231" i="3"/>
  <c r="L231" i="3"/>
  <c r="N231" i="3" s="1"/>
  <c r="K231" i="3"/>
  <c r="O230" i="3"/>
  <c r="M230" i="3"/>
  <c r="L230" i="3"/>
  <c r="N230" i="3" s="1"/>
  <c r="K230" i="3"/>
  <c r="O229" i="3"/>
  <c r="M229" i="3"/>
  <c r="L229" i="3"/>
  <c r="N229" i="3" s="1"/>
  <c r="K229" i="3"/>
  <c r="O228" i="3"/>
  <c r="M228" i="3"/>
  <c r="L228" i="3"/>
  <c r="N228" i="3" s="1"/>
  <c r="K228" i="3"/>
  <c r="O227" i="3"/>
  <c r="M227" i="3"/>
  <c r="L227" i="3"/>
  <c r="N227" i="3" s="1"/>
  <c r="K227" i="3"/>
  <c r="O226" i="3"/>
  <c r="M226" i="3"/>
  <c r="L226" i="3"/>
  <c r="N226" i="3" s="1"/>
  <c r="K226" i="3"/>
  <c r="O225" i="3"/>
  <c r="M225" i="3"/>
  <c r="L225" i="3"/>
  <c r="N225" i="3" s="1"/>
  <c r="K225" i="3"/>
  <c r="O224" i="3"/>
  <c r="M224" i="3"/>
  <c r="L224" i="3"/>
  <c r="N224" i="3" s="1"/>
  <c r="K224" i="3"/>
  <c r="O223" i="3"/>
  <c r="M223" i="3"/>
  <c r="L223" i="3"/>
  <c r="N223" i="3" s="1"/>
  <c r="K223" i="3"/>
  <c r="O222" i="3"/>
  <c r="M222" i="3"/>
  <c r="L222" i="3"/>
  <c r="N222" i="3" s="1"/>
  <c r="K222" i="3"/>
  <c r="O221" i="3"/>
  <c r="M221" i="3"/>
  <c r="L221" i="3"/>
  <c r="N221" i="3" s="1"/>
  <c r="K221" i="3"/>
  <c r="O220" i="3"/>
  <c r="M220" i="3"/>
  <c r="L220" i="3"/>
  <c r="N220" i="3" s="1"/>
  <c r="K220" i="3"/>
  <c r="O219" i="3"/>
  <c r="M219" i="3"/>
  <c r="L219" i="3"/>
  <c r="N219" i="3" s="1"/>
  <c r="K219" i="3"/>
  <c r="O218" i="3"/>
  <c r="M218" i="3"/>
  <c r="L218" i="3"/>
  <c r="N218" i="3" s="1"/>
  <c r="K218" i="3"/>
  <c r="O217" i="3"/>
  <c r="M217" i="3"/>
  <c r="L217" i="3"/>
  <c r="N217" i="3" s="1"/>
  <c r="K217" i="3"/>
  <c r="O216" i="3"/>
  <c r="M216" i="3"/>
  <c r="L216" i="3"/>
  <c r="N216" i="3" s="1"/>
  <c r="K216" i="3"/>
  <c r="O215" i="3"/>
  <c r="M215" i="3"/>
  <c r="L215" i="3"/>
  <c r="N215" i="3" s="1"/>
  <c r="K215" i="3"/>
  <c r="O214" i="3"/>
  <c r="M214" i="3"/>
  <c r="L214" i="3"/>
  <c r="N214" i="3" s="1"/>
  <c r="K214" i="3"/>
  <c r="O213" i="3"/>
  <c r="M213" i="3"/>
  <c r="L213" i="3"/>
  <c r="N213" i="3" s="1"/>
  <c r="K213" i="3"/>
  <c r="O212" i="3"/>
  <c r="M212" i="3"/>
  <c r="L212" i="3"/>
  <c r="N212" i="3" s="1"/>
  <c r="K212" i="3"/>
  <c r="O211" i="3"/>
  <c r="M211" i="3"/>
  <c r="L211" i="3"/>
  <c r="N211" i="3" s="1"/>
  <c r="K211" i="3"/>
  <c r="O210" i="3"/>
  <c r="M210" i="3"/>
  <c r="L210" i="3"/>
  <c r="N210" i="3" s="1"/>
  <c r="K210" i="3"/>
  <c r="O209" i="3"/>
  <c r="M209" i="3"/>
  <c r="L209" i="3"/>
  <c r="N209" i="3" s="1"/>
  <c r="K209" i="3"/>
  <c r="O208" i="3"/>
  <c r="M208" i="3"/>
  <c r="L208" i="3"/>
  <c r="N208" i="3" s="1"/>
  <c r="K208" i="3"/>
  <c r="O207" i="3"/>
  <c r="M207" i="3"/>
  <c r="L207" i="3"/>
  <c r="N207" i="3" s="1"/>
  <c r="K207" i="3"/>
  <c r="O206" i="3"/>
  <c r="M206" i="3"/>
  <c r="L206" i="3"/>
  <c r="N206" i="3" s="1"/>
  <c r="K206" i="3"/>
  <c r="O205" i="3"/>
  <c r="M205" i="3"/>
  <c r="L205" i="3"/>
  <c r="N205" i="3" s="1"/>
  <c r="K205" i="3"/>
  <c r="O204" i="3"/>
  <c r="M204" i="3"/>
  <c r="L204" i="3"/>
  <c r="N204" i="3"/>
  <c r="K204" i="3"/>
  <c r="O203" i="3"/>
  <c r="M203" i="3"/>
  <c r="L203" i="3"/>
  <c r="N203" i="3" s="1"/>
  <c r="K203" i="3"/>
  <c r="O202" i="3"/>
  <c r="M202" i="3"/>
  <c r="L202" i="3"/>
  <c r="N202" i="3" s="1"/>
  <c r="K202" i="3"/>
  <c r="O201" i="3"/>
  <c r="M201" i="3"/>
  <c r="L201" i="3"/>
  <c r="N201" i="3" s="1"/>
  <c r="K201" i="3"/>
  <c r="O200" i="3"/>
  <c r="M200" i="3"/>
  <c r="L200" i="3"/>
  <c r="N200" i="3" s="1"/>
  <c r="K200" i="3"/>
  <c r="O199" i="3"/>
  <c r="M199" i="3"/>
  <c r="L199" i="3"/>
  <c r="N199" i="3" s="1"/>
  <c r="K199" i="3"/>
  <c r="O198" i="3"/>
  <c r="M198" i="3"/>
  <c r="L198" i="3"/>
  <c r="N198" i="3" s="1"/>
  <c r="K198" i="3"/>
  <c r="O197" i="3"/>
  <c r="M197" i="3"/>
  <c r="L197" i="3"/>
  <c r="N197" i="3" s="1"/>
  <c r="K197" i="3"/>
  <c r="O196" i="3"/>
  <c r="M196" i="3"/>
  <c r="L196" i="3"/>
  <c r="N196" i="3" s="1"/>
  <c r="K196" i="3"/>
  <c r="O195" i="3"/>
  <c r="M195" i="3"/>
  <c r="L195" i="3"/>
  <c r="N195" i="3" s="1"/>
  <c r="K195" i="3"/>
  <c r="O194" i="3"/>
  <c r="M194" i="3"/>
  <c r="L194" i="3"/>
  <c r="N194" i="3" s="1"/>
  <c r="K194" i="3"/>
  <c r="O193" i="3"/>
  <c r="M193" i="3"/>
  <c r="L193" i="3"/>
  <c r="N193" i="3" s="1"/>
  <c r="K193" i="3"/>
  <c r="O192" i="3"/>
  <c r="M192" i="3"/>
  <c r="L192" i="3"/>
  <c r="N192" i="3" s="1"/>
  <c r="K192" i="3"/>
  <c r="O191" i="3"/>
  <c r="M191" i="3"/>
  <c r="L191" i="3"/>
  <c r="N191" i="3" s="1"/>
  <c r="K191" i="3"/>
  <c r="O190" i="3"/>
  <c r="M190" i="3"/>
  <c r="L190" i="3"/>
  <c r="N190" i="3" s="1"/>
  <c r="K190" i="3"/>
  <c r="O189" i="3"/>
  <c r="M189" i="3"/>
  <c r="L189" i="3"/>
  <c r="N189" i="3" s="1"/>
  <c r="K189" i="3"/>
  <c r="O188" i="3"/>
  <c r="M188" i="3"/>
  <c r="L188" i="3"/>
  <c r="N188" i="3" s="1"/>
  <c r="K188" i="3"/>
  <c r="O187" i="3"/>
  <c r="M187" i="3"/>
  <c r="L187" i="3"/>
  <c r="N187" i="3" s="1"/>
  <c r="K187" i="3"/>
  <c r="O186" i="3"/>
  <c r="M186" i="3"/>
  <c r="L186" i="3"/>
  <c r="N186" i="3" s="1"/>
  <c r="K186" i="3"/>
  <c r="O185" i="3"/>
  <c r="M185" i="3"/>
  <c r="L185" i="3"/>
  <c r="N185" i="3" s="1"/>
  <c r="K185" i="3"/>
  <c r="O184" i="3"/>
  <c r="M184" i="3"/>
  <c r="L184" i="3"/>
  <c r="N184" i="3" s="1"/>
  <c r="K184" i="3"/>
  <c r="O183" i="3"/>
  <c r="M183" i="3"/>
  <c r="L183" i="3"/>
  <c r="N183" i="3" s="1"/>
  <c r="K183" i="3"/>
  <c r="O182" i="3"/>
  <c r="M182" i="3"/>
  <c r="L182" i="3"/>
  <c r="N182" i="3" s="1"/>
  <c r="K182" i="3"/>
  <c r="O181" i="3"/>
  <c r="M181" i="3"/>
  <c r="L181" i="3"/>
  <c r="N181" i="3" s="1"/>
  <c r="K181" i="3"/>
  <c r="O180" i="3"/>
  <c r="M180" i="3"/>
  <c r="L180" i="3"/>
  <c r="N180" i="3"/>
  <c r="K180" i="3"/>
  <c r="O179" i="3"/>
  <c r="M179" i="3"/>
  <c r="L179" i="3"/>
  <c r="N179" i="3" s="1"/>
  <c r="K179" i="3"/>
  <c r="O178" i="3"/>
  <c r="M178" i="3"/>
  <c r="L178" i="3"/>
  <c r="N178" i="3" s="1"/>
  <c r="K178" i="3"/>
  <c r="O177" i="3"/>
  <c r="M177" i="3"/>
  <c r="L177" i="3"/>
  <c r="N177" i="3"/>
  <c r="K177" i="3"/>
  <c r="O176" i="3"/>
  <c r="M176" i="3"/>
  <c r="L176" i="3"/>
  <c r="N176" i="3" s="1"/>
  <c r="K176" i="3"/>
  <c r="O175" i="3"/>
  <c r="M175" i="3"/>
  <c r="L175" i="3"/>
  <c r="N175" i="3" s="1"/>
  <c r="K175" i="3"/>
  <c r="O174" i="3"/>
  <c r="M174" i="3"/>
  <c r="L174" i="3"/>
  <c r="N174" i="3" s="1"/>
  <c r="K174" i="3"/>
  <c r="O173" i="3"/>
  <c r="M173" i="3"/>
  <c r="L173" i="3"/>
  <c r="N173" i="3" s="1"/>
  <c r="K173" i="3"/>
  <c r="O172" i="3"/>
  <c r="M172" i="3"/>
  <c r="L172" i="3"/>
  <c r="N172" i="3"/>
  <c r="K172" i="3"/>
  <c r="O171" i="3"/>
  <c r="M171" i="3"/>
  <c r="L171" i="3"/>
  <c r="N171" i="3" s="1"/>
  <c r="K171" i="3"/>
  <c r="O170" i="3"/>
  <c r="M170" i="3"/>
  <c r="L170" i="3"/>
  <c r="N170" i="3" s="1"/>
  <c r="K170" i="3"/>
  <c r="O169" i="3"/>
  <c r="M169" i="3"/>
  <c r="L169" i="3"/>
  <c r="N169" i="3" s="1"/>
  <c r="K169" i="3"/>
  <c r="O168" i="3"/>
  <c r="M168" i="3"/>
  <c r="L168" i="3"/>
  <c r="N168" i="3" s="1"/>
  <c r="K168" i="3"/>
  <c r="O167" i="3"/>
  <c r="M167" i="3"/>
  <c r="L167" i="3"/>
  <c r="N167" i="3" s="1"/>
  <c r="K167" i="3"/>
  <c r="O166" i="3"/>
  <c r="M166" i="3"/>
  <c r="L166" i="3"/>
  <c r="N166" i="3" s="1"/>
  <c r="K166" i="3"/>
  <c r="O165" i="3"/>
  <c r="M165" i="3"/>
  <c r="L165" i="3"/>
  <c r="N165" i="3" s="1"/>
  <c r="K165" i="3"/>
  <c r="O164" i="3"/>
  <c r="M164" i="3"/>
  <c r="L164" i="3"/>
  <c r="N164" i="3" s="1"/>
  <c r="K164" i="3"/>
  <c r="O163" i="3"/>
  <c r="M163" i="3"/>
  <c r="L163" i="3"/>
  <c r="N163" i="3" s="1"/>
  <c r="K163" i="3"/>
  <c r="O162" i="3"/>
  <c r="M162" i="3"/>
  <c r="L162" i="3"/>
  <c r="N162" i="3" s="1"/>
  <c r="K162" i="3"/>
  <c r="O161" i="3"/>
  <c r="M161" i="3"/>
  <c r="L161" i="3"/>
  <c r="N161" i="3" s="1"/>
  <c r="K161" i="3"/>
  <c r="O160" i="3"/>
  <c r="M160" i="3"/>
  <c r="L160" i="3"/>
  <c r="N160" i="3" s="1"/>
  <c r="K160" i="3"/>
  <c r="O159" i="3"/>
  <c r="M159" i="3"/>
  <c r="L159" i="3"/>
  <c r="N159" i="3" s="1"/>
  <c r="K159" i="3"/>
  <c r="O158" i="3"/>
  <c r="M158" i="3"/>
  <c r="L158" i="3"/>
  <c r="N158" i="3" s="1"/>
  <c r="K158" i="3"/>
  <c r="O157" i="3"/>
  <c r="M157" i="3"/>
  <c r="L157" i="3"/>
  <c r="N157" i="3" s="1"/>
  <c r="K157" i="3"/>
  <c r="O156" i="3"/>
  <c r="M156" i="3"/>
  <c r="L156" i="3"/>
  <c r="N156" i="3" s="1"/>
  <c r="K156" i="3"/>
  <c r="O155" i="3"/>
  <c r="M155" i="3"/>
  <c r="L155" i="3"/>
  <c r="N155" i="3" s="1"/>
  <c r="K155" i="3"/>
  <c r="O154" i="3"/>
  <c r="M154" i="3"/>
  <c r="L154" i="3"/>
  <c r="N154" i="3" s="1"/>
  <c r="K154" i="3"/>
  <c r="O153" i="3"/>
  <c r="M153" i="3"/>
  <c r="L153" i="3"/>
  <c r="N153" i="3" s="1"/>
  <c r="K153" i="3"/>
  <c r="O152" i="3"/>
  <c r="M152" i="3"/>
  <c r="L152" i="3"/>
  <c r="N152" i="3" s="1"/>
  <c r="K152" i="3"/>
  <c r="O151" i="3"/>
  <c r="M151" i="3"/>
  <c r="L151" i="3"/>
  <c r="N151" i="3" s="1"/>
  <c r="K151" i="3"/>
  <c r="O150" i="3"/>
  <c r="M150" i="3"/>
  <c r="L150" i="3"/>
  <c r="N150" i="3" s="1"/>
  <c r="K150" i="3"/>
  <c r="O149" i="3"/>
  <c r="M149" i="3"/>
  <c r="L149" i="3"/>
  <c r="N149" i="3" s="1"/>
  <c r="K149" i="3"/>
  <c r="O148" i="3"/>
  <c r="M148" i="3"/>
  <c r="L148" i="3"/>
  <c r="N148" i="3" s="1"/>
  <c r="K148" i="3"/>
  <c r="O147" i="3"/>
  <c r="M147" i="3"/>
  <c r="L147" i="3"/>
  <c r="N147" i="3" s="1"/>
  <c r="K147" i="3"/>
  <c r="O146" i="3"/>
  <c r="M146" i="3"/>
  <c r="L146" i="3"/>
  <c r="N146" i="3" s="1"/>
  <c r="K146" i="3"/>
  <c r="O145" i="3"/>
  <c r="M145" i="3"/>
  <c r="L145" i="3"/>
  <c r="N145" i="3" s="1"/>
  <c r="K145" i="3"/>
  <c r="O144" i="3"/>
  <c r="M144" i="3"/>
  <c r="L144" i="3"/>
  <c r="N144" i="3" s="1"/>
  <c r="K144" i="3"/>
  <c r="O143" i="3"/>
  <c r="M143" i="3"/>
  <c r="L143" i="3"/>
  <c r="N143" i="3" s="1"/>
  <c r="K143" i="3"/>
  <c r="O142" i="3"/>
  <c r="M142" i="3"/>
  <c r="L142" i="3"/>
  <c r="N142" i="3" s="1"/>
  <c r="K142" i="3"/>
  <c r="O141" i="3"/>
  <c r="M141" i="3"/>
  <c r="L141" i="3"/>
  <c r="N141" i="3" s="1"/>
  <c r="K141" i="3"/>
  <c r="O140" i="3"/>
  <c r="M140" i="3"/>
  <c r="L140" i="3"/>
  <c r="N140" i="3"/>
  <c r="K140" i="3"/>
  <c r="O139" i="3"/>
  <c r="M139" i="3"/>
  <c r="L139" i="3"/>
  <c r="N139" i="3" s="1"/>
  <c r="K139" i="3"/>
  <c r="O138" i="3"/>
  <c r="M138" i="3"/>
  <c r="L138" i="3"/>
  <c r="N138" i="3" s="1"/>
  <c r="K138" i="3"/>
  <c r="O137" i="3"/>
  <c r="M137" i="3"/>
  <c r="L137" i="3"/>
  <c r="N137" i="3" s="1"/>
  <c r="K137" i="3"/>
  <c r="O136" i="3"/>
  <c r="M136" i="3"/>
  <c r="L136" i="3"/>
  <c r="N136" i="3" s="1"/>
  <c r="K136" i="3"/>
  <c r="O135" i="3"/>
  <c r="M135" i="3"/>
  <c r="L135" i="3"/>
  <c r="N135" i="3" s="1"/>
  <c r="K135" i="3"/>
  <c r="O134" i="3"/>
  <c r="M134" i="3"/>
  <c r="L134" i="3"/>
  <c r="N134" i="3" s="1"/>
  <c r="K134" i="3"/>
  <c r="O133" i="3"/>
  <c r="M133" i="3"/>
  <c r="L133" i="3"/>
  <c r="N133" i="3" s="1"/>
  <c r="K133" i="3"/>
  <c r="O132" i="3"/>
  <c r="M132" i="3"/>
  <c r="L132" i="3"/>
  <c r="N132" i="3" s="1"/>
  <c r="K132" i="3"/>
  <c r="O131" i="3"/>
  <c r="M131" i="3"/>
  <c r="L131" i="3"/>
  <c r="N131" i="3" s="1"/>
  <c r="K131" i="3"/>
  <c r="O130" i="3"/>
  <c r="M130" i="3"/>
  <c r="L130" i="3"/>
  <c r="N130" i="3" s="1"/>
  <c r="K130" i="3"/>
  <c r="O129" i="3"/>
  <c r="M129" i="3"/>
  <c r="L129" i="3"/>
  <c r="N129" i="3" s="1"/>
  <c r="K129" i="3"/>
  <c r="O128" i="3"/>
  <c r="M128" i="3"/>
  <c r="L128" i="3"/>
  <c r="N128" i="3" s="1"/>
  <c r="K128" i="3"/>
  <c r="O127" i="3"/>
  <c r="M127" i="3"/>
  <c r="L127" i="3"/>
  <c r="N127" i="3" s="1"/>
  <c r="K127" i="3"/>
  <c r="O126" i="3"/>
  <c r="M126" i="3"/>
  <c r="L126" i="3"/>
  <c r="N126" i="3" s="1"/>
  <c r="K126" i="3"/>
  <c r="O125" i="3"/>
  <c r="M125" i="3"/>
  <c r="L125" i="3"/>
  <c r="N125" i="3" s="1"/>
  <c r="K125" i="3"/>
  <c r="O124" i="3"/>
  <c r="M124" i="3"/>
  <c r="L124" i="3"/>
  <c r="N124" i="3" s="1"/>
  <c r="K124" i="3"/>
  <c r="O123" i="3"/>
  <c r="M123" i="3"/>
  <c r="L123" i="3"/>
  <c r="N123" i="3" s="1"/>
  <c r="K123" i="3"/>
  <c r="O122" i="3"/>
  <c r="M122" i="3"/>
  <c r="L122" i="3"/>
  <c r="N122" i="3" s="1"/>
  <c r="K122" i="3"/>
  <c r="O121" i="3"/>
  <c r="M121" i="3"/>
  <c r="L121" i="3"/>
  <c r="N121" i="3" s="1"/>
  <c r="K121" i="3"/>
  <c r="O120" i="3"/>
  <c r="M120" i="3"/>
  <c r="L120" i="3"/>
  <c r="N120" i="3" s="1"/>
  <c r="K120" i="3"/>
  <c r="O119" i="3"/>
  <c r="M119" i="3"/>
  <c r="L119" i="3"/>
  <c r="N119" i="3" s="1"/>
  <c r="K119" i="3"/>
  <c r="O118" i="3"/>
  <c r="M118" i="3"/>
  <c r="L118" i="3"/>
  <c r="N118" i="3" s="1"/>
  <c r="K118" i="3"/>
  <c r="O117" i="3"/>
  <c r="M117" i="3"/>
  <c r="L117" i="3"/>
  <c r="N117" i="3" s="1"/>
  <c r="K117" i="3"/>
  <c r="O116" i="3"/>
  <c r="M116" i="3"/>
  <c r="L116" i="3"/>
  <c r="N116" i="3" s="1"/>
  <c r="K116" i="3"/>
  <c r="O115" i="3"/>
  <c r="M115" i="3"/>
  <c r="L115" i="3"/>
  <c r="N115" i="3" s="1"/>
  <c r="K115" i="3"/>
  <c r="O114" i="3"/>
  <c r="M114" i="3"/>
  <c r="L114" i="3"/>
  <c r="N114" i="3" s="1"/>
  <c r="K114" i="3"/>
  <c r="O113" i="3"/>
  <c r="M113" i="3"/>
  <c r="L113" i="3"/>
  <c r="N113" i="3"/>
  <c r="K113" i="3"/>
  <c r="O112" i="3"/>
  <c r="M112" i="3"/>
  <c r="L112" i="3"/>
  <c r="N112" i="3" s="1"/>
  <c r="K112" i="3"/>
  <c r="O111" i="3"/>
  <c r="M111" i="3"/>
  <c r="L111" i="3"/>
  <c r="N111" i="3" s="1"/>
  <c r="K111" i="3"/>
  <c r="O110" i="3"/>
  <c r="M110" i="3"/>
  <c r="L110" i="3"/>
  <c r="N110" i="3" s="1"/>
  <c r="K110" i="3"/>
  <c r="O109" i="3"/>
  <c r="M109" i="3"/>
  <c r="L109" i="3"/>
  <c r="N109" i="3" s="1"/>
  <c r="K109" i="3"/>
  <c r="O108" i="3"/>
  <c r="M108" i="3"/>
  <c r="L108" i="3"/>
  <c r="N108" i="3" s="1"/>
  <c r="K108" i="3"/>
  <c r="O107" i="3"/>
  <c r="M107" i="3"/>
  <c r="L107" i="3"/>
  <c r="N107" i="3" s="1"/>
  <c r="K107" i="3"/>
  <c r="O106" i="3"/>
  <c r="M106" i="3"/>
  <c r="L106" i="3"/>
  <c r="N106" i="3" s="1"/>
  <c r="K106" i="3"/>
  <c r="O105" i="3"/>
  <c r="M105" i="3"/>
  <c r="L105" i="3"/>
  <c r="N105" i="3" s="1"/>
  <c r="K105" i="3"/>
  <c r="O104" i="3"/>
  <c r="M104" i="3"/>
  <c r="L104" i="3"/>
  <c r="N104" i="3" s="1"/>
  <c r="K104" i="3"/>
  <c r="O103" i="3"/>
  <c r="M103" i="3"/>
  <c r="L103" i="3"/>
  <c r="N103" i="3" s="1"/>
  <c r="K103" i="3"/>
  <c r="O102" i="3"/>
  <c r="M102" i="3"/>
  <c r="L102" i="3"/>
  <c r="N102" i="3" s="1"/>
  <c r="K102" i="3"/>
  <c r="O101" i="3"/>
  <c r="M101" i="3"/>
  <c r="L101" i="3"/>
  <c r="N101" i="3" s="1"/>
  <c r="K101" i="3"/>
  <c r="O100" i="3"/>
  <c r="M100" i="3"/>
  <c r="L100" i="3"/>
  <c r="N100" i="3" s="1"/>
  <c r="K100" i="3"/>
  <c r="O99" i="3"/>
  <c r="M99" i="3"/>
  <c r="L99" i="3"/>
  <c r="N99" i="3" s="1"/>
  <c r="K99" i="3"/>
  <c r="O98" i="3"/>
  <c r="M98" i="3"/>
  <c r="L98" i="3"/>
  <c r="N98" i="3"/>
  <c r="K98" i="3"/>
  <c r="O97" i="3"/>
  <c r="M97" i="3"/>
  <c r="L97" i="3"/>
  <c r="N97" i="3"/>
  <c r="K97" i="3"/>
  <c r="O96" i="3"/>
  <c r="M96" i="3"/>
  <c r="L96" i="3"/>
  <c r="N96" i="3" s="1"/>
  <c r="K96" i="3"/>
  <c r="O95" i="3"/>
  <c r="M95" i="3"/>
  <c r="L95" i="3"/>
  <c r="N95" i="3" s="1"/>
  <c r="K95" i="3"/>
  <c r="O94" i="3"/>
  <c r="M94" i="3"/>
  <c r="L94" i="3"/>
  <c r="N94" i="3" s="1"/>
  <c r="K94" i="3"/>
  <c r="O93" i="3"/>
  <c r="M93" i="3"/>
  <c r="L93" i="3"/>
  <c r="N93" i="3" s="1"/>
  <c r="K93" i="3"/>
  <c r="O92" i="3"/>
  <c r="M92" i="3"/>
  <c r="L92" i="3"/>
  <c r="N92" i="3" s="1"/>
  <c r="K92" i="3"/>
  <c r="O91" i="3"/>
  <c r="M91" i="3"/>
  <c r="L91" i="3"/>
  <c r="N91" i="3" s="1"/>
  <c r="K91" i="3"/>
  <c r="O90" i="3"/>
  <c r="M90" i="3"/>
  <c r="L90" i="3"/>
  <c r="N90" i="3" s="1"/>
  <c r="K90" i="3"/>
  <c r="O89" i="3"/>
  <c r="M89" i="3"/>
  <c r="L89" i="3"/>
  <c r="N89" i="3" s="1"/>
  <c r="K89" i="3"/>
  <c r="O88" i="3"/>
  <c r="M88" i="3"/>
  <c r="L88" i="3"/>
  <c r="N88" i="3" s="1"/>
  <c r="K88" i="3"/>
  <c r="O87" i="3"/>
  <c r="M87" i="3"/>
  <c r="L87" i="3"/>
  <c r="N87" i="3" s="1"/>
  <c r="K87" i="3"/>
  <c r="O86" i="3"/>
  <c r="M86" i="3"/>
  <c r="L86" i="3"/>
  <c r="N86" i="3" s="1"/>
  <c r="K86" i="3"/>
  <c r="O85" i="3"/>
  <c r="M85" i="3"/>
  <c r="L85" i="3"/>
  <c r="N85" i="3" s="1"/>
  <c r="K85" i="3"/>
  <c r="O84" i="3"/>
  <c r="M84" i="3"/>
  <c r="L84" i="3"/>
  <c r="N84" i="3"/>
  <c r="K84" i="3"/>
  <c r="O83" i="3"/>
  <c r="M83" i="3"/>
  <c r="L83" i="3"/>
  <c r="N83" i="3" s="1"/>
  <c r="K83" i="3"/>
  <c r="O82" i="3"/>
  <c r="M82" i="3"/>
  <c r="L82" i="3"/>
  <c r="N82" i="3" s="1"/>
  <c r="K82" i="3"/>
  <c r="O81" i="3"/>
  <c r="M81" i="3"/>
  <c r="L81" i="3"/>
  <c r="N81" i="3" s="1"/>
  <c r="K81" i="3"/>
  <c r="O80" i="3"/>
  <c r="M80" i="3"/>
  <c r="L80" i="3"/>
  <c r="N80" i="3" s="1"/>
  <c r="K80" i="3"/>
  <c r="O79" i="3"/>
  <c r="M79" i="3"/>
  <c r="L79" i="3"/>
  <c r="N79" i="3" s="1"/>
  <c r="K79" i="3"/>
  <c r="O78" i="3"/>
  <c r="M78" i="3"/>
  <c r="L78" i="3"/>
  <c r="N78" i="3" s="1"/>
  <c r="K78" i="3"/>
  <c r="O77" i="3"/>
  <c r="M77" i="3"/>
  <c r="L77" i="3"/>
  <c r="N77" i="3" s="1"/>
  <c r="K77" i="3"/>
  <c r="O76" i="3"/>
  <c r="M76" i="3"/>
  <c r="L76" i="3"/>
  <c r="N76" i="3" s="1"/>
  <c r="K76" i="3"/>
  <c r="O75" i="3"/>
  <c r="M75" i="3"/>
  <c r="L75" i="3"/>
  <c r="N75" i="3" s="1"/>
  <c r="K75" i="3"/>
  <c r="O74" i="3"/>
  <c r="M74" i="3"/>
  <c r="L74" i="3"/>
  <c r="N74" i="3" s="1"/>
  <c r="K74" i="3"/>
  <c r="O73" i="3"/>
  <c r="M73" i="3"/>
  <c r="L73" i="3"/>
  <c r="N73" i="3" s="1"/>
  <c r="K73" i="3"/>
  <c r="O72" i="3"/>
  <c r="M72" i="3"/>
  <c r="L72" i="3"/>
  <c r="N72" i="3" s="1"/>
  <c r="K72" i="3"/>
  <c r="O71" i="3"/>
  <c r="M71" i="3"/>
  <c r="L71" i="3"/>
  <c r="N71" i="3" s="1"/>
  <c r="K71" i="3"/>
  <c r="O70" i="3"/>
  <c r="M70" i="3"/>
  <c r="L70" i="3"/>
  <c r="N70" i="3" s="1"/>
  <c r="K70" i="3"/>
  <c r="O69" i="3"/>
  <c r="M69" i="3"/>
  <c r="L69" i="3"/>
  <c r="N69" i="3" s="1"/>
  <c r="K69" i="3"/>
  <c r="O68" i="3"/>
  <c r="M68" i="3"/>
  <c r="L68" i="3"/>
  <c r="N68" i="3" s="1"/>
  <c r="K68" i="3"/>
  <c r="O67" i="3"/>
  <c r="M67" i="3"/>
  <c r="L67" i="3"/>
  <c r="N67" i="3" s="1"/>
  <c r="K67" i="3"/>
  <c r="O66" i="3"/>
  <c r="M66" i="3"/>
  <c r="L66" i="3"/>
  <c r="N66" i="3"/>
  <c r="K66" i="3"/>
  <c r="O65" i="3"/>
  <c r="M65" i="3"/>
  <c r="L65" i="3"/>
  <c r="N65" i="3"/>
  <c r="K65" i="3"/>
  <c r="O64" i="3"/>
  <c r="M64" i="3"/>
  <c r="L64" i="3"/>
  <c r="N64" i="3" s="1"/>
  <c r="K64" i="3"/>
  <c r="O63" i="3"/>
  <c r="M63" i="3"/>
  <c r="L63" i="3"/>
  <c r="N63" i="3" s="1"/>
  <c r="K63" i="3"/>
  <c r="O62" i="3"/>
  <c r="M62" i="3"/>
  <c r="L62" i="3"/>
  <c r="N62" i="3" s="1"/>
  <c r="K62" i="3"/>
  <c r="O61" i="3"/>
  <c r="M61" i="3"/>
  <c r="L61" i="3"/>
  <c r="N61" i="3" s="1"/>
  <c r="K61" i="3"/>
  <c r="O60" i="3"/>
  <c r="M60" i="3"/>
  <c r="L60" i="3"/>
  <c r="N60" i="3" s="1"/>
  <c r="K60" i="3"/>
  <c r="O59" i="3"/>
  <c r="M59" i="3"/>
  <c r="L59" i="3"/>
  <c r="N59" i="3" s="1"/>
  <c r="K59" i="3"/>
  <c r="O58" i="3"/>
  <c r="M58" i="3"/>
  <c r="L58" i="3"/>
  <c r="N58" i="3" s="1"/>
  <c r="K58" i="3"/>
  <c r="O57" i="3"/>
  <c r="M57" i="3"/>
  <c r="L57" i="3"/>
  <c r="N57" i="3" s="1"/>
  <c r="K57" i="3"/>
  <c r="O56" i="3"/>
  <c r="M56" i="3"/>
  <c r="L56" i="3"/>
  <c r="N56" i="3" s="1"/>
  <c r="K56" i="3"/>
  <c r="O55" i="3"/>
  <c r="M55" i="3"/>
  <c r="L55" i="3"/>
  <c r="N55" i="3" s="1"/>
  <c r="K55" i="3"/>
  <c r="O54" i="3"/>
  <c r="M54" i="3"/>
  <c r="L54" i="3"/>
  <c r="N54" i="3" s="1"/>
  <c r="K54" i="3"/>
  <c r="O53" i="3"/>
  <c r="M53" i="3"/>
  <c r="L53" i="3"/>
  <c r="N53" i="3" s="1"/>
  <c r="K53" i="3"/>
  <c r="O52" i="3"/>
  <c r="M52" i="3"/>
  <c r="L52" i="3"/>
  <c r="N52" i="3"/>
  <c r="K52" i="3"/>
  <c r="O51" i="3"/>
  <c r="M51" i="3"/>
  <c r="L51" i="3"/>
  <c r="N51" i="3" s="1"/>
  <c r="K51" i="3"/>
  <c r="O50" i="3"/>
  <c r="M50" i="3"/>
  <c r="L50" i="3"/>
  <c r="N50" i="3" s="1"/>
  <c r="K50" i="3"/>
  <c r="O49" i="3"/>
  <c r="M49" i="3"/>
  <c r="L49" i="3"/>
  <c r="N49" i="3" s="1"/>
  <c r="K49" i="3"/>
  <c r="O48" i="3"/>
  <c r="M48" i="3"/>
  <c r="L48" i="3"/>
  <c r="N48" i="3" s="1"/>
  <c r="K48" i="3"/>
  <c r="O47" i="3"/>
  <c r="M47" i="3"/>
  <c r="L47" i="3"/>
  <c r="N47" i="3" s="1"/>
  <c r="K47" i="3"/>
  <c r="O46" i="3"/>
  <c r="M46" i="3"/>
  <c r="L46" i="3"/>
  <c r="N46" i="3" s="1"/>
  <c r="K46" i="3"/>
  <c r="O45" i="3"/>
  <c r="M45" i="3"/>
  <c r="L45" i="3"/>
  <c r="N45" i="3" s="1"/>
  <c r="K45" i="3"/>
  <c r="O44" i="3"/>
  <c r="M44" i="3"/>
  <c r="L44" i="3"/>
  <c r="N44" i="3" s="1"/>
  <c r="K44" i="3"/>
  <c r="O43" i="3"/>
  <c r="M43" i="3"/>
  <c r="L43" i="3"/>
  <c r="N43" i="3" s="1"/>
  <c r="K43" i="3"/>
  <c r="O42" i="3"/>
  <c r="M42" i="3"/>
  <c r="L42" i="3"/>
  <c r="N42" i="3"/>
  <c r="K42" i="3"/>
  <c r="O41" i="3"/>
  <c r="M41" i="3"/>
  <c r="L41" i="3"/>
  <c r="N41" i="3" s="1"/>
  <c r="K41" i="3"/>
  <c r="O40" i="3"/>
  <c r="M40" i="3"/>
  <c r="L40" i="3"/>
  <c r="N40" i="3" s="1"/>
  <c r="K40" i="3"/>
  <c r="O39" i="3"/>
  <c r="M39" i="3"/>
  <c r="L39" i="3"/>
  <c r="N39" i="3" s="1"/>
  <c r="K39" i="3"/>
  <c r="O38" i="3"/>
  <c r="M38" i="3"/>
  <c r="L38" i="3"/>
  <c r="N38" i="3" s="1"/>
  <c r="K38" i="3"/>
  <c r="O37" i="3"/>
  <c r="M37" i="3"/>
  <c r="L37" i="3"/>
  <c r="N37" i="3" s="1"/>
  <c r="K37" i="3"/>
  <c r="O36" i="3"/>
  <c r="M36" i="3"/>
  <c r="L36" i="3"/>
  <c r="N36" i="3" s="1"/>
  <c r="K36" i="3"/>
  <c r="O35" i="3"/>
  <c r="M35" i="3"/>
  <c r="L35" i="3"/>
  <c r="N35" i="3" s="1"/>
  <c r="K35" i="3"/>
  <c r="O34" i="3"/>
  <c r="M34" i="3"/>
  <c r="L34" i="3"/>
  <c r="N34" i="3" s="1"/>
  <c r="K34" i="3"/>
  <c r="O33" i="3"/>
  <c r="M33" i="3"/>
  <c r="L33" i="3"/>
  <c r="N33" i="3" s="1"/>
  <c r="K33" i="3"/>
  <c r="O32" i="3"/>
  <c r="M32" i="3"/>
  <c r="L32" i="3"/>
  <c r="N32" i="3" s="1"/>
  <c r="K32" i="3"/>
  <c r="O31" i="3"/>
  <c r="M31" i="3"/>
  <c r="L31" i="3"/>
  <c r="N31" i="3" s="1"/>
  <c r="K31" i="3"/>
  <c r="O30" i="3"/>
  <c r="M30" i="3"/>
  <c r="L30" i="3"/>
  <c r="N30" i="3" s="1"/>
  <c r="K30" i="3"/>
  <c r="O29" i="3"/>
  <c r="M29" i="3"/>
  <c r="L29" i="3"/>
  <c r="N29" i="3" s="1"/>
  <c r="K29" i="3"/>
  <c r="O28" i="3"/>
  <c r="M28" i="3"/>
  <c r="L28" i="3"/>
  <c r="N28" i="3" s="1"/>
  <c r="K28" i="3"/>
  <c r="O27" i="3"/>
  <c r="M27" i="3"/>
  <c r="L27" i="3"/>
  <c r="N27" i="3" s="1"/>
  <c r="K27" i="3"/>
  <c r="O26" i="3"/>
  <c r="M26" i="3"/>
  <c r="L26" i="3"/>
  <c r="N26" i="3" s="1"/>
  <c r="K26" i="3"/>
  <c r="O25" i="3"/>
  <c r="M25" i="3"/>
  <c r="L25" i="3"/>
  <c r="N25" i="3" s="1"/>
  <c r="K25" i="3"/>
  <c r="O24" i="3"/>
  <c r="M24" i="3"/>
  <c r="L24" i="3"/>
  <c r="N24" i="3" s="1"/>
  <c r="K24" i="3"/>
  <c r="O23" i="3"/>
  <c r="M23" i="3"/>
  <c r="L23" i="3"/>
  <c r="N23" i="3" s="1"/>
  <c r="K23" i="3"/>
  <c r="O22" i="3"/>
  <c r="M22" i="3"/>
  <c r="L22" i="3"/>
  <c r="N22" i="3" s="1"/>
  <c r="K22" i="3"/>
  <c r="O21" i="3"/>
  <c r="M21" i="3"/>
  <c r="L21" i="3"/>
  <c r="N21" i="3" s="1"/>
  <c r="K21" i="3"/>
  <c r="O20" i="3"/>
  <c r="M20" i="3"/>
  <c r="L20" i="3"/>
  <c r="N20" i="3" s="1"/>
  <c r="K20" i="3"/>
  <c r="O19" i="3"/>
  <c r="M19" i="3"/>
  <c r="L19" i="3"/>
  <c r="N19" i="3" s="1"/>
  <c r="K19" i="3"/>
  <c r="O18" i="3"/>
  <c r="M18" i="3"/>
  <c r="L18" i="3"/>
  <c r="N18" i="3" s="1"/>
  <c r="K18" i="3"/>
  <c r="O17" i="3"/>
  <c r="M17" i="3"/>
  <c r="L17" i="3"/>
  <c r="N17" i="3" s="1"/>
  <c r="K17" i="3"/>
  <c r="O16" i="3"/>
  <c r="M16" i="3"/>
  <c r="L16" i="3"/>
  <c r="N16" i="3" s="1"/>
  <c r="K16" i="3"/>
  <c r="O15" i="3"/>
  <c r="M15" i="3"/>
  <c r="L15" i="3"/>
  <c r="N15" i="3" s="1"/>
  <c r="K15" i="3"/>
  <c r="O14" i="3"/>
  <c r="M14" i="3"/>
  <c r="L14" i="3"/>
  <c r="N14" i="3" s="1"/>
  <c r="K14" i="3"/>
  <c r="O13" i="3"/>
  <c r="M13" i="3"/>
  <c r="L13" i="3"/>
  <c r="N13" i="3" s="1"/>
  <c r="K13" i="3"/>
  <c r="O12" i="3"/>
  <c r="M12" i="3"/>
  <c r="L12" i="3"/>
  <c r="N12" i="3"/>
  <c r="K12" i="3"/>
  <c r="O11" i="3"/>
  <c r="M11" i="3"/>
  <c r="L11" i="3"/>
  <c r="N11" i="3" s="1"/>
  <c r="K11" i="3"/>
  <c r="O10" i="3"/>
  <c r="M10" i="3"/>
  <c r="L10" i="3"/>
  <c r="N10" i="3" s="1"/>
  <c r="K10" i="3"/>
  <c r="O9" i="3"/>
  <c r="M9" i="3"/>
  <c r="L9" i="3"/>
  <c r="N9" i="3" s="1"/>
  <c r="K9" i="3"/>
  <c r="A1" i="3"/>
  <c r="U563" i="3"/>
  <c r="AS435" i="3"/>
  <c r="I354" i="3"/>
  <c r="U79" i="3"/>
  <c r="AG13" i="3"/>
  <c r="A2" i="3"/>
  <c r="H408" i="5"/>
  <c r="H290" i="5"/>
  <c r="H203" i="5"/>
  <c r="G203" i="5"/>
  <c r="G85" i="5"/>
  <c r="H85" i="5"/>
  <c r="L202" i="4"/>
  <c r="K69" i="26"/>
  <c r="J69" i="26"/>
  <c r="I69" i="26"/>
  <c r="H69" i="26"/>
  <c r="G69" i="26"/>
  <c r="H53" i="4"/>
  <c r="G56" i="4"/>
  <c r="G184" i="4"/>
  <c r="H55" i="4"/>
  <c r="H57" i="4"/>
  <c r="H51" i="4"/>
  <c r="H77" i="4"/>
  <c r="K78" i="4"/>
  <c r="I80" i="4"/>
  <c r="J184" i="4"/>
  <c r="H76" i="4"/>
  <c r="I184" i="4"/>
  <c r="G201" i="4"/>
  <c r="K80" i="4"/>
  <c r="J81" i="4"/>
  <c r="L84" i="4"/>
  <c r="AU222" i="1"/>
  <c r="I46" i="10" s="1"/>
  <c r="H58" i="10"/>
  <c r="G58" i="10"/>
  <c r="R65" i="10"/>
  <c r="H60" i="10"/>
  <c r="N51" i="11"/>
  <c r="M51" i="11"/>
  <c r="K51" i="11"/>
  <c r="J51" i="11"/>
  <c r="I57" i="10"/>
  <c r="H57" i="10"/>
  <c r="G57" i="10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L98" i="4"/>
  <c r="AT226" i="1"/>
  <c r="H50" i="10"/>
  <c r="AU225" i="1"/>
  <c r="I49" i="10" s="1"/>
  <c r="AT225" i="1"/>
  <c r="H49" i="10" s="1"/>
  <c r="AS225" i="1"/>
  <c r="G49" i="10" s="1"/>
  <c r="AU224" i="1"/>
  <c r="I48" i="10" s="1"/>
  <c r="AT224" i="1"/>
  <c r="H48" i="10" s="1"/>
  <c r="AS224" i="1"/>
  <c r="G48" i="10" s="1"/>
  <c r="AU219" i="1"/>
  <c r="I43" i="10" s="1"/>
  <c r="AT219" i="1"/>
  <c r="H43" i="10" s="1"/>
  <c r="AS219" i="1"/>
  <c r="G43" i="10" s="1"/>
  <c r="AU218" i="1"/>
  <c r="I42" i="10" s="1"/>
  <c r="AT218" i="1"/>
  <c r="H42" i="10" s="1"/>
  <c r="P42" i="10" s="1"/>
  <c r="AS218" i="1"/>
  <c r="G42" i="10" s="1"/>
  <c r="AQ226" i="1"/>
  <c r="AP226" i="1"/>
  <c r="AO226" i="1"/>
  <c r="AQ223" i="1"/>
  <c r="AP223" i="1"/>
  <c r="AO223" i="1"/>
  <c r="AS223" i="1" s="1"/>
  <c r="G47" i="10" s="1"/>
  <c r="AQ222" i="1"/>
  <c r="AP222" i="1"/>
  <c r="AO222" i="1"/>
  <c r="AP221" i="1"/>
  <c r="AO221" i="1"/>
  <c r="AQ220" i="1"/>
  <c r="AV233" i="1"/>
  <c r="AP217" i="1" s="1"/>
  <c r="AV232" i="1"/>
  <c r="AP216" i="1" s="1"/>
  <c r="AP220" i="1"/>
  <c r="AU220" i="1" s="1"/>
  <c r="I44" i="10" s="1"/>
  <c r="AQ221" i="1"/>
  <c r="AN199" i="1"/>
  <c r="AR199" i="1"/>
  <c r="AV199" i="1" s="1"/>
  <c r="AO220" i="1"/>
  <c r="AS206" i="1"/>
  <c r="G56" i="10" s="1"/>
  <c r="AT206" i="1"/>
  <c r="H56" i="10" s="1"/>
  <c r="AU206" i="1"/>
  <c r="I56" i="10" s="1"/>
  <c r="AS203" i="1"/>
  <c r="G53" i="10" s="1"/>
  <c r="AT203" i="1"/>
  <c r="H53" i="10" s="1"/>
  <c r="AU203" i="1"/>
  <c r="I53" i="10" s="1"/>
  <c r="AS205" i="1"/>
  <c r="AS209" i="1" s="1"/>
  <c r="G59" i="10" s="1"/>
  <c r="AU205" i="1"/>
  <c r="I55" i="10" s="1"/>
  <c r="AT205" i="1"/>
  <c r="H55" i="10" s="1"/>
  <c r="AS204" i="1"/>
  <c r="G54" i="10" s="1"/>
  <c r="AT204" i="1"/>
  <c r="H54" i="10" s="1"/>
  <c r="V54" i="10" s="1"/>
  <c r="AU204" i="1"/>
  <c r="I54" i="10" s="1"/>
  <c r="Q54" i="10" s="1"/>
  <c r="A2" i="18"/>
  <c r="A1" i="18"/>
  <c r="I121" i="27"/>
  <c r="A2" i="16"/>
  <c r="A1" i="16"/>
  <c r="H407" i="5"/>
  <c r="G407" i="5"/>
  <c r="H406" i="5"/>
  <c r="G406" i="5"/>
  <c r="H405" i="5"/>
  <c r="G405" i="5"/>
  <c r="H404" i="5"/>
  <c r="G404" i="5"/>
  <c r="H403" i="5"/>
  <c r="G403" i="5"/>
  <c r="H402" i="5"/>
  <c r="G402" i="5"/>
  <c r="H401" i="5"/>
  <c r="G401" i="5"/>
  <c r="H400" i="5"/>
  <c r="G400" i="5"/>
  <c r="H399" i="5"/>
  <c r="G399" i="5"/>
  <c r="H398" i="5"/>
  <c r="G398" i="5"/>
  <c r="H397" i="5"/>
  <c r="G397" i="5"/>
  <c r="H396" i="5"/>
  <c r="G396" i="5"/>
  <c r="H395" i="5"/>
  <c r="G395" i="5"/>
  <c r="H394" i="5"/>
  <c r="G394" i="5"/>
  <c r="H393" i="5"/>
  <c r="G393" i="5"/>
  <c r="H392" i="5"/>
  <c r="G392" i="5"/>
  <c r="H391" i="5"/>
  <c r="G391" i="5"/>
  <c r="H390" i="5"/>
  <c r="G390" i="5"/>
  <c r="H389" i="5"/>
  <c r="G389" i="5"/>
  <c r="H388" i="5"/>
  <c r="G388" i="5"/>
  <c r="H387" i="5"/>
  <c r="G387" i="5"/>
  <c r="H386" i="5"/>
  <c r="G386" i="5"/>
  <c r="H385" i="5"/>
  <c r="G385" i="5"/>
  <c r="H384" i="5"/>
  <c r="G384" i="5"/>
  <c r="H383" i="5"/>
  <c r="G383" i="5"/>
  <c r="H382" i="5"/>
  <c r="G382" i="5"/>
  <c r="H381" i="5"/>
  <c r="G381" i="5"/>
  <c r="H380" i="5"/>
  <c r="G380" i="5"/>
  <c r="H379" i="5"/>
  <c r="G379" i="5"/>
  <c r="H378" i="5"/>
  <c r="G378" i="5"/>
  <c r="H377" i="5"/>
  <c r="G377" i="5"/>
  <c r="H376" i="5"/>
  <c r="G376" i="5"/>
  <c r="H375" i="5"/>
  <c r="G375" i="5"/>
  <c r="H374" i="5"/>
  <c r="G374" i="5"/>
  <c r="H373" i="5"/>
  <c r="G373" i="5"/>
  <c r="H372" i="5"/>
  <c r="G372" i="5"/>
  <c r="H371" i="5"/>
  <c r="G371" i="5"/>
  <c r="H370" i="5"/>
  <c r="G370" i="5"/>
  <c r="H369" i="5"/>
  <c r="G369" i="5"/>
  <c r="H368" i="5"/>
  <c r="G368" i="5"/>
  <c r="H367" i="5"/>
  <c r="G367" i="5"/>
  <c r="H366" i="5"/>
  <c r="G366" i="5"/>
  <c r="H365" i="5"/>
  <c r="G365" i="5"/>
  <c r="H364" i="5"/>
  <c r="G364" i="5"/>
  <c r="H363" i="5"/>
  <c r="G363" i="5"/>
  <c r="H362" i="5"/>
  <c r="G362" i="5"/>
  <c r="H361" i="5"/>
  <c r="G361" i="5"/>
  <c r="H360" i="5"/>
  <c r="G360" i="5"/>
  <c r="H359" i="5"/>
  <c r="G359" i="5"/>
  <c r="H358" i="5"/>
  <c r="G358" i="5"/>
  <c r="H357" i="5"/>
  <c r="G357" i="5"/>
  <c r="H356" i="5"/>
  <c r="G356" i="5"/>
  <c r="H355" i="5"/>
  <c r="G355" i="5"/>
  <c r="H354" i="5"/>
  <c r="G354" i="5"/>
  <c r="H353" i="5"/>
  <c r="G353" i="5"/>
  <c r="H352" i="5"/>
  <c r="G352" i="5"/>
  <c r="H351" i="5"/>
  <c r="G351" i="5"/>
  <c r="H350" i="5"/>
  <c r="G350" i="5"/>
  <c r="H349" i="5"/>
  <c r="G349" i="5"/>
  <c r="H348" i="5"/>
  <c r="G348" i="5"/>
  <c r="H347" i="5"/>
  <c r="G347" i="5"/>
  <c r="H346" i="5"/>
  <c r="G346" i="5"/>
  <c r="H345" i="5"/>
  <c r="G345" i="5"/>
  <c r="H344" i="5"/>
  <c r="G344" i="5"/>
  <c r="H343" i="5"/>
  <c r="G343" i="5"/>
  <c r="H342" i="5"/>
  <c r="G342" i="5"/>
  <c r="H341" i="5"/>
  <c r="G341" i="5"/>
  <c r="H340" i="5"/>
  <c r="G340" i="5"/>
  <c r="H339" i="5"/>
  <c r="G339" i="5"/>
  <c r="H338" i="5"/>
  <c r="G338" i="5"/>
  <c r="H337" i="5"/>
  <c r="G337" i="5"/>
  <c r="H336" i="5"/>
  <c r="G336" i="5"/>
  <c r="H335" i="5"/>
  <c r="G335" i="5"/>
  <c r="H334" i="5"/>
  <c r="G334" i="5"/>
  <c r="H333" i="5"/>
  <c r="G333" i="5"/>
  <c r="H332" i="5"/>
  <c r="G332" i="5"/>
  <c r="H331" i="5"/>
  <c r="H330" i="5"/>
  <c r="G330" i="5"/>
  <c r="H329" i="5"/>
  <c r="G329" i="5"/>
  <c r="H328" i="5"/>
  <c r="G328" i="5"/>
  <c r="H327" i="5"/>
  <c r="G327" i="5"/>
  <c r="H326" i="5"/>
  <c r="G326" i="5"/>
  <c r="H325" i="5"/>
  <c r="G325" i="5"/>
  <c r="H324" i="5"/>
  <c r="G324" i="5"/>
  <c r="H323" i="5"/>
  <c r="G323" i="5"/>
  <c r="H322" i="5"/>
  <c r="G322" i="5"/>
  <c r="H321" i="5"/>
  <c r="G321" i="5"/>
  <c r="H320" i="5"/>
  <c r="G320" i="5"/>
  <c r="H319" i="5"/>
  <c r="G319" i="5"/>
  <c r="H318" i="5"/>
  <c r="G318" i="5"/>
  <c r="H317" i="5"/>
  <c r="G317" i="5"/>
  <c r="H316" i="5"/>
  <c r="G316" i="5"/>
  <c r="H315" i="5"/>
  <c r="G315" i="5"/>
  <c r="H314" i="5"/>
  <c r="G314" i="5"/>
  <c r="H313" i="5"/>
  <c r="G313" i="5"/>
  <c r="H312" i="5"/>
  <c r="G312" i="5"/>
  <c r="H311" i="5"/>
  <c r="G311" i="5"/>
  <c r="H310" i="5"/>
  <c r="G310" i="5"/>
  <c r="H309" i="5"/>
  <c r="G309" i="5"/>
  <c r="H308" i="5"/>
  <c r="G308" i="5"/>
  <c r="H307" i="5"/>
  <c r="G307" i="5"/>
  <c r="H306" i="5"/>
  <c r="G306" i="5"/>
  <c r="H305" i="5"/>
  <c r="G305" i="5"/>
  <c r="H304" i="5"/>
  <c r="G304" i="5"/>
  <c r="H303" i="5"/>
  <c r="G303" i="5"/>
  <c r="H302" i="5"/>
  <c r="G302" i="5"/>
  <c r="H301" i="5"/>
  <c r="G301" i="5"/>
  <c r="H300" i="5"/>
  <c r="G300" i="5"/>
  <c r="H299" i="5"/>
  <c r="G299" i="5"/>
  <c r="H298" i="5"/>
  <c r="G298" i="5"/>
  <c r="H297" i="5"/>
  <c r="G297" i="5"/>
  <c r="H296" i="5"/>
  <c r="G296" i="5"/>
  <c r="H295" i="5"/>
  <c r="G295" i="5"/>
  <c r="H294" i="5"/>
  <c r="H293" i="5"/>
  <c r="G293" i="5"/>
  <c r="H292" i="5"/>
  <c r="G292" i="5"/>
  <c r="H291" i="5"/>
  <c r="G291" i="5"/>
  <c r="H289" i="5"/>
  <c r="G289" i="5"/>
  <c r="H288" i="5"/>
  <c r="G288" i="5"/>
  <c r="H287" i="5"/>
  <c r="G287" i="5"/>
  <c r="H286" i="5"/>
  <c r="H285" i="5"/>
  <c r="H284" i="5"/>
  <c r="G284" i="5"/>
  <c r="H283" i="5"/>
  <c r="G283" i="5"/>
  <c r="H282" i="5"/>
  <c r="G282" i="5"/>
  <c r="H281" i="5"/>
  <c r="G281" i="5"/>
  <c r="H280" i="5"/>
  <c r="G280" i="5"/>
  <c r="H279" i="5"/>
  <c r="G279" i="5"/>
  <c r="H278" i="5"/>
  <c r="G278" i="5"/>
  <c r="H277" i="5"/>
  <c r="G277" i="5"/>
  <c r="H276" i="5"/>
  <c r="G276" i="5"/>
  <c r="H275" i="5"/>
  <c r="G275" i="5"/>
  <c r="H274" i="5"/>
  <c r="G274" i="5"/>
  <c r="H273" i="5"/>
  <c r="G273" i="5"/>
  <c r="H272" i="5"/>
  <c r="G272" i="5"/>
  <c r="H271" i="5"/>
  <c r="G271" i="5"/>
  <c r="H270" i="5"/>
  <c r="G270" i="5"/>
  <c r="H269" i="5"/>
  <c r="G269" i="5"/>
  <c r="H268" i="5"/>
  <c r="G268" i="5"/>
  <c r="H267" i="5"/>
  <c r="G267" i="5"/>
  <c r="H266" i="5"/>
  <c r="G266" i="5"/>
  <c r="H265" i="5"/>
  <c r="G265" i="5"/>
  <c r="H264" i="5"/>
  <c r="G264" i="5"/>
  <c r="H263" i="5"/>
  <c r="G263" i="5"/>
  <c r="H262" i="5"/>
  <c r="G262" i="5"/>
  <c r="H261" i="5"/>
  <c r="G261" i="5"/>
  <c r="H260" i="5"/>
  <c r="G260" i="5"/>
  <c r="H259" i="5"/>
  <c r="G259" i="5"/>
  <c r="H258" i="5"/>
  <c r="G258" i="5"/>
  <c r="H257" i="5"/>
  <c r="G257" i="5"/>
  <c r="H256" i="5"/>
  <c r="G256" i="5"/>
  <c r="H255" i="5"/>
  <c r="G255" i="5"/>
  <c r="H254" i="5"/>
  <c r="G254" i="5"/>
  <c r="H253" i="5"/>
  <c r="G253" i="5"/>
  <c r="H252" i="5"/>
  <c r="G252" i="5"/>
  <c r="H251" i="5"/>
  <c r="G251" i="5"/>
  <c r="H250" i="5"/>
  <c r="G250" i="5"/>
  <c r="H249" i="5"/>
  <c r="G249" i="5"/>
  <c r="H248" i="5"/>
  <c r="G248" i="5"/>
  <c r="H247" i="5"/>
  <c r="G247" i="5"/>
  <c r="H246" i="5"/>
  <c r="G246" i="5"/>
  <c r="H245" i="5"/>
  <c r="G245" i="5"/>
  <c r="H244" i="5"/>
  <c r="G244" i="5"/>
  <c r="H243" i="5"/>
  <c r="G243" i="5"/>
  <c r="H242" i="5"/>
  <c r="G242" i="5"/>
  <c r="H241" i="5"/>
  <c r="G241" i="5"/>
  <c r="H240" i="5"/>
  <c r="G240" i="5"/>
  <c r="H239" i="5"/>
  <c r="G239" i="5"/>
  <c r="H238" i="5"/>
  <c r="G238" i="5"/>
  <c r="H237" i="5"/>
  <c r="G237" i="5"/>
  <c r="H236" i="5"/>
  <c r="G236" i="5"/>
  <c r="H235" i="5"/>
  <c r="G235" i="5"/>
  <c r="H234" i="5"/>
  <c r="G234" i="5"/>
  <c r="H233" i="5"/>
  <c r="G233" i="5"/>
  <c r="H232" i="5"/>
  <c r="G232" i="5"/>
  <c r="H231" i="5"/>
  <c r="G231" i="5"/>
  <c r="H230" i="5"/>
  <c r="G230" i="5"/>
  <c r="H229" i="5"/>
  <c r="G229" i="5"/>
  <c r="H228" i="5"/>
  <c r="G228" i="5"/>
  <c r="H227" i="5"/>
  <c r="G227" i="5"/>
  <c r="H226" i="5"/>
  <c r="G226" i="5"/>
  <c r="H225" i="5"/>
  <c r="G225" i="5"/>
  <c r="H224" i="5"/>
  <c r="G224" i="5"/>
  <c r="H223" i="5"/>
  <c r="G223" i="5"/>
  <c r="H222" i="5"/>
  <c r="G222" i="5"/>
  <c r="H221" i="5"/>
  <c r="G221" i="5"/>
  <c r="H220" i="5"/>
  <c r="G220" i="5"/>
  <c r="H219" i="5"/>
  <c r="G219" i="5"/>
  <c r="H218" i="5"/>
  <c r="G218" i="5"/>
  <c r="H217" i="5"/>
  <c r="G217" i="5"/>
  <c r="H216" i="5"/>
  <c r="G216" i="5"/>
  <c r="H215" i="5"/>
  <c r="G215" i="5"/>
  <c r="H214" i="5"/>
  <c r="G214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7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8" i="5"/>
  <c r="G87" i="5"/>
  <c r="G84" i="5"/>
  <c r="G83" i="5"/>
  <c r="G82" i="5"/>
  <c r="G79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A2" i="5"/>
  <c r="A1" i="5"/>
  <c r="A2" i="22"/>
  <c r="A1" i="22"/>
  <c r="BA233" i="1"/>
  <c r="AL233" i="1"/>
  <c r="AB233" i="1"/>
  <c r="BA232" i="1"/>
  <c r="AL232" i="1"/>
  <c r="AB232" i="1"/>
  <c r="H198" i="1"/>
  <c r="G198" i="1"/>
  <c r="H197" i="1"/>
  <c r="G197" i="1"/>
  <c r="H196" i="1"/>
  <c r="G196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G59" i="1"/>
  <c r="G58" i="1"/>
  <c r="G57" i="1"/>
  <c r="G56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A2" i="1"/>
  <c r="A1" i="1"/>
  <c r="A2" i="8"/>
  <c r="A1" i="8"/>
  <c r="H96" i="11"/>
  <c r="G96" i="11"/>
  <c r="H95" i="11"/>
  <c r="G95" i="11"/>
  <c r="H94" i="11"/>
  <c r="G94" i="11"/>
  <c r="H93" i="11"/>
  <c r="G93" i="11"/>
  <c r="H92" i="11"/>
  <c r="G92" i="11"/>
  <c r="H91" i="11"/>
  <c r="G91" i="11"/>
  <c r="H90" i="11"/>
  <c r="G90" i="11"/>
  <c r="H89" i="11"/>
  <c r="G89" i="11"/>
  <c r="H88" i="11"/>
  <c r="G88" i="11"/>
  <c r="H87" i="11"/>
  <c r="G87" i="11"/>
  <c r="H86" i="11"/>
  <c r="G86" i="11"/>
  <c r="H85" i="11"/>
  <c r="G85" i="11"/>
  <c r="H84" i="11"/>
  <c r="G84" i="11"/>
  <c r="H83" i="11"/>
  <c r="G83" i="11"/>
  <c r="H82" i="11"/>
  <c r="G82" i="11"/>
  <c r="H81" i="11"/>
  <c r="G81" i="11"/>
  <c r="H80" i="11"/>
  <c r="G80" i="11"/>
  <c r="H79" i="11"/>
  <c r="G79" i="11"/>
  <c r="H78" i="11"/>
  <c r="G78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L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A2" i="11"/>
  <c r="A1" i="11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7" i="4"/>
  <c r="L126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7" i="4"/>
  <c r="L96" i="4"/>
  <c r="L95" i="4"/>
  <c r="L94" i="4"/>
  <c r="L93" i="4"/>
  <c r="L92" i="4"/>
  <c r="L91" i="4"/>
  <c r="L90" i="4"/>
  <c r="L89" i="4"/>
  <c r="L88" i="4"/>
  <c r="L87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A2" i="4"/>
  <c r="A1" i="4"/>
  <c r="A2" i="2"/>
  <c r="A1" i="2"/>
  <c r="A2" i="10"/>
  <c r="A1" i="10"/>
  <c r="A2" i="7"/>
  <c r="A1" i="7"/>
  <c r="AV225" i="1"/>
  <c r="AV218" i="1"/>
  <c r="H121" i="27"/>
  <c r="AV219" i="1"/>
  <c r="AV224" i="1"/>
  <c r="AO199" i="1"/>
  <c r="AP199" i="1"/>
  <c r="AQ199" i="1"/>
  <c r="AQ211" i="1"/>
  <c r="AP211" i="1"/>
  <c r="AO211" i="1"/>
  <c r="P49" i="10"/>
  <c r="Q42" i="10"/>
  <c r="P54" i="10"/>
  <c r="AT221" i="1"/>
  <c r="H45" i="10" s="1"/>
  <c r="AS221" i="1"/>
  <c r="G45" i="10" s="1"/>
  <c r="AU223" i="1"/>
  <c r="I47" i="10" s="1"/>
  <c r="AO217" i="1"/>
  <c r="AS217" i="1" s="1"/>
  <c r="G41" i="10" s="1"/>
  <c r="AQ216" i="1"/>
  <c r="AU209" i="1"/>
  <c r="I59" i="10" s="1"/>
  <c r="I91" i="10" s="1"/>
  <c r="J28" i="11"/>
  <c r="K28" i="11"/>
  <c r="V56" i="10"/>
  <c r="L28" i="11"/>
  <c r="AU221" i="1"/>
  <c r="I45" i="10" s="1"/>
  <c r="M28" i="11"/>
  <c r="N28" i="11"/>
  <c r="L39" i="27"/>
  <c r="AQ217" i="1"/>
  <c r="AO216" i="1"/>
  <c r="AS220" i="1"/>
  <c r="G44" i="10" s="1"/>
  <c r="AT217" i="1"/>
  <c r="H41" i="10" s="1"/>
  <c r="J74" i="11"/>
  <c r="L74" i="11"/>
  <c r="K74" i="11"/>
  <c r="N74" i="11"/>
  <c r="M74" i="11"/>
  <c r="Q43" i="10" l="1"/>
  <c r="P43" i="10"/>
  <c r="Q48" i="10"/>
  <c r="P48" i="10"/>
  <c r="AQ227" i="1"/>
  <c r="AQ228" i="1" s="1"/>
  <c r="AU211" i="1"/>
  <c r="K71" i="27"/>
  <c r="H71" i="27"/>
  <c r="G89" i="27"/>
  <c r="AT220" i="1"/>
  <c r="H44" i="10" s="1"/>
  <c r="AP227" i="1"/>
  <c r="M40" i="1"/>
  <c r="AD21" i="1"/>
  <c r="AN207" i="1"/>
  <c r="AN221" i="1" s="1"/>
  <c r="AP228" i="1"/>
  <c r="AO227" i="1"/>
  <c r="AO228" i="1" s="1"/>
  <c r="AU217" i="1"/>
  <c r="I41" i="10" s="1"/>
  <c r="J76" i="4"/>
  <c r="I76" i="4"/>
  <c r="J55" i="4"/>
  <c r="I54" i="4"/>
  <c r="J56" i="4"/>
  <c r="I52" i="4"/>
  <c r="J54" i="4"/>
  <c r="I56" i="4"/>
  <c r="J52" i="4"/>
  <c r="I55" i="4"/>
  <c r="I57" i="4"/>
  <c r="J57" i="4"/>
  <c r="J53" i="4"/>
  <c r="I53" i="4"/>
  <c r="J51" i="4"/>
  <c r="I51" i="4"/>
  <c r="AN205" i="1"/>
  <c r="AG12" i="1"/>
  <c r="L30" i="1"/>
  <c r="AG77" i="1"/>
  <c r="AN206" i="1"/>
  <c r="AN220" i="1" s="1"/>
  <c r="M34" i="1"/>
  <c r="L43" i="1"/>
  <c r="AH47" i="1"/>
  <c r="K39" i="1"/>
  <c r="K43" i="1"/>
  <c r="AN203" i="1"/>
  <c r="AR208" i="1"/>
  <c r="AR222" i="1" s="1"/>
  <c r="AH110" i="1"/>
  <c r="AE123" i="1"/>
  <c r="K15" i="1"/>
  <c r="K13" i="1"/>
  <c r="L37" i="1"/>
  <c r="AR207" i="1"/>
  <c r="AN204" i="1"/>
  <c r="AN210" i="1"/>
  <c r="AN226" i="1" s="1"/>
  <c r="AN208" i="1"/>
  <c r="AR203" i="1"/>
  <c r="AF61" i="1"/>
  <c r="AR204" i="1"/>
  <c r="L10" i="1"/>
  <c r="AD19" i="1"/>
  <c r="AR210" i="1"/>
  <c r="AR226" i="1" s="1"/>
  <c r="AR206" i="1"/>
  <c r="AV206" i="1" s="1"/>
  <c r="M23" i="1"/>
  <c r="K27" i="1"/>
  <c r="M42" i="1"/>
  <c r="K38" i="1"/>
  <c r="L38" i="1"/>
  <c r="M30" i="1"/>
  <c r="L21" i="1"/>
  <c r="AE53" i="1"/>
  <c r="AH15" i="1"/>
  <c r="AF13" i="1"/>
  <c r="AD141" i="1"/>
  <c r="AE54" i="1"/>
  <c r="AF136" i="1"/>
  <c r="AE96" i="1"/>
  <c r="M31" i="1"/>
  <c r="M41" i="1"/>
  <c r="K17" i="1"/>
  <c r="M11" i="1"/>
  <c r="L46" i="1"/>
  <c r="M38" i="1"/>
  <c r="L41" i="1"/>
  <c r="K20" i="1"/>
  <c r="L27" i="1"/>
  <c r="AH46" i="1"/>
  <c r="AG11" i="1"/>
  <c r="AF89" i="1"/>
  <c r="AD75" i="1"/>
  <c r="AD61" i="1"/>
  <c r="AH12" i="1"/>
  <c r="AH150" i="1"/>
  <c r="M39" i="1"/>
  <c r="L16" i="1"/>
  <c r="L20" i="1"/>
  <c r="L47" i="1"/>
  <c r="L12" i="1"/>
  <c r="L49" i="1"/>
  <c r="L25" i="1"/>
  <c r="L35" i="1"/>
  <c r="AN209" i="1"/>
  <c r="AN223" i="1" s="1"/>
  <c r="AF41" i="1"/>
  <c r="AD104" i="1"/>
  <c r="AG59" i="1"/>
  <c r="AE52" i="1"/>
  <c r="AF67" i="1"/>
  <c r="AE23" i="1"/>
  <c r="AF145" i="1"/>
  <c r="J187" i="1"/>
  <c r="V149" i="1"/>
  <c r="K34" i="1"/>
  <c r="L24" i="1"/>
  <c r="AG36" i="1"/>
  <c r="AG47" i="1"/>
  <c r="AH73" i="1"/>
  <c r="AF38" i="1"/>
  <c r="L26" i="1"/>
  <c r="M13" i="1"/>
  <c r="AH134" i="1"/>
  <c r="AD67" i="1"/>
  <c r="AE40" i="1"/>
  <c r="AR209" i="1"/>
  <c r="L14" i="1"/>
  <c r="L34" i="1"/>
  <c r="M20" i="1"/>
  <c r="L36" i="1"/>
  <c r="M27" i="1"/>
  <c r="M22" i="1"/>
  <c r="L32" i="1"/>
  <c r="L23" i="1"/>
  <c r="AR205" i="1"/>
  <c r="AV205" i="1" s="1"/>
  <c r="AF102" i="1"/>
  <c r="AF32" i="1"/>
  <c r="AE48" i="1"/>
  <c r="AE38" i="1"/>
  <c r="AD31" i="1"/>
  <c r="AH80" i="1"/>
  <c r="AD57" i="1"/>
  <c r="L9" i="1"/>
  <c r="K19" i="1"/>
  <c r="K40" i="1"/>
  <c r="M15" i="1"/>
  <c r="L42" i="1"/>
  <c r="M28" i="1"/>
  <c r="K44" i="1"/>
  <c r="M35" i="1"/>
  <c r="M24" i="1"/>
  <c r="L40" i="1"/>
  <c r="K32" i="1"/>
  <c r="L31" i="1"/>
  <c r="AH88" i="1"/>
  <c r="AE28" i="1"/>
  <c r="AG38" i="1"/>
  <c r="AK38" i="1" s="1"/>
  <c r="AE29" i="1"/>
  <c r="AG23" i="1"/>
  <c r="AF88" i="1"/>
  <c r="AE77" i="1"/>
  <c r="L28" i="1"/>
  <c r="L39" i="1"/>
  <c r="O39" i="1" s="1"/>
  <c r="L18" i="1"/>
  <c r="M19" i="1"/>
  <c r="M36" i="1"/>
  <c r="K26" i="1"/>
  <c r="L22" i="1"/>
  <c r="M32" i="1"/>
  <c r="K24" i="1"/>
  <c r="AG72" i="1"/>
  <c r="AF23" i="1"/>
  <c r="AD30" i="1"/>
  <c r="AH21" i="1"/>
  <c r="AL21" i="1" s="1"/>
  <c r="AG14" i="1"/>
  <c r="AF97" i="1"/>
  <c r="AD90" i="1"/>
  <c r="AE66" i="1"/>
  <c r="AF48" i="1"/>
  <c r="AE37" i="1"/>
  <c r="AH29" i="1"/>
  <c r="AG20" i="1"/>
  <c r="AE12" i="1"/>
  <c r="AH118" i="1"/>
  <c r="AG68" i="1"/>
  <c r="AH49" i="1"/>
  <c r="AD39" i="1"/>
  <c r="AG31" i="1"/>
  <c r="AG22" i="1"/>
  <c r="AD14" i="1"/>
  <c r="AE94" i="1"/>
  <c r="AD63" i="1"/>
  <c r="AE49" i="1"/>
  <c r="AH39" i="1"/>
  <c r="AH30" i="1"/>
  <c r="AL30" i="1" s="1"/>
  <c r="AE22" i="1"/>
  <c r="AE13" i="1"/>
  <c r="AG76" i="1"/>
  <c r="AH53" i="1"/>
  <c r="AH41" i="1"/>
  <c r="AG32" i="1"/>
  <c r="AE24" i="1"/>
  <c r="AD15" i="1"/>
  <c r="AD47" i="1"/>
  <c r="AF53" i="1"/>
  <c r="AE60" i="1"/>
  <c r="AG66" i="1"/>
  <c r="AD73" i="1"/>
  <c r="AE79" i="1"/>
  <c r="AH87" i="1"/>
  <c r="AH96" i="1"/>
  <c r="AE109" i="1"/>
  <c r="AG131" i="1"/>
  <c r="AD12" i="1"/>
  <c r="AL12" i="1" s="1"/>
  <c r="AG21" i="1"/>
  <c r="AG37" i="1"/>
  <c r="AD52" i="1"/>
  <c r="AG71" i="1"/>
  <c r="AE71" i="1"/>
  <c r="AH116" i="1"/>
  <c r="AH89" i="1"/>
  <c r="AH141" i="1"/>
  <c r="AG136" i="1"/>
  <c r="AH193" i="1"/>
  <c r="N94" i="1"/>
  <c r="AH155" i="1"/>
  <c r="AE85" i="1"/>
  <c r="AF58" i="1"/>
  <c r="AE45" i="1"/>
  <c r="AD35" i="1"/>
  <c r="AG27" i="1"/>
  <c r="AG18" i="1"/>
  <c r="AD10" i="1"/>
  <c r="AG152" i="1"/>
  <c r="AF96" i="1"/>
  <c r="AH63" i="1"/>
  <c r="AG46" i="1"/>
  <c r="AD37" i="1"/>
  <c r="AF29" i="1"/>
  <c r="AF20" i="1"/>
  <c r="AF11" i="1"/>
  <c r="AE167" i="1"/>
  <c r="AG84" i="1"/>
  <c r="AE57" i="1"/>
  <c r="AD46" i="1"/>
  <c r="AL46" i="1" s="1"/>
  <c r="AH37" i="1"/>
  <c r="AG28" i="1"/>
  <c r="AE20" i="1"/>
  <c r="AD11" i="1"/>
  <c r="AD106" i="1"/>
  <c r="AH71" i="1"/>
  <c r="AG50" i="1"/>
  <c r="AG39" i="1"/>
  <c r="AG30" i="1"/>
  <c r="AD22" i="1"/>
  <c r="AD13" i="1"/>
  <c r="AG48" i="1"/>
  <c r="AK48" i="1" s="1"/>
  <c r="AE55" i="1"/>
  <c r="AH61" i="1"/>
  <c r="AL61" i="1" s="1"/>
  <c r="AE68" i="1"/>
  <c r="AG74" i="1"/>
  <c r="AF81" i="1"/>
  <c r="AF90" i="1"/>
  <c r="AD98" i="1"/>
  <c r="AD114" i="1"/>
  <c r="AF140" i="1"/>
  <c r="AG13" i="1"/>
  <c r="AK13" i="1" s="1"/>
  <c r="AH24" i="1"/>
  <c r="AE39" i="1"/>
  <c r="AH57" i="1"/>
  <c r="AL57" i="1" s="1"/>
  <c r="AF86" i="1"/>
  <c r="AF85" i="1"/>
  <c r="AG129" i="1"/>
  <c r="AG102" i="1"/>
  <c r="AF179" i="1"/>
  <c r="AG164" i="1"/>
  <c r="AH139" i="1"/>
  <c r="AF80" i="1"/>
  <c r="AD55" i="1"/>
  <c r="AG43" i="1"/>
  <c r="AG34" i="1"/>
  <c r="AD26" i="1"/>
  <c r="AD17" i="1"/>
  <c r="AF9" i="1"/>
  <c r="AG144" i="1"/>
  <c r="AG91" i="1"/>
  <c r="AE62" i="1"/>
  <c r="AD45" i="1"/>
  <c r="AF36" i="1"/>
  <c r="AF27" i="1"/>
  <c r="AH19" i="1"/>
  <c r="AL19" i="1" s="1"/>
  <c r="AH10" i="1"/>
  <c r="AD122" i="1"/>
  <c r="AH79" i="1"/>
  <c r="AE56" i="1"/>
  <c r="AF44" i="1"/>
  <c r="AE36" i="1"/>
  <c r="AK36" i="1" s="1"/>
  <c r="AD27" i="1"/>
  <c r="AG19" i="1"/>
  <c r="AG10" i="1"/>
  <c r="AH100" i="1"/>
  <c r="AE70" i="1"/>
  <c r="AD49" i="1"/>
  <c r="AD38" i="1"/>
  <c r="AD29" i="1"/>
  <c r="AF21" i="1"/>
  <c r="AF12" i="1"/>
  <c r="AJ12" i="1" s="1"/>
  <c r="AF49" i="1"/>
  <c r="AF56" i="1"/>
  <c r="AG62" i="1"/>
  <c r="AD69" i="1"/>
  <c r="AF75" i="1"/>
  <c r="AD82" i="1"/>
  <c r="AD91" i="1"/>
  <c r="AG99" i="1"/>
  <c r="AG115" i="1"/>
  <c r="AE145" i="1"/>
  <c r="AE15" i="1"/>
  <c r="AG25" i="1"/>
  <c r="AD44" i="1"/>
  <c r="AE58" i="1"/>
  <c r="AD94" i="1"/>
  <c r="AF94" i="1"/>
  <c r="AD136" i="1"/>
  <c r="AD109" i="1"/>
  <c r="AG104" i="1"/>
  <c r="AE163" i="1"/>
  <c r="X82" i="1"/>
  <c r="O38" i="1"/>
  <c r="AF77" i="1"/>
  <c r="AH54" i="1"/>
  <c r="AD42" i="1"/>
  <c r="AD33" i="1"/>
  <c r="AF25" i="1"/>
  <c r="AF16" i="1"/>
  <c r="AD138" i="1"/>
  <c r="AH86" i="1"/>
  <c r="AH56" i="1"/>
  <c r="AF43" i="1"/>
  <c r="AH35" i="1"/>
  <c r="AH26" i="1"/>
  <c r="AE18" i="1"/>
  <c r="AE9" i="1"/>
  <c r="AE117" i="1"/>
  <c r="AH75" i="1"/>
  <c r="AL75" i="1" s="1"/>
  <c r="AH55" i="1"/>
  <c r="AD43" i="1"/>
  <c r="AG35" i="1"/>
  <c r="AG26" i="1"/>
  <c r="AD18" i="1"/>
  <c r="AD9" i="1"/>
  <c r="AH95" i="1"/>
  <c r="AF65" i="1"/>
  <c r="AF47" i="1"/>
  <c r="AF37" i="1"/>
  <c r="AF28" i="1"/>
  <c r="AJ28" i="1" s="1"/>
  <c r="AF19" i="1"/>
  <c r="AH11" i="1"/>
  <c r="AH43" i="1"/>
  <c r="AE50" i="1"/>
  <c r="AG57" i="1"/>
  <c r="AF63" i="1"/>
  <c r="AH69" i="1"/>
  <c r="AE76" i="1"/>
  <c r="AG83" i="1"/>
  <c r="AG92" i="1"/>
  <c r="AD100" i="1"/>
  <c r="AF120" i="1"/>
  <c r="AD151" i="1"/>
  <c r="AH16" i="1"/>
  <c r="AF26" i="1"/>
  <c r="AH44" i="1"/>
  <c r="AG63" i="1"/>
  <c r="AG103" i="1"/>
  <c r="AF104" i="1"/>
  <c r="AE144" i="1"/>
  <c r="AF115" i="1"/>
  <c r="AD111" i="1"/>
  <c r="AF178" i="1"/>
  <c r="X103" i="1"/>
  <c r="AL15" i="1"/>
  <c r="AE133" i="1"/>
  <c r="AD83" i="1"/>
  <c r="AG54" i="1"/>
  <c r="AH42" i="1"/>
  <c r="AE34" i="1"/>
  <c r="AE25" i="1"/>
  <c r="AI25" i="1" s="1"/>
  <c r="AH17" i="1"/>
  <c r="AL17" i="1" s="1"/>
  <c r="AF112" i="1"/>
  <c r="AE74" i="1"/>
  <c r="AD54" i="1"/>
  <c r="AG42" i="1"/>
  <c r="AD34" i="1"/>
  <c r="AD25" i="1"/>
  <c r="AF17" i="1"/>
  <c r="AD92" i="1"/>
  <c r="AG60" i="1"/>
  <c r="AH45" i="1"/>
  <c r="AF35" i="1"/>
  <c r="AH27" i="1"/>
  <c r="AH18" i="1"/>
  <c r="AE10" i="1"/>
  <c r="AG44" i="1"/>
  <c r="AD51" i="1"/>
  <c r="AD58" i="1"/>
  <c r="AE64" i="1"/>
  <c r="AG70" i="1"/>
  <c r="AD77" i="1"/>
  <c r="AD84" i="1"/>
  <c r="AE93" i="1"/>
  <c r="AG101" i="1"/>
  <c r="AE125" i="1"/>
  <c r="AG157" i="1"/>
  <c r="AF18" i="1"/>
  <c r="AE31" i="1"/>
  <c r="AG45" i="1"/>
  <c r="AF64" i="1"/>
  <c r="AH130" i="1"/>
  <c r="AD126" i="1"/>
  <c r="AE154" i="1"/>
  <c r="AH121" i="1"/>
  <c r="AF117" i="1"/>
  <c r="AE143" i="1"/>
  <c r="T97" i="1"/>
  <c r="AF98" i="1"/>
  <c r="AD71" i="1"/>
  <c r="AG51" i="1"/>
  <c r="AF39" i="1"/>
  <c r="AH31" i="1"/>
  <c r="AH22" i="1"/>
  <c r="AE14" i="1"/>
  <c r="AF128" i="1"/>
  <c r="AE78" i="1"/>
  <c r="AD53" i="1"/>
  <c r="AL53" i="1" s="1"/>
  <c r="AE41" i="1"/>
  <c r="AH33" i="1"/>
  <c r="AG24" i="1"/>
  <c r="AE16" i="1"/>
  <c r="AG107" i="1"/>
  <c r="AF69" i="1"/>
  <c r="AF52" i="1"/>
  <c r="AD41" i="1"/>
  <c r="AF33" i="1"/>
  <c r="AF24" i="1"/>
  <c r="AF15" i="1"/>
  <c r="AE87" i="1"/>
  <c r="AD56" i="1"/>
  <c r="AE44" i="1"/>
  <c r="AH34" i="1"/>
  <c r="AE26" i="1"/>
  <c r="AE17" i="1"/>
  <c r="AH9" i="1"/>
  <c r="AF45" i="1"/>
  <c r="AH51" i="1"/>
  <c r="AH58" i="1"/>
  <c r="AD65" i="1"/>
  <c r="AF71" i="1"/>
  <c r="AJ71" i="1" s="1"/>
  <c r="AH77" i="1"/>
  <c r="AG85" i="1"/>
  <c r="AJ85" i="1" s="1"/>
  <c r="AH94" i="1"/>
  <c r="AE103" i="1"/>
  <c r="AH126" i="1"/>
  <c r="AF10" i="1"/>
  <c r="AE19" i="1"/>
  <c r="AD32" i="1"/>
  <c r="AF50" i="1"/>
  <c r="AE65" i="1"/>
  <c r="AD59" i="1"/>
  <c r="AF162" i="1"/>
  <c r="AF186" i="1"/>
  <c r="AE128" i="1"/>
  <c r="AH123" i="1"/>
  <c r="AF154" i="1"/>
  <c r="T159" i="1"/>
  <c r="AG93" i="1"/>
  <c r="AH67" i="1"/>
  <c r="AD50" i="1"/>
  <c r="AH38" i="1"/>
  <c r="AL38" i="1" s="1"/>
  <c r="AE30" i="1"/>
  <c r="AE21" i="1"/>
  <c r="AJ21" i="1" s="1"/>
  <c r="AH13" i="1"/>
  <c r="AG123" i="1"/>
  <c r="AF73" i="1"/>
  <c r="AF51" i="1"/>
  <c r="AG40" i="1"/>
  <c r="AE32" i="1"/>
  <c r="AD23" i="1"/>
  <c r="AG15" i="1"/>
  <c r="AD99" i="1"/>
  <c r="AG64" i="1"/>
  <c r="AH50" i="1"/>
  <c r="AF40" i="1"/>
  <c r="AF31" i="1"/>
  <c r="AH23" i="1"/>
  <c r="AH14" i="1"/>
  <c r="AF82" i="1"/>
  <c r="AG55" i="1"/>
  <c r="AE42" i="1"/>
  <c r="AE33" i="1"/>
  <c r="AH25" i="1"/>
  <c r="AG16" i="1"/>
  <c r="AE46" i="1"/>
  <c r="AG52" i="1"/>
  <c r="AE59" i="1"/>
  <c r="AH65" i="1"/>
  <c r="AE72" i="1"/>
  <c r="AH78" i="1"/>
  <c r="AE86" i="1"/>
  <c r="AE95" i="1"/>
  <c r="AH104" i="1"/>
  <c r="AD130" i="1"/>
  <c r="AE11" i="1"/>
  <c r="AK11" i="1" s="1"/>
  <c r="AD20" i="1"/>
  <c r="AH32" i="1"/>
  <c r="AL32" i="1" s="1"/>
  <c r="AE51" i="1"/>
  <c r="AH70" i="1"/>
  <c r="AH64" i="1"/>
  <c r="AF110" i="1"/>
  <c r="AF83" i="1"/>
  <c r="AG134" i="1"/>
  <c r="AE130" i="1"/>
  <c r="AE197" i="1"/>
  <c r="X164" i="1"/>
  <c r="AR217" i="1"/>
  <c r="AL37" i="1"/>
  <c r="P38" i="1"/>
  <c r="AD70" i="1"/>
  <c r="AF76" i="1"/>
  <c r="AF84" i="1"/>
  <c r="AF93" i="1"/>
  <c r="AD102" i="1"/>
  <c r="AE129" i="1"/>
  <c r="AG58" i="1"/>
  <c r="AK58" i="1" s="1"/>
  <c r="AD64" i="1"/>
  <c r="AF70" i="1"/>
  <c r="AJ70" i="1" s="1"/>
  <c r="AH76" i="1"/>
  <c r="AH84" i="1"/>
  <c r="AL84" i="1" s="1"/>
  <c r="AF92" i="1"/>
  <c r="AH102" i="1"/>
  <c r="AL102" i="1" s="1"/>
  <c r="AH122" i="1"/>
  <c r="AL122" i="1" s="1"/>
  <c r="AE156" i="1"/>
  <c r="AG109" i="1"/>
  <c r="AD116" i="1"/>
  <c r="AL116" i="1" s="1"/>
  <c r="AF122" i="1"/>
  <c r="AH128" i="1"/>
  <c r="AE135" i="1"/>
  <c r="AG143" i="1"/>
  <c r="AG153" i="1"/>
  <c r="AG181" i="1"/>
  <c r="AG82" i="1"/>
  <c r="AD89" i="1"/>
  <c r="AL89" i="1" s="1"/>
  <c r="AF95" i="1"/>
  <c r="AH101" i="1"/>
  <c r="AE108" i="1"/>
  <c r="AG114" i="1"/>
  <c r="AD121" i="1"/>
  <c r="AL121" i="1" s="1"/>
  <c r="AF127" i="1"/>
  <c r="AH133" i="1"/>
  <c r="AE140" i="1"/>
  <c r="AE149" i="1"/>
  <c r="AG174" i="1"/>
  <c r="AH103" i="1"/>
  <c r="AE110" i="1"/>
  <c r="AG116" i="1"/>
  <c r="AD123" i="1"/>
  <c r="AL123" i="1" s="1"/>
  <c r="AF129" i="1"/>
  <c r="AH135" i="1"/>
  <c r="AF143" i="1"/>
  <c r="AH159" i="1"/>
  <c r="AD161" i="1"/>
  <c r="AE175" i="1"/>
  <c r="AF142" i="1"/>
  <c r="AH152" i="1"/>
  <c r="AF175" i="1"/>
  <c r="AG182" i="1"/>
  <c r="X66" i="1"/>
  <c r="T78" i="1"/>
  <c r="T89" i="1"/>
  <c r="T155" i="1"/>
  <c r="T174" i="1"/>
  <c r="N86" i="1"/>
  <c r="J149" i="1"/>
  <c r="T193" i="1"/>
  <c r="AD78" i="1"/>
  <c r="AL78" i="1" s="1"/>
  <c r="AD87" i="1"/>
  <c r="AG95" i="1"/>
  <c r="AF108" i="1"/>
  <c r="AD134" i="1"/>
  <c r="AL134" i="1" s="1"/>
  <c r="AH59" i="1"/>
  <c r="AG65" i="1"/>
  <c r="AK65" i="1" s="1"/>
  <c r="AD72" i="1"/>
  <c r="AF78" i="1"/>
  <c r="AD86" i="1"/>
  <c r="AL86" i="1" s="1"/>
  <c r="AD95" i="1"/>
  <c r="AE105" i="1"/>
  <c r="AG127" i="1"/>
  <c r="AH177" i="1"/>
  <c r="AE111" i="1"/>
  <c r="AG117" i="1"/>
  <c r="AK117" i="1" s="1"/>
  <c r="AD124" i="1"/>
  <c r="AF130" i="1"/>
  <c r="AH136" i="1"/>
  <c r="AL136" i="1" s="1"/>
  <c r="AH145" i="1"/>
  <c r="AE158" i="1"/>
  <c r="AE191" i="1"/>
  <c r="AE84" i="1"/>
  <c r="AK84" i="1" s="1"/>
  <c r="AG90" i="1"/>
  <c r="AD97" i="1"/>
  <c r="AF103" i="1"/>
  <c r="AJ103" i="1" s="1"/>
  <c r="AH109" i="1"/>
  <c r="AL109" i="1" s="1"/>
  <c r="AE116" i="1"/>
  <c r="AG122" i="1"/>
  <c r="AD129" i="1"/>
  <c r="AF135" i="1"/>
  <c r="AE142" i="1"/>
  <c r="AF152" i="1"/>
  <c r="AH192" i="1"/>
  <c r="AF105" i="1"/>
  <c r="AH111" i="1"/>
  <c r="AL111" i="1" s="1"/>
  <c r="AE118" i="1"/>
  <c r="AG124" i="1"/>
  <c r="AD131" i="1"/>
  <c r="AF137" i="1"/>
  <c r="AD146" i="1"/>
  <c r="AD173" i="1"/>
  <c r="AH164" i="1"/>
  <c r="AD180" i="1"/>
  <c r="AD144" i="1"/>
  <c r="AD155" i="1"/>
  <c r="AD149" i="1"/>
  <c r="AD162" i="1"/>
  <c r="T92" i="1"/>
  <c r="X119" i="1"/>
  <c r="T112" i="1"/>
  <c r="X169" i="1"/>
  <c r="T179" i="1"/>
  <c r="N59" i="1"/>
  <c r="AJ65" i="1"/>
  <c r="AF14" i="1"/>
  <c r="AJ14" i="1" s="1"/>
  <c r="AH20" i="1"/>
  <c r="AL20" i="1" s="1"/>
  <c r="AE27" i="1"/>
  <c r="AI27" i="1" s="1"/>
  <c r="AG33" i="1"/>
  <c r="AD40" i="1"/>
  <c r="AF46" i="1"/>
  <c r="AI46" i="1" s="1"/>
  <c r="AH52" i="1"/>
  <c r="AL52" i="1" s="1"/>
  <c r="AF59" i="1"/>
  <c r="AD66" i="1"/>
  <c r="AF72" i="1"/>
  <c r="AG79" i="1"/>
  <c r="AG88" i="1"/>
  <c r="AD96" i="1"/>
  <c r="AE113" i="1"/>
  <c r="AG135" i="1"/>
  <c r="AD60" i="1"/>
  <c r="AF66" i="1"/>
  <c r="AI66" i="1" s="1"/>
  <c r="AH72" i="1"/>
  <c r="AD79" i="1"/>
  <c r="AL79" i="1" s="1"/>
  <c r="AG87" i="1"/>
  <c r="AG96" i="1"/>
  <c r="AJ96" i="1" s="1"/>
  <c r="AH106" i="1"/>
  <c r="AF132" i="1"/>
  <c r="AG105" i="1"/>
  <c r="AD112" i="1"/>
  <c r="AF118" i="1"/>
  <c r="AH124" i="1"/>
  <c r="AL124" i="1" s="1"/>
  <c r="AE131" i="1"/>
  <c r="AG137" i="1"/>
  <c r="AE146" i="1"/>
  <c r="AH161" i="1"/>
  <c r="AG78" i="1"/>
  <c r="AD85" i="1"/>
  <c r="AF91" i="1"/>
  <c r="AH97" i="1"/>
  <c r="AL97" i="1" s="1"/>
  <c r="AE104" i="1"/>
  <c r="AG110" i="1"/>
  <c r="AK110" i="1" s="1"/>
  <c r="AD117" i="1"/>
  <c r="AF123" i="1"/>
  <c r="AH129" i="1"/>
  <c r="AL129" i="1" s="1"/>
  <c r="AE136" i="1"/>
  <c r="AH143" i="1"/>
  <c r="AF155" i="1"/>
  <c r="AD198" i="1"/>
  <c r="AE106" i="1"/>
  <c r="AG112" i="1"/>
  <c r="AD119" i="1"/>
  <c r="AF125" i="1"/>
  <c r="AH131" i="1"/>
  <c r="AL131" i="1" s="1"/>
  <c r="AE138" i="1"/>
  <c r="AG147" i="1"/>
  <c r="AF195" i="1"/>
  <c r="AF167" i="1"/>
  <c r="AD184" i="1"/>
  <c r="AG145" i="1"/>
  <c r="AF161" i="1"/>
  <c r="AD160" i="1"/>
  <c r="AD174" i="1"/>
  <c r="X65" i="1"/>
  <c r="T101" i="1"/>
  <c r="X135" i="1"/>
  <c r="T128" i="1"/>
  <c r="U67" i="1"/>
  <c r="X197" i="1"/>
  <c r="N63" i="1"/>
  <c r="AL27" i="1"/>
  <c r="AD28" i="1"/>
  <c r="AF34" i="1"/>
  <c r="AH40" i="1"/>
  <c r="AL40" i="1" s="1"/>
  <c r="AE47" i="1"/>
  <c r="AG53" i="1"/>
  <c r="AF60" i="1"/>
  <c r="AH66" i="1"/>
  <c r="AL66" i="1" s="1"/>
  <c r="AE73" i="1"/>
  <c r="AD80" i="1"/>
  <c r="AE89" i="1"/>
  <c r="AG97" i="1"/>
  <c r="AH114" i="1"/>
  <c r="AL114" i="1" s="1"/>
  <c r="AG142" i="1"/>
  <c r="AH60" i="1"/>
  <c r="AL60" i="1" s="1"/>
  <c r="AE67" i="1"/>
  <c r="AG73" i="1"/>
  <c r="AG80" i="1"/>
  <c r="AD88" i="1"/>
  <c r="AL88" i="1" s="1"/>
  <c r="AE97" i="1"/>
  <c r="AJ97" i="1" s="1"/>
  <c r="AD110" i="1"/>
  <c r="AE137" i="1"/>
  <c r="AF106" i="1"/>
  <c r="AH112" i="1"/>
  <c r="AL112" i="1" s="1"/>
  <c r="AE119" i="1"/>
  <c r="AG125" i="1"/>
  <c r="AD132" i="1"/>
  <c r="AF138" i="1"/>
  <c r="AH147" i="1"/>
  <c r="AD163" i="1"/>
  <c r="AF79" i="1"/>
  <c r="AH85" i="1"/>
  <c r="AL85" i="1" s="1"/>
  <c r="AE92" i="1"/>
  <c r="AG98" i="1"/>
  <c r="AD105" i="1"/>
  <c r="AF111" i="1"/>
  <c r="AH117" i="1"/>
  <c r="AL117" i="1" s="1"/>
  <c r="AE124" i="1"/>
  <c r="AG130" i="1"/>
  <c r="AK130" i="1" s="1"/>
  <c r="AD137" i="1"/>
  <c r="AF144" i="1"/>
  <c r="AD156" i="1"/>
  <c r="AG100" i="1"/>
  <c r="AD107" i="1"/>
  <c r="AF113" i="1"/>
  <c r="AH119" i="1"/>
  <c r="AL119" i="1" s="1"/>
  <c r="AE126" i="1"/>
  <c r="AG132" i="1"/>
  <c r="AD139" i="1"/>
  <c r="AF148" i="1"/>
  <c r="AH157" i="1"/>
  <c r="AD168" i="1"/>
  <c r="AG185" i="1"/>
  <c r="AF146" i="1"/>
  <c r="AD164" i="1"/>
  <c r="AE162" i="1"/>
  <c r="AH186" i="1"/>
  <c r="X77" i="1"/>
  <c r="T117" i="1"/>
  <c r="T48" i="1"/>
  <c r="T139" i="1"/>
  <c r="U131" i="1"/>
  <c r="X185" i="1"/>
  <c r="N74" i="1"/>
  <c r="AJ78" i="1"/>
  <c r="AK71" i="1"/>
  <c r="AL94" i="1"/>
  <c r="AK103" i="1"/>
  <c r="AL126" i="1"/>
  <c r="AG9" i="1"/>
  <c r="AD16" i="1"/>
  <c r="AF22" i="1"/>
  <c r="AH28" i="1"/>
  <c r="AE35" i="1"/>
  <c r="AG41" i="1"/>
  <c r="AD48" i="1"/>
  <c r="AF54" i="1"/>
  <c r="AE61" i="1"/>
  <c r="AG67" i="1"/>
  <c r="AD74" i="1"/>
  <c r="AG81" i="1"/>
  <c r="AH90" i="1"/>
  <c r="AE98" i="1"/>
  <c r="AD118" i="1"/>
  <c r="AF147" i="1"/>
  <c r="AG61" i="1"/>
  <c r="AK61" i="1" s="1"/>
  <c r="AD68" i="1"/>
  <c r="AF74" i="1"/>
  <c r="AK74" i="1" s="1"/>
  <c r="AE81" i="1"/>
  <c r="AI81" i="1" s="1"/>
  <c r="AG89" i="1"/>
  <c r="AH98" i="1"/>
  <c r="AL98" i="1" s="1"/>
  <c r="AG111" i="1"/>
  <c r="AH138" i="1"/>
  <c r="AE107" i="1"/>
  <c r="AG113" i="1"/>
  <c r="AD120" i="1"/>
  <c r="AF126" i="1"/>
  <c r="AH132" i="1"/>
  <c r="AF139" i="1"/>
  <c r="AG148" i="1"/>
  <c r="AG166" i="1"/>
  <c r="AE80" i="1"/>
  <c r="AJ80" i="1" s="1"/>
  <c r="AG86" i="1"/>
  <c r="AJ86" i="1" s="1"/>
  <c r="AD93" i="1"/>
  <c r="AF99" i="1"/>
  <c r="AH105" i="1"/>
  <c r="AE112" i="1"/>
  <c r="AG118" i="1"/>
  <c r="AD125" i="1"/>
  <c r="AF131" i="1"/>
  <c r="AH137" i="1"/>
  <c r="AD145" i="1"/>
  <c r="AE160" i="1"/>
  <c r="AF101" i="1"/>
  <c r="AH107" i="1"/>
  <c r="AE114" i="1"/>
  <c r="AG120" i="1"/>
  <c r="AD127" i="1"/>
  <c r="AF133" i="1"/>
  <c r="AG140" i="1"/>
  <c r="AD150" i="1"/>
  <c r="AL150" i="1" s="1"/>
  <c r="AF158" i="1"/>
  <c r="AG169" i="1"/>
  <c r="AE139" i="1"/>
  <c r="AD148" i="1"/>
  <c r="AG165" i="1"/>
  <c r="AH172" i="1"/>
  <c r="AD196" i="1"/>
  <c r="X102" i="1"/>
  <c r="T133" i="1"/>
  <c r="T52" i="1"/>
  <c r="T143" i="1"/>
  <c r="X166" i="1"/>
  <c r="X189" i="1"/>
  <c r="N67" i="1"/>
  <c r="AJ123" i="1"/>
  <c r="AK73" i="1"/>
  <c r="AK32" i="1"/>
  <c r="AK64" i="1"/>
  <c r="AI31" i="1"/>
  <c r="AL14" i="1"/>
  <c r="AK33" i="1"/>
  <c r="AK59" i="1"/>
  <c r="AK95" i="1"/>
  <c r="AL104" i="1"/>
  <c r="AL130" i="1"/>
  <c r="AG29" i="1"/>
  <c r="AD36" i="1"/>
  <c r="AF42" i="1"/>
  <c r="AH48" i="1"/>
  <c r="AF55" i="1"/>
  <c r="AD62" i="1"/>
  <c r="AF68" i="1"/>
  <c r="AH74" i="1"/>
  <c r="AE82" i="1"/>
  <c r="AI82" i="1" s="1"/>
  <c r="AE91" i="1"/>
  <c r="AK91" i="1" s="1"/>
  <c r="AH99" i="1"/>
  <c r="AL99" i="1" s="1"/>
  <c r="AG119" i="1"/>
  <c r="AF149" i="1"/>
  <c r="AF62" i="1"/>
  <c r="AH68" i="1"/>
  <c r="AE75" i="1"/>
  <c r="AH82" i="1"/>
  <c r="AL82" i="1" s="1"/>
  <c r="AE90" i="1"/>
  <c r="AE99" i="1"/>
  <c r="AF116" i="1"/>
  <c r="AD143" i="1"/>
  <c r="AD108" i="1"/>
  <c r="AF114" i="1"/>
  <c r="AH120" i="1"/>
  <c r="AL120" i="1" s="1"/>
  <c r="AE127" i="1"/>
  <c r="AG133" i="1"/>
  <c r="AF141" i="1"/>
  <c r="AE150" i="1"/>
  <c r="AF171" i="1"/>
  <c r="AD81" i="1"/>
  <c r="AF87" i="1"/>
  <c r="AI87" i="1" s="1"/>
  <c r="AH93" i="1"/>
  <c r="AL93" i="1" s="1"/>
  <c r="AE100" i="1"/>
  <c r="AG106" i="1"/>
  <c r="AK106" i="1" s="1"/>
  <c r="AD113" i="1"/>
  <c r="AF119" i="1"/>
  <c r="AJ119" i="1" s="1"/>
  <c r="AH125" i="1"/>
  <c r="AE132" i="1"/>
  <c r="AG138" i="1"/>
  <c r="AG146" i="1"/>
  <c r="AD165" i="1"/>
  <c r="AE102" i="1"/>
  <c r="AI102" i="1" s="1"/>
  <c r="AG108" i="1"/>
  <c r="AK108" i="1" s="1"/>
  <c r="AD115" i="1"/>
  <c r="AF121" i="1"/>
  <c r="AH127" i="1"/>
  <c r="AE134" i="1"/>
  <c r="AE141" i="1"/>
  <c r="AG151" i="1"/>
  <c r="AD159" i="1"/>
  <c r="AE170" i="1"/>
  <c r="AD140" i="1"/>
  <c r="AH148" i="1"/>
  <c r="AD171" i="1"/>
  <c r="AD176" i="1"/>
  <c r="AD179" i="1"/>
  <c r="X118" i="1"/>
  <c r="X60" i="1"/>
  <c r="W65" i="1"/>
  <c r="T147" i="1"/>
  <c r="T181" i="1"/>
  <c r="X193" i="1"/>
  <c r="AB193" i="1" s="1"/>
  <c r="N95" i="1"/>
  <c r="AL87" i="1"/>
  <c r="AG17" i="1"/>
  <c r="AD24" i="1"/>
  <c r="AF30" i="1"/>
  <c r="AH36" i="1"/>
  <c r="AE43" i="1"/>
  <c r="AG49" i="1"/>
  <c r="AJ49" i="1" s="1"/>
  <c r="AG56" i="1"/>
  <c r="AH62" i="1"/>
  <c r="AE69" i="1"/>
  <c r="AG75" i="1"/>
  <c r="AH83" i="1"/>
  <c r="AH92" i="1"/>
  <c r="AF100" i="1"/>
  <c r="AF124" i="1"/>
  <c r="AF57" i="1"/>
  <c r="AE63" i="1"/>
  <c r="AG69" i="1"/>
  <c r="AD76" i="1"/>
  <c r="AE83" i="1"/>
  <c r="AH91" i="1"/>
  <c r="AL91" i="1" s="1"/>
  <c r="AE101" i="1"/>
  <c r="AK101" i="1" s="1"/>
  <c r="AE121" i="1"/>
  <c r="AH146" i="1"/>
  <c r="AL146" i="1" s="1"/>
  <c r="AH108" i="1"/>
  <c r="AE115" i="1"/>
  <c r="AG121" i="1"/>
  <c r="AD128" i="1"/>
  <c r="AF134" i="1"/>
  <c r="AD142" i="1"/>
  <c r="AH151" i="1"/>
  <c r="AE176" i="1"/>
  <c r="AH81" i="1"/>
  <c r="AE88" i="1"/>
  <c r="AG94" i="1"/>
  <c r="AD101" i="1"/>
  <c r="AF107" i="1"/>
  <c r="AH113" i="1"/>
  <c r="AE120" i="1"/>
  <c r="AG126" i="1"/>
  <c r="AD133" i="1"/>
  <c r="AG139" i="1"/>
  <c r="AD147" i="1"/>
  <c r="AH168" i="1"/>
  <c r="AL168" i="1" s="1"/>
  <c r="AD103" i="1"/>
  <c r="AF109" i="1"/>
  <c r="AH115" i="1"/>
  <c r="AE122" i="1"/>
  <c r="AI122" i="1" s="1"/>
  <c r="AG128" i="1"/>
  <c r="AI128" i="1" s="1"/>
  <c r="AD135" i="1"/>
  <c r="AH142" i="1"/>
  <c r="AF153" i="1"/>
  <c r="AG160" i="1"/>
  <c r="AG173" i="1"/>
  <c r="AG141" i="1"/>
  <c r="AD152" i="1"/>
  <c r="AH173" i="1"/>
  <c r="AL173" i="1" s="1"/>
  <c r="AH181" i="1"/>
  <c r="AH191" i="1"/>
  <c r="X134" i="1"/>
  <c r="X64" i="1"/>
  <c r="T79" i="1"/>
  <c r="T151" i="1"/>
  <c r="J72" i="1"/>
  <c r="AI123" i="1"/>
  <c r="AJ59" i="1"/>
  <c r="AI21" i="1"/>
  <c r="AK116" i="1"/>
  <c r="AJ58" i="1"/>
  <c r="AI95" i="1"/>
  <c r="AJ95" i="1"/>
  <c r="AI86" i="1"/>
  <c r="AK72" i="1"/>
  <c r="AJ23" i="1"/>
  <c r="AK42" i="1"/>
  <c r="AL25" i="1"/>
  <c r="AR216" i="1"/>
  <c r="AV209" i="1"/>
  <c r="O20" i="1"/>
  <c r="AL71" i="1"/>
  <c r="AK51" i="1"/>
  <c r="AI52" i="1"/>
  <c r="AI73" i="1"/>
  <c r="AL67" i="1"/>
  <c r="AJ68" i="1"/>
  <c r="AI100" i="1"/>
  <c r="AG195" i="1"/>
  <c r="AH162" i="1"/>
  <c r="AL162" i="1" s="1"/>
  <c r="AH174" i="1"/>
  <c r="AL174" i="1" s="1"/>
  <c r="AD190" i="1"/>
  <c r="AH196" i="1"/>
  <c r="AL196" i="1" s="1"/>
  <c r="AH179" i="1"/>
  <c r="AL179" i="1" s="1"/>
  <c r="AD197" i="1"/>
  <c r="W66" i="1"/>
  <c r="T80" i="1"/>
  <c r="X104" i="1"/>
  <c r="X120" i="1"/>
  <c r="X136" i="1"/>
  <c r="T69" i="1"/>
  <c r="T85" i="1"/>
  <c r="X93" i="1"/>
  <c r="T103" i="1"/>
  <c r="AB103" i="1" s="1"/>
  <c r="T119" i="1"/>
  <c r="T135" i="1"/>
  <c r="T61" i="1"/>
  <c r="T66" i="1"/>
  <c r="AB66" i="1" s="1"/>
  <c r="X79" i="1"/>
  <c r="X105" i="1"/>
  <c r="X121" i="1"/>
  <c r="X44" i="1"/>
  <c r="X48" i="1"/>
  <c r="X52" i="1"/>
  <c r="T67" i="1"/>
  <c r="X80" i="1"/>
  <c r="X90" i="1"/>
  <c r="X98" i="1"/>
  <c r="T114" i="1"/>
  <c r="T130" i="1"/>
  <c r="X139" i="1"/>
  <c r="X143" i="1"/>
  <c r="X147" i="1"/>
  <c r="X151" i="1"/>
  <c r="X155" i="1"/>
  <c r="AB155" i="1" s="1"/>
  <c r="X159" i="1"/>
  <c r="AB159" i="1" s="1"/>
  <c r="T172" i="1"/>
  <c r="U75" i="1"/>
  <c r="U139" i="1"/>
  <c r="T169" i="1"/>
  <c r="AB169" i="1" s="1"/>
  <c r="V93" i="1"/>
  <c r="V158" i="1"/>
  <c r="X176" i="1"/>
  <c r="T167" i="1"/>
  <c r="X181" i="1"/>
  <c r="T198" i="1"/>
  <c r="T186" i="1"/>
  <c r="T190" i="1"/>
  <c r="T194" i="1"/>
  <c r="N73" i="1"/>
  <c r="J87" i="1"/>
  <c r="J95" i="1"/>
  <c r="J60" i="1"/>
  <c r="J64" i="1"/>
  <c r="N78" i="1"/>
  <c r="J70" i="1"/>
  <c r="N80" i="1"/>
  <c r="T14" i="1"/>
  <c r="AG149" i="1"/>
  <c r="AG156" i="1"/>
  <c r="AE166" i="1"/>
  <c r="AD177" i="1"/>
  <c r="AL177" i="1" s="1"/>
  <c r="AH149" i="1"/>
  <c r="AL149" i="1" s="1"/>
  <c r="AH163" i="1"/>
  <c r="AL163" i="1" s="1"/>
  <c r="AE179" i="1"/>
  <c r="AD185" i="1"/>
  <c r="AD154" i="1"/>
  <c r="AD166" i="1"/>
  <c r="AD178" i="1"/>
  <c r="AH190" i="1"/>
  <c r="AL190" i="1" s="1"/>
  <c r="AH197" i="1"/>
  <c r="AD183" i="1"/>
  <c r="T68" i="1"/>
  <c r="X81" i="1"/>
  <c r="X106" i="1"/>
  <c r="X122" i="1"/>
  <c r="V43" i="1"/>
  <c r="X70" i="1"/>
  <c r="T86" i="1"/>
  <c r="T94" i="1"/>
  <c r="T105" i="1"/>
  <c r="T121" i="1"/>
  <c r="T137" i="1"/>
  <c r="X61" i="1"/>
  <c r="X67" i="1"/>
  <c r="W80" i="1"/>
  <c r="X107" i="1"/>
  <c r="X123" i="1"/>
  <c r="T45" i="1"/>
  <c r="T49" i="1"/>
  <c r="T53" i="1"/>
  <c r="X68" i="1"/>
  <c r="W81" i="1"/>
  <c r="T91" i="1"/>
  <c r="T100" i="1"/>
  <c r="T116" i="1"/>
  <c r="T132" i="1"/>
  <c r="T140" i="1"/>
  <c r="T144" i="1"/>
  <c r="T148" i="1"/>
  <c r="T152" i="1"/>
  <c r="T156" i="1"/>
  <c r="T160" i="1"/>
  <c r="X174" i="1"/>
  <c r="U83" i="1"/>
  <c r="U147" i="1"/>
  <c r="X170" i="1"/>
  <c r="V101" i="1"/>
  <c r="T162" i="1"/>
  <c r="T178" i="1"/>
  <c r="X168" i="1"/>
  <c r="V185" i="1"/>
  <c r="X198" i="1"/>
  <c r="X186" i="1"/>
  <c r="X190" i="1"/>
  <c r="X194" i="1"/>
  <c r="J76" i="1"/>
  <c r="N88" i="1"/>
  <c r="N96" i="1"/>
  <c r="N60" i="1"/>
  <c r="N64" i="1"/>
  <c r="J81" i="1"/>
  <c r="N71" i="1"/>
  <c r="J83" i="1"/>
  <c r="J39" i="1"/>
  <c r="AF150" i="1"/>
  <c r="AD157" i="1"/>
  <c r="AL157" i="1" s="1"/>
  <c r="AH167" i="1"/>
  <c r="AE180" i="1"/>
  <c r="AG150" i="1"/>
  <c r="AH165" i="1"/>
  <c r="AL165" i="1" s="1"/>
  <c r="AH180" i="1"/>
  <c r="AL180" i="1" s="1"/>
  <c r="AH185" i="1"/>
  <c r="AH154" i="1"/>
  <c r="AH166" i="1"/>
  <c r="AH178" i="1"/>
  <c r="AE193" i="1"/>
  <c r="AH198" i="1"/>
  <c r="AL198" i="1" s="1"/>
  <c r="AH183" i="1"/>
  <c r="X69" i="1"/>
  <c r="W82" i="1"/>
  <c r="X108" i="1"/>
  <c r="X124" i="1"/>
  <c r="V51" i="1"/>
  <c r="T73" i="1"/>
  <c r="X87" i="1"/>
  <c r="X95" i="1"/>
  <c r="T107" i="1"/>
  <c r="T123" i="1"/>
  <c r="T55" i="1"/>
  <c r="T62" i="1"/>
  <c r="T70" i="1"/>
  <c r="T82" i="1"/>
  <c r="AB82" i="1" s="1"/>
  <c r="X109" i="1"/>
  <c r="X125" i="1"/>
  <c r="X45" i="1"/>
  <c r="X49" i="1"/>
  <c r="X53" i="1"/>
  <c r="T71" i="1"/>
  <c r="T83" i="1"/>
  <c r="X92" i="1"/>
  <c r="AB92" i="1" s="1"/>
  <c r="T102" i="1"/>
  <c r="BA102" i="1" s="1"/>
  <c r="T118" i="1"/>
  <c r="AB118" i="1" s="1"/>
  <c r="T134" i="1"/>
  <c r="BA134" i="1" s="1"/>
  <c r="X140" i="1"/>
  <c r="X144" i="1"/>
  <c r="X148" i="1"/>
  <c r="X152" i="1"/>
  <c r="X156" i="1"/>
  <c r="X161" i="1"/>
  <c r="V175" i="1"/>
  <c r="U91" i="1"/>
  <c r="U155" i="1"/>
  <c r="W171" i="1"/>
  <c r="V109" i="1"/>
  <c r="X163" i="1"/>
  <c r="X180" i="1"/>
  <c r="T171" i="1"/>
  <c r="T195" i="1"/>
  <c r="T183" i="1"/>
  <c r="T187" i="1"/>
  <c r="T191" i="1"/>
  <c r="J56" i="1"/>
  <c r="N77" i="1"/>
  <c r="J89" i="1"/>
  <c r="J97" i="1"/>
  <c r="J61" i="1"/>
  <c r="J65" i="1"/>
  <c r="N82" i="1"/>
  <c r="J78" i="1"/>
  <c r="J169" i="1"/>
  <c r="AF169" i="1"/>
  <c r="AG162" i="1"/>
  <c r="AD172" i="1"/>
  <c r="AL172" i="1" s="1"/>
  <c r="AF190" i="1"/>
  <c r="AH144" i="1"/>
  <c r="AL144" i="1" s="1"/>
  <c r="AE151" i="1"/>
  <c r="AG158" i="1"/>
  <c r="AH169" i="1"/>
  <c r="AE183" i="1"/>
  <c r="AF151" i="1"/>
  <c r="AD167" i="1"/>
  <c r="AF182" i="1"/>
  <c r="AF187" i="1"/>
  <c r="AF156" i="1"/>
  <c r="AG167" i="1"/>
  <c r="AK167" i="1" s="1"/>
  <c r="AF180" i="1"/>
  <c r="AD194" i="1"/>
  <c r="AH171" i="1"/>
  <c r="AL171" i="1" s="1"/>
  <c r="AD187" i="1"/>
  <c r="U51" i="1"/>
  <c r="T72" i="1"/>
  <c r="T84" i="1"/>
  <c r="X110" i="1"/>
  <c r="X126" i="1"/>
  <c r="T56" i="1"/>
  <c r="X74" i="1"/>
  <c r="T88" i="1"/>
  <c r="T96" i="1"/>
  <c r="T109" i="1"/>
  <c r="T125" i="1"/>
  <c r="X55" i="1"/>
  <c r="X62" i="1"/>
  <c r="AB62" i="1" s="1"/>
  <c r="X71" i="1"/>
  <c r="AB71" i="1" s="1"/>
  <c r="X83" i="1"/>
  <c r="X111" i="1"/>
  <c r="X127" i="1"/>
  <c r="T46" i="1"/>
  <c r="T50" i="1"/>
  <c r="T54" i="1"/>
  <c r="X72" i="1"/>
  <c r="X84" i="1"/>
  <c r="T93" i="1"/>
  <c r="T104" i="1"/>
  <c r="T120" i="1"/>
  <c r="T136" i="1"/>
  <c r="T141" i="1"/>
  <c r="T145" i="1"/>
  <c r="T149" i="1"/>
  <c r="T153" i="1"/>
  <c r="T157" i="1"/>
  <c r="T164" i="1"/>
  <c r="T176" i="1"/>
  <c r="U99" i="1"/>
  <c r="T161" i="1"/>
  <c r="T173" i="1"/>
  <c r="V117" i="1"/>
  <c r="T166" i="1"/>
  <c r="AB166" i="1" s="1"/>
  <c r="T182" i="1"/>
  <c r="X172" i="1"/>
  <c r="X195" i="1"/>
  <c r="AB195" i="1" s="1"/>
  <c r="X183" i="1"/>
  <c r="X187" i="1"/>
  <c r="X191" i="1"/>
  <c r="N56" i="1"/>
  <c r="R56" i="1" s="1"/>
  <c r="J80" i="1"/>
  <c r="N90" i="1"/>
  <c r="N98" i="1"/>
  <c r="N61" i="1"/>
  <c r="R61" i="1" s="1"/>
  <c r="N66" i="1"/>
  <c r="J85" i="1"/>
  <c r="N83" i="1"/>
  <c r="R83" i="1" s="1"/>
  <c r="N100" i="1"/>
  <c r="AH160" i="1"/>
  <c r="AL160" i="1" s="1"/>
  <c r="AF170" i="1"/>
  <c r="AH184" i="1"/>
  <c r="AL184" i="1" s="1"/>
  <c r="AD153" i="1"/>
  <c r="AG168" i="1"/>
  <c r="AH188" i="1"/>
  <c r="AD189" i="1"/>
  <c r="AD158" i="1"/>
  <c r="AE169" i="1"/>
  <c r="AD182" i="1"/>
  <c r="AH194" i="1"/>
  <c r="AD175" i="1"/>
  <c r="AH187" i="1"/>
  <c r="AL187" i="1" s="1"/>
  <c r="T57" i="1"/>
  <c r="X73" i="1"/>
  <c r="AB73" i="1" s="1"/>
  <c r="X85" i="1"/>
  <c r="X112" i="1"/>
  <c r="X128" i="1"/>
  <c r="X56" i="1"/>
  <c r="T77" i="1"/>
  <c r="X89" i="1"/>
  <c r="X97" i="1"/>
  <c r="T111" i="1"/>
  <c r="T127" i="1"/>
  <c r="T59" i="1"/>
  <c r="T63" i="1"/>
  <c r="W72" i="1"/>
  <c r="W90" i="1"/>
  <c r="X113" i="1"/>
  <c r="X129" i="1"/>
  <c r="X46" i="1"/>
  <c r="X50" i="1"/>
  <c r="X54" i="1"/>
  <c r="W73" i="1"/>
  <c r="X86" i="1"/>
  <c r="X94" i="1"/>
  <c r="AB94" i="1" s="1"/>
  <c r="T106" i="1"/>
  <c r="T122" i="1"/>
  <c r="X137" i="1"/>
  <c r="X141" i="1"/>
  <c r="X145" i="1"/>
  <c r="X149" i="1"/>
  <c r="X153" i="1"/>
  <c r="X157" i="1"/>
  <c r="X165" i="1"/>
  <c r="X178" i="1"/>
  <c r="U107" i="1"/>
  <c r="X162" i="1"/>
  <c r="X175" i="1"/>
  <c r="V125" i="1"/>
  <c r="X167" i="1"/>
  <c r="W128" i="1"/>
  <c r="X173" i="1"/>
  <c r="T196" i="1"/>
  <c r="T184" i="1"/>
  <c r="T188" i="1"/>
  <c r="T192" i="1"/>
  <c r="N65" i="1"/>
  <c r="N81" i="1"/>
  <c r="J91" i="1"/>
  <c r="J55" i="1"/>
  <c r="J62" i="1"/>
  <c r="J69" i="1"/>
  <c r="J53" i="1"/>
  <c r="J86" i="1"/>
  <c r="R86" i="1" s="1"/>
  <c r="J108" i="1"/>
  <c r="N46" i="1"/>
  <c r="AI10" i="1"/>
  <c r="BA66" i="1"/>
  <c r="AD188" i="1"/>
  <c r="AG154" i="1"/>
  <c r="AK154" i="1" s="1"/>
  <c r="AD169" i="1"/>
  <c r="AD192" i="1"/>
  <c r="AL192" i="1" s="1"/>
  <c r="AH189" i="1"/>
  <c r="AH158" i="1"/>
  <c r="AL158" i="1" s="1"/>
  <c r="AD170" i="1"/>
  <c r="AH182" i="1"/>
  <c r="AD195" i="1"/>
  <c r="AH175" i="1"/>
  <c r="AE190" i="1"/>
  <c r="X57" i="1"/>
  <c r="W74" i="1"/>
  <c r="W95" i="1"/>
  <c r="X114" i="1"/>
  <c r="X130" i="1"/>
  <c r="V58" i="1"/>
  <c r="X78" i="1"/>
  <c r="T90" i="1"/>
  <c r="T98" i="1"/>
  <c r="T113" i="1"/>
  <c r="T129" i="1"/>
  <c r="X59" i="1"/>
  <c r="X63" i="1"/>
  <c r="AB63" i="1" s="1"/>
  <c r="T74" i="1"/>
  <c r="X99" i="1"/>
  <c r="X115" i="1"/>
  <c r="X131" i="1"/>
  <c r="T47" i="1"/>
  <c r="T51" i="1"/>
  <c r="T58" i="1"/>
  <c r="T75" i="1"/>
  <c r="T87" i="1"/>
  <c r="AB87" i="1" s="1"/>
  <c r="T95" i="1"/>
  <c r="T108" i="1"/>
  <c r="T124" i="1"/>
  <c r="T138" i="1"/>
  <c r="T142" i="1"/>
  <c r="T146" i="1"/>
  <c r="T150" i="1"/>
  <c r="T154" i="1"/>
  <c r="T158" i="1"/>
  <c r="W166" i="1"/>
  <c r="T180" i="1"/>
  <c r="U115" i="1"/>
  <c r="W163" i="1"/>
  <c r="T177" i="1"/>
  <c r="V133" i="1"/>
  <c r="T170" i="1"/>
  <c r="X160" i="1"/>
  <c r="T175" i="1"/>
  <c r="X196" i="1"/>
  <c r="X184" i="1"/>
  <c r="X188" i="1"/>
  <c r="X192" i="1"/>
  <c r="J68" i="1"/>
  <c r="J84" i="1"/>
  <c r="N92" i="1"/>
  <c r="N55" i="1"/>
  <c r="N62" i="1"/>
  <c r="N70" i="1"/>
  <c r="R70" i="1" s="1"/>
  <c r="N53" i="1"/>
  <c r="R53" i="1" s="1"/>
  <c r="J90" i="1"/>
  <c r="J117" i="1"/>
  <c r="AJ33" i="1"/>
  <c r="AF165" i="1"/>
  <c r="AH176" i="1"/>
  <c r="AL176" i="1" s="1"/>
  <c r="AH140" i="1"/>
  <c r="AL140" i="1" s="1"/>
  <c r="AE147" i="1"/>
  <c r="AK147" i="1" s="1"/>
  <c r="AH153" i="1"/>
  <c r="AF163" i="1"/>
  <c r="AE172" i="1"/>
  <c r="AF194" i="1"/>
  <c r="AH156" i="1"/>
  <c r="AL156" i="1" s="1"/>
  <c r="AG170" i="1"/>
  <c r="AD181" i="1"/>
  <c r="AL181" i="1" s="1"/>
  <c r="AD193" i="1"/>
  <c r="BA193" i="1" s="1"/>
  <c r="AE161" i="1"/>
  <c r="AH170" i="1"/>
  <c r="AL170" i="1" s="1"/>
  <c r="AD186" i="1"/>
  <c r="AL186" i="1" s="1"/>
  <c r="AH195" i="1"/>
  <c r="AL195" i="1" s="1"/>
  <c r="AF177" i="1"/>
  <c r="AD191" i="1"/>
  <c r="AL191" i="1" s="1"/>
  <c r="U58" i="1"/>
  <c r="T76" i="1"/>
  <c r="X100" i="1"/>
  <c r="X116" i="1"/>
  <c r="X132" i="1"/>
  <c r="BA132" i="1" s="1"/>
  <c r="T65" i="1"/>
  <c r="AB65" i="1" s="1"/>
  <c r="T81" i="1"/>
  <c r="X91" i="1"/>
  <c r="T99" i="1"/>
  <c r="T115" i="1"/>
  <c r="T131" i="1"/>
  <c r="T60" i="1"/>
  <c r="T64" i="1"/>
  <c r="X75" i="1"/>
  <c r="X101" i="1"/>
  <c r="AB101" i="1" s="1"/>
  <c r="X117" i="1"/>
  <c r="X133" i="1"/>
  <c r="AB133" i="1" s="1"/>
  <c r="X47" i="1"/>
  <c r="AB47" i="1" s="1"/>
  <c r="X51" i="1"/>
  <c r="AB51" i="1" s="1"/>
  <c r="X58" i="1"/>
  <c r="X76" i="1"/>
  <c r="X88" i="1"/>
  <c r="X96" i="1"/>
  <c r="T110" i="1"/>
  <c r="T126" i="1"/>
  <c r="X138" i="1"/>
  <c r="AB138" i="1" s="1"/>
  <c r="X142" i="1"/>
  <c r="AB142" i="1" s="1"/>
  <c r="X146" i="1"/>
  <c r="X150" i="1"/>
  <c r="X154" i="1"/>
  <c r="X158" i="1"/>
  <c r="T168" i="1"/>
  <c r="X182" i="1"/>
  <c r="U123" i="1"/>
  <c r="T165" i="1"/>
  <c r="X179" i="1"/>
  <c r="V141" i="1"/>
  <c r="X171" i="1"/>
  <c r="T163" i="1"/>
  <c r="X177" i="1"/>
  <c r="T197" i="1"/>
  <c r="AB197" i="1" s="1"/>
  <c r="T185" i="1"/>
  <c r="AB185" i="1" s="1"/>
  <c r="T189" i="1"/>
  <c r="AB189" i="1" s="1"/>
  <c r="N69" i="1"/>
  <c r="R69" i="1" s="1"/>
  <c r="N85" i="1"/>
  <c r="R85" i="1" s="1"/>
  <c r="J93" i="1"/>
  <c r="J59" i="1"/>
  <c r="R59" i="1" s="1"/>
  <c r="J63" i="1"/>
  <c r="R63" i="1" s="1"/>
  <c r="J73" i="1"/>
  <c r="J58" i="1"/>
  <c r="J94" i="1"/>
  <c r="R94" i="1" s="1"/>
  <c r="P39" i="1"/>
  <c r="BA113" i="1"/>
  <c r="J77" i="1"/>
  <c r="R77" i="1" s="1"/>
  <c r="N54" i="1"/>
  <c r="N75" i="1"/>
  <c r="N89" i="1"/>
  <c r="R89" i="1" s="1"/>
  <c r="J67" i="1"/>
  <c r="R67" i="1" s="1"/>
  <c r="J168" i="1"/>
  <c r="N163" i="1"/>
  <c r="N103" i="1"/>
  <c r="N111" i="1"/>
  <c r="J129" i="1"/>
  <c r="J163" i="1"/>
  <c r="T10" i="1"/>
  <c r="J14" i="1"/>
  <c r="N41" i="1"/>
  <c r="N68" i="1"/>
  <c r="J172" i="1"/>
  <c r="J166" i="1"/>
  <c r="J104" i="1"/>
  <c r="J112" i="1"/>
  <c r="J133" i="1"/>
  <c r="J196" i="1"/>
  <c r="T35" i="1"/>
  <c r="N19" i="1"/>
  <c r="J33" i="1"/>
  <c r="N49" i="1"/>
  <c r="AR223" i="1"/>
  <c r="AV223" i="1" s="1"/>
  <c r="AI23" i="1"/>
  <c r="AL35" i="1"/>
  <c r="N58" i="1"/>
  <c r="N79" i="1"/>
  <c r="J92" i="1"/>
  <c r="R92" i="1" s="1"/>
  <c r="J71" i="1"/>
  <c r="R71" i="1" s="1"/>
  <c r="N173" i="1"/>
  <c r="N171" i="1"/>
  <c r="J105" i="1"/>
  <c r="J113" i="1"/>
  <c r="J137" i="1"/>
  <c r="J175" i="1"/>
  <c r="X20" i="1"/>
  <c r="J17" i="1"/>
  <c r="J46" i="1"/>
  <c r="R46" i="1" s="1"/>
  <c r="J66" i="1"/>
  <c r="R66" i="1" s="1"/>
  <c r="J82" i="1"/>
  <c r="R82" i="1" s="1"/>
  <c r="N93" i="1"/>
  <c r="N76" i="1"/>
  <c r="R76" i="1" s="1"/>
  <c r="J161" i="1"/>
  <c r="N99" i="1"/>
  <c r="N106" i="1"/>
  <c r="N115" i="1"/>
  <c r="J141" i="1"/>
  <c r="J179" i="1"/>
  <c r="X31" i="1"/>
  <c r="J28" i="1"/>
  <c r="N162" i="1"/>
  <c r="J100" i="1"/>
  <c r="R100" i="1" s="1"/>
  <c r="N107" i="1"/>
  <c r="J116" i="1"/>
  <c r="J145" i="1"/>
  <c r="J183" i="1"/>
  <c r="T32" i="1"/>
  <c r="J43" i="1"/>
  <c r="AL54" i="1"/>
  <c r="BA45" i="1"/>
  <c r="AJ35" i="1"/>
  <c r="AL18" i="1"/>
  <c r="AI64" i="1"/>
  <c r="AI70" i="1"/>
  <c r="P24" i="1"/>
  <c r="AK41" i="1"/>
  <c r="AL33" i="1"/>
  <c r="AI16" i="1"/>
  <c r="AL9" i="1"/>
  <c r="AJ45" i="1"/>
  <c r="AL51" i="1"/>
  <c r="AL77" i="1"/>
  <c r="AL16" i="1"/>
  <c r="AK22" i="1"/>
  <c r="AL28" i="1"/>
  <c r="AL74" i="1"/>
  <c r="AJ81" i="1"/>
  <c r="N87" i="1"/>
  <c r="R87" i="1" s="1"/>
  <c r="J98" i="1"/>
  <c r="N84" i="1"/>
  <c r="R84" i="1" s="1"/>
  <c r="J173" i="1"/>
  <c r="J101" i="1"/>
  <c r="J109" i="1"/>
  <c r="J121" i="1"/>
  <c r="J153" i="1"/>
  <c r="J191" i="1"/>
  <c r="T18" i="1"/>
  <c r="J30" i="1"/>
  <c r="J54" i="1"/>
  <c r="J74" i="1"/>
  <c r="R74" i="1" s="1"/>
  <c r="J88" i="1"/>
  <c r="R88" i="1" s="1"/>
  <c r="N57" i="1"/>
  <c r="N161" i="1"/>
  <c r="J162" i="1"/>
  <c r="N102" i="1"/>
  <c r="N110" i="1"/>
  <c r="J125" i="1"/>
  <c r="J157" i="1"/>
  <c r="T29" i="1"/>
  <c r="O24" i="1"/>
  <c r="Q40" i="1"/>
  <c r="AI35" i="1"/>
  <c r="AI71" i="1"/>
  <c r="BA94" i="1"/>
  <c r="P27" i="1"/>
  <c r="AL65" i="1"/>
  <c r="AJ147" i="1"/>
  <c r="Q24" i="1"/>
  <c r="Q38" i="1"/>
  <c r="AK52" i="1"/>
  <c r="AJ74" i="1"/>
  <c r="AI33" i="1"/>
  <c r="AK45" i="1"/>
  <c r="Q39" i="1"/>
  <c r="AJ24" i="1"/>
  <c r="AK70" i="1"/>
  <c r="AI103" i="1"/>
  <c r="AJ64" i="1"/>
  <c r="AI72" i="1"/>
  <c r="AJ41" i="1"/>
  <c r="AL34" i="1"/>
  <c r="AI44" i="1"/>
  <c r="AL58" i="1"/>
  <c r="AJ51" i="1"/>
  <c r="AI32" i="1"/>
  <c r="AJ15" i="1"/>
  <c r="N104" i="1"/>
  <c r="R104" i="1" s="1"/>
  <c r="N108" i="1"/>
  <c r="R108" i="1" s="1"/>
  <c r="N112" i="1"/>
  <c r="N116" i="1"/>
  <c r="N120" i="1"/>
  <c r="N124" i="1"/>
  <c r="N128" i="1"/>
  <c r="N132" i="1"/>
  <c r="N136" i="1"/>
  <c r="N140" i="1"/>
  <c r="N144" i="1"/>
  <c r="N148" i="1"/>
  <c r="N152" i="1"/>
  <c r="N156" i="1"/>
  <c r="N160" i="1"/>
  <c r="N195" i="1"/>
  <c r="N174" i="1"/>
  <c r="N178" i="1"/>
  <c r="N182" i="1"/>
  <c r="N186" i="1"/>
  <c r="N190" i="1"/>
  <c r="N194" i="1"/>
  <c r="X9" i="1"/>
  <c r="X25" i="1"/>
  <c r="X36" i="1"/>
  <c r="T30" i="1"/>
  <c r="X29" i="1"/>
  <c r="T44" i="1"/>
  <c r="BA44" i="1" s="1"/>
  <c r="X17" i="1"/>
  <c r="X26" i="1"/>
  <c r="X42" i="1"/>
  <c r="N15" i="1"/>
  <c r="N14" i="1"/>
  <c r="R14" i="1" s="1"/>
  <c r="N36" i="1"/>
  <c r="N32" i="1"/>
  <c r="N24" i="1"/>
  <c r="N27" i="1"/>
  <c r="J45" i="1"/>
  <c r="J40" i="1"/>
  <c r="N30" i="1"/>
  <c r="J44" i="1"/>
  <c r="J51" i="1"/>
  <c r="AL90" i="1"/>
  <c r="BA118" i="1"/>
  <c r="J96" i="1"/>
  <c r="R96" i="1" s="1"/>
  <c r="N72" i="1"/>
  <c r="R72" i="1" s="1"/>
  <c r="J164" i="1"/>
  <c r="J165" i="1"/>
  <c r="N167" i="1"/>
  <c r="N101" i="1"/>
  <c r="N105" i="1"/>
  <c r="R105" i="1" s="1"/>
  <c r="N109" i="1"/>
  <c r="N113" i="1"/>
  <c r="R113" i="1" s="1"/>
  <c r="N117" i="1"/>
  <c r="R117" i="1" s="1"/>
  <c r="N121" i="1"/>
  <c r="N125" i="1"/>
  <c r="N129" i="1"/>
  <c r="R129" i="1" s="1"/>
  <c r="N133" i="1"/>
  <c r="N137" i="1"/>
  <c r="N141" i="1"/>
  <c r="R141" i="1" s="1"/>
  <c r="N145" i="1"/>
  <c r="N149" i="1"/>
  <c r="R149" i="1" s="1"/>
  <c r="N153" i="1"/>
  <c r="R153" i="1" s="1"/>
  <c r="N157" i="1"/>
  <c r="N164" i="1"/>
  <c r="N196" i="1"/>
  <c r="N175" i="1"/>
  <c r="N179" i="1"/>
  <c r="R179" i="1" s="1"/>
  <c r="N183" i="1"/>
  <c r="N187" i="1"/>
  <c r="R187" i="1" s="1"/>
  <c r="N191" i="1"/>
  <c r="R191" i="1" s="1"/>
  <c r="T9" i="1"/>
  <c r="X11" i="1"/>
  <c r="T39" i="1"/>
  <c r="X28" i="1"/>
  <c r="T34" i="1"/>
  <c r="X33" i="1"/>
  <c r="X14" i="1"/>
  <c r="X18" i="1"/>
  <c r="X30" i="1"/>
  <c r="J10" i="1"/>
  <c r="N28" i="1"/>
  <c r="J20" i="1"/>
  <c r="J35" i="1"/>
  <c r="N44" i="1"/>
  <c r="R44" i="1" s="1"/>
  <c r="J48" i="1"/>
  <c r="N31" i="1"/>
  <c r="J50" i="1"/>
  <c r="J52" i="1"/>
  <c r="N34" i="1"/>
  <c r="N47" i="1"/>
  <c r="AJ61" i="1"/>
  <c r="AL73" i="1"/>
  <c r="BA76" i="1"/>
  <c r="BA128" i="1"/>
  <c r="BA101" i="1"/>
  <c r="BA133" i="1"/>
  <c r="BA103" i="1"/>
  <c r="BA159" i="1"/>
  <c r="N97" i="1"/>
  <c r="R97" i="1" s="1"/>
  <c r="J75" i="1"/>
  <c r="R75" i="1" s="1"/>
  <c r="N165" i="1"/>
  <c r="N166" i="1"/>
  <c r="R166" i="1" s="1"/>
  <c r="J170" i="1"/>
  <c r="J102" i="1"/>
  <c r="R102" i="1" s="1"/>
  <c r="J106" i="1"/>
  <c r="J110" i="1"/>
  <c r="J114" i="1"/>
  <c r="J118" i="1"/>
  <c r="J122" i="1"/>
  <c r="J126" i="1"/>
  <c r="J130" i="1"/>
  <c r="J134" i="1"/>
  <c r="J138" i="1"/>
  <c r="J142" i="1"/>
  <c r="J146" i="1"/>
  <c r="J150" i="1"/>
  <c r="J154" i="1"/>
  <c r="J158" i="1"/>
  <c r="J167" i="1"/>
  <c r="J197" i="1"/>
  <c r="J176" i="1"/>
  <c r="J180" i="1"/>
  <c r="J184" i="1"/>
  <c r="J188" i="1"/>
  <c r="J192" i="1"/>
  <c r="X10" i="1"/>
  <c r="AB10" i="1" s="1"/>
  <c r="T12" i="1"/>
  <c r="T20" i="1"/>
  <c r="X32" i="1"/>
  <c r="X35" i="1"/>
  <c r="T36" i="1"/>
  <c r="T15" i="1"/>
  <c r="T19" i="1"/>
  <c r="T33" i="1"/>
  <c r="N11" i="1"/>
  <c r="J31" i="1"/>
  <c r="J27" i="1"/>
  <c r="N40" i="1"/>
  <c r="N51" i="1"/>
  <c r="J49" i="1"/>
  <c r="R49" i="1" s="1"/>
  <c r="J34" i="1"/>
  <c r="N29" i="1"/>
  <c r="J21" i="1"/>
  <c r="J37" i="1"/>
  <c r="N48" i="1"/>
  <c r="N114" i="1"/>
  <c r="N118" i="1"/>
  <c r="N122" i="1"/>
  <c r="N126" i="1"/>
  <c r="N130" i="1"/>
  <c r="N134" i="1"/>
  <c r="N138" i="1"/>
  <c r="N142" i="1"/>
  <c r="N146" i="1"/>
  <c r="N150" i="1"/>
  <c r="N154" i="1"/>
  <c r="N158" i="1"/>
  <c r="N168" i="1"/>
  <c r="N197" i="1"/>
  <c r="N176" i="1"/>
  <c r="N180" i="1"/>
  <c r="N184" i="1"/>
  <c r="N188" i="1"/>
  <c r="N192" i="1"/>
  <c r="T11" i="1"/>
  <c r="X13" i="1"/>
  <c r="X21" i="1"/>
  <c r="T22" i="1"/>
  <c r="T38" i="1"/>
  <c r="X37" i="1"/>
  <c r="X15" i="1"/>
  <c r="X19" i="1"/>
  <c r="X34" i="1"/>
  <c r="AB34" i="1" s="1"/>
  <c r="J15" i="1"/>
  <c r="N10" i="1"/>
  <c r="J16" i="1"/>
  <c r="J18" i="1"/>
  <c r="J9" i="1"/>
  <c r="N50" i="1"/>
  <c r="R50" i="1" s="1"/>
  <c r="N35" i="1"/>
  <c r="J32" i="1"/>
  <c r="N22" i="1"/>
  <c r="N38" i="1"/>
  <c r="N52" i="1"/>
  <c r="N91" i="1"/>
  <c r="R91" i="1" s="1"/>
  <c r="J57" i="1"/>
  <c r="J79" i="1"/>
  <c r="N169" i="1"/>
  <c r="R169" i="1" s="1"/>
  <c r="N170" i="1"/>
  <c r="R170" i="1" s="1"/>
  <c r="J99" i="1"/>
  <c r="R99" i="1" s="1"/>
  <c r="J103" i="1"/>
  <c r="R103" i="1" s="1"/>
  <c r="J107" i="1"/>
  <c r="R107" i="1" s="1"/>
  <c r="J111" i="1"/>
  <c r="R111" i="1" s="1"/>
  <c r="J115" i="1"/>
  <c r="R115" i="1" s="1"/>
  <c r="J119" i="1"/>
  <c r="J123" i="1"/>
  <c r="J127" i="1"/>
  <c r="J131" i="1"/>
  <c r="J135" i="1"/>
  <c r="J139" i="1"/>
  <c r="J143" i="1"/>
  <c r="J147" i="1"/>
  <c r="J151" i="1"/>
  <c r="J155" i="1"/>
  <c r="J159" i="1"/>
  <c r="J171" i="1"/>
  <c r="R171" i="1" s="1"/>
  <c r="J198" i="1"/>
  <c r="J177" i="1"/>
  <c r="J181" i="1"/>
  <c r="J185" i="1"/>
  <c r="J189" i="1"/>
  <c r="J193" i="1"/>
  <c r="X12" i="1"/>
  <c r="T23" i="1"/>
  <c r="T27" i="1"/>
  <c r="X23" i="1"/>
  <c r="X39" i="1"/>
  <c r="T40" i="1"/>
  <c r="T16" i="1"/>
  <c r="T21" i="1"/>
  <c r="T37" i="1"/>
  <c r="N13" i="1"/>
  <c r="J11" i="1"/>
  <c r="N18" i="1"/>
  <c r="J23" i="1"/>
  <c r="N9" i="1"/>
  <c r="J22" i="1"/>
  <c r="J38" i="1"/>
  <c r="N33" i="1"/>
  <c r="R33" i="1" s="1"/>
  <c r="J25" i="1"/>
  <c r="J41" i="1"/>
  <c r="N45" i="1"/>
  <c r="AB126" i="1"/>
  <c r="N119" i="1"/>
  <c r="N123" i="1"/>
  <c r="N127" i="1"/>
  <c r="N131" i="1"/>
  <c r="N135" i="1"/>
  <c r="N139" i="1"/>
  <c r="N143" i="1"/>
  <c r="N147" i="1"/>
  <c r="N151" i="1"/>
  <c r="N155" i="1"/>
  <c r="N159" i="1"/>
  <c r="N172" i="1"/>
  <c r="R172" i="1" s="1"/>
  <c r="N198" i="1"/>
  <c r="N177" i="1"/>
  <c r="N181" i="1"/>
  <c r="N185" i="1"/>
  <c r="N189" i="1"/>
  <c r="N193" i="1"/>
  <c r="T13" i="1"/>
  <c r="T24" i="1"/>
  <c r="T28" i="1"/>
  <c r="T26" i="1"/>
  <c r="T42" i="1"/>
  <c r="X41" i="1"/>
  <c r="X16" i="1"/>
  <c r="X22" i="1"/>
  <c r="AB22" i="1" s="1"/>
  <c r="X38" i="1"/>
  <c r="J12" i="1"/>
  <c r="N12" i="1"/>
  <c r="N20" i="1"/>
  <c r="R20" i="1" s="1"/>
  <c r="J24" i="1"/>
  <c r="N17" i="1"/>
  <c r="R17" i="1" s="1"/>
  <c r="N23" i="1"/>
  <c r="N39" i="1"/>
  <c r="R39" i="1" s="1"/>
  <c r="J36" i="1"/>
  <c r="N26" i="1"/>
  <c r="N42" i="1"/>
  <c r="J47" i="1"/>
  <c r="AK35" i="1"/>
  <c r="AJ26" i="1"/>
  <c r="AI28" i="1"/>
  <c r="J120" i="1"/>
  <c r="J124" i="1"/>
  <c r="J128" i="1"/>
  <c r="J132" i="1"/>
  <c r="J136" i="1"/>
  <c r="J140" i="1"/>
  <c r="J144" i="1"/>
  <c r="J148" i="1"/>
  <c r="J152" i="1"/>
  <c r="J156" i="1"/>
  <c r="J160" i="1"/>
  <c r="J195" i="1"/>
  <c r="J174" i="1"/>
  <c r="J178" i="1"/>
  <c r="J182" i="1"/>
  <c r="J186" i="1"/>
  <c r="J190" i="1"/>
  <c r="J194" i="1"/>
  <c r="X40" i="1"/>
  <c r="X24" i="1"/>
  <c r="AB24" i="1" s="1"/>
  <c r="T31" i="1"/>
  <c r="X27" i="1"/>
  <c r="AB27" i="1" s="1"/>
  <c r="T43" i="1"/>
  <c r="X43" i="1"/>
  <c r="T17" i="1"/>
  <c r="T25" i="1"/>
  <c r="T41" i="1"/>
  <c r="N16" i="1"/>
  <c r="R16" i="1" s="1"/>
  <c r="J13" i="1"/>
  <c r="N21" i="1"/>
  <c r="R21" i="1" s="1"/>
  <c r="N25" i="1"/>
  <c r="J19" i="1"/>
  <c r="R19" i="1" s="1"/>
  <c r="J26" i="1"/>
  <c r="J42" i="1"/>
  <c r="N37" i="1"/>
  <c r="R37" i="1" s="1"/>
  <c r="J29" i="1"/>
  <c r="N43" i="1"/>
  <c r="R43" i="1" s="1"/>
  <c r="G91" i="10"/>
  <c r="G73" i="10"/>
  <c r="AD220" i="1"/>
  <c r="AR220" i="1"/>
  <c r="AV220" i="1" s="1"/>
  <c r="AU216" i="1"/>
  <c r="I40" i="10" s="1"/>
  <c r="AS216" i="1"/>
  <c r="G40" i="10" s="1"/>
  <c r="P40" i="1"/>
  <c r="Q20" i="1"/>
  <c r="AL31" i="1"/>
  <c r="AL139" i="1"/>
  <c r="AI41" i="1"/>
  <c r="AK14" i="1"/>
  <c r="AJ53" i="1"/>
  <c r="AK49" i="1"/>
  <c r="AJ56" i="1"/>
  <c r="AL62" i="1"/>
  <c r="AI69" i="1"/>
  <c r="AK75" i="1"/>
  <c r="AL83" i="1"/>
  <c r="AJ124" i="1"/>
  <c r="AK57" i="1"/>
  <c r="AI63" i="1"/>
  <c r="AJ83" i="1"/>
  <c r="AI101" i="1"/>
  <c r="AJ115" i="1"/>
  <c r="AK121" i="1"/>
  <c r="AL151" i="1"/>
  <c r="AJ88" i="1"/>
  <c r="AJ107" i="1"/>
  <c r="AK120" i="1"/>
  <c r="AK126" i="1"/>
  <c r="AI139" i="1"/>
  <c r="AL147" i="1"/>
  <c r="AJ122" i="1"/>
  <c r="AK128" i="1"/>
  <c r="H86" i="10"/>
  <c r="G85" i="10"/>
  <c r="H74" i="10"/>
  <c r="H80" i="10"/>
  <c r="G89" i="10"/>
  <c r="I77" i="10"/>
  <c r="H77" i="10"/>
  <c r="O40" i="1"/>
  <c r="AI51" i="1"/>
  <c r="AK21" i="1"/>
  <c r="AI40" i="1"/>
  <c r="BA33" i="1"/>
  <c r="AJ16" i="1"/>
  <c r="AK78" i="1"/>
  <c r="AK26" i="1"/>
  <c r="AK47" i="1"/>
  <c r="AK29" i="1"/>
  <c r="AK12" i="1"/>
  <c r="AK40" i="1"/>
  <c r="AL110" i="1"/>
  <c r="G86" i="10"/>
  <c r="I88" i="10"/>
  <c r="I74" i="10"/>
  <c r="I80" i="10"/>
  <c r="H89" i="10"/>
  <c r="W115" i="1"/>
  <c r="AE195" i="1"/>
  <c r="AD222" i="1"/>
  <c r="AR211" i="1"/>
  <c r="AD221" i="1"/>
  <c r="AV204" i="1"/>
  <c r="AK102" i="1"/>
  <c r="AI98" i="1"/>
  <c r="AJ73" i="1"/>
  <c r="I79" i="10"/>
  <c r="BA54" i="1"/>
  <c r="AK50" i="1"/>
  <c r="H88" i="10"/>
  <c r="G75" i="10"/>
  <c r="G81" i="10"/>
  <c r="H92" i="10"/>
  <c r="AH217" i="1"/>
  <c r="AK98" i="1"/>
  <c r="AK123" i="1"/>
  <c r="I87" i="10"/>
  <c r="AI74" i="1"/>
  <c r="G55" i="10"/>
  <c r="H75" i="10"/>
  <c r="I81" i="10"/>
  <c r="I75" i="10"/>
  <c r="H82" i="10"/>
  <c r="H90" i="10"/>
  <c r="AD204" i="1"/>
  <c r="AK93" i="1"/>
  <c r="AJ42" i="1"/>
  <c r="AI78" i="1"/>
  <c r="I85" i="10"/>
  <c r="G80" i="10"/>
  <c r="I78" i="10"/>
  <c r="I73" i="10"/>
  <c r="AD206" i="1"/>
  <c r="AI42" i="1"/>
  <c r="BA53" i="1"/>
  <c r="H76" i="10"/>
  <c r="AI93" i="1"/>
  <c r="I86" i="10"/>
  <c r="G74" i="10"/>
  <c r="AL47" i="1"/>
  <c r="BA47" i="1"/>
  <c r="AI60" i="1"/>
  <c r="AJ60" i="1"/>
  <c r="AK66" i="1"/>
  <c r="AK79" i="1"/>
  <c r="AJ79" i="1"/>
  <c r="AL96" i="1"/>
  <c r="BA96" i="1"/>
  <c r="AK109" i="1"/>
  <c r="AJ109" i="1"/>
  <c r="AI109" i="1"/>
  <c r="AJ131" i="1"/>
  <c r="AK131" i="1"/>
  <c r="AI131" i="1"/>
  <c r="AK17" i="1"/>
  <c r="AJ17" i="1"/>
  <c r="AD216" i="1"/>
  <c r="AD217" i="1"/>
  <c r="AD225" i="1"/>
  <c r="AI30" i="1"/>
  <c r="AH220" i="1"/>
  <c r="BA36" i="1"/>
  <c r="AL36" i="1"/>
  <c r="AR221" i="1"/>
  <c r="AV221" i="1" s="1"/>
  <c r="AD203" i="1"/>
  <c r="AS211" i="1"/>
  <c r="AD208" i="1"/>
  <c r="O34" i="1"/>
  <c r="AD210" i="1"/>
  <c r="AD207" i="1"/>
  <c r="AD209" i="1"/>
  <c r="AD205" i="1"/>
  <c r="AT216" i="1"/>
  <c r="H40" i="10" s="1"/>
  <c r="AD223" i="1"/>
  <c r="AD218" i="1"/>
  <c r="AK53" i="1"/>
  <c r="AD199" i="1"/>
  <c r="AD226" i="1"/>
  <c r="AD219" i="1"/>
  <c r="AJ11" i="1"/>
  <c r="AD224" i="1"/>
  <c r="AH204" i="1"/>
  <c r="AI47" i="1"/>
  <c r="AJ84" i="1"/>
  <c r="AK62" i="1"/>
  <c r="AL133" i="1"/>
  <c r="AL101" i="1"/>
  <c r="AL76" i="1"/>
  <c r="AI56" i="1"/>
  <c r="AL142" i="1"/>
  <c r="AL113" i="1"/>
  <c r="AL81" i="1"/>
  <c r="AI115" i="1"/>
  <c r="AJ63" i="1"/>
  <c r="AI75" i="1"/>
  <c r="AK115" i="1"/>
  <c r="AJ75" i="1"/>
  <c r="AL141" i="1"/>
  <c r="AI59" i="1"/>
  <c r="AJ47" i="1"/>
  <c r="AJ57" i="1"/>
  <c r="AI167" i="1"/>
  <c r="AJ167" i="1"/>
  <c r="AJ62" i="1"/>
  <c r="AT211" i="1"/>
  <c r="AK139" i="1"/>
  <c r="AJ134" i="1"/>
  <c r="AJ139" i="1"/>
  <c r="AI53" i="1"/>
  <c r="AK107" i="1"/>
  <c r="AL103" i="1"/>
  <c r="BA147" i="1"/>
  <c r="AL108" i="1"/>
  <c r="AI121" i="1"/>
  <c r="AJ101" i="1"/>
  <c r="AI80" i="1"/>
  <c r="AI84" i="1"/>
  <c r="AI126" i="1"/>
  <c r="BA168" i="1"/>
  <c r="AI62" i="1"/>
  <c r="BA62" i="1"/>
  <c r="AJ126" i="1"/>
  <c r="AJ66" i="1"/>
  <c r="AJ72" i="1"/>
  <c r="AK56" i="1"/>
  <c r="AK23" i="1"/>
  <c r="AF159" i="1"/>
  <c r="AG177" i="1"/>
  <c r="AF196" i="1"/>
  <c r="AG186" i="1"/>
  <c r="AF160" i="1"/>
  <c r="AE173" i="1"/>
  <c r="AG179" i="1"/>
  <c r="AF192" i="1"/>
  <c r="AG176" i="1"/>
  <c r="AF189" i="1"/>
  <c r="AE196" i="1"/>
  <c r="U50" i="1"/>
  <c r="W93" i="1"/>
  <c r="V50" i="1"/>
  <c r="U57" i="1"/>
  <c r="W54" i="1"/>
  <c r="W88" i="1"/>
  <c r="W57" i="1"/>
  <c r="U64" i="1"/>
  <c r="U66" i="1"/>
  <c r="U74" i="1"/>
  <c r="U82" i="1"/>
  <c r="U90" i="1"/>
  <c r="U98" i="1"/>
  <c r="U106" i="1"/>
  <c r="U114" i="1"/>
  <c r="U122" i="1"/>
  <c r="U130" i="1"/>
  <c r="U138" i="1"/>
  <c r="U146" i="1"/>
  <c r="U154" i="1"/>
  <c r="V180" i="1"/>
  <c r="V92" i="1"/>
  <c r="V100" i="1"/>
  <c r="V108" i="1"/>
  <c r="V116" i="1"/>
  <c r="V124" i="1"/>
  <c r="V132" i="1"/>
  <c r="V140" i="1"/>
  <c r="V148" i="1"/>
  <c r="V157" i="1"/>
  <c r="V169" i="1"/>
  <c r="W118" i="1"/>
  <c r="BA73" i="1"/>
  <c r="AK88" i="1"/>
  <c r="AG189" i="1"/>
  <c r="AE152" i="1"/>
  <c r="AG161" i="1"/>
  <c r="AE188" i="1"/>
  <c r="AG194" i="1"/>
  <c r="AG155" i="1"/>
  <c r="AF168" i="1"/>
  <c r="AE181" i="1"/>
  <c r="AG187" i="1"/>
  <c r="AE178" i="1"/>
  <c r="AG184" i="1"/>
  <c r="AG197" i="1"/>
  <c r="U52" i="1"/>
  <c r="V59" i="1"/>
  <c r="V67" i="1"/>
  <c r="V75" i="1"/>
  <c r="V83" i="1"/>
  <c r="W97" i="1"/>
  <c r="V44" i="1"/>
  <c r="V52" i="1"/>
  <c r="W59" i="1"/>
  <c r="W67" i="1"/>
  <c r="W75" i="1"/>
  <c r="W83" i="1"/>
  <c r="V65" i="1"/>
  <c r="V73" i="1"/>
  <c r="V81" i="1"/>
  <c r="W92" i="1"/>
  <c r="V66" i="1"/>
  <c r="V74" i="1"/>
  <c r="V82" i="1"/>
  <c r="V167" i="1"/>
  <c r="U68" i="1"/>
  <c r="U76" i="1"/>
  <c r="U84" i="1"/>
  <c r="U92" i="1"/>
  <c r="U100" i="1"/>
  <c r="U108" i="1"/>
  <c r="U116" i="1"/>
  <c r="U124" i="1"/>
  <c r="U132" i="1"/>
  <c r="U140" i="1"/>
  <c r="U148" i="1"/>
  <c r="U156" i="1"/>
  <c r="V164" i="1"/>
  <c r="V172" i="1"/>
  <c r="V86" i="1"/>
  <c r="V94" i="1"/>
  <c r="V102" i="1"/>
  <c r="V110" i="1"/>
  <c r="V118" i="1"/>
  <c r="V126" i="1"/>
  <c r="V134" i="1"/>
  <c r="V142" i="1"/>
  <c r="V150" i="1"/>
  <c r="W160" i="1"/>
  <c r="W99" i="1"/>
  <c r="W140" i="1"/>
  <c r="AA140" i="1" s="1"/>
  <c r="U162" i="1"/>
  <c r="AG175" i="1"/>
  <c r="AF188" i="1"/>
  <c r="AG172" i="1"/>
  <c r="AF185" i="1"/>
  <c r="AF198" i="1"/>
  <c r="U53" i="1"/>
  <c r="V60" i="1"/>
  <c r="V45" i="1"/>
  <c r="V53" i="1"/>
  <c r="W60" i="1"/>
  <c r="V68" i="1"/>
  <c r="V76" i="1"/>
  <c r="V84" i="1"/>
  <c r="U56" i="1"/>
  <c r="W94" i="1"/>
  <c r="U59" i="1"/>
  <c r="U69" i="1"/>
  <c r="U77" i="1"/>
  <c r="U85" i="1"/>
  <c r="U93" i="1"/>
  <c r="U101" i="1"/>
  <c r="U109" i="1"/>
  <c r="U117" i="1"/>
  <c r="U125" i="1"/>
  <c r="U133" i="1"/>
  <c r="U141" i="1"/>
  <c r="U149" i="1"/>
  <c r="U157" i="1"/>
  <c r="V87" i="1"/>
  <c r="V95" i="1"/>
  <c r="V103" i="1"/>
  <c r="V111" i="1"/>
  <c r="V119" i="1"/>
  <c r="V127" i="1"/>
  <c r="V135" i="1"/>
  <c r="V143" i="1"/>
  <c r="V151" i="1"/>
  <c r="W172" i="1"/>
  <c r="W101" i="1"/>
  <c r="W155" i="1"/>
  <c r="AL55" i="1"/>
  <c r="BA82" i="1"/>
  <c r="AE171" i="1"/>
  <c r="AE187" i="1"/>
  <c r="AF183" i="1"/>
  <c r="AG196" i="1"/>
  <c r="AK196" i="1" s="1"/>
  <c r="AE157" i="1"/>
  <c r="AG163" i="1"/>
  <c r="AF176" i="1"/>
  <c r="AJ176" i="1" s="1"/>
  <c r="AE189" i="1"/>
  <c r="AF173" i="1"/>
  <c r="AE186" i="1"/>
  <c r="AG192" i="1"/>
  <c r="AG198" i="1"/>
  <c r="U54" i="1"/>
  <c r="V61" i="1"/>
  <c r="AB128" i="1"/>
  <c r="V46" i="1"/>
  <c r="V54" i="1"/>
  <c r="W61" i="1"/>
  <c r="V57" i="1"/>
  <c r="W96" i="1"/>
  <c r="U60" i="1"/>
  <c r="V179" i="1"/>
  <c r="U70" i="1"/>
  <c r="U78" i="1"/>
  <c r="U86" i="1"/>
  <c r="U94" i="1"/>
  <c r="U102" i="1"/>
  <c r="U110" i="1"/>
  <c r="U118" i="1"/>
  <c r="U126" i="1"/>
  <c r="U134" i="1"/>
  <c r="U142" i="1"/>
  <c r="U150" i="1"/>
  <c r="U158" i="1"/>
  <c r="V88" i="1"/>
  <c r="V96" i="1"/>
  <c r="V104" i="1"/>
  <c r="V112" i="1"/>
  <c r="V120" i="1"/>
  <c r="V128" i="1"/>
  <c r="V136" i="1"/>
  <c r="V144" i="1"/>
  <c r="V152" i="1"/>
  <c r="W104" i="1"/>
  <c r="V174" i="1"/>
  <c r="BA155" i="1"/>
  <c r="AJ27" i="1"/>
  <c r="BA10" i="1"/>
  <c r="AJ32" i="1"/>
  <c r="AL45" i="1"/>
  <c r="BA27" i="1"/>
  <c r="AJ10" i="1"/>
  <c r="AI76" i="1"/>
  <c r="AE159" i="1"/>
  <c r="AE168" i="1"/>
  <c r="AG178" i="1"/>
  <c r="AK178" i="1" s="1"/>
  <c r="AE148" i="1"/>
  <c r="AE155" i="1"/>
  <c r="AE164" i="1"/>
  <c r="AE184" i="1"/>
  <c r="AG190" i="1"/>
  <c r="AF197" i="1"/>
  <c r="AF164" i="1"/>
  <c r="AE177" i="1"/>
  <c r="AG183" i="1"/>
  <c r="AK183" i="1" s="1"/>
  <c r="AE174" i="1"/>
  <c r="AG180" i="1"/>
  <c r="AF193" i="1"/>
  <c r="V55" i="1"/>
  <c r="V62" i="1"/>
  <c r="W70" i="1"/>
  <c r="W78" i="1"/>
  <c r="W87" i="1"/>
  <c r="V47" i="1"/>
  <c r="W55" i="1"/>
  <c r="W62" i="1"/>
  <c r="W58" i="1"/>
  <c r="W68" i="1"/>
  <c r="W76" i="1"/>
  <c r="W84" i="1"/>
  <c r="W98" i="1"/>
  <c r="U61" i="1"/>
  <c r="W69" i="1"/>
  <c r="W77" i="1"/>
  <c r="W85" i="1"/>
  <c r="W162" i="1"/>
  <c r="W170" i="1"/>
  <c r="U71" i="1"/>
  <c r="U79" i="1"/>
  <c r="U87" i="1"/>
  <c r="U95" i="1"/>
  <c r="U103" i="1"/>
  <c r="U111" i="1"/>
  <c r="U119" i="1"/>
  <c r="U127" i="1"/>
  <c r="U135" i="1"/>
  <c r="U143" i="1"/>
  <c r="U151" i="1"/>
  <c r="U159" i="1"/>
  <c r="W167" i="1"/>
  <c r="V176" i="1"/>
  <c r="V89" i="1"/>
  <c r="V97" i="1"/>
  <c r="V105" i="1"/>
  <c r="V113" i="1"/>
  <c r="V121" i="1"/>
  <c r="V129" i="1"/>
  <c r="V137" i="1"/>
  <c r="V145" i="1"/>
  <c r="V154" i="1"/>
  <c r="W164" i="1"/>
  <c r="W107" i="1"/>
  <c r="AJ52" i="1"/>
  <c r="BA9" i="1"/>
  <c r="AF174" i="1"/>
  <c r="AF191" i="1"/>
  <c r="AE198" i="1"/>
  <c r="AE165" i="1"/>
  <c r="AG171" i="1"/>
  <c r="AF184" i="1"/>
  <c r="AF181" i="1"/>
  <c r="AJ181" i="1" s="1"/>
  <c r="AE194" i="1"/>
  <c r="W56" i="1"/>
  <c r="V63" i="1"/>
  <c r="V71" i="1"/>
  <c r="V79" i="1"/>
  <c r="W89" i="1"/>
  <c r="V48" i="1"/>
  <c r="W63" i="1"/>
  <c r="W71" i="1"/>
  <c r="W79" i="1"/>
  <c r="V69" i="1"/>
  <c r="V77" i="1"/>
  <c r="V85" i="1"/>
  <c r="U55" i="1"/>
  <c r="U62" i="1"/>
  <c r="V70" i="1"/>
  <c r="V78" i="1"/>
  <c r="V163" i="1"/>
  <c r="V171" i="1"/>
  <c r="U72" i="1"/>
  <c r="U80" i="1"/>
  <c r="U88" i="1"/>
  <c r="Y88" i="1" s="1"/>
  <c r="U96" i="1"/>
  <c r="U104" i="1"/>
  <c r="U112" i="1"/>
  <c r="U120" i="1"/>
  <c r="U128" i="1"/>
  <c r="U136" i="1"/>
  <c r="U144" i="1"/>
  <c r="U152" i="1"/>
  <c r="V160" i="1"/>
  <c r="V168" i="1"/>
  <c r="V90" i="1"/>
  <c r="V98" i="1"/>
  <c r="V106" i="1"/>
  <c r="V114" i="1"/>
  <c r="V122" i="1"/>
  <c r="V130" i="1"/>
  <c r="V138" i="1"/>
  <c r="V146" i="1"/>
  <c r="V155" i="1"/>
  <c r="V177" i="1"/>
  <c r="W113" i="1"/>
  <c r="AF157" i="1"/>
  <c r="AF166" i="1"/>
  <c r="AG193" i="1"/>
  <c r="AE192" i="1"/>
  <c r="AI192" i="1" s="1"/>
  <c r="AE153" i="1"/>
  <c r="AG159" i="1"/>
  <c r="AF172" i="1"/>
  <c r="AE185" i="1"/>
  <c r="AG191" i="1"/>
  <c r="AE182" i="1"/>
  <c r="AG188" i="1"/>
  <c r="V64" i="1"/>
  <c r="W91" i="1"/>
  <c r="V49" i="1"/>
  <c r="W64" i="1"/>
  <c r="V72" i="1"/>
  <c r="V80" i="1"/>
  <c r="W53" i="1"/>
  <c r="W86" i="1"/>
  <c r="V56" i="1"/>
  <c r="U63" i="1"/>
  <c r="U65" i="1"/>
  <c r="U73" i="1"/>
  <c r="AX73" i="1" s="1"/>
  <c r="U81" i="1"/>
  <c r="U89" i="1"/>
  <c r="U97" i="1"/>
  <c r="U105" i="1"/>
  <c r="U113" i="1"/>
  <c r="U121" i="1"/>
  <c r="U129" i="1"/>
  <c r="U137" i="1"/>
  <c r="U145" i="1"/>
  <c r="U153" i="1"/>
  <c r="V91" i="1"/>
  <c r="V99" i="1"/>
  <c r="V107" i="1"/>
  <c r="AX107" i="1" s="1"/>
  <c r="V115" i="1"/>
  <c r="AZ115" i="1" s="1"/>
  <c r="V123" i="1"/>
  <c r="V131" i="1"/>
  <c r="V139" i="1"/>
  <c r="V147" i="1"/>
  <c r="V156" i="1"/>
  <c r="W120" i="1"/>
  <c r="W102" i="1"/>
  <c r="U194" i="1"/>
  <c r="W195" i="1"/>
  <c r="W145" i="1"/>
  <c r="W110" i="1"/>
  <c r="V181" i="1"/>
  <c r="V161" i="1"/>
  <c r="V153" i="1"/>
  <c r="W132" i="1"/>
  <c r="W105" i="1"/>
  <c r="W168" i="1"/>
  <c r="V159" i="1"/>
  <c r="N138" i="27"/>
  <c r="O138" i="27"/>
  <c r="M138" i="27"/>
  <c r="L137" i="27"/>
  <c r="K137" i="27"/>
  <c r="I71" i="27"/>
  <c r="P138" i="27"/>
  <c r="Q71" i="27"/>
  <c r="U189" i="1"/>
  <c r="Q138" i="27"/>
  <c r="P71" i="27"/>
  <c r="O137" i="27"/>
  <c r="R42" i="10"/>
  <c r="O27" i="1"/>
  <c r="Q32" i="1"/>
  <c r="AD211" i="1"/>
  <c r="AI85" i="1"/>
  <c r="AI91" i="1"/>
  <c r="AK46" i="1"/>
  <c r="AL118" i="1"/>
  <c r="AI15" i="1"/>
  <c r="AY58" i="1"/>
  <c r="AI45" i="1"/>
  <c r="BA71" i="1"/>
  <c r="AI39" i="1"/>
  <c r="AL22" i="1"/>
  <c r="BA106" i="1"/>
  <c r="AL106" i="1"/>
  <c r="AJ67" i="1"/>
  <c r="BA80" i="1"/>
  <c r="AL80" i="1"/>
  <c r="AI97" i="1"/>
  <c r="AK44" i="1"/>
  <c r="AI36" i="1"/>
  <c r="AK10" i="1"/>
  <c r="AL155" i="1"/>
  <c r="AI11" i="1"/>
  <c r="BA92" i="1"/>
  <c r="AL92" i="1"/>
  <c r="BA43" i="1"/>
  <c r="AL43" i="1"/>
  <c r="AK63" i="1"/>
  <c r="AL69" i="1"/>
  <c r="BA69" i="1"/>
  <c r="AL56" i="1"/>
  <c r="AB136" i="1"/>
  <c r="W108" i="1"/>
  <c r="W121" i="1"/>
  <c r="W134" i="1"/>
  <c r="W147" i="1"/>
  <c r="W198" i="1"/>
  <c r="U165" i="1"/>
  <c r="V197" i="1"/>
  <c r="W123" i="1"/>
  <c r="W136" i="1"/>
  <c r="W150" i="1"/>
  <c r="V166" i="1"/>
  <c r="W177" i="1"/>
  <c r="U170" i="1"/>
  <c r="AI57" i="1"/>
  <c r="BA21" i="1"/>
  <c r="W100" i="1"/>
  <c r="W112" i="1"/>
  <c r="W124" i="1"/>
  <c r="W137" i="1"/>
  <c r="W152" i="1"/>
  <c r="W180" i="1"/>
  <c r="U173" i="1"/>
  <c r="BA87" i="1"/>
  <c r="W126" i="1"/>
  <c r="W139" i="1"/>
  <c r="W153" i="1"/>
  <c r="W185" i="1"/>
  <c r="U178" i="1"/>
  <c r="W188" i="1"/>
  <c r="U181" i="1"/>
  <c r="AK30" i="1"/>
  <c r="AL13" i="1"/>
  <c r="AJ143" i="1"/>
  <c r="AB93" i="1"/>
  <c r="W116" i="1"/>
  <c r="W129" i="1"/>
  <c r="W142" i="1"/>
  <c r="W158" i="1"/>
  <c r="V187" i="1"/>
  <c r="W193" i="1"/>
  <c r="U186" i="1"/>
  <c r="AL95" i="1"/>
  <c r="AK19" i="1"/>
  <c r="BA91" i="1"/>
  <c r="AB120" i="1"/>
  <c r="W131" i="1"/>
  <c r="W144" i="1"/>
  <c r="V190" i="1"/>
  <c r="U196" i="1"/>
  <c r="U42" i="1"/>
  <c r="U34" i="1"/>
  <c r="U26" i="1"/>
  <c r="W45" i="1"/>
  <c r="V36" i="1"/>
  <c r="V28" i="1"/>
  <c r="V20" i="1"/>
  <c r="V38" i="1"/>
  <c r="V10" i="1"/>
  <c r="V26" i="1"/>
  <c r="U13" i="1"/>
  <c r="W11" i="1"/>
  <c r="W21" i="1"/>
  <c r="U41" i="1"/>
  <c r="U33" i="1"/>
  <c r="U25" i="1"/>
  <c r="W44" i="1"/>
  <c r="W35" i="1"/>
  <c r="W27" i="1"/>
  <c r="V35" i="1"/>
  <c r="W49" i="1"/>
  <c r="W33" i="1"/>
  <c r="W19" i="1"/>
  <c r="V9" i="1"/>
  <c r="U12" i="1"/>
  <c r="W9" i="1"/>
  <c r="W17" i="1"/>
  <c r="V196" i="1"/>
  <c r="U188" i="1"/>
  <c r="U180" i="1"/>
  <c r="U172" i="1"/>
  <c r="U164" i="1"/>
  <c r="U195" i="1"/>
  <c r="W187" i="1"/>
  <c r="W179" i="1"/>
  <c r="W197" i="1"/>
  <c r="V189" i="1"/>
  <c r="V170" i="1"/>
  <c r="V162" i="1"/>
  <c r="W154" i="1"/>
  <c r="W146" i="1"/>
  <c r="W138" i="1"/>
  <c r="W130" i="1"/>
  <c r="W122" i="1"/>
  <c r="W114" i="1"/>
  <c r="W106" i="1"/>
  <c r="V183" i="1"/>
  <c r="V173" i="1"/>
  <c r="V165" i="1"/>
  <c r="W52" i="1"/>
  <c r="U40" i="1"/>
  <c r="U32" i="1"/>
  <c r="U24" i="1"/>
  <c r="W42" i="1"/>
  <c r="W34" i="1"/>
  <c r="W48" i="1"/>
  <c r="V37" i="1"/>
  <c r="V29" i="1"/>
  <c r="V21" i="1"/>
  <c r="W16" i="1"/>
  <c r="V42" i="1"/>
  <c r="U11" i="1"/>
  <c r="U46" i="1"/>
  <c r="V195" i="1"/>
  <c r="U187" i="1"/>
  <c r="U179" i="1"/>
  <c r="U171" i="1"/>
  <c r="U163" i="1"/>
  <c r="W194" i="1"/>
  <c r="W186" i="1"/>
  <c r="W178" i="1"/>
  <c r="W196" i="1"/>
  <c r="V188" i="1"/>
  <c r="V178" i="1"/>
  <c r="W169" i="1"/>
  <c r="W161" i="1"/>
  <c r="W50" i="1"/>
  <c r="U39" i="1"/>
  <c r="U31" i="1"/>
  <c r="U23" i="1"/>
  <c r="U47" i="1"/>
  <c r="W36" i="1"/>
  <c r="W28" i="1"/>
  <c r="W20" i="1"/>
  <c r="W15" i="1"/>
  <c r="W37" i="1"/>
  <c r="V19" i="1"/>
  <c r="U10" i="1"/>
  <c r="W41" i="1"/>
  <c r="W22" i="1"/>
  <c r="U48" i="1"/>
  <c r="U38" i="1"/>
  <c r="U30" i="1"/>
  <c r="U22" i="1"/>
  <c r="V40" i="1"/>
  <c r="V32" i="1"/>
  <c r="V24" i="1"/>
  <c r="U19" i="1"/>
  <c r="V27" i="1"/>
  <c r="W14" i="1"/>
  <c r="W18" i="1"/>
  <c r="U9" i="1"/>
  <c r="V22" i="1"/>
  <c r="W29" i="1"/>
  <c r="V18" i="1"/>
  <c r="U193" i="1"/>
  <c r="U185" i="1"/>
  <c r="U177" i="1"/>
  <c r="U169" i="1"/>
  <c r="U161" i="1"/>
  <c r="W192" i="1"/>
  <c r="W184" i="1"/>
  <c r="W176" i="1"/>
  <c r="V194" i="1"/>
  <c r="V186" i="1"/>
  <c r="W159" i="1"/>
  <c r="W151" i="1"/>
  <c r="W143" i="1"/>
  <c r="W135" i="1"/>
  <c r="W127" i="1"/>
  <c r="W119" i="1"/>
  <c r="W111" i="1"/>
  <c r="W103" i="1"/>
  <c r="W47" i="1"/>
  <c r="U37" i="1"/>
  <c r="U29" i="1"/>
  <c r="U21" i="1"/>
  <c r="W39" i="1"/>
  <c r="W31" i="1"/>
  <c r="W23" i="1"/>
  <c r="W51" i="1"/>
  <c r="V39" i="1"/>
  <c r="V31" i="1"/>
  <c r="U18" i="1"/>
  <c r="W26" i="1"/>
  <c r="V13" i="1"/>
  <c r="V16" i="1"/>
  <c r="V17" i="1"/>
  <c r="V30" i="1"/>
  <c r="U16" i="1"/>
  <c r="V23" i="1"/>
  <c r="U192" i="1"/>
  <c r="U184" i="1"/>
  <c r="U176" i="1"/>
  <c r="U168" i="1"/>
  <c r="U160" i="1"/>
  <c r="W191" i="1"/>
  <c r="W183" i="1"/>
  <c r="W175" i="1"/>
  <c r="V193" i="1"/>
  <c r="U44" i="1"/>
  <c r="U36" i="1"/>
  <c r="U28" i="1"/>
  <c r="U20" i="1"/>
  <c r="W46" i="1"/>
  <c r="W38" i="1"/>
  <c r="W30" i="1"/>
  <c r="V41" i="1"/>
  <c r="V33" i="1"/>
  <c r="V25" i="1"/>
  <c r="U17" i="1"/>
  <c r="W25" i="1"/>
  <c r="V12" i="1"/>
  <c r="V15" i="1"/>
  <c r="V34" i="1"/>
  <c r="U14" i="1"/>
  <c r="U15" i="1"/>
  <c r="W12" i="1"/>
  <c r="U191" i="1"/>
  <c r="U183" i="1"/>
  <c r="U175" i="1"/>
  <c r="U167" i="1"/>
  <c r="U198" i="1"/>
  <c r="W190" i="1"/>
  <c r="W182" i="1"/>
  <c r="W174" i="1"/>
  <c r="V192" i="1"/>
  <c r="V184" i="1"/>
  <c r="W165" i="1"/>
  <c r="W157" i="1"/>
  <c r="W149" i="1"/>
  <c r="W141" i="1"/>
  <c r="W133" i="1"/>
  <c r="W125" i="1"/>
  <c r="W117" i="1"/>
  <c r="W109" i="1"/>
  <c r="W43" i="1"/>
  <c r="U35" i="1"/>
  <c r="U27" i="1"/>
  <c r="U49" i="1"/>
  <c r="U45" i="1"/>
  <c r="W40" i="1"/>
  <c r="W32" i="1"/>
  <c r="W24" i="1"/>
  <c r="U43" i="1"/>
  <c r="V11" i="1"/>
  <c r="V14" i="1"/>
  <c r="W13" i="1"/>
  <c r="W10" i="1"/>
  <c r="V198" i="1"/>
  <c r="U190" i="1"/>
  <c r="U182" i="1"/>
  <c r="U174" i="1"/>
  <c r="U166" i="1"/>
  <c r="U197" i="1"/>
  <c r="W189" i="1"/>
  <c r="W181" i="1"/>
  <c r="W173" i="1"/>
  <c r="V191" i="1"/>
  <c r="V182" i="1"/>
  <c r="W156" i="1"/>
  <c r="W148" i="1"/>
  <c r="T54" i="10"/>
  <c r="P75" i="10"/>
  <c r="I26" i="24"/>
  <c r="I27" i="24" s="1"/>
  <c r="R53" i="10"/>
  <c r="T43" i="10"/>
  <c r="T56" i="10"/>
  <c r="T42" i="10"/>
  <c r="AD212" i="1"/>
  <c r="AD238" i="1"/>
  <c r="P44" i="10"/>
  <c r="G76" i="10"/>
  <c r="Q44" i="10"/>
  <c r="R44" i="10"/>
  <c r="AK18" i="1"/>
  <c r="AL23" i="1"/>
  <c r="AK87" i="1"/>
  <c r="AJ87" i="1"/>
  <c r="AI26" i="1"/>
  <c r="AI17" i="1"/>
  <c r="AJ128" i="1"/>
  <c r="AX128" i="1"/>
  <c r="AJ18" i="1"/>
  <c r="H81" i="10"/>
  <c r="Q49" i="10"/>
  <c r="P20" i="1"/>
  <c r="Q34" i="1"/>
  <c r="P32" i="1"/>
  <c r="AJ29" i="1"/>
  <c r="AI29" i="1"/>
  <c r="H85" i="10"/>
  <c r="Q53" i="10"/>
  <c r="P53" i="10"/>
  <c r="AV210" i="1"/>
  <c r="AV226" i="1" s="1"/>
  <c r="AD227" i="1"/>
  <c r="AD228" i="1" s="1"/>
  <c r="O32" i="1"/>
  <c r="P34" i="1"/>
  <c r="AI18" i="1"/>
  <c r="AL10" i="1"/>
  <c r="AK16" i="1"/>
  <c r="AI88" i="1"/>
  <c r="BA24" i="1"/>
  <c r="AL24" i="1"/>
  <c r="AJ30" i="1"/>
  <c r="AZ69" i="1"/>
  <c r="AK69" i="1"/>
  <c r="Q27" i="1"/>
  <c r="AI107" i="1"/>
  <c r="AJ55" i="1"/>
  <c r="AX55" i="1"/>
  <c r="H87" i="10"/>
  <c r="S55" i="10"/>
  <c r="AK96" i="1"/>
  <c r="AI96" i="1"/>
  <c r="AX96" i="1"/>
  <c r="AX65" i="1"/>
  <c r="AI65" i="1"/>
  <c r="AI37" i="1"/>
  <c r="AI19" i="1"/>
  <c r="K93" i="1"/>
  <c r="K79" i="1"/>
  <c r="K136" i="1"/>
  <c r="M63" i="1"/>
  <c r="M128" i="1"/>
  <c r="L142" i="1"/>
  <c r="L78" i="1"/>
  <c r="K98" i="1"/>
  <c r="M57" i="1"/>
  <c r="M51" i="1"/>
  <c r="M79" i="1"/>
  <c r="M43" i="1"/>
  <c r="K123" i="1"/>
  <c r="K71" i="1"/>
  <c r="L59" i="1"/>
  <c r="K107" i="1"/>
  <c r="AL138" i="1"/>
  <c r="BA138" i="1"/>
  <c r="AI20" i="1"/>
  <c r="AK20" i="1"/>
  <c r="AY50" i="1"/>
  <c r="AJ50" i="1"/>
  <c r="G88" i="10"/>
  <c r="P56" i="10"/>
  <c r="Q56" i="10"/>
  <c r="U42" i="10"/>
  <c r="M120" i="1"/>
  <c r="AK140" i="1"/>
  <c r="AI124" i="1"/>
  <c r="AY100" i="1"/>
  <c r="AK124" i="1"/>
  <c r="AY140" i="1"/>
  <c r="BA50" i="1"/>
  <c r="AK60" i="1"/>
  <c r="AK156" i="1"/>
  <c r="AT209" i="1"/>
  <c r="H59" i="10" s="1"/>
  <c r="S59" i="10" s="1"/>
  <c r="AT223" i="1"/>
  <c r="H47" i="10" s="1"/>
  <c r="V43" i="10"/>
  <c r="BA83" i="1"/>
  <c r="AB91" i="1"/>
  <c r="AB132" i="1"/>
  <c r="AJ69" i="1"/>
  <c r="AK89" i="1"/>
  <c r="AY89" i="1"/>
  <c r="AI89" i="1"/>
  <c r="AK100" i="1"/>
  <c r="AI43" i="1"/>
  <c r="BA35" i="1"/>
  <c r="BA19" i="1"/>
  <c r="S54" i="10"/>
  <c r="AI49" i="1"/>
  <c r="AB33" i="1"/>
  <c r="T53" i="10"/>
  <c r="P137" i="27"/>
  <c r="H26" i="24"/>
  <c r="H27" i="24" s="1"/>
  <c r="N137" i="27"/>
  <c r="N71" i="27"/>
  <c r="I137" i="27"/>
  <c r="G137" i="27"/>
  <c r="M137" i="27"/>
  <c r="J71" i="27"/>
  <c r="J26" i="24"/>
  <c r="J27" i="24" s="1"/>
  <c r="L89" i="26"/>
  <c r="Q137" i="27"/>
  <c r="J23" i="27"/>
  <c r="P57" i="10"/>
  <c r="T48" i="10"/>
  <c r="T49" i="10"/>
  <c r="T55" i="10"/>
  <c r="S42" i="10"/>
  <c r="T44" i="10"/>
  <c r="S48" i="10"/>
  <c r="K23" i="27"/>
  <c r="H23" i="27"/>
  <c r="I23" i="27"/>
  <c r="S65" i="10"/>
  <c r="T65" i="10" s="1"/>
  <c r="U65" i="10" s="1"/>
  <c r="S53" i="10"/>
  <c r="R56" i="10"/>
  <c r="U55" i="10"/>
  <c r="S49" i="10"/>
  <c r="U44" i="10"/>
  <c r="U56" i="10"/>
  <c r="S43" i="10"/>
  <c r="S56" i="10"/>
  <c r="S40" i="10"/>
  <c r="R54" i="10"/>
  <c r="I58" i="10"/>
  <c r="L23" i="27"/>
  <c r="G90" i="10"/>
  <c r="U49" i="10"/>
  <c r="R55" i="10"/>
  <c r="AT222" i="1"/>
  <c r="H46" i="10" s="1"/>
  <c r="V53" i="10"/>
  <c r="U43" i="10"/>
  <c r="R49" i="10"/>
  <c r="V55" i="10"/>
  <c r="V44" i="10"/>
  <c r="V42" i="10"/>
  <c r="V48" i="10"/>
  <c r="U53" i="10"/>
  <c r="R48" i="10"/>
  <c r="H69" i="18"/>
  <c r="U48" i="10"/>
  <c r="U41" i="10"/>
  <c r="U54" i="10"/>
  <c r="AS222" i="1"/>
  <c r="G46" i="10" s="1"/>
  <c r="V49" i="10"/>
  <c r="R43" i="10"/>
  <c r="J69" i="18"/>
  <c r="R40" i="10"/>
  <c r="U40" i="10"/>
  <c r="Q40" i="10"/>
  <c r="T41" i="10"/>
  <c r="T40" i="10"/>
  <c r="V40" i="10"/>
  <c r="P40" i="10"/>
  <c r="AR227" i="1"/>
  <c r="H73" i="10"/>
  <c r="O73" i="10" s="1"/>
  <c r="R41" i="10"/>
  <c r="V41" i="10"/>
  <c r="S41" i="10"/>
  <c r="AV207" i="1"/>
  <c r="G72" i="10"/>
  <c r="AN211" i="1"/>
  <c r="AV208" i="1"/>
  <c r="AN222" i="1"/>
  <c r="AV222" i="1" s="1"/>
  <c r="G79" i="10"/>
  <c r="AV203" i="1"/>
  <c r="AU227" i="1"/>
  <c r="AT227" i="1"/>
  <c r="AS227" i="1"/>
  <c r="AN216" i="1"/>
  <c r="AN217" i="1"/>
  <c r="AV217" i="1" s="1"/>
  <c r="P41" i="10"/>
  <c r="Q41" i="10"/>
  <c r="S44" i="10"/>
  <c r="I76" i="10"/>
  <c r="Q76" i="10" s="1"/>
  <c r="AK39" i="1"/>
  <c r="AJ39" i="1"/>
  <c r="AK27" i="1"/>
  <c r="M64" i="1"/>
  <c r="K109" i="1"/>
  <c r="K125" i="1"/>
  <c r="M44" i="1"/>
  <c r="M53" i="1"/>
  <c r="M71" i="1"/>
  <c r="K80" i="1"/>
  <c r="K95" i="1"/>
  <c r="K69" i="1"/>
  <c r="K45" i="1"/>
  <c r="L60" i="1"/>
  <c r="K144" i="1"/>
  <c r="L86" i="1"/>
  <c r="L150" i="1"/>
  <c r="M136" i="1"/>
  <c r="R86" i="10"/>
  <c r="M89" i="27" s="1"/>
  <c r="R81" i="10"/>
  <c r="M9" i="1"/>
  <c r="L192" i="1"/>
  <c r="L184" i="1"/>
  <c r="L176" i="1"/>
  <c r="L168" i="1"/>
  <c r="L198" i="1"/>
  <c r="K190" i="1"/>
  <c r="K198" i="1"/>
  <c r="M192" i="1"/>
  <c r="K181" i="1"/>
  <c r="M169" i="1"/>
  <c r="M161" i="1"/>
  <c r="K176" i="1"/>
  <c r="M159" i="1"/>
  <c r="M151" i="1"/>
  <c r="M143" i="1"/>
  <c r="M135" i="1"/>
  <c r="M127" i="1"/>
  <c r="M119" i="1"/>
  <c r="M111" i="1"/>
  <c r="M103" i="1"/>
  <c r="M95" i="1"/>
  <c r="M87" i="1"/>
  <c r="L157" i="1"/>
  <c r="L149" i="1"/>
  <c r="L141" i="1"/>
  <c r="L133" i="1"/>
  <c r="L125" i="1"/>
  <c r="L117" i="1"/>
  <c r="L109" i="1"/>
  <c r="L101" i="1"/>
  <c r="L93" i="1"/>
  <c r="L85" i="1"/>
  <c r="L77" i="1"/>
  <c r="L69" i="1"/>
  <c r="M177" i="1"/>
  <c r="K167" i="1"/>
  <c r="K159" i="1"/>
  <c r="K151" i="1"/>
  <c r="K143" i="1"/>
  <c r="K94" i="1"/>
  <c r="K82" i="1"/>
  <c r="K74" i="1"/>
  <c r="K66" i="1"/>
  <c r="K58" i="1"/>
  <c r="K51" i="1"/>
  <c r="K134" i="1"/>
  <c r="K118" i="1"/>
  <c r="K102" i="1"/>
  <c r="M84" i="1"/>
  <c r="M76" i="1"/>
  <c r="M68" i="1"/>
  <c r="K60" i="1"/>
  <c r="K87" i="1"/>
  <c r="K37" i="1"/>
  <c r="M18" i="1"/>
  <c r="M26" i="1"/>
  <c r="Q26" i="1" s="1"/>
  <c r="L191" i="1"/>
  <c r="L183" i="1"/>
  <c r="L175" i="1"/>
  <c r="L167" i="1"/>
  <c r="L197" i="1"/>
  <c r="K189" i="1"/>
  <c r="K197" i="1"/>
  <c r="M191" i="1"/>
  <c r="M180" i="1"/>
  <c r="M175" i="1"/>
  <c r="M158" i="1"/>
  <c r="M150" i="1"/>
  <c r="M142" i="1"/>
  <c r="M134" i="1"/>
  <c r="M126" i="1"/>
  <c r="M118" i="1"/>
  <c r="M110" i="1"/>
  <c r="M102" i="1"/>
  <c r="M94" i="1"/>
  <c r="M86" i="1"/>
  <c r="K172" i="1"/>
  <c r="K164" i="1"/>
  <c r="L156" i="1"/>
  <c r="L148" i="1"/>
  <c r="L140" i="1"/>
  <c r="L132" i="1"/>
  <c r="L124" i="1"/>
  <c r="L116" i="1"/>
  <c r="L108" i="1"/>
  <c r="L100" i="1"/>
  <c r="L92" i="1"/>
  <c r="L84" i="1"/>
  <c r="L76" i="1"/>
  <c r="L68" i="1"/>
  <c r="K174" i="1"/>
  <c r="M166" i="1"/>
  <c r="K158" i="1"/>
  <c r="K150" i="1"/>
  <c r="K142" i="1"/>
  <c r="K92" i="1"/>
  <c r="M81" i="1"/>
  <c r="M73" i="1"/>
  <c r="M65" i="1"/>
  <c r="K50" i="1"/>
  <c r="K132" i="1"/>
  <c r="K116" i="1"/>
  <c r="K100" i="1"/>
  <c r="K59" i="1"/>
  <c r="M52" i="1"/>
  <c r="K36" i="1"/>
  <c r="K25" i="1"/>
  <c r="L45" i="1"/>
  <c r="K22" i="1"/>
  <c r="P22" i="1" s="1"/>
  <c r="M198" i="1"/>
  <c r="L190" i="1"/>
  <c r="L182" i="1"/>
  <c r="L174" i="1"/>
  <c r="L166" i="1"/>
  <c r="L196" i="1"/>
  <c r="K188" i="1"/>
  <c r="K196" i="1"/>
  <c r="M190" i="1"/>
  <c r="K177" i="1"/>
  <c r="K173" i="1"/>
  <c r="K165" i="1"/>
  <c r="M157" i="1"/>
  <c r="M149" i="1"/>
  <c r="M141" i="1"/>
  <c r="M133" i="1"/>
  <c r="M125" i="1"/>
  <c r="M117" i="1"/>
  <c r="M109" i="1"/>
  <c r="M101" i="1"/>
  <c r="M93" i="1"/>
  <c r="M183" i="1"/>
  <c r="M171" i="1"/>
  <c r="M163" i="1"/>
  <c r="L155" i="1"/>
  <c r="L147" i="1"/>
  <c r="L139" i="1"/>
  <c r="L131" i="1"/>
  <c r="L123" i="1"/>
  <c r="L115" i="1"/>
  <c r="L107" i="1"/>
  <c r="L99" i="1"/>
  <c r="L91" i="1"/>
  <c r="L83" i="1"/>
  <c r="L75" i="1"/>
  <c r="L67" i="1"/>
  <c r="K157" i="1"/>
  <c r="K149" i="1"/>
  <c r="O149" i="1" s="1"/>
  <c r="K141" i="1"/>
  <c r="K90" i="1"/>
  <c r="L64" i="1"/>
  <c r="K49" i="1"/>
  <c r="K130" i="1"/>
  <c r="K114" i="1"/>
  <c r="K84" i="1"/>
  <c r="K76" i="1"/>
  <c r="K68" i="1"/>
  <c r="M16" i="1"/>
  <c r="K42" i="1"/>
  <c r="K11" i="1"/>
  <c r="M197" i="1"/>
  <c r="L189" i="1"/>
  <c r="L181" i="1"/>
  <c r="L173" i="1"/>
  <c r="L165" i="1"/>
  <c r="L195" i="1"/>
  <c r="K187" i="1"/>
  <c r="K195" i="1"/>
  <c r="M189" i="1"/>
  <c r="M176" i="1"/>
  <c r="K166" i="1"/>
  <c r="M172" i="1"/>
  <c r="M164" i="1"/>
  <c r="M156" i="1"/>
  <c r="M148" i="1"/>
  <c r="M140" i="1"/>
  <c r="M132" i="1"/>
  <c r="M124" i="1"/>
  <c r="M116" i="1"/>
  <c r="M108" i="1"/>
  <c r="M100" i="1"/>
  <c r="M92" i="1"/>
  <c r="M182" i="1"/>
  <c r="L154" i="1"/>
  <c r="L146" i="1"/>
  <c r="L138" i="1"/>
  <c r="L130" i="1"/>
  <c r="L122" i="1"/>
  <c r="L114" i="1"/>
  <c r="L106" i="1"/>
  <c r="L98" i="1"/>
  <c r="L90" i="1"/>
  <c r="L82" i="1"/>
  <c r="L74" i="1"/>
  <c r="L66" i="1"/>
  <c r="K156" i="1"/>
  <c r="K148" i="1"/>
  <c r="K140" i="1"/>
  <c r="K88" i="1"/>
  <c r="L63" i="1"/>
  <c r="M56" i="1"/>
  <c r="K48" i="1"/>
  <c r="K128" i="1"/>
  <c r="K112" i="1"/>
  <c r="K81" i="1"/>
  <c r="K73" i="1"/>
  <c r="K65" i="1"/>
  <c r="K97" i="1"/>
  <c r="K18" i="1"/>
  <c r="K35" i="1"/>
  <c r="L44" i="1"/>
  <c r="K33" i="1"/>
  <c r="M29" i="1"/>
  <c r="M14" i="1"/>
  <c r="M17" i="1"/>
  <c r="M37" i="1"/>
  <c r="K14" i="1"/>
  <c r="M196" i="1"/>
  <c r="L188" i="1"/>
  <c r="L180" i="1"/>
  <c r="L172" i="1"/>
  <c r="L164" i="1"/>
  <c r="K194" i="1"/>
  <c r="K186" i="1"/>
  <c r="M188" i="1"/>
  <c r="M173" i="1"/>
  <c r="M165" i="1"/>
  <c r="M155" i="1"/>
  <c r="M147" i="1"/>
  <c r="M139" i="1"/>
  <c r="M131" i="1"/>
  <c r="M123" i="1"/>
  <c r="M115" i="1"/>
  <c r="M107" i="1"/>
  <c r="M99" i="1"/>
  <c r="M91" i="1"/>
  <c r="K179" i="1"/>
  <c r="L153" i="1"/>
  <c r="L145" i="1"/>
  <c r="L137" i="1"/>
  <c r="L129" i="1"/>
  <c r="L121" i="1"/>
  <c r="L113" i="1"/>
  <c r="L105" i="1"/>
  <c r="L97" i="1"/>
  <c r="L89" i="1"/>
  <c r="L81" i="1"/>
  <c r="L73" i="1"/>
  <c r="L65" i="1"/>
  <c r="K171" i="1"/>
  <c r="K163" i="1"/>
  <c r="K155" i="1"/>
  <c r="K147" i="1"/>
  <c r="K139" i="1"/>
  <c r="O139" i="1" s="1"/>
  <c r="K86" i="1"/>
  <c r="K78" i="1"/>
  <c r="K70" i="1"/>
  <c r="L62" i="1"/>
  <c r="L55" i="1"/>
  <c r="K47" i="1"/>
  <c r="K126" i="1"/>
  <c r="K110" i="1"/>
  <c r="M80" i="1"/>
  <c r="K16" i="1"/>
  <c r="K21" i="1"/>
  <c r="M12" i="1"/>
  <c r="M33" i="1"/>
  <c r="L15" i="1"/>
  <c r="Q15" i="1" s="1"/>
  <c r="K9" i="1"/>
  <c r="K12" i="1"/>
  <c r="M195" i="1"/>
  <c r="L187" i="1"/>
  <c r="L179" i="1"/>
  <c r="L171" i="1"/>
  <c r="L163" i="1"/>
  <c r="K193" i="1"/>
  <c r="K185" i="1"/>
  <c r="M187" i="1"/>
  <c r="M184" i="1"/>
  <c r="M154" i="1"/>
  <c r="M146" i="1"/>
  <c r="M138" i="1"/>
  <c r="M130" i="1"/>
  <c r="Q130" i="1" s="1"/>
  <c r="M122" i="1"/>
  <c r="M114" i="1"/>
  <c r="M106" i="1"/>
  <c r="M98" i="1"/>
  <c r="Q98" i="1" s="1"/>
  <c r="M90" i="1"/>
  <c r="M178" i="1"/>
  <c r="K168" i="1"/>
  <c r="L160" i="1"/>
  <c r="L152" i="1"/>
  <c r="L144" i="1"/>
  <c r="L136" i="1"/>
  <c r="L128" i="1"/>
  <c r="L120" i="1"/>
  <c r="L112" i="1"/>
  <c r="L104" i="1"/>
  <c r="L96" i="1"/>
  <c r="L88" i="1"/>
  <c r="L80" i="1"/>
  <c r="L72" i="1"/>
  <c r="K182" i="1"/>
  <c r="O182" i="1" s="1"/>
  <c r="M170" i="1"/>
  <c r="M162" i="1"/>
  <c r="K154" i="1"/>
  <c r="K146" i="1"/>
  <c r="K138" i="1"/>
  <c r="M85" i="1"/>
  <c r="L33" i="1"/>
  <c r="K41" i="1"/>
  <c r="L19" i="1"/>
  <c r="K23" i="1"/>
  <c r="M10" i="1"/>
  <c r="L13" i="1"/>
  <c r="M25" i="1"/>
  <c r="Q25" i="1" s="1"/>
  <c r="K10" i="1"/>
  <c r="L194" i="1"/>
  <c r="L186" i="1"/>
  <c r="L178" i="1"/>
  <c r="L170" i="1"/>
  <c r="L162" i="1"/>
  <c r="K192" i="1"/>
  <c r="O192" i="1" s="1"/>
  <c r="K184" i="1"/>
  <c r="M194" i="1"/>
  <c r="M186" i="1"/>
  <c r="K180" i="1"/>
  <c r="K169" i="1"/>
  <c r="K161" i="1"/>
  <c r="M153" i="1"/>
  <c r="M145" i="1"/>
  <c r="M137" i="1"/>
  <c r="M129" i="1"/>
  <c r="M121" i="1"/>
  <c r="M113" i="1"/>
  <c r="M105" i="1"/>
  <c r="M97" i="1"/>
  <c r="M89" i="1"/>
  <c r="K175" i="1"/>
  <c r="M167" i="1"/>
  <c r="Q167" i="1" s="1"/>
  <c r="L159" i="1"/>
  <c r="P159" i="1" s="1"/>
  <c r="L151" i="1"/>
  <c r="L143" i="1"/>
  <c r="P143" i="1" s="1"/>
  <c r="L135" i="1"/>
  <c r="L127" i="1"/>
  <c r="L119" i="1"/>
  <c r="L111" i="1"/>
  <c r="L103" i="1"/>
  <c r="L95" i="1"/>
  <c r="P95" i="1" s="1"/>
  <c r="L87" i="1"/>
  <c r="L79" i="1"/>
  <c r="L71" i="1"/>
  <c r="L29" i="1"/>
  <c r="K28" i="1"/>
  <c r="L48" i="1"/>
  <c r="K31" i="1"/>
  <c r="K29" i="1"/>
  <c r="L17" i="1"/>
  <c r="M21" i="1"/>
  <c r="Q21" i="1" s="1"/>
  <c r="L11" i="1"/>
  <c r="K30" i="1"/>
  <c r="L193" i="1"/>
  <c r="L185" i="1"/>
  <c r="L177" i="1"/>
  <c r="P177" i="1" s="1"/>
  <c r="L169" i="1"/>
  <c r="L161" i="1"/>
  <c r="K191" i="1"/>
  <c r="O191" i="1" s="1"/>
  <c r="K183" i="1"/>
  <c r="M193" i="1"/>
  <c r="M185" i="1"/>
  <c r="K170" i="1"/>
  <c r="K162" i="1"/>
  <c r="M179" i="1"/>
  <c r="Q179" i="1" s="1"/>
  <c r="M168" i="1"/>
  <c r="M160" i="1"/>
  <c r="M152" i="1"/>
  <c r="M144" i="1"/>
  <c r="L50" i="1"/>
  <c r="K57" i="1"/>
  <c r="K111" i="1"/>
  <c r="K127" i="1"/>
  <c r="M45" i="1"/>
  <c r="Q45" i="1" s="1"/>
  <c r="M54" i="1"/>
  <c r="K72" i="1"/>
  <c r="K104" i="1"/>
  <c r="K46" i="1"/>
  <c r="L61" i="1"/>
  <c r="M77" i="1"/>
  <c r="K145" i="1"/>
  <c r="L94" i="1"/>
  <c r="L158" i="1"/>
  <c r="M174" i="1"/>
  <c r="R85" i="10"/>
  <c r="Q34" i="32" s="1"/>
  <c r="T85" i="10"/>
  <c r="S34" i="32" s="1"/>
  <c r="L51" i="1"/>
  <c r="L58" i="1"/>
  <c r="M66" i="1"/>
  <c r="M74" i="1"/>
  <c r="M82" i="1"/>
  <c r="Q82" i="1" s="1"/>
  <c r="K113" i="1"/>
  <c r="K129" i="1"/>
  <c r="M46" i="1"/>
  <c r="K61" i="1"/>
  <c r="K106" i="1"/>
  <c r="K52" i="1"/>
  <c r="K152" i="1"/>
  <c r="L102" i="1"/>
  <c r="M88" i="1"/>
  <c r="R74" i="10"/>
  <c r="S74" i="10"/>
  <c r="L52" i="1"/>
  <c r="M59" i="1"/>
  <c r="Q59" i="1" s="1"/>
  <c r="K67" i="1"/>
  <c r="K75" i="1"/>
  <c r="K83" i="1"/>
  <c r="K99" i="1"/>
  <c r="K115" i="1"/>
  <c r="K131" i="1"/>
  <c r="M47" i="1"/>
  <c r="M83" i="1"/>
  <c r="K62" i="1"/>
  <c r="M72" i="1"/>
  <c r="K85" i="1"/>
  <c r="K108" i="1"/>
  <c r="K53" i="1"/>
  <c r="K153" i="1"/>
  <c r="L110" i="1"/>
  <c r="M96" i="1"/>
  <c r="R80" i="10"/>
  <c r="O80" i="10"/>
  <c r="L53" i="1"/>
  <c r="M60" i="1"/>
  <c r="Q60" i="1" s="1"/>
  <c r="K101" i="1"/>
  <c r="K117" i="1"/>
  <c r="K133" i="1"/>
  <c r="M48" i="1"/>
  <c r="K56" i="1"/>
  <c r="M75" i="1"/>
  <c r="K63" i="1"/>
  <c r="K120" i="1"/>
  <c r="O120" i="1" s="1"/>
  <c r="K54" i="1"/>
  <c r="M69" i="1"/>
  <c r="K160" i="1"/>
  <c r="K178" i="1"/>
  <c r="L118" i="1"/>
  <c r="P118" i="1" s="1"/>
  <c r="M104" i="1"/>
  <c r="L54" i="1"/>
  <c r="M61" i="1"/>
  <c r="K103" i="1"/>
  <c r="K119" i="1"/>
  <c r="K135" i="1"/>
  <c r="M49" i="1"/>
  <c r="Q49" i="1" s="1"/>
  <c r="L57" i="1"/>
  <c r="M67" i="1"/>
  <c r="K89" i="1"/>
  <c r="K55" i="1"/>
  <c r="K64" i="1"/>
  <c r="K122" i="1"/>
  <c r="M181" i="1"/>
  <c r="L126" i="1"/>
  <c r="M112" i="1"/>
  <c r="R88" i="10"/>
  <c r="G80" i="16" s="1"/>
  <c r="T88" i="10"/>
  <c r="I80" i="16" s="1"/>
  <c r="M55" i="1"/>
  <c r="M62" i="1"/>
  <c r="M70" i="1"/>
  <c r="M78" i="1"/>
  <c r="K105" i="1"/>
  <c r="K121" i="1"/>
  <c r="K137" i="1"/>
  <c r="M50" i="1"/>
  <c r="M58" i="1"/>
  <c r="K91" i="1"/>
  <c r="L56" i="1"/>
  <c r="K77" i="1"/>
  <c r="K124" i="1"/>
  <c r="K96" i="1"/>
  <c r="L70" i="1"/>
  <c r="L134" i="1"/>
  <c r="P134" i="1" s="1"/>
  <c r="R75" i="10"/>
  <c r="S75" i="10"/>
  <c r="T75" i="10"/>
  <c r="I69" i="18"/>
  <c r="G69" i="18"/>
  <c r="S57" i="10"/>
  <c r="G23" i="27"/>
  <c r="J137" i="27"/>
  <c r="G121" i="27"/>
  <c r="G71" i="27"/>
  <c r="M16" i="10"/>
  <c r="N15" i="10"/>
  <c r="I89" i="10"/>
  <c r="Q89" i="10" s="1"/>
  <c r="Q57" i="10"/>
  <c r="U57" i="10"/>
  <c r="R57" i="10"/>
  <c r="V57" i="10"/>
  <c r="T57" i="10"/>
  <c r="N97" i="11"/>
  <c r="I12" i="16"/>
  <c r="J12" i="16"/>
  <c r="K12" i="16"/>
  <c r="K97" i="11"/>
  <c r="N23" i="27" s="1"/>
  <c r="J97" i="11"/>
  <c r="H12" i="16"/>
  <c r="G12" i="16"/>
  <c r="L97" i="11"/>
  <c r="M97" i="11"/>
  <c r="P45" i="10"/>
  <c r="G77" i="10"/>
  <c r="S45" i="10"/>
  <c r="T45" i="10"/>
  <c r="U45" i="10"/>
  <c r="V45" i="10"/>
  <c r="R45" i="10"/>
  <c r="Q45" i="10"/>
  <c r="AY44" i="1" l="1"/>
  <c r="BA13" i="1"/>
  <c r="AL153" i="1"/>
  <c r="AL107" i="1"/>
  <c r="R65" i="1"/>
  <c r="AZ37" i="1"/>
  <c r="AZ18" i="1"/>
  <c r="BA84" i="1"/>
  <c r="AK138" i="1"/>
  <c r="AL42" i="1"/>
  <c r="R25" i="1"/>
  <c r="R48" i="1"/>
  <c r="R106" i="1"/>
  <c r="AK141" i="1"/>
  <c r="BA34" i="1"/>
  <c r="AY71" i="1"/>
  <c r="AL59" i="1"/>
  <c r="AJ31" i="1"/>
  <c r="AB56" i="1"/>
  <c r="AL194" i="1"/>
  <c r="AI127" i="1"/>
  <c r="AL63" i="1"/>
  <c r="U59" i="10"/>
  <c r="R197" i="1"/>
  <c r="R134" i="1"/>
  <c r="BA65" i="1"/>
  <c r="AB83" i="1"/>
  <c r="AB147" i="1"/>
  <c r="AK146" i="1"/>
  <c r="AJ114" i="1"/>
  <c r="S86" i="10"/>
  <c r="N89" i="27" s="1"/>
  <c r="Z49" i="1"/>
  <c r="AB96" i="1"/>
  <c r="AB95" i="1"/>
  <c r="AL175" i="1"/>
  <c r="AB141" i="1"/>
  <c r="AB50" i="1"/>
  <c r="AB139" i="1"/>
  <c r="AL115" i="1"/>
  <c r="AI14" i="1"/>
  <c r="AB53" i="1"/>
  <c r="AL154" i="1"/>
  <c r="AK113" i="1"/>
  <c r="R51" i="1"/>
  <c r="BA51" i="1"/>
  <c r="AK134" i="1"/>
  <c r="AL48" i="1"/>
  <c r="R57" i="1"/>
  <c r="R40" i="1"/>
  <c r="AB35" i="1"/>
  <c r="R137" i="1"/>
  <c r="R112" i="1"/>
  <c r="R68" i="1"/>
  <c r="AB59" i="1"/>
  <c r="AB69" i="1"/>
  <c r="R95" i="1"/>
  <c r="AI137" i="1"/>
  <c r="AK142" i="1"/>
  <c r="AL161" i="1"/>
  <c r="AK135" i="1"/>
  <c r="L41" i="22"/>
  <c r="L31" i="22" s="1"/>
  <c r="K41" i="22"/>
  <c r="K31" i="22" s="1"/>
  <c r="K76" i="4"/>
  <c r="K55" i="4"/>
  <c r="K56" i="4"/>
  <c r="K53" i="4"/>
  <c r="K52" i="4"/>
  <c r="K54" i="4"/>
  <c r="K57" i="4"/>
  <c r="K51" i="4"/>
  <c r="AY147" i="1"/>
  <c r="R58" i="1"/>
  <c r="AR239" i="1"/>
  <c r="L11" i="22"/>
  <c r="O127" i="1"/>
  <c r="AK105" i="1"/>
  <c r="AL39" i="1"/>
  <c r="AB41" i="1"/>
  <c r="R157" i="1"/>
  <c r="R158" i="1"/>
  <c r="R126" i="1"/>
  <c r="AI143" i="1"/>
  <c r="Q18" i="32"/>
  <c r="S18" i="32"/>
  <c r="S52" i="32" s="1" a="1"/>
  <c r="S52" i="32" s="1"/>
  <c r="S70" i="32" s="1"/>
  <c r="R18" i="32"/>
  <c r="AZ31" i="1"/>
  <c r="T18" i="32"/>
  <c r="T52" i="32" s="1" a="1"/>
  <c r="T52" i="32" s="1"/>
  <c r="T70" i="32" s="1"/>
  <c r="AB84" i="1"/>
  <c r="R60" i="1"/>
  <c r="R159" i="1"/>
  <c r="R127" i="1"/>
  <c r="R35" i="1"/>
  <c r="R183" i="1"/>
  <c r="AJ121" i="1"/>
  <c r="AL72" i="1"/>
  <c r="AX87" i="1"/>
  <c r="BA29" i="1"/>
  <c r="AL70" i="1"/>
  <c r="AK111" i="1"/>
  <c r="Y55" i="1"/>
  <c r="R176" i="1"/>
  <c r="R138" i="1"/>
  <c r="R64" i="1"/>
  <c r="AJ40" i="1"/>
  <c r="R121" i="1"/>
  <c r="R55" i="1"/>
  <c r="AB54" i="1"/>
  <c r="AJ98" i="1"/>
  <c r="R165" i="1"/>
  <c r="R161" i="1"/>
  <c r="AL68" i="1"/>
  <c r="AI38" i="1"/>
  <c r="R193" i="1"/>
  <c r="R155" i="1"/>
  <c r="R123" i="1"/>
  <c r="R188" i="1"/>
  <c r="R150" i="1"/>
  <c r="R118" i="1"/>
  <c r="AK86" i="1"/>
  <c r="R185" i="1"/>
  <c r="R147" i="1"/>
  <c r="AJ125" i="1"/>
  <c r="AJ38" i="1"/>
  <c r="O153" i="1"/>
  <c r="P171" i="1"/>
  <c r="AA38" i="1"/>
  <c r="AA102" i="1"/>
  <c r="AX56" i="1"/>
  <c r="Y96" i="1"/>
  <c r="AJ184" i="1"/>
  <c r="AI189" i="1"/>
  <c r="R52" i="1"/>
  <c r="R145" i="1"/>
  <c r="AB67" i="1"/>
  <c r="AL127" i="1"/>
  <c r="AI132" i="1"/>
  <c r="AL105" i="1"/>
  <c r="AL132" i="1"/>
  <c r="AJ48" i="1"/>
  <c r="AK193" i="1"/>
  <c r="R10" i="1"/>
  <c r="R109" i="1"/>
  <c r="AJ77" i="1"/>
  <c r="AI77" i="1"/>
  <c r="AK77" i="1"/>
  <c r="AK31" i="1"/>
  <c r="Q58" i="1"/>
  <c r="Q61" i="1"/>
  <c r="R189" i="1"/>
  <c r="R151" i="1"/>
  <c r="R119" i="1"/>
  <c r="R18" i="1"/>
  <c r="AB23" i="1"/>
  <c r="R130" i="1"/>
  <c r="R62" i="1"/>
  <c r="AB57" i="1"/>
  <c r="AB134" i="1"/>
  <c r="AK125" i="1"/>
  <c r="AK80" i="1"/>
  <c r="AK25" i="1"/>
  <c r="AL26" i="1"/>
  <c r="AI50" i="1"/>
  <c r="AJ20" i="1"/>
  <c r="O89" i="1"/>
  <c r="O85" i="1"/>
  <c r="Q195" i="1"/>
  <c r="O86" i="1"/>
  <c r="P81" i="1"/>
  <c r="AK191" i="1"/>
  <c r="AI198" i="1"/>
  <c r="R28" i="1"/>
  <c r="R196" i="1"/>
  <c r="AB76" i="1"/>
  <c r="AL137" i="1"/>
  <c r="AK67" i="1"/>
  <c r="AJ93" i="1"/>
  <c r="AJ44" i="1"/>
  <c r="AI13" i="1"/>
  <c r="AL49" i="1"/>
  <c r="AL44" i="1"/>
  <c r="AJ19" i="1"/>
  <c r="AK85" i="1"/>
  <c r="AI12" i="1"/>
  <c r="AJ13" i="1"/>
  <c r="AJ174" i="1"/>
  <c r="R125" i="1"/>
  <c r="AB45" i="1"/>
  <c r="AL178" i="1"/>
  <c r="AI79" i="1"/>
  <c r="AJ25" i="1"/>
  <c r="AL11" i="1"/>
  <c r="AK37" i="1"/>
  <c r="AI48" i="1"/>
  <c r="AK118" i="1"/>
  <c r="AK15" i="1"/>
  <c r="AI24" i="1"/>
  <c r="AK24" i="1"/>
  <c r="AL100" i="1"/>
  <c r="AJ36" i="1"/>
  <c r="AL29" i="1"/>
  <c r="P126" i="1"/>
  <c r="AJ173" i="1"/>
  <c r="R131" i="1"/>
  <c r="R180" i="1"/>
  <c r="R142" i="1"/>
  <c r="AI134" i="1"/>
  <c r="AJ129" i="1"/>
  <c r="AL64" i="1"/>
  <c r="AL50" i="1"/>
  <c r="AK28" i="1"/>
  <c r="AL41" i="1"/>
  <c r="AJ37" i="1"/>
  <c r="Q190" i="1"/>
  <c r="Q198" i="1"/>
  <c r="Y97" i="1"/>
  <c r="AI133" i="1"/>
  <c r="AJ133" i="1"/>
  <c r="AJ89" i="1"/>
  <c r="AJ34" i="1"/>
  <c r="AK34" i="1"/>
  <c r="AI34" i="1"/>
  <c r="AJ136" i="1"/>
  <c r="AI136" i="1"/>
  <c r="AK136" i="1"/>
  <c r="AL145" i="1"/>
  <c r="AI105" i="1"/>
  <c r="AJ108" i="1"/>
  <c r="AK76" i="1"/>
  <c r="AJ76" i="1"/>
  <c r="Q72" i="1"/>
  <c r="Q92" i="1"/>
  <c r="AB29" i="1"/>
  <c r="AI141" i="1"/>
  <c r="AI61" i="1"/>
  <c r="AJ9" i="1"/>
  <c r="AK9" i="1"/>
  <c r="AI9" i="1"/>
  <c r="AI125" i="1"/>
  <c r="AL164" i="1"/>
  <c r="AJ105" i="1"/>
  <c r="AL135" i="1"/>
  <c r="AJ140" i="1"/>
  <c r="AI140" i="1"/>
  <c r="O147" i="1"/>
  <c r="AI120" i="1"/>
  <c r="AJ120" i="1"/>
  <c r="AK68" i="1"/>
  <c r="AI68" i="1"/>
  <c r="AJ54" i="1"/>
  <c r="AK54" i="1"/>
  <c r="AI54" i="1"/>
  <c r="AK144" i="1"/>
  <c r="AJ144" i="1"/>
  <c r="AI144" i="1"/>
  <c r="AK92" i="1"/>
  <c r="AI92" i="1"/>
  <c r="AI119" i="1"/>
  <c r="AJ145" i="1"/>
  <c r="AI145" i="1"/>
  <c r="AK145" i="1"/>
  <c r="AJ132" i="1"/>
  <c r="AI130" i="1"/>
  <c r="AJ130" i="1"/>
  <c r="AK82" i="1"/>
  <c r="AJ46" i="1"/>
  <c r="AA181" i="1"/>
  <c r="AZ19" i="1"/>
  <c r="AY34" i="1"/>
  <c r="AB44" i="1"/>
  <c r="AL183" i="1"/>
  <c r="AJ100" i="1"/>
  <c r="AJ43" i="1"/>
  <c r="AK43" i="1"/>
  <c r="AI114" i="1"/>
  <c r="AK132" i="1"/>
  <c r="AI67" i="1"/>
  <c r="AI146" i="1"/>
  <c r="AI113" i="1"/>
  <c r="AL152" i="1"/>
  <c r="AJ127" i="1"/>
  <c r="AJ102" i="1"/>
  <c r="O77" i="1"/>
  <c r="Q78" i="1"/>
  <c r="O135" i="1"/>
  <c r="P52" i="1"/>
  <c r="O170" i="1"/>
  <c r="O166" i="1"/>
  <c r="O157" i="1"/>
  <c r="AY88" i="1"/>
  <c r="AY18" i="1"/>
  <c r="AY112" i="1"/>
  <c r="AK159" i="1"/>
  <c r="AZ94" i="1"/>
  <c r="AY67" i="1"/>
  <c r="AL204" i="1"/>
  <c r="R177" i="1"/>
  <c r="R139" i="1"/>
  <c r="R30" i="1"/>
  <c r="AB58" i="1"/>
  <c r="AI147" i="1"/>
  <c r="AB115" i="1"/>
  <c r="BA108" i="1"/>
  <c r="AK150" i="1"/>
  <c r="AB81" i="1"/>
  <c r="AL148" i="1"/>
  <c r="AL125" i="1"/>
  <c r="AI55" i="1"/>
  <c r="AK55" i="1"/>
  <c r="AI112" i="1"/>
  <c r="AJ112" i="1"/>
  <c r="AJ106" i="1"/>
  <c r="AI106" i="1"/>
  <c r="AK137" i="1"/>
  <c r="AJ137" i="1"/>
  <c r="AI142" i="1"/>
  <c r="AK90" i="1"/>
  <c r="AJ117" i="1"/>
  <c r="AI117" i="1"/>
  <c r="AJ142" i="1"/>
  <c r="AI129" i="1"/>
  <c r="AK129" i="1"/>
  <c r="O178" i="1"/>
  <c r="O117" i="1"/>
  <c r="Q107" i="1"/>
  <c r="AY63" i="1"/>
  <c r="AX54" i="1"/>
  <c r="AY85" i="1"/>
  <c r="R184" i="1"/>
  <c r="R146" i="1"/>
  <c r="R114" i="1"/>
  <c r="R93" i="1"/>
  <c r="AK83" i="1"/>
  <c r="AI83" i="1"/>
  <c r="AI116" i="1"/>
  <c r="AJ116" i="1"/>
  <c r="AK119" i="1"/>
  <c r="AJ146" i="1"/>
  <c r="AI104" i="1"/>
  <c r="AK104" i="1"/>
  <c r="AJ104" i="1"/>
  <c r="AJ135" i="1"/>
  <c r="AI111" i="1"/>
  <c r="AJ110" i="1"/>
  <c r="AI110" i="1"/>
  <c r="AK114" i="1"/>
  <c r="AK143" i="1"/>
  <c r="AI58" i="1"/>
  <c r="O129" i="1"/>
  <c r="Q144" i="1"/>
  <c r="Q97" i="1"/>
  <c r="Y62" i="1"/>
  <c r="AB18" i="1"/>
  <c r="AK94" i="1"/>
  <c r="AI94" i="1"/>
  <c r="AJ94" i="1"/>
  <c r="AJ141" i="1"/>
  <c r="AI99" i="1"/>
  <c r="AK99" i="1"/>
  <c r="AJ99" i="1"/>
  <c r="AK81" i="1"/>
  <c r="AJ113" i="1"/>
  <c r="AK112" i="1"/>
  <c r="AI108" i="1"/>
  <c r="AI135" i="1"/>
  <c r="AJ92" i="1"/>
  <c r="BA95" i="1"/>
  <c r="AK133" i="1"/>
  <c r="AJ90" i="1"/>
  <c r="AI90" i="1"/>
  <c r="AJ82" i="1"/>
  <c r="AI22" i="1"/>
  <c r="AJ22" i="1"/>
  <c r="AJ111" i="1"/>
  <c r="AJ138" i="1"/>
  <c r="AK97" i="1"/>
  <c r="AI138" i="1"/>
  <c r="AL143" i="1"/>
  <c r="AJ91" i="1"/>
  <c r="AJ118" i="1"/>
  <c r="AI118" i="1"/>
  <c r="AK122" i="1"/>
  <c r="AK127" i="1"/>
  <c r="AL159" i="1"/>
  <c r="AL128" i="1"/>
  <c r="Q90" i="1"/>
  <c r="Z34" i="1"/>
  <c r="Y63" i="1"/>
  <c r="Y87" i="1"/>
  <c r="AB150" i="1"/>
  <c r="BA150" i="1"/>
  <c r="BA64" i="1"/>
  <c r="AB64" i="1"/>
  <c r="BA196" i="1"/>
  <c r="AB196" i="1"/>
  <c r="AB131" i="1"/>
  <c r="BA131" i="1"/>
  <c r="AB162" i="1"/>
  <c r="BA162" i="1"/>
  <c r="BA85" i="1"/>
  <c r="AB85" i="1"/>
  <c r="AB127" i="1"/>
  <c r="BA127" i="1"/>
  <c r="AK158" i="1"/>
  <c r="AJ158" i="1"/>
  <c r="AI158" i="1"/>
  <c r="AB148" i="1"/>
  <c r="BA148" i="1"/>
  <c r="AB124" i="1"/>
  <c r="BA124" i="1"/>
  <c r="AB190" i="1"/>
  <c r="BA190" i="1"/>
  <c r="AB170" i="1"/>
  <c r="BA170" i="1"/>
  <c r="AB106" i="1"/>
  <c r="BA197" i="1"/>
  <c r="AL197" i="1"/>
  <c r="BA143" i="1"/>
  <c r="AB143" i="1"/>
  <c r="BA52" i="1"/>
  <c r="AB52" i="1"/>
  <c r="BA135" i="1"/>
  <c r="AB135" i="1"/>
  <c r="AB104" i="1"/>
  <c r="BA141" i="1"/>
  <c r="AB179" i="1"/>
  <c r="BA179" i="1"/>
  <c r="AB146" i="1"/>
  <c r="BA146" i="1"/>
  <c r="AB60" i="1"/>
  <c r="BA60" i="1"/>
  <c r="AB116" i="1"/>
  <c r="BA116" i="1"/>
  <c r="AB137" i="1"/>
  <c r="BA137" i="1"/>
  <c r="AB46" i="1"/>
  <c r="BA46" i="1"/>
  <c r="AI170" i="1"/>
  <c r="AJ170" i="1"/>
  <c r="AB172" i="1"/>
  <c r="BA172" i="1"/>
  <c r="AB164" i="1"/>
  <c r="BA164" i="1"/>
  <c r="AB111" i="1"/>
  <c r="BA111" i="1"/>
  <c r="AJ156" i="1"/>
  <c r="AI156" i="1"/>
  <c r="AI151" i="1"/>
  <c r="AK151" i="1"/>
  <c r="AB144" i="1"/>
  <c r="BA144" i="1"/>
  <c r="AB108" i="1"/>
  <c r="BA186" i="1"/>
  <c r="AB186" i="1"/>
  <c r="R78" i="1"/>
  <c r="AB48" i="1"/>
  <c r="BA48" i="1"/>
  <c r="AB119" i="1"/>
  <c r="BA119" i="1"/>
  <c r="AH226" i="1"/>
  <c r="AL226" i="1" s="1"/>
  <c r="AZ38" i="1"/>
  <c r="AH199" i="1"/>
  <c r="AH219" i="1"/>
  <c r="R23" i="1"/>
  <c r="R45" i="1"/>
  <c r="R168" i="1"/>
  <c r="BA81" i="1"/>
  <c r="AH203" i="1"/>
  <c r="AB100" i="1"/>
  <c r="BA100" i="1"/>
  <c r="BA160" i="1"/>
  <c r="AB160" i="1"/>
  <c r="AB99" i="1"/>
  <c r="BA99" i="1"/>
  <c r="AB78" i="1"/>
  <c r="BA78" i="1"/>
  <c r="BA189" i="1"/>
  <c r="AL189" i="1"/>
  <c r="AB178" i="1"/>
  <c r="BA178" i="1"/>
  <c r="AB129" i="1"/>
  <c r="BA129" i="1"/>
  <c r="AB97" i="1"/>
  <c r="BA97" i="1"/>
  <c r="AI169" i="1"/>
  <c r="AK169" i="1"/>
  <c r="R90" i="1"/>
  <c r="BA74" i="1"/>
  <c r="AB74" i="1"/>
  <c r="AB140" i="1"/>
  <c r="BA140" i="1"/>
  <c r="AB49" i="1"/>
  <c r="BA49" i="1"/>
  <c r="AB198" i="1"/>
  <c r="BA198" i="1"/>
  <c r="AJ154" i="1"/>
  <c r="BA139" i="1"/>
  <c r="BA104" i="1"/>
  <c r="P87" i="1"/>
  <c r="O121" i="1"/>
  <c r="AK171" i="1"/>
  <c r="AH221" i="1"/>
  <c r="AL221" i="1" s="1"/>
  <c r="AB43" i="1"/>
  <c r="R41" i="1"/>
  <c r="R116" i="1"/>
  <c r="BA173" i="1"/>
  <c r="AB173" i="1"/>
  <c r="AB165" i="1"/>
  <c r="BA165" i="1"/>
  <c r="AB113" i="1"/>
  <c r="AB89" i="1"/>
  <c r="BA89" i="1"/>
  <c r="AL167" i="1"/>
  <c r="AB174" i="1"/>
  <c r="BA174" i="1"/>
  <c r="AB123" i="1"/>
  <c r="BA123" i="1"/>
  <c r="BA181" i="1"/>
  <c r="AB181" i="1"/>
  <c r="AB121" i="1"/>
  <c r="BA121" i="1"/>
  <c r="BA93" i="1"/>
  <c r="AB102" i="1"/>
  <c r="AH208" i="1"/>
  <c r="AL208" i="1" s="1"/>
  <c r="P151" i="1"/>
  <c r="O106" i="1"/>
  <c r="Z85" i="1"/>
  <c r="AH210" i="1"/>
  <c r="AL210" i="1" s="1"/>
  <c r="AH209" i="1"/>
  <c r="AL209" i="1" s="1"/>
  <c r="R181" i="1"/>
  <c r="R143" i="1"/>
  <c r="AB19" i="1"/>
  <c r="R192" i="1"/>
  <c r="R154" i="1"/>
  <c r="R122" i="1"/>
  <c r="R110" i="1"/>
  <c r="R98" i="1"/>
  <c r="BA182" i="1"/>
  <c r="AB182" i="1"/>
  <c r="AB130" i="1"/>
  <c r="BA130" i="1"/>
  <c r="BA157" i="1"/>
  <c r="AB157" i="1"/>
  <c r="BA77" i="1"/>
  <c r="AB77" i="1"/>
  <c r="BA72" i="1"/>
  <c r="AB72" i="1"/>
  <c r="BA126" i="1"/>
  <c r="AB125" i="1"/>
  <c r="BA125" i="1"/>
  <c r="BA166" i="1"/>
  <c r="AL166" i="1"/>
  <c r="AB168" i="1"/>
  <c r="BA107" i="1"/>
  <c r="AB107" i="1"/>
  <c r="AK149" i="1"/>
  <c r="AI149" i="1"/>
  <c r="AJ149" i="1"/>
  <c r="AB98" i="1"/>
  <c r="BA98" i="1"/>
  <c r="AB105" i="1"/>
  <c r="BA105" i="1"/>
  <c r="AH222" i="1"/>
  <c r="AL222" i="1" s="1"/>
  <c r="BA67" i="1"/>
  <c r="P110" i="1"/>
  <c r="P51" i="1"/>
  <c r="P163" i="1"/>
  <c r="Q165" i="1"/>
  <c r="O84" i="1"/>
  <c r="Q93" i="1"/>
  <c r="AZ102" i="1"/>
  <c r="AZ56" i="1"/>
  <c r="AZ87" i="1"/>
  <c r="AH218" i="1"/>
  <c r="AH205" i="1"/>
  <c r="R175" i="1"/>
  <c r="BA177" i="1"/>
  <c r="AB177" i="1"/>
  <c r="AB117" i="1"/>
  <c r="BA117" i="1"/>
  <c r="AB192" i="1"/>
  <c r="BA192" i="1"/>
  <c r="AB114" i="1"/>
  <c r="BA114" i="1"/>
  <c r="R81" i="1"/>
  <c r="AB167" i="1"/>
  <c r="BA167" i="1"/>
  <c r="AB153" i="1"/>
  <c r="BA153" i="1"/>
  <c r="BA86" i="1"/>
  <c r="AB86" i="1"/>
  <c r="AL188" i="1"/>
  <c r="AB191" i="1"/>
  <c r="BA191" i="1"/>
  <c r="AB55" i="1"/>
  <c r="BA110" i="1"/>
  <c r="AB110" i="1"/>
  <c r="AJ151" i="1"/>
  <c r="AJ162" i="1"/>
  <c r="AK162" i="1"/>
  <c r="AI162" i="1"/>
  <c r="AB161" i="1"/>
  <c r="BA161" i="1"/>
  <c r="AB109" i="1"/>
  <c r="BA109" i="1"/>
  <c r="AJ150" i="1"/>
  <c r="AI150" i="1"/>
  <c r="AB70" i="1"/>
  <c r="BA70" i="1"/>
  <c r="AB176" i="1"/>
  <c r="BA176" i="1"/>
  <c r="AB90" i="1"/>
  <c r="BA90" i="1"/>
  <c r="BA79" i="1"/>
  <c r="AB79" i="1"/>
  <c r="BA142" i="1"/>
  <c r="AH207" i="1"/>
  <c r="AL207" i="1" s="1"/>
  <c r="AX63" i="1"/>
  <c r="AH216" i="1"/>
  <c r="AH206" i="1"/>
  <c r="AB31" i="1"/>
  <c r="BA115" i="1"/>
  <c r="R133" i="1"/>
  <c r="R101" i="1"/>
  <c r="BA158" i="1"/>
  <c r="AB158" i="1"/>
  <c r="BA188" i="1"/>
  <c r="AB188" i="1"/>
  <c r="AB149" i="1"/>
  <c r="BA149" i="1"/>
  <c r="BA187" i="1"/>
  <c r="AB187" i="1"/>
  <c r="AJ169" i="1"/>
  <c r="AB180" i="1"/>
  <c r="BA180" i="1"/>
  <c r="BA156" i="1"/>
  <c r="AB156" i="1"/>
  <c r="BA185" i="1"/>
  <c r="AL185" i="1"/>
  <c r="R73" i="1"/>
  <c r="AB151" i="1"/>
  <c r="BA151" i="1"/>
  <c r="AB80" i="1"/>
  <c r="BA136" i="1"/>
  <c r="AL193" i="1"/>
  <c r="AI154" i="1"/>
  <c r="O101" i="1"/>
  <c r="Q197" i="1"/>
  <c r="Q109" i="1"/>
  <c r="BA18" i="1"/>
  <c r="AH223" i="1"/>
  <c r="AH225" i="1"/>
  <c r="AH224" i="1"/>
  <c r="AL224" i="1" s="1"/>
  <c r="R79" i="1"/>
  <c r="R164" i="1"/>
  <c r="BA171" i="1"/>
  <c r="AB171" i="1"/>
  <c r="AB154" i="1"/>
  <c r="BA154" i="1"/>
  <c r="BA88" i="1"/>
  <c r="AB88" i="1"/>
  <c r="AB75" i="1"/>
  <c r="BA75" i="1"/>
  <c r="AK170" i="1"/>
  <c r="AB184" i="1"/>
  <c r="BA184" i="1"/>
  <c r="AL182" i="1"/>
  <c r="BA175" i="1"/>
  <c r="AB175" i="1"/>
  <c r="BA145" i="1"/>
  <c r="AB145" i="1"/>
  <c r="AB112" i="1"/>
  <c r="BA112" i="1"/>
  <c r="AB183" i="1"/>
  <c r="BA183" i="1"/>
  <c r="AL169" i="1"/>
  <c r="BA169" i="1"/>
  <c r="AB163" i="1"/>
  <c r="BA163" i="1"/>
  <c r="BA152" i="1"/>
  <c r="AB152" i="1"/>
  <c r="BA194" i="1"/>
  <c r="AB194" i="1"/>
  <c r="BA68" i="1"/>
  <c r="AB68" i="1"/>
  <c r="BA61" i="1"/>
  <c r="AB61" i="1"/>
  <c r="AB122" i="1"/>
  <c r="BA122" i="1"/>
  <c r="R80" i="1"/>
  <c r="BA120" i="1"/>
  <c r="BA63" i="1"/>
  <c r="AJ164" i="1"/>
  <c r="AX60" i="1"/>
  <c r="AX18" i="1"/>
  <c r="AZ44" i="1"/>
  <c r="R162" i="1"/>
  <c r="R54" i="1"/>
  <c r="R198" i="1"/>
  <c r="R135" i="1"/>
  <c r="R173" i="1"/>
  <c r="Q50" i="1"/>
  <c r="Q168" i="1"/>
  <c r="P57" i="1"/>
  <c r="Q114" i="1"/>
  <c r="O141" i="1"/>
  <c r="R163" i="1"/>
  <c r="O162" i="1"/>
  <c r="O138" i="1"/>
  <c r="O156" i="1"/>
  <c r="AY27" i="1"/>
  <c r="AZ27" i="1"/>
  <c r="AZ26" i="1"/>
  <c r="O154" i="1"/>
  <c r="AB40" i="1"/>
  <c r="BA40" i="1"/>
  <c r="AB38" i="1"/>
  <c r="BA38" i="1"/>
  <c r="N218" i="1"/>
  <c r="N226" i="1"/>
  <c r="R9" i="1"/>
  <c r="N216" i="1"/>
  <c r="N222" i="1"/>
  <c r="N223" i="1"/>
  <c r="N204" i="1"/>
  <c r="N206" i="1"/>
  <c r="N217" i="1"/>
  <c r="N208" i="1"/>
  <c r="N224" i="1"/>
  <c r="N220" i="1"/>
  <c r="N207" i="1"/>
  <c r="N199" i="1"/>
  <c r="N210" i="1"/>
  <c r="N219" i="1"/>
  <c r="N203" i="1"/>
  <c r="N225" i="1"/>
  <c r="N205" i="1"/>
  <c r="N209" i="1"/>
  <c r="N221" i="1"/>
  <c r="R29" i="1"/>
  <c r="BA30" i="1"/>
  <c r="AB30" i="1"/>
  <c r="T203" i="1"/>
  <c r="T219" i="1"/>
  <c r="T223" i="1"/>
  <c r="T226" i="1"/>
  <c r="T221" i="1"/>
  <c r="T222" i="1"/>
  <c r="T205" i="1"/>
  <c r="T199" i="1"/>
  <c r="T224" i="1"/>
  <c r="T218" i="1"/>
  <c r="T225" i="1"/>
  <c r="T216" i="1"/>
  <c r="T217" i="1"/>
  <c r="T204" i="1"/>
  <c r="T209" i="1"/>
  <c r="T208" i="1"/>
  <c r="T206" i="1"/>
  <c r="T210" i="1"/>
  <c r="T220" i="1"/>
  <c r="T207" i="1"/>
  <c r="AB42" i="1"/>
  <c r="BA42" i="1"/>
  <c r="X223" i="1"/>
  <c r="AB223" i="1" s="1"/>
  <c r="X220" i="1"/>
  <c r="X207" i="1"/>
  <c r="X226" i="1"/>
  <c r="X208" i="1"/>
  <c r="X219" i="1"/>
  <c r="X221" i="1"/>
  <c r="AB221" i="1" s="1"/>
  <c r="X222" i="1"/>
  <c r="AB222" i="1" s="1"/>
  <c r="X204" i="1"/>
  <c r="X218" i="1"/>
  <c r="X205" i="1"/>
  <c r="X199" i="1"/>
  <c r="X224" i="1"/>
  <c r="AB224" i="1" s="1"/>
  <c r="X209" i="1"/>
  <c r="AB9" i="1"/>
  <c r="X225" i="1"/>
  <c r="X216" i="1"/>
  <c r="BA216" i="1" s="1"/>
  <c r="X217" i="1"/>
  <c r="X203" i="1"/>
  <c r="X206" i="1"/>
  <c r="AB206" i="1" s="1"/>
  <c r="X210" i="1"/>
  <c r="R160" i="1"/>
  <c r="R128" i="1"/>
  <c r="BA23" i="1"/>
  <c r="Q189" i="1"/>
  <c r="AY55" i="1"/>
  <c r="AX88" i="1"/>
  <c r="Y27" i="1"/>
  <c r="AB39" i="1"/>
  <c r="BA39" i="1"/>
  <c r="R38" i="1"/>
  <c r="AB21" i="1"/>
  <c r="R31" i="1"/>
  <c r="AB26" i="1"/>
  <c r="BA26" i="1"/>
  <c r="R194" i="1"/>
  <c r="R156" i="1"/>
  <c r="R124" i="1"/>
  <c r="Q37" i="1"/>
  <c r="AX27" i="1"/>
  <c r="AK188" i="1"/>
  <c r="AB16" i="1"/>
  <c r="BA16" i="1"/>
  <c r="R22" i="1"/>
  <c r="AB13" i="1"/>
  <c r="AB14" i="1"/>
  <c r="BA14" i="1"/>
  <c r="R27" i="1"/>
  <c r="AB17" i="1"/>
  <c r="BA17" i="1"/>
  <c r="R190" i="1"/>
  <c r="R152" i="1"/>
  <c r="R120" i="1"/>
  <c r="BA41" i="1"/>
  <c r="R24" i="1"/>
  <c r="R186" i="1"/>
  <c r="R148" i="1"/>
  <c r="O131" i="1"/>
  <c r="P164" i="1"/>
  <c r="AZ60" i="1"/>
  <c r="Y89" i="1"/>
  <c r="R13" i="1"/>
  <c r="R32" i="1"/>
  <c r="R182" i="1"/>
  <c r="R144" i="1"/>
  <c r="BA22" i="1"/>
  <c r="P80" i="1"/>
  <c r="Q100" i="1"/>
  <c r="AX97" i="1"/>
  <c r="AB12" i="1"/>
  <c r="BA12" i="1"/>
  <c r="AB15" i="1"/>
  <c r="BA15" i="1"/>
  <c r="BA32" i="1"/>
  <c r="AB32" i="1"/>
  <c r="R47" i="1"/>
  <c r="AB28" i="1"/>
  <c r="BA28" i="1"/>
  <c r="R36" i="1"/>
  <c r="R178" i="1"/>
  <c r="R140" i="1"/>
  <c r="BA31" i="1"/>
  <c r="O155" i="1"/>
  <c r="Y60" i="1"/>
  <c r="R42" i="1"/>
  <c r="R12" i="1"/>
  <c r="J210" i="1"/>
  <c r="J203" i="1"/>
  <c r="J225" i="1"/>
  <c r="J219" i="1"/>
  <c r="J216" i="1"/>
  <c r="J217" i="1"/>
  <c r="J226" i="1"/>
  <c r="J222" i="1"/>
  <c r="R222" i="1" s="1"/>
  <c r="J220" i="1"/>
  <c r="J223" i="1"/>
  <c r="J221" i="1"/>
  <c r="R221" i="1" s="1"/>
  <c r="J218" i="1"/>
  <c r="J204" i="1"/>
  <c r="J224" i="1"/>
  <c r="J199" i="1"/>
  <c r="J207" i="1"/>
  <c r="J205" i="1"/>
  <c r="J209" i="1"/>
  <c r="R209" i="1" s="1"/>
  <c r="J206" i="1"/>
  <c r="J208" i="1"/>
  <c r="AB37" i="1"/>
  <c r="BA37" i="1"/>
  <c r="AB20" i="1"/>
  <c r="BA20" i="1"/>
  <c r="R34" i="1"/>
  <c r="AB36" i="1"/>
  <c r="R174" i="1"/>
  <c r="R136" i="1"/>
  <c r="Q116" i="1"/>
  <c r="AA26" i="1"/>
  <c r="R26" i="1"/>
  <c r="R11" i="1"/>
  <c r="BA11" i="1"/>
  <c r="AB11" i="1"/>
  <c r="R167" i="1"/>
  <c r="R15" i="1"/>
  <c r="AB25" i="1"/>
  <c r="BA25" i="1"/>
  <c r="R195" i="1"/>
  <c r="R132" i="1"/>
  <c r="R76" i="10"/>
  <c r="H78" i="10"/>
  <c r="I90" i="10"/>
  <c r="T90" i="10" s="1"/>
  <c r="I82" i="16" s="1"/>
  <c r="AL206" i="1"/>
  <c r="O86" i="10"/>
  <c r="J89" i="27" s="1"/>
  <c r="Q86" i="10"/>
  <c r="P86" i="10"/>
  <c r="K89" i="27" s="1"/>
  <c r="I72" i="10"/>
  <c r="O140" i="1"/>
  <c r="T59" i="10"/>
  <c r="AF225" i="1"/>
  <c r="O148" i="1"/>
  <c r="H72" i="10"/>
  <c r="R47" i="10"/>
  <c r="V59" i="10"/>
  <c r="AY102" i="1"/>
  <c r="AX83" i="1"/>
  <c r="P74" i="10"/>
  <c r="O74" i="10"/>
  <c r="Q74" i="10"/>
  <c r="P80" i="10"/>
  <c r="Q80" i="10"/>
  <c r="O75" i="10"/>
  <c r="Q75" i="10"/>
  <c r="AJ195" i="1"/>
  <c r="AI195" i="1"/>
  <c r="AK195" i="1"/>
  <c r="AE208" i="1"/>
  <c r="AZ66" i="1"/>
  <c r="G87" i="10"/>
  <c r="Q55" i="10"/>
  <c r="P55" i="10"/>
  <c r="AG205" i="1"/>
  <c r="Z12" i="1"/>
  <c r="Z48" i="1"/>
  <c r="AZ105" i="1"/>
  <c r="AA105" i="1"/>
  <c r="AA115" i="1"/>
  <c r="AY115" i="1"/>
  <c r="Y115" i="1"/>
  <c r="Z115" i="1"/>
  <c r="AA91" i="1"/>
  <c r="AI153" i="1"/>
  <c r="AK153" i="1"/>
  <c r="AJ153" i="1"/>
  <c r="Z155" i="1"/>
  <c r="AY155" i="1"/>
  <c r="Y155" i="1"/>
  <c r="AY90" i="1"/>
  <c r="Z90" i="1"/>
  <c r="AY78" i="1"/>
  <c r="Z78" i="1"/>
  <c r="AA71" i="1"/>
  <c r="AZ71" i="1"/>
  <c r="AI194" i="1"/>
  <c r="AJ194" i="1"/>
  <c r="AX61" i="1"/>
  <c r="Y61" i="1"/>
  <c r="AK174" i="1"/>
  <c r="AI174" i="1"/>
  <c r="AI155" i="1"/>
  <c r="AX155" i="1"/>
  <c r="AJ155" i="1"/>
  <c r="AY104" i="1"/>
  <c r="Z104" i="1"/>
  <c r="Y118" i="1"/>
  <c r="AX118" i="1"/>
  <c r="Y54" i="1"/>
  <c r="AI157" i="1"/>
  <c r="AK157" i="1"/>
  <c r="AX69" i="1"/>
  <c r="Y69" i="1"/>
  <c r="AY53" i="1"/>
  <c r="Z53" i="1"/>
  <c r="AI175" i="1"/>
  <c r="AK175" i="1"/>
  <c r="AJ175" i="1"/>
  <c r="Z66" i="1"/>
  <c r="AY66" i="1"/>
  <c r="AA59" i="1"/>
  <c r="AZ59" i="1"/>
  <c r="AK194" i="1"/>
  <c r="AA57" i="1"/>
  <c r="AJ189" i="1"/>
  <c r="AK177" i="1"/>
  <c r="AF226" i="1"/>
  <c r="AE203" i="1"/>
  <c r="AL203" i="1"/>
  <c r="AL220" i="1"/>
  <c r="AF220" i="1"/>
  <c r="AG210" i="1"/>
  <c r="T81" i="10"/>
  <c r="AA132" i="1"/>
  <c r="AZ132" i="1"/>
  <c r="AY107" i="1"/>
  <c r="Y107" i="1"/>
  <c r="Z107" i="1"/>
  <c r="Y113" i="1"/>
  <c r="AX113" i="1"/>
  <c r="Z56" i="1"/>
  <c r="AY56" i="1"/>
  <c r="Z64" i="1"/>
  <c r="AY64" i="1"/>
  <c r="AX104" i="1"/>
  <c r="Y104" i="1"/>
  <c r="Z70" i="1"/>
  <c r="AY70" i="1"/>
  <c r="AA63" i="1"/>
  <c r="AZ63" i="1"/>
  <c r="AY113" i="1"/>
  <c r="Z113" i="1"/>
  <c r="AX79" i="1"/>
  <c r="Y79" i="1"/>
  <c r="AA98" i="1"/>
  <c r="AZ98" i="1"/>
  <c r="AA87" i="1"/>
  <c r="AJ148" i="1"/>
  <c r="AI148" i="1"/>
  <c r="AK148" i="1"/>
  <c r="AE206" i="1"/>
  <c r="AE205" i="1"/>
  <c r="AE204" i="1"/>
  <c r="AZ104" i="1"/>
  <c r="AA104" i="1"/>
  <c r="Z96" i="1"/>
  <c r="AY96" i="1"/>
  <c r="Y110" i="1"/>
  <c r="AX110" i="1"/>
  <c r="AZ96" i="1"/>
  <c r="AA96" i="1"/>
  <c r="AK198" i="1"/>
  <c r="AA155" i="1"/>
  <c r="AZ155" i="1"/>
  <c r="Y59" i="1"/>
  <c r="AX59" i="1"/>
  <c r="AZ140" i="1"/>
  <c r="AX92" i="1"/>
  <c r="Y92" i="1"/>
  <c r="AA92" i="1"/>
  <c r="AZ92" i="1"/>
  <c r="AK197" i="1"/>
  <c r="AI188" i="1"/>
  <c r="AY92" i="1"/>
  <c r="Z92" i="1"/>
  <c r="AA88" i="1"/>
  <c r="AZ88" i="1"/>
  <c r="AK176" i="1"/>
  <c r="AJ159" i="1"/>
  <c r="AL223" i="1"/>
  <c r="AE210" i="1"/>
  <c r="AF205" i="1"/>
  <c r="AE221" i="1"/>
  <c r="AE218" i="1"/>
  <c r="AL199" i="1"/>
  <c r="AF207" i="1"/>
  <c r="AG199" i="1"/>
  <c r="AE207" i="1"/>
  <c r="Z47" i="1"/>
  <c r="AZ120" i="1"/>
  <c r="AA120" i="1"/>
  <c r="Y99" i="1"/>
  <c r="Z99" i="1"/>
  <c r="AY99" i="1"/>
  <c r="AX105" i="1"/>
  <c r="Y105" i="1"/>
  <c r="AZ86" i="1"/>
  <c r="AA86" i="1"/>
  <c r="AA107" i="1"/>
  <c r="AZ107" i="1"/>
  <c r="AY105" i="1"/>
  <c r="Z105" i="1"/>
  <c r="AX71" i="1"/>
  <c r="Y71" i="1"/>
  <c r="AA84" i="1"/>
  <c r="AZ84" i="1"/>
  <c r="AA78" i="1"/>
  <c r="AZ78" i="1"/>
  <c r="AI177" i="1"/>
  <c r="AJ177" i="1"/>
  <c r="Z88" i="1"/>
  <c r="AX102" i="1"/>
  <c r="Y102" i="1"/>
  <c r="Z57" i="1"/>
  <c r="AY57" i="1"/>
  <c r="AK192" i="1"/>
  <c r="AI183" i="1"/>
  <c r="AJ183" i="1"/>
  <c r="AA101" i="1"/>
  <c r="AZ101" i="1"/>
  <c r="AA94" i="1"/>
  <c r="Z60" i="1"/>
  <c r="AY60" i="1"/>
  <c r="Z118" i="1"/>
  <c r="AY118" i="1"/>
  <c r="Y84" i="1"/>
  <c r="AX84" i="1"/>
  <c r="Z81" i="1"/>
  <c r="AY81" i="1"/>
  <c r="AK184" i="1"/>
  <c r="AJ161" i="1"/>
  <c r="AK161" i="1"/>
  <c r="AI161" i="1"/>
  <c r="Y98" i="1"/>
  <c r="AX98" i="1"/>
  <c r="AZ54" i="1"/>
  <c r="AA54" i="1"/>
  <c r="AJ192" i="1"/>
  <c r="AX89" i="1"/>
  <c r="AX115" i="1"/>
  <c r="AL219" i="1"/>
  <c r="AG224" i="1"/>
  <c r="AF218" i="1"/>
  <c r="AG204" i="1"/>
  <c r="AE225" i="1"/>
  <c r="Y91" i="1"/>
  <c r="Z91" i="1"/>
  <c r="AY91" i="1"/>
  <c r="AA53" i="1"/>
  <c r="AZ53" i="1"/>
  <c r="AJ182" i="1"/>
  <c r="AK182" i="1"/>
  <c r="AI182" i="1"/>
  <c r="AI166" i="1"/>
  <c r="AJ166" i="1"/>
  <c r="AK166" i="1"/>
  <c r="AA89" i="1"/>
  <c r="AZ89" i="1"/>
  <c r="Z97" i="1"/>
  <c r="AY97" i="1"/>
  <c r="AA76" i="1"/>
  <c r="AZ76" i="1"/>
  <c r="AA70" i="1"/>
  <c r="AZ70" i="1"/>
  <c r="AI168" i="1"/>
  <c r="AK168" i="1"/>
  <c r="AX94" i="1"/>
  <c r="Y94" i="1"/>
  <c r="AA61" i="1"/>
  <c r="AZ61" i="1"/>
  <c r="AJ186" i="1"/>
  <c r="AI186" i="1"/>
  <c r="AJ187" i="1"/>
  <c r="AI187" i="1"/>
  <c r="Z95" i="1"/>
  <c r="AY95" i="1"/>
  <c r="Y56" i="1"/>
  <c r="AX53" i="1"/>
  <c r="Y53" i="1"/>
  <c r="Z110" i="1"/>
  <c r="AY110" i="1"/>
  <c r="Y140" i="1"/>
  <c r="AX140" i="1"/>
  <c r="Y76" i="1"/>
  <c r="AX76" i="1"/>
  <c r="AY73" i="1"/>
  <c r="Z73" i="1"/>
  <c r="AA97" i="1"/>
  <c r="AZ97" i="1"/>
  <c r="AI178" i="1"/>
  <c r="AJ178" i="1"/>
  <c r="AJ152" i="1"/>
  <c r="AI152" i="1"/>
  <c r="AK152" i="1"/>
  <c r="Z140" i="1"/>
  <c r="Y90" i="1"/>
  <c r="AZ90" i="1"/>
  <c r="AA90" i="1"/>
  <c r="AX90" i="1"/>
  <c r="AX57" i="1"/>
  <c r="Y57" i="1"/>
  <c r="AK179" i="1"/>
  <c r="AJ179" i="1"/>
  <c r="AI179" i="1"/>
  <c r="AZ91" i="1"/>
  <c r="AG208" i="1"/>
  <c r="AF203" i="1"/>
  <c r="AL225" i="1"/>
  <c r="AG223" i="1"/>
  <c r="AE199" i="1"/>
  <c r="Z46" i="1"/>
  <c r="AZ34" i="1"/>
  <c r="AY80" i="1"/>
  <c r="Z80" i="1"/>
  <c r="AJ157" i="1"/>
  <c r="AF210" i="1"/>
  <c r="AF206" i="1"/>
  <c r="AF224" i="1"/>
  <c r="AF208" i="1"/>
  <c r="AF219" i="1"/>
  <c r="AF222" i="1"/>
  <c r="AF209" i="1"/>
  <c r="AF204" i="1"/>
  <c r="AA80" i="1"/>
  <c r="AX80" i="1"/>
  <c r="Y80" i="1"/>
  <c r="AZ80" i="1"/>
  <c r="Z79" i="1"/>
  <c r="AY79" i="1"/>
  <c r="AI165" i="1"/>
  <c r="AJ165" i="1"/>
  <c r="AK165" i="1"/>
  <c r="Z89" i="1"/>
  <c r="AZ68" i="1"/>
  <c r="AA68" i="1"/>
  <c r="AY62" i="1"/>
  <c r="Z62" i="1"/>
  <c r="AI197" i="1"/>
  <c r="AJ197" i="1"/>
  <c r="AI159" i="1"/>
  <c r="Y86" i="1"/>
  <c r="AX86" i="1"/>
  <c r="AY54" i="1"/>
  <c r="Z54" i="1"/>
  <c r="AI171" i="1"/>
  <c r="AJ171" i="1"/>
  <c r="AY87" i="1"/>
  <c r="Z87" i="1"/>
  <c r="AX101" i="1"/>
  <c r="AY101" i="1"/>
  <c r="Z101" i="1"/>
  <c r="Y101" i="1"/>
  <c r="Z84" i="1"/>
  <c r="AY84" i="1"/>
  <c r="AJ198" i="1"/>
  <c r="AA99" i="1"/>
  <c r="AZ99" i="1"/>
  <c r="Z102" i="1"/>
  <c r="Y132" i="1"/>
  <c r="AX132" i="1"/>
  <c r="AX68" i="1"/>
  <c r="Y68" i="1"/>
  <c r="AY65" i="1"/>
  <c r="Z65" i="1"/>
  <c r="Y83" i="1"/>
  <c r="AY83" i="1"/>
  <c r="Z83" i="1"/>
  <c r="AK187" i="1"/>
  <c r="AK189" i="1"/>
  <c r="AY132" i="1"/>
  <c r="Z132" i="1"/>
  <c r="AA82" i="1"/>
  <c r="AX82" i="1"/>
  <c r="AZ82" i="1"/>
  <c r="Y82" i="1"/>
  <c r="AK173" i="1"/>
  <c r="AI173" i="1"/>
  <c r="AF217" i="1"/>
  <c r="AL218" i="1"/>
  <c r="AL217" i="1"/>
  <c r="AG218" i="1"/>
  <c r="AE219" i="1"/>
  <c r="Q75" i="1"/>
  <c r="O146" i="1"/>
  <c r="Y18" i="1"/>
  <c r="AX91" i="1"/>
  <c r="AA110" i="1"/>
  <c r="AZ110" i="1"/>
  <c r="Y145" i="1"/>
  <c r="AX145" i="1"/>
  <c r="Y81" i="1"/>
  <c r="AZ81" i="1"/>
  <c r="AA81" i="1"/>
  <c r="AX81" i="1"/>
  <c r="Z72" i="1"/>
  <c r="AY72" i="1"/>
  <c r="AK185" i="1"/>
  <c r="AI185" i="1"/>
  <c r="Y72" i="1"/>
  <c r="AX72" i="1"/>
  <c r="AA72" i="1"/>
  <c r="AZ72" i="1"/>
  <c r="AY77" i="1"/>
  <c r="Z77" i="1"/>
  <c r="Z71" i="1"/>
  <c r="AY145" i="1"/>
  <c r="Z145" i="1"/>
  <c r="AA85" i="1"/>
  <c r="Y58" i="1"/>
  <c r="AX58" i="1"/>
  <c r="AA58" i="1"/>
  <c r="Z58" i="1"/>
  <c r="AZ58" i="1"/>
  <c r="Z55" i="1"/>
  <c r="AK190" i="1"/>
  <c r="AI190" i="1"/>
  <c r="AJ190" i="1"/>
  <c r="Z128" i="1"/>
  <c r="AY128" i="1"/>
  <c r="Y78" i="1"/>
  <c r="AX78" i="1"/>
  <c r="AX99" i="1"/>
  <c r="Z93" i="1"/>
  <c r="AY93" i="1"/>
  <c r="Y93" i="1"/>
  <c r="AX93" i="1"/>
  <c r="Z76" i="1"/>
  <c r="AY76" i="1"/>
  <c r="AJ185" i="1"/>
  <c r="AY94" i="1"/>
  <c r="Z94" i="1"/>
  <c r="AA83" i="1"/>
  <c r="AZ83" i="1"/>
  <c r="AY75" i="1"/>
  <c r="AX75" i="1"/>
  <c r="Z75" i="1"/>
  <c r="Y75" i="1"/>
  <c r="AK181" i="1"/>
  <c r="AI181" i="1"/>
  <c r="AA74" i="1"/>
  <c r="Y74" i="1"/>
  <c r="AZ74" i="1"/>
  <c r="AX74" i="1"/>
  <c r="AA93" i="1"/>
  <c r="AZ93" i="1"/>
  <c r="AI160" i="1"/>
  <c r="AJ160" i="1"/>
  <c r="AK160" i="1"/>
  <c r="AX62" i="1"/>
  <c r="AG220" i="1"/>
  <c r="AG219" i="1"/>
  <c r="AL205" i="1"/>
  <c r="AI176" i="1"/>
  <c r="AL216" i="1"/>
  <c r="AE216" i="1"/>
  <c r="O113" i="1"/>
  <c r="AA145" i="1"/>
  <c r="AZ145" i="1"/>
  <c r="AA73" i="1"/>
  <c r="AZ73" i="1"/>
  <c r="Y73" i="1"/>
  <c r="AA64" i="1"/>
  <c r="AZ64" i="1"/>
  <c r="AJ172" i="1"/>
  <c r="AI172" i="1"/>
  <c r="AA113" i="1"/>
  <c r="AZ113" i="1"/>
  <c r="Y128" i="1"/>
  <c r="AZ128" i="1"/>
  <c r="AA128" i="1"/>
  <c r="Z69" i="1"/>
  <c r="AY69" i="1"/>
  <c r="Z63" i="1"/>
  <c r="AJ191" i="1"/>
  <c r="AI191" i="1"/>
  <c r="AA77" i="1"/>
  <c r="AZ77" i="1"/>
  <c r="AZ62" i="1"/>
  <c r="AA62" i="1"/>
  <c r="AI193" i="1"/>
  <c r="AJ193" i="1"/>
  <c r="AI184" i="1"/>
  <c r="AZ57" i="1"/>
  <c r="AZ85" i="1"/>
  <c r="AY120" i="1"/>
  <c r="Z120" i="1"/>
  <c r="Y70" i="1"/>
  <c r="AX70" i="1"/>
  <c r="Y85" i="1"/>
  <c r="AX85" i="1"/>
  <c r="Z68" i="1"/>
  <c r="AY68" i="1"/>
  <c r="AK172" i="1"/>
  <c r="AY86" i="1"/>
  <c r="Z86" i="1"/>
  <c r="Z82" i="1"/>
  <c r="AY82" i="1"/>
  <c r="AZ75" i="1"/>
  <c r="AA75" i="1"/>
  <c r="Z67" i="1"/>
  <c r="AX67" i="1"/>
  <c r="Y67" i="1"/>
  <c r="AJ168" i="1"/>
  <c r="Y66" i="1"/>
  <c r="AA66" i="1"/>
  <c r="AX66" i="1"/>
  <c r="AK186" i="1"/>
  <c r="AE226" i="1"/>
  <c r="AE224" i="1"/>
  <c r="AF199" i="1"/>
  <c r="AE223" i="1"/>
  <c r="AF216" i="1"/>
  <c r="AE220" i="1"/>
  <c r="AE209" i="1"/>
  <c r="P29" i="1"/>
  <c r="Y65" i="1"/>
  <c r="AZ65" i="1"/>
  <c r="AA65" i="1"/>
  <c r="AY98" i="1"/>
  <c r="Z98" i="1"/>
  <c r="Y120" i="1"/>
  <c r="AX120" i="1"/>
  <c r="AZ79" i="1"/>
  <c r="AA79" i="1"/>
  <c r="AA56" i="1"/>
  <c r="AX95" i="1"/>
  <c r="AZ95" i="1"/>
  <c r="Y95" i="1"/>
  <c r="AA95" i="1"/>
  <c r="AA69" i="1"/>
  <c r="AA55" i="1"/>
  <c r="AZ55" i="1"/>
  <c r="AJ180" i="1"/>
  <c r="AI180" i="1"/>
  <c r="AK180" i="1"/>
  <c r="AI164" i="1"/>
  <c r="AK164" i="1"/>
  <c r="Z61" i="1"/>
  <c r="AY61" i="1"/>
  <c r="AI163" i="1"/>
  <c r="AK163" i="1"/>
  <c r="AJ163" i="1"/>
  <c r="Y77" i="1"/>
  <c r="AX77" i="1"/>
  <c r="AA60" i="1"/>
  <c r="AJ188" i="1"/>
  <c r="Z74" i="1"/>
  <c r="AY74" i="1"/>
  <c r="AA67" i="1"/>
  <c r="AZ67" i="1"/>
  <c r="Z59" i="1"/>
  <c r="AY59" i="1"/>
  <c r="AK155" i="1"/>
  <c r="AG221" i="1"/>
  <c r="AG209" i="1"/>
  <c r="AG222" i="1"/>
  <c r="AG226" i="1"/>
  <c r="AG207" i="1"/>
  <c r="AG217" i="1"/>
  <c r="AG203" i="1"/>
  <c r="AG216" i="1"/>
  <c r="AA118" i="1"/>
  <c r="AZ118" i="1"/>
  <c r="AX64" i="1"/>
  <c r="Y64" i="1"/>
  <c r="AI196" i="1"/>
  <c r="AJ196" i="1"/>
  <c r="AF221" i="1"/>
  <c r="AE222" i="1"/>
  <c r="AG206" i="1"/>
  <c r="AF223" i="1"/>
  <c r="AG225" i="1"/>
  <c r="AE217" i="1"/>
  <c r="I77" i="16"/>
  <c r="G77" i="16"/>
  <c r="Q194" i="1"/>
  <c r="AX197" i="1"/>
  <c r="Y197" i="1"/>
  <c r="AY14" i="1"/>
  <c r="Z14" i="1"/>
  <c r="AZ149" i="1"/>
  <c r="Y149" i="1"/>
  <c r="AY149" i="1"/>
  <c r="Z149" i="1"/>
  <c r="AA149" i="1"/>
  <c r="AX149" i="1"/>
  <c r="Y198" i="1"/>
  <c r="AX198" i="1"/>
  <c r="AA30" i="1"/>
  <c r="AZ30" i="1"/>
  <c r="AZ175" i="1"/>
  <c r="AA175" i="1"/>
  <c r="AY23" i="1"/>
  <c r="Z23" i="1"/>
  <c r="Z31" i="1"/>
  <c r="AY31" i="1"/>
  <c r="AX37" i="1"/>
  <c r="Y37" i="1"/>
  <c r="Z151" i="1"/>
  <c r="AA151" i="1"/>
  <c r="AZ151" i="1"/>
  <c r="AX151" i="1"/>
  <c r="Y151" i="1"/>
  <c r="AY151" i="1"/>
  <c r="Y169" i="1"/>
  <c r="AX169" i="1"/>
  <c r="Z169" i="1"/>
  <c r="AY169" i="1"/>
  <c r="AA18" i="1"/>
  <c r="Y30" i="1"/>
  <c r="AX30" i="1"/>
  <c r="AA15" i="1"/>
  <c r="AZ15" i="1"/>
  <c r="AA50" i="1"/>
  <c r="Y50" i="1"/>
  <c r="AZ50" i="1"/>
  <c r="Z50" i="1"/>
  <c r="AZ194" i="1"/>
  <c r="AA194" i="1"/>
  <c r="AY42" i="1"/>
  <c r="Z42" i="1"/>
  <c r="Y24" i="1"/>
  <c r="AX24" i="1"/>
  <c r="AZ114" i="1"/>
  <c r="AA114" i="1"/>
  <c r="Z114" i="1"/>
  <c r="AX114" i="1"/>
  <c r="AY114" i="1"/>
  <c r="Y114" i="1"/>
  <c r="Z189" i="1"/>
  <c r="AY189" i="1"/>
  <c r="AX189" i="1"/>
  <c r="Y188" i="1"/>
  <c r="AX188" i="1"/>
  <c r="AA49" i="1"/>
  <c r="AZ49" i="1"/>
  <c r="AA21" i="1"/>
  <c r="AZ21" i="1"/>
  <c r="Z36" i="1"/>
  <c r="AY36" i="1"/>
  <c r="AA131" i="1"/>
  <c r="AY131" i="1"/>
  <c r="AZ131" i="1"/>
  <c r="Y131" i="1"/>
  <c r="Z131" i="1"/>
  <c r="AX131" i="1"/>
  <c r="AZ188" i="1"/>
  <c r="AA188" i="1"/>
  <c r="Z44" i="1"/>
  <c r="Z166" i="1"/>
  <c r="AY166" i="1"/>
  <c r="AA147" i="1"/>
  <c r="AZ147" i="1"/>
  <c r="AX147" i="1"/>
  <c r="Y147" i="1"/>
  <c r="Z147" i="1"/>
  <c r="Y189" i="1"/>
  <c r="P54" i="1"/>
  <c r="Y148" i="1"/>
  <c r="Z148" i="1"/>
  <c r="AZ148" i="1"/>
  <c r="AA148" i="1"/>
  <c r="AX148" i="1"/>
  <c r="AY148" i="1"/>
  <c r="AA166" i="1"/>
  <c r="AX166" i="1"/>
  <c r="Y166" i="1"/>
  <c r="AZ166" i="1"/>
  <c r="Z11" i="1"/>
  <c r="AY11" i="1"/>
  <c r="Y35" i="1"/>
  <c r="AX35" i="1"/>
  <c r="AY157" i="1"/>
  <c r="AA157" i="1"/>
  <c r="Z157" i="1"/>
  <c r="Y157" i="1"/>
  <c r="AZ157" i="1"/>
  <c r="AX157" i="1"/>
  <c r="Y167" i="1"/>
  <c r="Z167" i="1"/>
  <c r="AX167" i="1"/>
  <c r="AA167" i="1"/>
  <c r="AZ167" i="1"/>
  <c r="AY167" i="1"/>
  <c r="Z15" i="1"/>
  <c r="AY15" i="1"/>
  <c r="AZ183" i="1"/>
  <c r="AA183" i="1"/>
  <c r="Y16" i="1"/>
  <c r="AX16" i="1"/>
  <c r="Z39" i="1"/>
  <c r="AY39" i="1"/>
  <c r="AA47" i="1"/>
  <c r="AZ47" i="1"/>
  <c r="AZ159" i="1"/>
  <c r="Y159" i="1"/>
  <c r="AA159" i="1"/>
  <c r="AY159" i="1"/>
  <c r="AX159" i="1"/>
  <c r="Z159" i="1"/>
  <c r="Z177" i="1"/>
  <c r="AX177" i="1"/>
  <c r="Y177" i="1"/>
  <c r="AY177" i="1"/>
  <c r="AA14" i="1"/>
  <c r="AZ14" i="1"/>
  <c r="Y38" i="1"/>
  <c r="AX38" i="1"/>
  <c r="AA20" i="1"/>
  <c r="AZ20" i="1"/>
  <c r="AA161" i="1"/>
  <c r="AZ161" i="1"/>
  <c r="Y163" i="1"/>
  <c r="AY163" i="1"/>
  <c r="AA163" i="1"/>
  <c r="AZ163" i="1"/>
  <c r="Z163" i="1"/>
  <c r="AX163" i="1"/>
  <c r="AA16" i="1"/>
  <c r="AZ16" i="1"/>
  <c r="Y32" i="1"/>
  <c r="AX32" i="1"/>
  <c r="AX122" i="1"/>
  <c r="Y122" i="1"/>
  <c r="AA122" i="1"/>
  <c r="Z122" i="1"/>
  <c r="AZ122" i="1"/>
  <c r="AY122" i="1"/>
  <c r="AA197" i="1"/>
  <c r="AZ197" i="1"/>
  <c r="AY196" i="1"/>
  <c r="Z196" i="1"/>
  <c r="Z35" i="1"/>
  <c r="AY35" i="1"/>
  <c r="AA11" i="1"/>
  <c r="AZ11" i="1"/>
  <c r="AZ45" i="1"/>
  <c r="AA45" i="1"/>
  <c r="Y186" i="1"/>
  <c r="AX186" i="1"/>
  <c r="Y173" i="1"/>
  <c r="AX173" i="1"/>
  <c r="Y150" i="1"/>
  <c r="AA150" i="1"/>
  <c r="Z150" i="1"/>
  <c r="AZ150" i="1"/>
  <c r="AY150" i="1"/>
  <c r="AX150" i="1"/>
  <c r="Y134" i="1"/>
  <c r="AA134" i="1"/>
  <c r="AZ134" i="1"/>
  <c r="AY134" i="1"/>
  <c r="AX134" i="1"/>
  <c r="Z134" i="1"/>
  <c r="AA156" i="1"/>
  <c r="Z156" i="1"/>
  <c r="Y156" i="1"/>
  <c r="AZ156" i="1"/>
  <c r="AX156" i="1"/>
  <c r="AY156" i="1"/>
  <c r="AX174" i="1"/>
  <c r="Y174" i="1"/>
  <c r="AY174" i="1"/>
  <c r="Z174" i="1"/>
  <c r="Y43" i="1"/>
  <c r="Z43" i="1"/>
  <c r="AY43" i="1"/>
  <c r="AX43" i="1"/>
  <c r="AA43" i="1"/>
  <c r="AZ43" i="1"/>
  <c r="AZ165" i="1"/>
  <c r="AA165" i="1"/>
  <c r="AY175" i="1"/>
  <c r="Z175" i="1"/>
  <c r="AX175" i="1"/>
  <c r="Y175" i="1"/>
  <c r="AA46" i="1"/>
  <c r="AZ46" i="1"/>
  <c r="AA191" i="1"/>
  <c r="AZ191" i="1"/>
  <c r="Z30" i="1"/>
  <c r="AY30" i="1"/>
  <c r="Y51" i="1"/>
  <c r="AA51" i="1"/>
  <c r="Z51" i="1"/>
  <c r="AX51" i="1"/>
  <c r="AY51" i="1"/>
  <c r="AZ51" i="1"/>
  <c r="AA103" i="1"/>
  <c r="Y103" i="1"/>
  <c r="AX103" i="1"/>
  <c r="AZ103" i="1"/>
  <c r="AY103" i="1"/>
  <c r="Z103" i="1"/>
  <c r="AY186" i="1"/>
  <c r="Z186" i="1"/>
  <c r="Z185" i="1"/>
  <c r="Y185" i="1"/>
  <c r="AY185" i="1"/>
  <c r="AX185" i="1"/>
  <c r="Z27" i="1"/>
  <c r="AX48" i="1"/>
  <c r="Y48" i="1"/>
  <c r="AY48" i="1"/>
  <c r="AA28" i="1"/>
  <c r="AZ28" i="1"/>
  <c r="AA169" i="1"/>
  <c r="AZ169" i="1"/>
  <c r="Y171" i="1"/>
  <c r="AX171" i="1"/>
  <c r="AA171" i="1"/>
  <c r="Z171" i="1"/>
  <c r="AY171" i="1"/>
  <c r="AZ171" i="1"/>
  <c r="Z21" i="1"/>
  <c r="AY21" i="1"/>
  <c r="Y40" i="1"/>
  <c r="AX40" i="1"/>
  <c r="AA130" i="1"/>
  <c r="AX130" i="1"/>
  <c r="Y130" i="1"/>
  <c r="AZ130" i="1"/>
  <c r="Z130" i="1"/>
  <c r="AY130" i="1"/>
  <c r="AA179" i="1"/>
  <c r="AZ179" i="1"/>
  <c r="AA17" i="1"/>
  <c r="AZ17" i="1"/>
  <c r="AA27" i="1"/>
  <c r="Y13" i="1"/>
  <c r="AX13" i="1"/>
  <c r="Y26" i="1"/>
  <c r="AX26" i="1"/>
  <c r="AA193" i="1"/>
  <c r="AZ193" i="1"/>
  <c r="Y178" i="1"/>
  <c r="AX178" i="1"/>
  <c r="AA180" i="1"/>
  <c r="AZ180" i="1"/>
  <c r="AY12" i="1"/>
  <c r="AA136" i="1"/>
  <c r="Y136" i="1"/>
  <c r="AY136" i="1"/>
  <c r="Z136" i="1"/>
  <c r="AX136" i="1"/>
  <c r="AZ136" i="1"/>
  <c r="AX121" i="1"/>
  <c r="AA121" i="1"/>
  <c r="AY121" i="1"/>
  <c r="AZ121" i="1"/>
  <c r="Z121" i="1"/>
  <c r="Y121" i="1"/>
  <c r="AY182" i="1"/>
  <c r="Z182" i="1"/>
  <c r="Y182" i="1"/>
  <c r="AX182" i="1"/>
  <c r="AA24" i="1"/>
  <c r="AZ24" i="1"/>
  <c r="Z109" i="1"/>
  <c r="AA109" i="1"/>
  <c r="Y109" i="1"/>
  <c r="AY109" i="1"/>
  <c r="AX109" i="1"/>
  <c r="AZ109" i="1"/>
  <c r="AY184" i="1"/>
  <c r="Z184" i="1"/>
  <c r="Y183" i="1"/>
  <c r="AX183" i="1"/>
  <c r="AA25" i="1"/>
  <c r="AZ25" i="1"/>
  <c r="Y20" i="1"/>
  <c r="AX20" i="1"/>
  <c r="AX160" i="1"/>
  <c r="AY160" i="1"/>
  <c r="AA160" i="1"/>
  <c r="Z160" i="1"/>
  <c r="AZ160" i="1"/>
  <c r="Y160" i="1"/>
  <c r="Z17" i="1"/>
  <c r="AY17" i="1"/>
  <c r="AA23" i="1"/>
  <c r="AZ23" i="1"/>
  <c r="AX111" i="1"/>
  <c r="Y111" i="1"/>
  <c r="AA111" i="1"/>
  <c r="Z111" i="1"/>
  <c r="AZ111" i="1"/>
  <c r="AY111" i="1"/>
  <c r="Z194" i="1"/>
  <c r="AY194" i="1"/>
  <c r="AX194" i="1"/>
  <c r="Y194" i="1"/>
  <c r="AX193" i="1"/>
  <c r="Y193" i="1"/>
  <c r="Y19" i="1"/>
  <c r="AX19" i="1"/>
  <c r="AA22" i="1"/>
  <c r="AZ22" i="1"/>
  <c r="AA36" i="1"/>
  <c r="AZ36" i="1"/>
  <c r="Z178" i="1"/>
  <c r="AY178" i="1"/>
  <c r="AX179" i="1"/>
  <c r="Y179" i="1"/>
  <c r="Z179" i="1"/>
  <c r="AY179" i="1"/>
  <c r="Z29" i="1"/>
  <c r="AY29" i="1"/>
  <c r="Z52" i="1"/>
  <c r="AZ52" i="1"/>
  <c r="Y52" i="1"/>
  <c r="AA52" i="1"/>
  <c r="AX52" i="1"/>
  <c r="Z138" i="1"/>
  <c r="Y138" i="1"/>
  <c r="AY138" i="1"/>
  <c r="AZ138" i="1"/>
  <c r="AA138" i="1"/>
  <c r="AX138" i="1"/>
  <c r="AZ187" i="1"/>
  <c r="AA187" i="1"/>
  <c r="AA9" i="1"/>
  <c r="W216" i="1"/>
  <c r="W220" i="1"/>
  <c r="W207" i="1"/>
  <c r="W225" i="1"/>
  <c r="W209" i="1"/>
  <c r="W208" i="1"/>
  <c r="W199" i="1"/>
  <c r="W221" i="1"/>
  <c r="W203" i="1"/>
  <c r="W222" i="1"/>
  <c r="W210" i="1"/>
  <c r="W224" i="1"/>
  <c r="W219" i="1"/>
  <c r="W205" i="1"/>
  <c r="W218" i="1"/>
  <c r="W204" i="1"/>
  <c r="W217" i="1"/>
  <c r="W206" i="1"/>
  <c r="W223" i="1"/>
  <c r="W226" i="1"/>
  <c r="AZ9" i="1"/>
  <c r="AA35" i="1"/>
  <c r="AZ35" i="1"/>
  <c r="AY26" i="1"/>
  <c r="Z26" i="1"/>
  <c r="Y34" i="1"/>
  <c r="AX34" i="1"/>
  <c r="Z187" i="1"/>
  <c r="AY187" i="1"/>
  <c r="AZ181" i="1"/>
  <c r="AA185" i="1"/>
  <c r="AZ185" i="1"/>
  <c r="Y152" i="1"/>
  <c r="Z152" i="1"/>
  <c r="AA152" i="1"/>
  <c r="AX152" i="1"/>
  <c r="AY152" i="1"/>
  <c r="Y123" i="1"/>
  <c r="Z123" i="1"/>
  <c r="AA123" i="1"/>
  <c r="AX123" i="1"/>
  <c r="AY123" i="1"/>
  <c r="AZ123" i="1"/>
  <c r="Z108" i="1"/>
  <c r="AY108" i="1"/>
  <c r="AZ108" i="1"/>
  <c r="AA108" i="1"/>
  <c r="AX108" i="1"/>
  <c r="Y108" i="1"/>
  <c r="Z191" i="1"/>
  <c r="AY191" i="1"/>
  <c r="AX190" i="1"/>
  <c r="Y190" i="1"/>
  <c r="AA32" i="1"/>
  <c r="AZ32" i="1"/>
  <c r="Y117" i="1"/>
  <c r="AY117" i="1"/>
  <c r="Z117" i="1"/>
  <c r="AX117" i="1"/>
  <c r="AZ117" i="1"/>
  <c r="AA117" i="1"/>
  <c r="AY192" i="1"/>
  <c r="Z192" i="1"/>
  <c r="AX191" i="1"/>
  <c r="Y191" i="1"/>
  <c r="Y17" i="1"/>
  <c r="AX17" i="1"/>
  <c r="Y28" i="1"/>
  <c r="AX28" i="1"/>
  <c r="Z168" i="1"/>
  <c r="AA168" i="1"/>
  <c r="AX168" i="1"/>
  <c r="Y168" i="1"/>
  <c r="AY168" i="1"/>
  <c r="AZ168" i="1"/>
  <c r="Z16" i="1"/>
  <c r="AY16" i="1"/>
  <c r="AA31" i="1"/>
  <c r="Z119" i="1"/>
  <c r="AA119" i="1"/>
  <c r="AY119" i="1"/>
  <c r="Y119" i="1"/>
  <c r="AX119" i="1"/>
  <c r="AZ119" i="1"/>
  <c r="AA176" i="1"/>
  <c r="AZ176" i="1"/>
  <c r="Z18" i="1"/>
  <c r="Z24" i="1"/>
  <c r="AY24" i="1"/>
  <c r="AZ41" i="1"/>
  <c r="AA41" i="1"/>
  <c r="Y47" i="1"/>
  <c r="AY47" i="1"/>
  <c r="AX47" i="1"/>
  <c r="AY188" i="1"/>
  <c r="Z188" i="1"/>
  <c r="Y187" i="1"/>
  <c r="AX187" i="1"/>
  <c r="Z37" i="1"/>
  <c r="AY37" i="1"/>
  <c r="AY165" i="1"/>
  <c r="Z165" i="1"/>
  <c r="Y146" i="1"/>
  <c r="AX146" i="1"/>
  <c r="AY146" i="1"/>
  <c r="AZ146" i="1"/>
  <c r="Z146" i="1"/>
  <c r="AA146" i="1"/>
  <c r="Y195" i="1"/>
  <c r="AA195" i="1"/>
  <c r="AZ195" i="1"/>
  <c r="AX195" i="1"/>
  <c r="Y12" i="1"/>
  <c r="AX12" i="1"/>
  <c r="AA44" i="1"/>
  <c r="Z10" i="1"/>
  <c r="AY10" i="1"/>
  <c r="Y42" i="1"/>
  <c r="AX42" i="1"/>
  <c r="Y158" i="1"/>
  <c r="Z158" i="1"/>
  <c r="AY158" i="1"/>
  <c r="AA158" i="1"/>
  <c r="AX158" i="1"/>
  <c r="AZ158" i="1"/>
  <c r="AZ152" i="1"/>
  <c r="AZ153" i="1"/>
  <c r="AA153" i="1"/>
  <c r="AY153" i="1"/>
  <c r="Z153" i="1"/>
  <c r="Y153" i="1"/>
  <c r="AX153" i="1"/>
  <c r="AA137" i="1"/>
  <c r="AX137" i="1"/>
  <c r="AY137" i="1"/>
  <c r="Y137" i="1"/>
  <c r="AZ137" i="1"/>
  <c r="Z137" i="1"/>
  <c r="AZ173" i="1"/>
  <c r="AA173" i="1"/>
  <c r="AY198" i="1"/>
  <c r="Z198" i="1"/>
  <c r="AA40" i="1"/>
  <c r="AZ40" i="1"/>
  <c r="AX125" i="1"/>
  <c r="AA125" i="1"/>
  <c r="AY125" i="1"/>
  <c r="Z125" i="1"/>
  <c r="AZ125" i="1"/>
  <c r="Y125" i="1"/>
  <c r="AA174" i="1"/>
  <c r="AZ174" i="1"/>
  <c r="AA12" i="1"/>
  <c r="AZ12" i="1"/>
  <c r="Z25" i="1"/>
  <c r="AY25" i="1"/>
  <c r="Y36" i="1"/>
  <c r="AX36" i="1"/>
  <c r="AX176" i="1"/>
  <c r="AY176" i="1"/>
  <c r="Z176" i="1"/>
  <c r="Y176" i="1"/>
  <c r="Z13" i="1"/>
  <c r="AY13" i="1"/>
  <c r="AA39" i="1"/>
  <c r="AZ39" i="1"/>
  <c r="AX127" i="1"/>
  <c r="Y127" i="1"/>
  <c r="AY127" i="1"/>
  <c r="Z127" i="1"/>
  <c r="AA127" i="1"/>
  <c r="AZ127" i="1"/>
  <c r="AA184" i="1"/>
  <c r="AZ184" i="1"/>
  <c r="AZ29" i="1"/>
  <c r="AA29" i="1"/>
  <c r="Z32" i="1"/>
  <c r="AY32" i="1"/>
  <c r="AX10" i="1"/>
  <c r="Y10" i="1"/>
  <c r="Y23" i="1"/>
  <c r="AX23" i="1"/>
  <c r="AA196" i="1"/>
  <c r="AZ196" i="1"/>
  <c r="AY195" i="1"/>
  <c r="Z195" i="1"/>
  <c r="AA48" i="1"/>
  <c r="AZ48" i="1"/>
  <c r="AY173" i="1"/>
  <c r="Z173" i="1"/>
  <c r="AX154" i="1"/>
  <c r="AA154" i="1"/>
  <c r="AY154" i="1"/>
  <c r="Z154" i="1"/>
  <c r="AZ154" i="1"/>
  <c r="Y154" i="1"/>
  <c r="Z164" i="1"/>
  <c r="AY164" i="1"/>
  <c r="AX164" i="1"/>
  <c r="AA164" i="1"/>
  <c r="Y164" i="1"/>
  <c r="AZ164" i="1"/>
  <c r="V205" i="1"/>
  <c r="V220" i="1"/>
  <c r="V222" i="1"/>
  <c r="V223" i="1"/>
  <c r="V206" i="1"/>
  <c r="V226" i="1"/>
  <c r="V217" i="1"/>
  <c r="V204" i="1"/>
  <c r="V218" i="1"/>
  <c r="V210" i="1"/>
  <c r="V199" i="1"/>
  <c r="V208" i="1"/>
  <c r="V221" i="1"/>
  <c r="V207" i="1"/>
  <c r="V216" i="1"/>
  <c r="V224" i="1"/>
  <c r="Z9" i="1"/>
  <c r="V225" i="1"/>
  <c r="V203" i="1"/>
  <c r="V219" i="1"/>
  <c r="V209" i="1"/>
  <c r="AY9" i="1"/>
  <c r="Y25" i="1"/>
  <c r="AX25" i="1"/>
  <c r="Z38" i="1"/>
  <c r="AY38" i="1"/>
  <c r="AX196" i="1"/>
  <c r="Y196" i="1"/>
  <c r="AX142" i="1"/>
  <c r="Z142" i="1"/>
  <c r="Y142" i="1"/>
  <c r="AY142" i="1"/>
  <c r="AZ142" i="1"/>
  <c r="AA142" i="1"/>
  <c r="Z139" i="1"/>
  <c r="AY139" i="1"/>
  <c r="AZ139" i="1"/>
  <c r="AA139" i="1"/>
  <c r="Y139" i="1"/>
  <c r="AX139" i="1"/>
  <c r="AZ124" i="1"/>
  <c r="Z124" i="1"/>
  <c r="AA124" i="1"/>
  <c r="AX124" i="1"/>
  <c r="AY124" i="1"/>
  <c r="Y124" i="1"/>
  <c r="AY197" i="1"/>
  <c r="Z197" i="1"/>
  <c r="AX50" i="1"/>
  <c r="AY52" i="1"/>
  <c r="AA10" i="1"/>
  <c r="AZ10" i="1"/>
  <c r="Y45" i="1"/>
  <c r="AX45" i="1"/>
  <c r="AY45" i="1"/>
  <c r="Y133" i="1"/>
  <c r="AA133" i="1"/>
  <c r="Z133" i="1"/>
  <c r="AZ133" i="1"/>
  <c r="AY133" i="1"/>
  <c r="AX133" i="1"/>
  <c r="AA182" i="1"/>
  <c r="AZ182" i="1"/>
  <c r="Y15" i="1"/>
  <c r="AX15" i="1"/>
  <c r="Z33" i="1"/>
  <c r="AY33" i="1"/>
  <c r="AX44" i="1"/>
  <c r="Y44" i="1"/>
  <c r="Y184" i="1"/>
  <c r="AX184" i="1"/>
  <c r="Y21" i="1"/>
  <c r="AX21" i="1"/>
  <c r="AX135" i="1"/>
  <c r="AA135" i="1"/>
  <c r="AZ135" i="1"/>
  <c r="AY135" i="1"/>
  <c r="Y135" i="1"/>
  <c r="Z135" i="1"/>
  <c r="AA192" i="1"/>
  <c r="AZ192" i="1"/>
  <c r="Z22" i="1"/>
  <c r="AY22" i="1"/>
  <c r="Z40" i="1"/>
  <c r="Z19" i="1"/>
  <c r="AY19" i="1"/>
  <c r="Y31" i="1"/>
  <c r="AX31" i="1"/>
  <c r="AZ178" i="1"/>
  <c r="AA178" i="1"/>
  <c r="Y46" i="1"/>
  <c r="AY46" i="1"/>
  <c r="AX46" i="1"/>
  <c r="AA34" i="1"/>
  <c r="Z183" i="1"/>
  <c r="AY183" i="1"/>
  <c r="Z162" i="1"/>
  <c r="AY162" i="1"/>
  <c r="AA162" i="1"/>
  <c r="AX162" i="1"/>
  <c r="AZ162" i="1"/>
  <c r="Y162" i="1"/>
  <c r="Y172" i="1"/>
  <c r="AA172" i="1"/>
  <c r="AZ172" i="1"/>
  <c r="AX172" i="1"/>
  <c r="Z172" i="1"/>
  <c r="AY172" i="1"/>
  <c r="AA19" i="1"/>
  <c r="Y33" i="1"/>
  <c r="AX33" i="1"/>
  <c r="AY20" i="1"/>
  <c r="Z20" i="1"/>
  <c r="AY190" i="1"/>
  <c r="Z190" i="1"/>
  <c r="Z129" i="1"/>
  <c r="AX129" i="1"/>
  <c r="AY129" i="1"/>
  <c r="AZ129" i="1"/>
  <c r="AA129" i="1"/>
  <c r="Y129" i="1"/>
  <c r="AY126" i="1"/>
  <c r="Z126" i="1"/>
  <c r="AZ126" i="1"/>
  <c r="AA126" i="1"/>
  <c r="AX126" i="1"/>
  <c r="Y126" i="1"/>
  <c r="Z112" i="1"/>
  <c r="Y112" i="1"/>
  <c r="AA112" i="1"/>
  <c r="AZ112" i="1"/>
  <c r="AX112" i="1"/>
  <c r="AA170" i="1"/>
  <c r="Y170" i="1"/>
  <c r="AZ170" i="1"/>
  <c r="AX170" i="1"/>
  <c r="Y165" i="1"/>
  <c r="AX165" i="1"/>
  <c r="AZ189" i="1"/>
  <c r="AA189" i="1"/>
  <c r="AA13" i="1"/>
  <c r="AZ13" i="1"/>
  <c r="Y49" i="1"/>
  <c r="AX49" i="1"/>
  <c r="AY49" i="1"/>
  <c r="Z141" i="1"/>
  <c r="AA141" i="1"/>
  <c r="AZ141" i="1"/>
  <c r="AX141" i="1"/>
  <c r="Y141" i="1"/>
  <c r="AY141" i="1"/>
  <c r="AZ190" i="1"/>
  <c r="AA190" i="1"/>
  <c r="AX14" i="1"/>
  <c r="Y14" i="1"/>
  <c r="Z41" i="1"/>
  <c r="AY41" i="1"/>
  <c r="Z193" i="1"/>
  <c r="AY193" i="1"/>
  <c r="AX192" i="1"/>
  <c r="Y192" i="1"/>
  <c r="Y29" i="1"/>
  <c r="AX29" i="1"/>
  <c r="Y143" i="1"/>
  <c r="AX143" i="1"/>
  <c r="AZ143" i="1"/>
  <c r="AY143" i="1"/>
  <c r="AA143" i="1"/>
  <c r="Z143" i="1"/>
  <c r="Z161" i="1"/>
  <c r="Y161" i="1"/>
  <c r="AX161" i="1"/>
  <c r="AY161" i="1"/>
  <c r="U218" i="1"/>
  <c r="U204" i="1"/>
  <c r="U208" i="1"/>
  <c r="U206" i="1"/>
  <c r="U223" i="1"/>
  <c r="U209" i="1"/>
  <c r="U221" i="1"/>
  <c r="Y221" i="1" s="1"/>
  <c r="U205" i="1"/>
  <c r="U199" i="1"/>
  <c r="U226" i="1"/>
  <c r="U219" i="1"/>
  <c r="Y9" i="1"/>
  <c r="U217" i="1"/>
  <c r="U224" i="1"/>
  <c r="U210" i="1"/>
  <c r="U203" i="1"/>
  <c r="U220" i="1"/>
  <c r="U222" i="1"/>
  <c r="U216" i="1"/>
  <c r="U207" i="1"/>
  <c r="U225" i="1"/>
  <c r="AX9" i="1"/>
  <c r="Y22" i="1"/>
  <c r="AX22" i="1"/>
  <c r="AA37" i="1"/>
  <c r="Y39" i="1"/>
  <c r="AX39" i="1"/>
  <c r="AZ186" i="1"/>
  <c r="AA186" i="1"/>
  <c r="Y11" i="1"/>
  <c r="AX11" i="1"/>
  <c r="AA42" i="1"/>
  <c r="AZ42" i="1"/>
  <c r="Z106" i="1"/>
  <c r="Y106" i="1"/>
  <c r="AX106" i="1"/>
  <c r="AZ106" i="1"/>
  <c r="AY106" i="1"/>
  <c r="AA106" i="1"/>
  <c r="Z170" i="1"/>
  <c r="AY170" i="1"/>
  <c r="Z180" i="1"/>
  <c r="AX180" i="1"/>
  <c r="Y180" i="1"/>
  <c r="AY180" i="1"/>
  <c r="AZ33" i="1"/>
  <c r="AA33" i="1"/>
  <c r="Y41" i="1"/>
  <c r="AX41" i="1"/>
  <c r="Z28" i="1"/>
  <c r="AY28" i="1"/>
  <c r="AZ144" i="1"/>
  <c r="Z144" i="1"/>
  <c r="AA144" i="1"/>
  <c r="Y144" i="1"/>
  <c r="AY144" i="1"/>
  <c r="AX144" i="1"/>
  <c r="Y116" i="1"/>
  <c r="AA116" i="1"/>
  <c r="AX116" i="1"/>
  <c r="AZ116" i="1"/>
  <c r="AY116" i="1"/>
  <c r="Z116" i="1"/>
  <c r="Z181" i="1"/>
  <c r="AX181" i="1"/>
  <c r="AY181" i="1"/>
  <c r="Y181" i="1"/>
  <c r="Z45" i="1"/>
  <c r="Y100" i="1"/>
  <c r="AX100" i="1"/>
  <c r="Z100" i="1"/>
  <c r="AZ100" i="1"/>
  <c r="AA100" i="1"/>
  <c r="AZ177" i="1"/>
  <c r="AA177" i="1"/>
  <c r="AA198" i="1"/>
  <c r="AZ198" i="1"/>
  <c r="AY40" i="1"/>
  <c r="T80" i="10"/>
  <c r="S85" i="10"/>
  <c r="R34" i="32" s="1"/>
  <c r="S80" i="10"/>
  <c r="T86" i="10"/>
  <c r="O89" i="27" s="1"/>
  <c r="S88" i="10"/>
  <c r="H80" i="16" s="1"/>
  <c r="T87" i="10"/>
  <c r="I79" i="16" s="1"/>
  <c r="T74" i="10"/>
  <c r="S81" i="10"/>
  <c r="P87" i="10"/>
  <c r="O87" i="10"/>
  <c r="Q87" i="10"/>
  <c r="Q181" i="1"/>
  <c r="Q104" i="1"/>
  <c r="O53" i="1"/>
  <c r="P102" i="1"/>
  <c r="Q185" i="1"/>
  <c r="Q10" i="1"/>
  <c r="Q12" i="1"/>
  <c r="H91" i="10"/>
  <c r="U91" i="10" s="1"/>
  <c r="J83" i="16" s="1"/>
  <c r="P59" i="10"/>
  <c r="R59" i="10"/>
  <c r="Q59" i="10"/>
  <c r="O43" i="1"/>
  <c r="Q43" i="1"/>
  <c r="P43" i="1"/>
  <c r="O56" i="1"/>
  <c r="O99" i="1"/>
  <c r="Q74" i="1"/>
  <c r="Q188" i="1"/>
  <c r="Q132" i="1"/>
  <c r="P81" i="10"/>
  <c r="O81" i="10"/>
  <c r="Q81" i="10"/>
  <c r="O64" i="1"/>
  <c r="Q48" i="1"/>
  <c r="P187" i="1"/>
  <c r="P73" i="1"/>
  <c r="Q123" i="1"/>
  <c r="P150" i="1"/>
  <c r="Q71" i="1"/>
  <c r="AN227" i="1"/>
  <c r="AN228" i="1" s="1"/>
  <c r="Q85" i="10"/>
  <c r="O85" i="10"/>
  <c r="P85" i="10"/>
  <c r="P70" i="1"/>
  <c r="O55" i="1"/>
  <c r="O160" i="1"/>
  <c r="O133" i="1"/>
  <c r="O145" i="1"/>
  <c r="P186" i="1"/>
  <c r="P128" i="1"/>
  <c r="R73" i="10"/>
  <c r="H79" i="10"/>
  <c r="P47" i="10"/>
  <c r="Q47" i="10"/>
  <c r="O96" i="1"/>
  <c r="Q69" i="1"/>
  <c r="O62" i="1"/>
  <c r="O67" i="1"/>
  <c r="T73" i="10"/>
  <c r="V47" i="10"/>
  <c r="S47" i="10"/>
  <c r="O119" i="1"/>
  <c r="S87" i="10"/>
  <c r="H79" i="16" s="1"/>
  <c r="Q83" i="1"/>
  <c r="P169" i="1"/>
  <c r="T47" i="10"/>
  <c r="P73" i="10"/>
  <c r="Q88" i="10"/>
  <c r="O88" i="10"/>
  <c r="P88" i="10"/>
  <c r="R87" i="10"/>
  <c r="G79" i="16" s="1"/>
  <c r="P103" i="1"/>
  <c r="Q137" i="1"/>
  <c r="O184" i="1"/>
  <c r="P88" i="1"/>
  <c r="P152" i="1"/>
  <c r="Q122" i="1"/>
  <c r="O193" i="1"/>
  <c r="P105" i="1"/>
  <c r="Q91" i="1"/>
  <c r="P180" i="1"/>
  <c r="O33" i="1"/>
  <c r="O112" i="1"/>
  <c r="Q108" i="1"/>
  <c r="Q172" i="1"/>
  <c r="P173" i="1"/>
  <c r="O76" i="1"/>
  <c r="P115" i="1"/>
  <c r="Q183" i="1"/>
  <c r="P196" i="1"/>
  <c r="Q65" i="1"/>
  <c r="O174" i="1"/>
  <c r="P124" i="1"/>
  <c r="Q94" i="1"/>
  <c r="Q158" i="1"/>
  <c r="P175" i="1"/>
  <c r="Q68" i="1"/>
  <c r="O66" i="1"/>
  <c r="P125" i="1"/>
  <c r="Q111" i="1"/>
  <c r="Q161" i="1"/>
  <c r="P176" i="1"/>
  <c r="U47" i="10"/>
  <c r="S89" i="10"/>
  <c r="R35" i="32" s="1"/>
  <c r="V58" i="10"/>
  <c r="K69" i="18"/>
  <c r="V65" i="10"/>
  <c r="V72" i="10" s="1"/>
  <c r="U74" i="10"/>
  <c r="U85" i="10"/>
  <c r="T34" i="32" s="1"/>
  <c r="U87" i="10"/>
  <c r="J79" i="16" s="1"/>
  <c r="U75" i="10"/>
  <c r="U81" i="10"/>
  <c r="U80" i="10"/>
  <c r="U73" i="10"/>
  <c r="U88" i="10"/>
  <c r="J80" i="16" s="1"/>
  <c r="U86" i="10"/>
  <c r="P89" i="27" s="1"/>
  <c r="P58" i="10"/>
  <c r="R58" i="10"/>
  <c r="U89" i="10"/>
  <c r="T35" i="32" s="1"/>
  <c r="U76" i="10"/>
  <c r="S58" i="10"/>
  <c r="Q58" i="10"/>
  <c r="T89" i="10"/>
  <c r="S35" i="32" s="1"/>
  <c r="R89" i="10"/>
  <c r="Q35" i="32" s="1"/>
  <c r="T58" i="10"/>
  <c r="U58" i="10"/>
  <c r="R46" i="10"/>
  <c r="P46" i="10"/>
  <c r="G78" i="10"/>
  <c r="Q46" i="10"/>
  <c r="S46" i="10"/>
  <c r="V46" i="10"/>
  <c r="T46" i="10"/>
  <c r="U46" i="10"/>
  <c r="Q155" i="1"/>
  <c r="Q149" i="1"/>
  <c r="S72" i="10"/>
  <c r="T72" i="10"/>
  <c r="R72" i="10"/>
  <c r="U72" i="10"/>
  <c r="Q72" i="10"/>
  <c r="O72" i="10"/>
  <c r="P72" i="10"/>
  <c r="AR228" i="1"/>
  <c r="O137" i="1"/>
  <c r="O122" i="1"/>
  <c r="Q63" i="1"/>
  <c r="O63" i="1"/>
  <c r="P53" i="1"/>
  <c r="Q96" i="1"/>
  <c r="O152" i="1"/>
  <c r="O104" i="1"/>
  <c r="P185" i="1"/>
  <c r="P48" i="1"/>
  <c r="P111" i="1"/>
  <c r="O175" i="1"/>
  <c r="Q145" i="1"/>
  <c r="P13" i="1"/>
  <c r="O13" i="1"/>
  <c r="Q13" i="1"/>
  <c r="P96" i="1"/>
  <c r="P160" i="1"/>
  <c r="Q33" i="1"/>
  <c r="P55" i="1"/>
  <c r="O163" i="1"/>
  <c r="P113" i="1"/>
  <c r="Q99" i="1"/>
  <c r="P188" i="1"/>
  <c r="O44" i="1"/>
  <c r="P44" i="1"/>
  <c r="O128" i="1"/>
  <c r="Q128" i="1"/>
  <c r="P66" i="1"/>
  <c r="P130" i="1"/>
  <c r="P181" i="1"/>
  <c r="P123" i="1"/>
  <c r="O123" i="1"/>
  <c r="Q157" i="1"/>
  <c r="P166" i="1"/>
  <c r="O36" i="1"/>
  <c r="P36" i="1"/>
  <c r="Q73" i="1"/>
  <c r="P68" i="1"/>
  <c r="P132" i="1"/>
  <c r="Q102" i="1"/>
  <c r="Q175" i="1"/>
  <c r="P183" i="1"/>
  <c r="Q76" i="1"/>
  <c r="O74" i="1"/>
  <c r="P69" i="1"/>
  <c r="P133" i="1"/>
  <c r="Q119" i="1"/>
  <c r="Q169" i="1"/>
  <c r="P184" i="1"/>
  <c r="P86" i="1"/>
  <c r="Q53" i="1"/>
  <c r="P50" i="1"/>
  <c r="O47" i="1"/>
  <c r="P47" i="1"/>
  <c r="O103" i="1"/>
  <c r="Q47" i="1"/>
  <c r="O52" i="1"/>
  <c r="Q66" i="1"/>
  <c r="Q174" i="1"/>
  <c r="O72" i="1"/>
  <c r="P193" i="1"/>
  <c r="Q28" i="1"/>
  <c r="O28" i="1"/>
  <c r="P28" i="1"/>
  <c r="P119" i="1"/>
  <c r="Q89" i="1"/>
  <c r="Q153" i="1"/>
  <c r="P162" i="1"/>
  <c r="P104" i="1"/>
  <c r="O168" i="1"/>
  <c r="Q138" i="1"/>
  <c r="P62" i="1"/>
  <c r="O171" i="1"/>
  <c r="P121" i="1"/>
  <c r="Q173" i="1"/>
  <c r="Q196" i="1"/>
  <c r="O35" i="1"/>
  <c r="P35" i="1"/>
  <c r="Q35" i="1"/>
  <c r="O48" i="1"/>
  <c r="P74" i="1"/>
  <c r="P138" i="1"/>
  <c r="Q124" i="1"/>
  <c r="Q176" i="1"/>
  <c r="P189" i="1"/>
  <c r="O114" i="1"/>
  <c r="P67" i="1"/>
  <c r="P131" i="1"/>
  <c r="Q101" i="1"/>
  <c r="O165" i="1"/>
  <c r="P174" i="1"/>
  <c r="Q52" i="1"/>
  <c r="Q81" i="1"/>
  <c r="P76" i="1"/>
  <c r="P140" i="1"/>
  <c r="Q110" i="1"/>
  <c r="Q180" i="1"/>
  <c r="P191" i="1"/>
  <c r="Q84" i="1"/>
  <c r="O82" i="1"/>
  <c r="P77" i="1"/>
  <c r="P141" i="1"/>
  <c r="Q127" i="1"/>
  <c r="O181" i="1"/>
  <c r="P192" i="1"/>
  <c r="O144" i="1"/>
  <c r="Q44" i="1"/>
  <c r="O46" i="1"/>
  <c r="P46" i="1"/>
  <c r="O25" i="1"/>
  <c r="P25" i="1"/>
  <c r="Q177" i="1"/>
  <c r="P58" i="1"/>
  <c r="P158" i="1"/>
  <c r="Q54" i="1"/>
  <c r="Q193" i="1"/>
  <c r="O30" i="1"/>
  <c r="P30" i="1"/>
  <c r="Q30" i="1"/>
  <c r="P127" i="1"/>
  <c r="O161" i="1"/>
  <c r="P170" i="1"/>
  <c r="Q23" i="1"/>
  <c r="P23" i="1"/>
  <c r="O23" i="1"/>
  <c r="Q162" i="1"/>
  <c r="P112" i="1"/>
  <c r="Q178" i="1"/>
  <c r="Q146" i="1"/>
  <c r="P179" i="1"/>
  <c r="P21" i="1"/>
  <c r="O21" i="1"/>
  <c r="O70" i="1"/>
  <c r="P65" i="1"/>
  <c r="P129" i="1"/>
  <c r="Q115" i="1"/>
  <c r="O14" i="1"/>
  <c r="P14" i="1"/>
  <c r="O18" i="1"/>
  <c r="P18" i="1"/>
  <c r="Q56" i="1"/>
  <c r="P82" i="1"/>
  <c r="P146" i="1"/>
  <c r="O130" i="1"/>
  <c r="P75" i="1"/>
  <c r="P139" i="1"/>
  <c r="O173" i="1"/>
  <c r="P182" i="1"/>
  <c r="O59" i="1"/>
  <c r="P59" i="1"/>
  <c r="O92" i="1"/>
  <c r="P84" i="1"/>
  <c r="P148" i="1"/>
  <c r="Q118" i="1"/>
  <c r="Q191" i="1"/>
  <c r="O102" i="1"/>
  <c r="O94" i="1"/>
  <c r="P85" i="1"/>
  <c r="P149" i="1"/>
  <c r="Q135" i="1"/>
  <c r="Q192" i="1"/>
  <c r="M207" i="1"/>
  <c r="M222" i="1"/>
  <c r="M220" i="1"/>
  <c r="M210" i="1"/>
  <c r="M208" i="1"/>
  <c r="M219" i="1"/>
  <c r="M216" i="1"/>
  <c r="M203" i="1"/>
  <c r="M221" i="1"/>
  <c r="M223" i="1"/>
  <c r="Q9" i="1"/>
  <c r="M205" i="1"/>
  <c r="M199" i="1"/>
  <c r="M209" i="1"/>
  <c r="M206" i="1"/>
  <c r="M226" i="1"/>
  <c r="M217" i="1"/>
  <c r="M225" i="1"/>
  <c r="M218" i="1"/>
  <c r="M204" i="1"/>
  <c r="M224" i="1"/>
  <c r="P60" i="1"/>
  <c r="O125" i="1"/>
  <c r="Q31" i="1"/>
  <c r="O31" i="1"/>
  <c r="P31" i="1"/>
  <c r="P122" i="1"/>
  <c r="O15" i="10"/>
  <c r="N19" i="10" s="1"/>
  <c r="N20" i="10" s="1"/>
  <c r="N16" i="10"/>
  <c r="O105" i="1"/>
  <c r="O115" i="1"/>
  <c r="O61" i="1"/>
  <c r="P94" i="1"/>
  <c r="Q152" i="1"/>
  <c r="O183" i="1"/>
  <c r="L216" i="1"/>
  <c r="L209" i="1"/>
  <c r="L219" i="1"/>
  <c r="L205" i="1"/>
  <c r="P11" i="1"/>
  <c r="L206" i="1"/>
  <c r="L208" i="1"/>
  <c r="L224" i="1"/>
  <c r="L221" i="1"/>
  <c r="L207" i="1"/>
  <c r="L220" i="1"/>
  <c r="L199" i="1"/>
  <c r="L225" i="1"/>
  <c r="L223" i="1"/>
  <c r="L204" i="1"/>
  <c r="L222" i="1"/>
  <c r="L218" i="1"/>
  <c r="L217" i="1"/>
  <c r="L203" i="1"/>
  <c r="L210" i="1"/>
  <c r="L226" i="1"/>
  <c r="P71" i="1"/>
  <c r="O71" i="1"/>
  <c r="P135" i="1"/>
  <c r="Q105" i="1"/>
  <c r="O169" i="1"/>
  <c r="P178" i="1"/>
  <c r="O19" i="1"/>
  <c r="P19" i="1"/>
  <c r="Q170" i="1"/>
  <c r="P120" i="1"/>
  <c r="Q154" i="1"/>
  <c r="P16" i="1"/>
  <c r="O16" i="1"/>
  <c r="O78" i="1"/>
  <c r="P78" i="1"/>
  <c r="P137" i="1"/>
  <c r="O186" i="1"/>
  <c r="O97" i="1"/>
  <c r="P63" i="1"/>
  <c r="P90" i="1"/>
  <c r="P154" i="1"/>
  <c r="Q140" i="1"/>
  <c r="O195" i="1"/>
  <c r="Q11" i="1"/>
  <c r="O11" i="1"/>
  <c r="P49" i="1"/>
  <c r="O49" i="1"/>
  <c r="P83" i="1"/>
  <c r="P147" i="1"/>
  <c r="Q117" i="1"/>
  <c r="O177" i="1"/>
  <c r="P190" i="1"/>
  <c r="O100" i="1"/>
  <c r="O142" i="1"/>
  <c r="P142" i="1"/>
  <c r="P92" i="1"/>
  <c r="P156" i="1"/>
  <c r="Q126" i="1"/>
  <c r="O197" i="1"/>
  <c r="Q18" i="1"/>
  <c r="O118" i="1"/>
  <c r="O143" i="1"/>
  <c r="O93" i="1"/>
  <c r="P93" i="1"/>
  <c r="P157" i="1"/>
  <c r="Q143" i="1"/>
  <c r="O198" i="1"/>
  <c r="O45" i="1"/>
  <c r="O109" i="1"/>
  <c r="P26" i="1"/>
  <c r="O124" i="1"/>
  <c r="P56" i="1"/>
  <c r="Q70" i="1"/>
  <c r="Q67" i="1"/>
  <c r="O108" i="1"/>
  <c r="Q46" i="1"/>
  <c r="Q160" i="1"/>
  <c r="Q79" i="1"/>
  <c r="P79" i="1"/>
  <c r="O79" i="1"/>
  <c r="Q113" i="1"/>
  <c r="O180" i="1"/>
  <c r="Q41" i="1"/>
  <c r="P41" i="1"/>
  <c r="O41" i="1"/>
  <c r="Q184" i="1"/>
  <c r="Q80" i="1"/>
  <c r="P145" i="1"/>
  <c r="Q131" i="1"/>
  <c r="O194" i="1"/>
  <c r="Q17" i="1"/>
  <c r="O65" i="1"/>
  <c r="O88" i="1"/>
  <c r="O98" i="1"/>
  <c r="P98" i="1"/>
  <c r="Q182" i="1"/>
  <c r="Q148" i="1"/>
  <c r="O187" i="1"/>
  <c r="O42" i="1"/>
  <c r="P42" i="1"/>
  <c r="Q42" i="1"/>
  <c r="P64" i="1"/>
  <c r="P91" i="1"/>
  <c r="P155" i="1"/>
  <c r="Q125" i="1"/>
  <c r="O116" i="1"/>
  <c r="O150" i="1"/>
  <c r="P100" i="1"/>
  <c r="O164" i="1"/>
  <c r="Q134" i="1"/>
  <c r="O189" i="1"/>
  <c r="O37" i="1"/>
  <c r="P37" i="1"/>
  <c r="O134" i="1"/>
  <c r="O151" i="1"/>
  <c r="P101" i="1"/>
  <c r="Q87" i="1"/>
  <c r="Q151" i="1"/>
  <c r="O190" i="1"/>
  <c r="O69" i="1"/>
  <c r="Q64" i="1"/>
  <c r="O76" i="10"/>
  <c r="P76" i="10"/>
  <c r="T76" i="10"/>
  <c r="AV216" i="1"/>
  <c r="O26" i="1"/>
  <c r="Q36" i="1"/>
  <c r="O91" i="1"/>
  <c r="Q62" i="1"/>
  <c r="Q112" i="1"/>
  <c r="O83" i="1"/>
  <c r="Q77" i="1"/>
  <c r="O111" i="1"/>
  <c r="P161" i="1"/>
  <c r="O17" i="1"/>
  <c r="P17" i="1"/>
  <c r="Q121" i="1"/>
  <c r="Q186" i="1"/>
  <c r="P194" i="1"/>
  <c r="P33" i="1"/>
  <c r="P72" i="1"/>
  <c r="O136" i="1"/>
  <c r="P136" i="1"/>
  <c r="Q106" i="1"/>
  <c r="Q187" i="1"/>
  <c r="P12" i="1"/>
  <c r="O12" i="1"/>
  <c r="O110" i="1"/>
  <c r="P89" i="1"/>
  <c r="P153" i="1"/>
  <c r="Q139" i="1"/>
  <c r="Q14" i="1"/>
  <c r="O73" i="1"/>
  <c r="P106" i="1"/>
  <c r="Q156" i="1"/>
  <c r="P195" i="1"/>
  <c r="Q16" i="1"/>
  <c r="O90" i="1"/>
  <c r="P99" i="1"/>
  <c r="Q163" i="1"/>
  <c r="Q133" i="1"/>
  <c r="O196" i="1"/>
  <c r="O22" i="1"/>
  <c r="Q22" i="1"/>
  <c r="O132" i="1"/>
  <c r="O158" i="1"/>
  <c r="P108" i="1"/>
  <c r="O172" i="1"/>
  <c r="Q142" i="1"/>
  <c r="P197" i="1"/>
  <c r="O87" i="1"/>
  <c r="O51" i="1"/>
  <c r="Q51" i="1"/>
  <c r="O159" i="1"/>
  <c r="P109" i="1"/>
  <c r="Q95" i="1"/>
  <c r="Q159" i="1"/>
  <c r="P198" i="1"/>
  <c r="O95" i="1"/>
  <c r="S76" i="10"/>
  <c r="Q19" i="1"/>
  <c r="P15" i="1"/>
  <c r="O15" i="1"/>
  <c r="Q55" i="1"/>
  <c r="O54" i="1"/>
  <c r="O75" i="1"/>
  <c r="Q88" i="1"/>
  <c r="P61" i="1"/>
  <c r="Q57" i="1"/>
  <c r="O57" i="1"/>
  <c r="O29" i="1"/>
  <c r="Q129" i="1"/>
  <c r="O10" i="1"/>
  <c r="P10" i="1"/>
  <c r="Q85" i="1"/>
  <c r="P144" i="1"/>
  <c r="O185" i="1"/>
  <c r="K216" i="1"/>
  <c r="K217" i="1"/>
  <c r="K226" i="1"/>
  <c r="K220" i="1"/>
  <c r="P9" i="1"/>
  <c r="K210" i="1"/>
  <c r="K218" i="1"/>
  <c r="K219" i="1"/>
  <c r="K207" i="1"/>
  <c r="K225" i="1"/>
  <c r="K209" i="1"/>
  <c r="K206" i="1"/>
  <c r="K203" i="1"/>
  <c r="K223" i="1"/>
  <c r="K221" i="1"/>
  <c r="K222" i="1"/>
  <c r="K208" i="1"/>
  <c r="K204" i="1"/>
  <c r="K205" i="1"/>
  <c r="K199" i="1"/>
  <c r="O9" i="1"/>
  <c r="K224" i="1"/>
  <c r="O224" i="1" s="1"/>
  <c r="O126" i="1"/>
  <c r="P97" i="1"/>
  <c r="O179" i="1"/>
  <c r="Q147" i="1"/>
  <c r="P172" i="1"/>
  <c r="Q29" i="1"/>
  <c r="O81" i="1"/>
  <c r="P114" i="1"/>
  <c r="Q164" i="1"/>
  <c r="P165" i="1"/>
  <c r="O68" i="1"/>
  <c r="O107" i="1"/>
  <c r="P107" i="1"/>
  <c r="Q171" i="1"/>
  <c r="Q141" i="1"/>
  <c r="O188" i="1"/>
  <c r="P45" i="1"/>
  <c r="O50" i="1"/>
  <c r="Q166" i="1"/>
  <c r="P116" i="1"/>
  <c r="Q86" i="1"/>
  <c r="Q150" i="1"/>
  <c r="P167" i="1"/>
  <c r="O60" i="1"/>
  <c r="O58" i="1"/>
  <c r="O167" i="1"/>
  <c r="P117" i="1"/>
  <c r="Q103" i="1"/>
  <c r="O176" i="1"/>
  <c r="P168" i="1"/>
  <c r="Q136" i="1"/>
  <c r="O80" i="1"/>
  <c r="Q120" i="1"/>
  <c r="T79" i="10"/>
  <c r="U79" i="10"/>
  <c r="R79" i="10"/>
  <c r="S79" i="10"/>
  <c r="Q79" i="10"/>
  <c r="P79" i="10"/>
  <c r="O79" i="10"/>
  <c r="AV211" i="1"/>
  <c r="AN238" i="1"/>
  <c r="AR241" i="1" s="1"/>
  <c r="AR212" i="1"/>
  <c r="S73" i="10"/>
  <c r="Q73" i="10"/>
  <c r="O89" i="10"/>
  <c r="P89" i="10"/>
  <c r="I22" i="16"/>
  <c r="K22" i="16"/>
  <c r="Q23" i="27"/>
  <c r="M23" i="27"/>
  <c r="J22" i="16"/>
  <c r="O23" i="27"/>
  <c r="G33" i="18"/>
  <c r="G32" i="18"/>
  <c r="G22" i="16"/>
  <c r="G78" i="16"/>
  <c r="H78" i="16"/>
  <c r="H32" i="18"/>
  <c r="H33" i="18"/>
  <c r="H22" i="16"/>
  <c r="P23" i="27"/>
  <c r="U77" i="10"/>
  <c r="P77" i="10"/>
  <c r="T77" i="10"/>
  <c r="S77" i="10"/>
  <c r="R77" i="10"/>
  <c r="O77" i="10"/>
  <c r="Q77" i="10"/>
  <c r="R52" i="32" l="1" a="1"/>
  <c r="R52" i="32" s="1"/>
  <c r="R70" i="32" s="1"/>
  <c r="L12" i="22"/>
  <c r="L20" i="22" s="1"/>
  <c r="L32" i="22" s="1"/>
  <c r="AK219" i="1"/>
  <c r="Y220" i="1"/>
  <c r="AJ199" i="1"/>
  <c r="U90" i="10"/>
  <c r="J82" i="16" s="1"/>
  <c r="BA223" i="1"/>
  <c r="R90" i="10"/>
  <c r="G82" i="16" s="1"/>
  <c r="AB209" i="1"/>
  <c r="O90" i="10"/>
  <c r="S90" i="10"/>
  <c r="H82" i="16" s="1"/>
  <c r="P90" i="10"/>
  <c r="Q90" i="10"/>
  <c r="AB205" i="1"/>
  <c r="BA220" i="1"/>
  <c r="Q52" i="32" a="1"/>
  <c r="Q52" i="32" s="1"/>
  <c r="U18" i="32"/>
  <c r="U52" i="32" s="1" a="1"/>
  <c r="U52" i="32" s="1"/>
  <c r="U70" i="32" s="1"/>
  <c r="Y222" i="1"/>
  <c r="AK225" i="1"/>
  <c r="BA225" i="1"/>
  <c r="AB217" i="1"/>
  <c r="BA209" i="1"/>
  <c r="AH211" i="1"/>
  <c r="AB225" i="1"/>
  <c r="O205" i="1"/>
  <c r="O204" i="1"/>
  <c r="AX210" i="1"/>
  <c r="AJ223" i="1"/>
  <c r="AK206" i="1"/>
  <c r="BA217" i="1"/>
  <c r="AB199" i="1"/>
  <c r="AB218" i="1"/>
  <c r="AH227" i="1"/>
  <c r="BA224" i="1"/>
  <c r="AB207" i="1"/>
  <c r="AJ221" i="1"/>
  <c r="AK207" i="1"/>
  <c r="AI209" i="1"/>
  <c r="AJ218" i="1"/>
  <c r="BA210" i="1"/>
  <c r="AB219" i="1"/>
  <c r="R225" i="1"/>
  <c r="R208" i="1"/>
  <c r="R226" i="1"/>
  <c r="O218" i="1"/>
  <c r="AI222" i="1"/>
  <c r="Y206" i="1"/>
  <c r="AI226" i="1"/>
  <c r="Y208" i="1"/>
  <c r="AK217" i="1"/>
  <c r="O223" i="1"/>
  <c r="AJ208" i="1"/>
  <c r="AK204" i="1"/>
  <c r="AB210" i="1"/>
  <c r="R205" i="1"/>
  <c r="R224" i="1"/>
  <c r="BA218" i="1"/>
  <c r="AB203" i="1"/>
  <c r="X211" i="1"/>
  <c r="N211" i="1"/>
  <c r="R203" i="1"/>
  <c r="R217" i="1"/>
  <c r="R218" i="1"/>
  <c r="O206" i="1"/>
  <c r="O209" i="1"/>
  <c r="AK220" i="1"/>
  <c r="AJ210" i="1"/>
  <c r="BA219" i="1"/>
  <c r="BA205" i="1"/>
  <c r="AB220" i="1"/>
  <c r="AB208" i="1"/>
  <c r="R219" i="1"/>
  <c r="R206" i="1"/>
  <c r="J211" i="1"/>
  <c r="J227" i="1"/>
  <c r="J228" i="1" s="1"/>
  <c r="AB216" i="1"/>
  <c r="X227" i="1"/>
  <c r="AB204" i="1"/>
  <c r="BA204" i="1"/>
  <c r="R210" i="1"/>
  <c r="R204" i="1"/>
  <c r="BA226" i="1"/>
  <c r="AB226" i="1"/>
  <c r="O208" i="1"/>
  <c r="O207" i="1"/>
  <c r="Y207" i="1"/>
  <c r="BA203" i="1"/>
  <c r="BA206" i="1"/>
  <c r="T211" i="1"/>
  <c r="R199" i="1"/>
  <c r="R223" i="1"/>
  <c r="BA199" i="1"/>
  <c r="R207" i="1"/>
  <c r="O221" i="1"/>
  <c r="T227" i="1"/>
  <c r="T228" i="1" s="1"/>
  <c r="R220" i="1"/>
  <c r="N227" i="1"/>
  <c r="R216" i="1"/>
  <c r="AI205" i="1"/>
  <c r="AV227" i="1"/>
  <c r="O217" i="1"/>
  <c r="AJ225" i="1"/>
  <c r="AI224" i="1"/>
  <c r="L89" i="27"/>
  <c r="I32" i="18"/>
  <c r="AK216" i="1"/>
  <c r="AG227" i="1"/>
  <c r="AI218" i="1"/>
  <c r="AI204" i="1"/>
  <c r="AK210" i="1"/>
  <c r="AG211" i="1"/>
  <c r="AK203" i="1"/>
  <c r="AJ224" i="1"/>
  <c r="AJ203" i="1"/>
  <c r="AI221" i="1"/>
  <c r="AJ220" i="1"/>
  <c r="AJ206" i="1"/>
  <c r="AK208" i="1"/>
  <c r="AK224" i="1"/>
  <c r="AJ205" i="1"/>
  <c r="AI206" i="1"/>
  <c r="AJ217" i="1"/>
  <c r="AS199" i="1"/>
  <c r="AT199" i="1"/>
  <c r="AI199" i="1"/>
  <c r="AU199" i="1"/>
  <c r="AI207" i="1"/>
  <c r="AS210" i="1"/>
  <c r="AU210" i="1"/>
  <c r="AI210" i="1"/>
  <c r="AI217" i="1"/>
  <c r="AK226" i="1"/>
  <c r="AI220" i="1"/>
  <c r="AJ204" i="1"/>
  <c r="AK223" i="1"/>
  <c r="AK199" i="1"/>
  <c r="AK222" i="1"/>
  <c r="AF227" i="1"/>
  <c r="AJ216" i="1"/>
  <c r="AI216" i="1"/>
  <c r="AE227" i="1"/>
  <c r="AI219" i="1"/>
  <c r="AJ209" i="1"/>
  <c r="AF211" i="1"/>
  <c r="AJ207" i="1"/>
  <c r="AK209" i="1"/>
  <c r="AI223" i="1"/>
  <c r="AK218" i="1"/>
  <c r="AJ222" i="1"/>
  <c r="AI203" i="1"/>
  <c r="AE211" i="1"/>
  <c r="AK205" i="1"/>
  <c r="O199" i="1"/>
  <c r="AK221" i="1"/>
  <c r="AJ219" i="1"/>
  <c r="AI225" i="1"/>
  <c r="AJ226" i="1"/>
  <c r="AI208" i="1"/>
  <c r="G81" i="16"/>
  <c r="I81" i="16"/>
  <c r="J77" i="16"/>
  <c r="H81" i="16"/>
  <c r="J81" i="16"/>
  <c r="H77" i="16"/>
  <c r="Y224" i="1"/>
  <c r="AX224" i="1"/>
  <c r="AX209" i="1"/>
  <c r="Y209" i="1"/>
  <c r="Z219" i="1"/>
  <c r="AY219" i="1"/>
  <c r="Z208" i="1"/>
  <c r="Z223" i="1"/>
  <c r="AY223" i="1"/>
  <c r="AA204" i="1"/>
  <c r="AZ204" i="1"/>
  <c r="AA221" i="1"/>
  <c r="Y225" i="1"/>
  <c r="AX225" i="1"/>
  <c r="Y217" i="1"/>
  <c r="AX217" i="1"/>
  <c r="Y223" i="1"/>
  <c r="AX223" i="1"/>
  <c r="V211" i="1"/>
  <c r="Z203" i="1"/>
  <c r="AY203" i="1"/>
  <c r="Z199" i="1"/>
  <c r="AY199" i="1"/>
  <c r="Z222" i="1"/>
  <c r="AA218" i="1"/>
  <c r="AZ218" i="1"/>
  <c r="AA199" i="1"/>
  <c r="AZ199" i="1"/>
  <c r="AY225" i="1"/>
  <c r="Z225" i="1"/>
  <c r="Y210" i="1"/>
  <c r="Z210" i="1"/>
  <c r="AY210" i="1"/>
  <c r="Z220" i="1"/>
  <c r="AZ205" i="1"/>
  <c r="AA205" i="1"/>
  <c r="AA208" i="1"/>
  <c r="O222" i="1"/>
  <c r="U227" i="1"/>
  <c r="Y216" i="1"/>
  <c r="AX216" i="1"/>
  <c r="Y219" i="1"/>
  <c r="AX219" i="1"/>
  <c r="AY218" i="1"/>
  <c r="Z218" i="1"/>
  <c r="Z205" i="1"/>
  <c r="AY205" i="1"/>
  <c r="AA219" i="1"/>
  <c r="AZ219" i="1"/>
  <c r="AA209" i="1"/>
  <c r="AZ209" i="1"/>
  <c r="Y226" i="1"/>
  <c r="AX226" i="1"/>
  <c r="Y204" i="1"/>
  <c r="AX204" i="1"/>
  <c r="Z224" i="1"/>
  <c r="AY224" i="1"/>
  <c r="Z204" i="1"/>
  <c r="AY204" i="1"/>
  <c r="AA226" i="1"/>
  <c r="AZ226" i="1"/>
  <c r="AZ224" i="1"/>
  <c r="AA224" i="1"/>
  <c r="AA225" i="1"/>
  <c r="AZ225" i="1"/>
  <c r="Y199" i="1"/>
  <c r="AX199" i="1"/>
  <c r="AX218" i="1"/>
  <c r="Y218" i="1"/>
  <c r="Z216" i="1"/>
  <c r="V227" i="1"/>
  <c r="AY216" i="1"/>
  <c r="Z217" i="1"/>
  <c r="AY217" i="1"/>
  <c r="AA223" i="1"/>
  <c r="AZ223" i="1"/>
  <c r="AA210" i="1"/>
  <c r="AZ210" i="1"/>
  <c r="AA207" i="1"/>
  <c r="Y203" i="1"/>
  <c r="U211" i="1"/>
  <c r="AX203" i="1"/>
  <c r="Y205" i="1"/>
  <c r="AX205" i="1"/>
  <c r="Z207" i="1"/>
  <c r="AY226" i="1"/>
  <c r="Z226" i="1"/>
  <c r="AA206" i="1"/>
  <c r="AA222" i="1"/>
  <c r="AA220" i="1"/>
  <c r="AY209" i="1"/>
  <c r="Z209" i="1"/>
  <c r="Z221" i="1"/>
  <c r="Z206" i="1"/>
  <c r="AA217" i="1"/>
  <c r="AZ217" i="1"/>
  <c r="AA203" i="1"/>
  <c r="W211" i="1"/>
  <c r="AZ203" i="1"/>
  <c r="AA216" i="1"/>
  <c r="W227" i="1"/>
  <c r="AZ216" i="1"/>
  <c r="I33" i="18"/>
  <c r="I78" i="16"/>
  <c r="J33" i="18"/>
  <c r="P210" i="1"/>
  <c r="P220" i="1"/>
  <c r="P219" i="1"/>
  <c r="S91" i="10"/>
  <c r="T91" i="10"/>
  <c r="R91" i="10"/>
  <c r="P91" i="10"/>
  <c r="O91" i="10"/>
  <c r="Q91" i="10"/>
  <c r="O226" i="1"/>
  <c r="O225" i="1"/>
  <c r="V76" i="10"/>
  <c r="J84" i="16"/>
  <c r="V77" i="10"/>
  <c r="V90" i="10"/>
  <c r="K82" i="16" s="1"/>
  <c r="J78" i="16"/>
  <c r="V73" i="10"/>
  <c r="V79" i="10"/>
  <c r="J32" i="18"/>
  <c r="V89" i="10"/>
  <c r="U35" i="32" s="1"/>
  <c r="V85" i="10"/>
  <c r="U34" i="32" s="1"/>
  <c r="V74" i="10"/>
  <c r="V87" i="10"/>
  <c r="K79" i="16" s="1"/>
  <c r="V75" i="10"/>
  <c r="V81" i="10"/>
  <c r="V80" i="10"/>
  <c r="V88" i="10"/>
  <c r="K80" i="16" s="1"/>
  <c r="V86" i="10"/>
  <c r="V91" i="10"/>
  <c r="Q78" i="10"/>
  <c r="O78" i="10"/>
  <c r="P78" i="10"/>
  <c r="T78" i="10"/>
  <c r="U78" i="10"/>
  <c r="R78" i="10"/>
  <c r="V78" i="10"/>
  <c r="S78" i="10"/>
  <c r="P217" i="1"/>
  <c r="P207" i="1"/>
  <c r="P209" i="1"/>
  <c r="Q206" i="1"/>
  <c r="Q216" i="1"/>
  <c r="M227" i="1"/>
  <c r="O216" i="1"/>
  <c r="K227" i="1"/>
  <c r="P218" i="1"/>
  <c r="P221" i="1"/>
  <c r="L227" i="1"/>
  <c r="P216" i="1"/>
  <c r="Q209" i="1"/>
  <c r="Q219" i="1"/>
  <c r="M211" i="1"/>
  <c r="Q203" i="1"/>
  <c r="O219" i="1"/>
  <c r="P222" i="1"/>
  <c r="P224" i="1"/>
  <c r="Q224" i="1"/>
  <c r="Q199" i="1"/>
  <c r="Q208" i="1"/>
  <c r="P203" i="1"/>
  <c r="L211" i="1"/>
  <c r="P204" i="1"/>
  <c r="P208" i="1"/>
  <c r="Q204" i="1"/>
  <c r="Q205" i="1"/>
  <c r="Q210" i="1"/>
  <c r="O210" i="1"/>
  <c r="P223" i="1"/>
  <c r="P206" i="1"/>
  <c r="Q218" i="1"/>
  <c r="Q220" i="1"/>
  <c r="O203" i="1"/>
  <c r="K211" i="1"/>
  <c r="P226" i="1"/>
  <c r="P225" i="1"/>
  <c r="P15" i="10"/>
  <c r="O16" i="10"/>
  <c r="L19" i="10"/>
  <c r="L20" i="10" s="1"/>
  <c r="M19" i="10"/>
  <c r="M20" i="10" s="1"/>
  <c r="Q225" i="1"/>
  <c r="Q223" i="1"/>
  <c r="Q222" i="1"/>
  <c r="Q226" i="1"/>
  <c r="O220" i="1"/>
  <c r="P199" i="1"/>
  <c r="P205" i="1"/>
  <c r="Q217" i="1"/>
  <c r="Q221" i="1"/>
  <c r="Q207" i="1"/>
  <c r="H23" i="16"/>
  <c r="J23" i="16"/>
  <c r="K23" i="16"/>
  <c r="I23" i="16"/>
  <c r="G23" i="16"/>
  <c r="L55" i="27"/>
  <c r="G48" i="18"/>
  <c r="Q17" i="32" s="1"/>
  <c r="Q51" i="32" s="1" a="1"/>
  <c r="H48" i="18"/>
  <c r="J41" i="22" l="1"/>
  <c r="J12" i="22"/>
  <c r="AH239" i="1"/>
  <c r="AH241" i="1" s="1"/>
  <c r="R17" i="32"/>
  <c r="R51" i="32" s="1" a="1"/>
  <c r="R51" i="32" s="1"/>
  <c r="R69" i="32" s="1"/>
  <c r="Q51" i="32"/>
  <c r="V18" i="32"/>
  <c r="Q70" i="32"/>
  <c r="V70" i="32" s="1"/>
  <c r="V52" i="32"/>
  <c r="I48" i="18"/>
  <c r="AL211" i="1"/>
  <c r="AL212" i="1" s="1"/>
  <c r="AH212" i="1"/>
  <c r="AH228" i="1"/>
  <c r="AL227" i="1"/>
  <c r="AL228" i="1" s="1"/>
  <c r="AB227" i="1"/>
  <c r="AB228" i="1" s="1"/>
  <c r="X228" i="1"/>
  <c r="BA227" i="1"/>
  <c r="BA228" i="1" s="1"/>
  <c r="R227" i="1"/>
  <c r="R228" i="1" s="1"/>
  <c r="N228" i="1"/>
  <c r="T212" i="1"/>
  <c r="T238" i="1"/>
  <c r="J238" i="1"/>
  <c r="J212" i="1"/>
  <c r="N239" i="1"/>
  <c r="N212" i="1"/>
  <c r="R211" i="1"/>
  <c r="R212" i="1" s="1"/>
  <c r="BA211" i="1"/>
  <c r="BA212" i="1" s="1"/>
  <c r="X239" i="1"/>
  <c r="X212" i="1"/>
  <c r="AB211" i="1"/>
  <c r="AB212" i="1" s="1"/>
  <c r="AF228" i="1"/>
  <c r="AJ227" i="1"/>
  <c r="AJ228" i="1" s="1"/>
  <c r="AG212" i="1"/>
  <c r="AK211" i="1"/>
  <c r="AK212" i="1" s="1"/>
  <c r="AF212" i="1"/>
  <c r="AJ211" i="1"/>
  <c r="AJ212" i="1" s="1"/>
  <c r="AE212" i="1"/>
  <c r="AI211" i="1"/>
  <c r="AI212" i="1" s="1"/>
  <c r="J48" i="18"/>
  <c r="AU226" i="1"/>
  <c r="I50" i="10" s="1"/>
  <c r="I60" i="10"/>
  <c r="AK227" i="1"/>
  <c r="AK228" i="1" s="1"/>
  <c r="AG228" i="1"/>
  <c r="AE228" i="1"/>
  <c r="AI227" i="1"/>
  <c r="AI228" i="1" s="1"/>
  <c r="G60" i="10"/>
  <c r="AS226" i="1"/>
  <c r="G50" i="10" s="1"/>
  <c r="K81" i="16"/>
  <c r="K77" i="16"/>
  <c r="W212" i="1"/>
  <c r="AA211" i="1"/>
  <c r="AA212" i="1" s="1"/>
  <c r="AZ211" i="1"/>
  <c r="AZ212" i="1" s="1"/>
  <c r="Z211" i="1"/>
  <c r="Z212" i="1" s="1"/>
  <c r="V212" i="1"/>
  <c r="AY211" i="1"/>
  <c r="AY212" i="1" s="1"/>
  <c r="U212" i="1"/>
  <c r="Y211" i="1"/>
  <c r="Y212" i="1" s="1"/>
  <c r="AX211" i="1"/>
  <c r="AX212" i="1" s="1"/>
  <c r="V228" i="1"/>
  <c r="Z227" i="1"/>
  <c r="Z228" i="1" s="1"/>
  <c r="AY227" i="1"/>
  <c r="AY228" i="1" s="1"/>
  <c r="U228" i="1"/>
  <c r="Y227" i="1"/>
  <c r="Y228" i="1" s="1"/>
  <c r="AX227" i="1"/>
  <c r="AX228" i="1" s="1"/>
  <c r="W228" i="1"/>
  <c r="AA227" i="1"/>
  <c r="AA228" i="1" s="1"/>
  <c r="AZ227" i="1"/>
  <c r="AZ228" i="1" s="1"/>
  <c r="G83" i="16"/>
  <c r="G84" i="16"/>
  <c r="I83" i="16"/>
  <c r="I84" i="16"/>
  <c r="H83" i="16"/>
  <c r="H84" i="16"/>
  <c r="K84" i="16"/>
  <c r="K83" i="16"/>
  <c r="Q89" i="27"/>
  <c r="K78" i="16"/>
  <c r="K33" i="18"/>
  <c r="K32" i="18"/>
  <c r="Q15" i="10"/>
  <c r="P16" i="10"/>
  <c r="P22" i="10"/>
  <c r="P23" i="10" s="1"/>
  <c r="P19" i="10"/>
  <c r="P20" i="10" s="1"/>
  <c r="L228" i="1"/>
  <c r="P227" i="1"/>
  <c r="P228" i="1" s="1"/>
  <c r="K212" i="1"/>
  <c r="O211" i="1"/>
  <c r="O212" i="1" s="1"/>
  <c r="P211" i="1"/>
  <c r="P212" i="1" s="1"/>
  <c r="L212" i="1"/>
  <c r="K228" i="1"/>
  <c r="O227" i="1"/>
  <c r="O228" i="1" s="1"/>
  <c r="Q227" i="1"/>
  <c r="Q228" i="1" s="1"/>
  <c r="M228" i="1"/>
  <c r="M212" i="1"/>
  <c r="Q211" i="1"/>
  <c r="Q212" i="1" s="1"/>
  <c r="M42" i="22" l="1"/>
  <c r="J31" i="22"/>
  <c r="K12" i="22"/>
  <c r="K20" i="22" s="1"/>
  <c r="K32" i="22" s="1"/>
  <c r="J20" i="22"/>
  <c r="T17" i="32"/>
  <c r="T51" i="32" s="1" a="1"/>
  <c r="T51" i="32" s="1"/>
  <c r="T69" i="32" s="1"/>
  <c r="S17" i="32"/>
  <c r="Q69" i="32"/>
  <c r="X241" i="1"/>
  <c r="N241" i="1"/>
  <c r="I92" i="10"/>
  <c r="I82" i="10"/>
  <c r="U50" i="10"/>
  <c r="R50" i="10"/>
  <c r="V50" i="10"/>
  <c r="P50" i="10"/>
  <c r="T50" i="10"/>
  <c r="Q50" i="10"/>
  <c r="S50" i="10"/>
  <c r="G82" i="10"/>
  <c r="S60" i="10"/>
  <c r="U60" i="10"/>
  <c r="Q60" i="10"/>
  <c r="R60" i="10"/>
  <c r="T60" i="10"/>
  <c r="P60" i="10"/>
  <c r="V60" i="10"/>
  <c r="G92" i="10"/>
  <c r="K48" i="18"/>
  <c r="U17" i="32" s="1"/>
  <c r="U51" i="32" s="1" a="1"/>
  <c r="U51" i="32" s="1"/>
  <c r="U69" i="32" s="1"/>
  <c r="P24" i="10"/>
  <c r="R15" i="10"/>
  <c r="Q16" i="10"/>
  <c r="Q19" i="10"/>
  <c r="Q20" i="10" s="1"/>
  <c r="L22" i="10"/>
  <c r="L23" i="10" s="1"/>
  <c r="L24" i="10" s="1"/>
  <c r="M22" i="10"/>
  <c r="M23" i="10" s="1"/>
  <c r="M24" i="10" s="1"/>
  <c r="N22" i="10"/>
  <c r="N23" i="10" s="1"/>
  <c r="N24" i="10" s="1"/>
  <c r="O22" i="10"/>
  <c r="J32" i="22" l="1"/>
  <c r="M13" i="22"/>
  <c r="S51" i="32" a="1"/>
  <c r="S51" i="32" s="1"/>
  <c r="V17" i="32"/>
  <c r="R92" i="10"/>
  <c r="U92" i="10"/>
  <c r="O92" i="10"/>
  <c r="S92" i="10"/>
  <c r="P92" i="10"/>
  <c r="Q92" i="10"/>
  <c r="V92" i="10"/>
  <c r="T92" i="10"/>
  <c r="T82" i="10"/>
  <c r="U82" i="10"/>
  <c r="R82" i="10"/>
  <c r="O82" i="10"/>
  <c r="P82" i="10"/>
  <c r="Q82" i="10"/>
  <c r="V82" i="10"/>
  <c r="S82" i="10"/>
  <c r="M25" i="10"/>
  <c r="L25" i="10"/>
  <c r="N25" i="10"/>
  <c r="S15" i="10"/>
  <c r="R16" i="10"/>
  <c r="R19" i="10"/>
  <c r="R20" i="10" s="1"/>
  <c r="R22" i="10"/>
  <c r="R23" i="10" s="1"/>
  <c r="R24" i="10" s="1"/>
  <c r="R25" i="10" s="1"/>
  <c r="O23" i="10"/>
  <c r="O24" i="10" s="1"/>
  <c r="P25" i="10"/>
  <c r="M44" i="22" l="1"/>
  <c r="M45" i="22" s="1"/>
  <c r="S69" i="32"/>
  <c r="V69" i="32" s="1"/>
  <c r="V51" i="32"/>
  <c r="I85" i="16"/>
  <c r="I88" i="16" s="1"/>
  <c r="K85" i="16"/>
  <c r="K88" i="16" s="1"/>
  <c r="H85" i="16"/>
  <c r="H88" i="16" s="1"/>
  <c r="J85" i="16"/>
  <c r="J88" i="16" s="1"/>
  <c r="G85" i="16"/>
  <c r="G88" i="16" s="1"/>
  <c r="S16" i="10"/>
  <c r="T15" i="10"/>
  <c r="S19" i="10"/>
  <c r="S20" i="10" s="1"/>
  <c r="S22" i="10"/>
  <c r="S23" i="10" s="1"/>
  <c r="S24" i="10" s="1"/>
  <c r="S25" i="10" s="1"/>
  <c r="O25" i="10"/>
  <c r="M46" i="22" l="1"/>
  <c r="R44" i="22"/>
  <c r="Q44" i="22"/>
  <c r="S44" i="22"/>
  <c r="O44" i="22"/>
  <c r="P44" i="22"/>
  <c r="M47" i="22"/>
  <c r="H49" i="18"/>
  <c r="H49" i="26"/>
  <c r="H89" i="16"/>
  <c r="G89" i="16"/>
  <c r="G49" i="26"/>
  <c r="G49" i="18"/>
  <c r="K49" i="26"/>
  <c r="K49" i="18"/>
  <c r="K89" i="16"/>
  <c r="J49" i="26"/>
  <c r="J89" i="16"/>
  <c r="J49" i="18"/>
  <c r="I49" i="18"/>
  <c r="I89" i="16"/>
  <c r="I49" i="26"/>
  <c r="J121" i="27"/>
  <c r="T16" i="10"/>
  <c r="U15" i="10"/>
  <c r="T22" i="10"/>
  <c r="T23" i="10" s="1"/>
  <c r="T24" i="10" s="1"/>
  <c r="T25" i="10" s="1"/>
  <c r="T19" i="10"/>
  <c r="T20" i="10" s="1"/>
  <c r="L121" i="27"/>
  <c r="U16" i="10" l="1"/>
  <c r="V15" i="10"/>
  <c r="U22" i="10"/>
  <c r="U23" i="10" s="1"/>
  <c r="U24" i="10" s="1"/>
  <c r="U25" i="10" s="1"/>
  <c r="U19" i="10"/>
  <c r="U20" i="10" s="1"/>
  <c r="H55" i="27" l="1"/>
  <c r="H39" i="27"/>
  <c r="G39" i="27"/>
  <c r="G55" i="27"/>
  <c r="I55" i="27"/>
  <c r="I39" i="27"/>
  <c r="V16" i="10"/>
  <c r="V22" i="10"/>
  <c r="V23" i="10" s="1"/>
  <c r="V24" i="10" s="1"/>
  <c r="V25" i="10" s="1"/>
  <c r="V19" i="10"/>
  <c r="V20" i="10" s="1"/>
  <c r="K55" i="27"/>
  <c r="K39" i="27"/>
  <c r="J55" i="27" l="1"/>
  <c r="J39" i="27"/>
  <c r="K121" i="27" l="1"/>
  <c r="H157" i="4" l="1"/>
  <c r="K132" i="4"/>
  <c r="J122" i="4"/>
  <c r="K116" i="4"/>
  <c r="J132" i="4"/>
  <c r="K156" i="4"/>
  <c r="J118" i="4"/>
  <c r="H89" i="4"/>
  <c r="H126" i="4"/>
  <c r="J120" i="4"/>
  <c r="I121" i="4"/>
  <c r="H122" i="4"/>
  <c r="G126" i="4"/>
  <c r="K126" i="4"/>
  <c r="J137" i="4"/>
  <c r="G155" i="4"/>
  <c r="K155" i="4"/>
  <c r="G157" i="4"/>
  <c r="K157" i="4"/>
  <c r="I171" i="4"/>
  <c r="K120" i="4"/>
  <c r="K121" i="4"/>
  <c r="K122" i="4"/>
  <c r="G137" i="4"/>
  <c r="H155" i="4"/>
  <c r="J156" i="4"/>
  <c r="J157" i="4"/>
  <c r="K171" i="4"/>
  <c r="I87" i="4"/>
  <c r="J89" i="4"/>
  <c r="J93" i="4"/>
  <c r="G94" i="4"/>
  <c r="K94" i="4"/>
  <c r="J116" i="4"/>
  <c r="G117" i="4"/>
  <c r="K117" i="4"/>
  <c r="H118" i="4"/>
  <c r="I132" i="4"/>
  <c r="J133" i="4"/>
  <c r="I156" i="4"/>
  <c r="I120" i="4"/>
  <c r="G122" i="4"/>
  <c r="I126" i="4"/>
  <c r="K137" i="4"/>
  <c r="J155" i="4"/>
  <c r="I157" i="4"/>
  <c r="H87" i="4"/>
  <c r="G89" i="4"/>
  <c r="I93" i="4"/>
  <c r="H94" i="4"/>
  <c r="I116" i="4"/>
  <c r="H117" i="4"/>
  <c r="K118" i="4"/>
  <c r="G132" i="4"/>
  <c r="K133" i="4"/>
  <c r="G156" i="4"/>
  <c r="J171" i="4"/>
  <c r="G121" i="4"/>
  <c r="I122" i="4"/>
  <c r="J126" i="4"/>
  <c r="H156" i="4"/>
  <c r="H121" i="4"/>
  <c r="H137" i="4"/>
  <c r="G171" i="4"/>
  <c r="J87" i="4"/>
  <c r="I89" i="4"/>
  <c r="H93" i="4"/>
  <c r="I94" i="4"/>
  <c r="G116" i="4"/>
  <c r="G118" i="4"/>
  <c r="G133" i="4"/>
  <c r="J121" i="4"/>
  <c r="I137" i="4"/>
  <c r="I155" i="4"/>
  <c r="H171" i="4"/>
  <c r="K87" i="4"/>
  <c r="K89" i="4"/>
  <c r="K93" i="4"/>
  <c r="J94" i="4"/>
  <c r="H116" i="4"/>
  <c r="I117" i="4"/>
  <c r="I118" i="4"/>
  <c r="H132" i="4"/>
  <c r="H133" i="4"/>
  <c r="G93" i="4"/>
  <c r="G87" i="4"/>
  <c r="H120" i="4"/>
  <c r="I133" i="4"/>
  <c r="J117" i="4"/>
  <c r="G120" i="4"/>
  <c r="J143" i="4" l="1"/>
  <c r="J95" i="4"/>
  <c r="G90" i="4"/>
  <c r="K165" i="4"/>
  <c r="I143" i="4"/>
  <c r="I165" i="4"/>
  <c r="K92" i="4"/>
  <c r="K202" i="4"/>
  <c r="H143" i="4"/>
  <c r="I109" i="4"/>
  <c r="K90" i="4"/>
  <c r="G92" i="4"/>
  <c r="I92" i="4"/>
  <c r="G109" i="4"/>
  <c r="G165" i="4"/>
  <c r="H165" i="4"/>
  <c r="G143" i="4"/>
  <c r="H95" i="4"/>
  <c r="I168" i="4"/>
  <c r="G168" i="4"/>
  <c r="J103" i="4"/>
  <c r="H90" i="4"/>
  <c r="I90" i="4"/>
  <c r="K103" i="4"/>
  <c r="G95" i="4"/>
  <c r="J90" i="4"/>
  <c r="K95" i="4"/>
  <c r="G159" i="4"/>
  <c r="K166" i="4"/>
  <c r="H159" i="4"/>
  <c r="I159" i="4"/>
  <c r="J159" i="4"/>
  <c r="I103" i="4"/>
  <c r="J168" i="4"/>
  <c r="G166" i="4"/>
  <c r="J166" i="4"/>
  <c r="K159" i="4"/>
  <c r="H166" i="4"/>
  <c r="I166" i="4"/>
  <c r="I95" i="4" l="1"/>
  <c r="K143" i="4"/>
  <c r="K109" i="4"/>
  <c r="J109" i="4"/>
  <c r="J202" i="4"/>
  <c r="H202" i="4"/>
  <c r="I202" i="4"/>
  <c r="H109" i="4"/>
  <c r="H103" i="4"/>
  <c r="K168" i="4"/>
  <c r="G202" i="4"/>
  <c r="J92" i="4"/>
  <c r="J165" i="4"/>
  <c r="H92" i="4"/>
  <c r="H168" i="4"/>
  <c r="G103" i="4"/>
  <c r="J127" i="4" l="1"/>
  <c r="I123" i="4"/>
  <c r="I125" i="4"/>
  <c r="J105" i="4"/>
  <c r="K115" i="4"/>
  <c r="H129" i="4"/>
  <c r="G119" i="4"/>
  <c r="I127" i="4"/>
  <c r="K111" i="4"/>
  <c r="J146" i="4"/>
  <c r="J140" i="4"/>
  <c r="J148" i="4"/>
  <c r="K97" i="4"/>
  <c r="J128" i="4"/>
  <c r="G129" i="4"/>
  <c r="I163" i="4"/>
  <c r="J145" i="4"/>
  <c r="I154" i="4"/>
  <c r="H112" i="4"/>
  <c r="H125" i="4"/>
  <c r="I105" i="4"/>
  <c r="J97" i="4"/>
  <c r="G162" i="4"/>
  <c r="H173" i="4"/>
  <c r="K172" i="4"/>
  <c r="H163" i="4"/>
  <c r="K119" i="4"/>
  <c r="I111" i="4"/>
  <c r="K146" i="4"/>
  <c r="J123" i="4"/>
  <c r="H148" i="4"/>
  <c r="I178" i="4"/>
  <c r="J172" i="4"/>
  <c r="K129" i="4"/>
  <c r="I145" i="4"/>
  <c r="K112" i="4"/>
  <c r="H144" i="4"/>
  <c r="K161" i="4"/>
  <c r="I148" i="4"/>
  <c r="J178" i="4"/>
  <c r="I129" i="4"/>
  <c r="J163" i="4"/>
  <c r="G123" i="4"/>
  <c r="J144" i="4"/>
  <c r="J161" i="4"/>
  <c r="G173" i="4"/>
  <c r="J115" i="4"/>
  <c r="G111" i="4"/>
  <c r="G146" i="4"/>
  <c r="H154" i="4"/>
  <c r="H140" i="4"/>
  <c r="J82" i="4"/>
  <c r="G128" i="4"/>
  <c r="G125" i="4"/>
  <c r="G140" i="4"/>
  <c r="I161" i="4"/>
  <c r="G105" i="4"/>
  <c r="I97" i="4"/>
  <c r="H162" i="4"/>
  <c r="G115" i="4"/>
  <c r="I149" i="4"/>
  <c r="J129" i="4"/>
  <c r="K127" i="4"/>
  <c r="J111" i="4"/>
  <c r="K148" i="4"/>
  <c r="H128" i="4"/>
  <c r="H111" i="4"/>
  <c r="H145" i="4"/>
  <c r="G110" i="4"/>
  <c r="G154" i="4"/>
  <c r="J112" i="4"/>
  <c r="J125" i="4"/>
  <c r="I172" i="4"/>
  <c r="I115" i="4"/>
  <c r="J149" i="4"/>
  <c r="I128" i="4"/>
  <c r="H119" i="4"/>
  <c r="I112" i="4"/>
  <c r="I114" i="4"/>
  <c r="G97" i="4"/>
  <c r="K162" i="4"/>
  <c r="H149" i="4"/>
  <c r="G145" i="4"/>
  <c r="H146" i="4"/>
  <c r="H110" i="4"/>
  <c r="H123" i="4"/>
  <c r="K125" i="4"/>
  <c r="H161" i="4"/>
  <c r="K114" i="4"/>
  <c r="G148" i="4"/>
  <c r="H178" i="4"/>
  <c r="H115" i="4"/>
  <c r="K110" i="4"/>
  <c r="K154" i="4"/>
  <c r="K123" i="4"/>
  <c r="K140" i="4"/>
  <c r="K144" i="4"/>
  <c r="J114" i="4"/>
  <c r="H105" i="4"/>
  <c r="I162" i="4"/>
  <c r="H172" i="4"/>
  <c r="K149" i="4"/>
  <c r="J119" i="4"/>
  <c r="G127" i="4"/>
  <c r="I146" i="4"/>
  <c r="I110" i="4"/>
  <c r="G112" i="4"/>
  <c r="I140" i="4"/>
  <c r="H114" i="4"/>
  <c r="J162" i="4"/>
  <c r="K178" i="4"/>
  <c r="J173" i="4"/>
  <c r="I82" i="4"/>
  <c r="G163" i="4"/>
  <c r="K145" i="4"/>
  <c r="J110" i="4"/>
  <c r="G144" i="4"/>
  <c r="G161" i="4"/>
  <c r="G114" i="4"/>
  <c r="G178" i="4"/>
  <c r="I173" i="4"/>
  <c r="G172" i="4"/>
  <c r="K128" i="4"/>
  <c r="K163" i="4"/>
  <c r="I119" i="4"/>
  <c r="H127" i="4"/>
  <c r="J154" i="4"/>
  <c r="I144" i="4"/>
  <c r="K105" i="4"/>
  <c r="H97" i="4"/>
  <c r="K173" i="4"/>
  <c r="G149" i="4"/>
  <c r="H82" i="4"/>
  <c r="J176" i="4" l="1"/>
  <c r="J175" i="4"/>
  <c r="K176" i="4"/>
  <c r="K175" i="4"/>
  <c r="H175" i="4"/>
  <c r="H176" i="4"/>
  <c r="I176" i="4"/>
  <c r="I175" i="4"/>
  <c r="G82" i="4"/>
  <c r="K82" i="4"/>
  <c r="G176" i="4"/>
  <c r="G175" i="4"/>
  <c r="G107" i="4"/>
  <c r="G131" i="4"/>
  <c r="H150" i="4"/>
  <c r="I160" i="4"/>
  <c r="K167" i="4"/>
  <c r="I86" i="4"/>
  <c r="I106" i="4"/>
  <c r="I150" i="4"/>
  <c r="H160" i="4"/>
  <c r="I167" i="4"/>
  <c r="H108" i="4"/>
  <c r="H83" i="4"/>
  <c r="G86" i="4"/>
  <c r="H153" i="4"/>
  <c r="I99" i="4"/>
  <c r="I152" i="4"/>
  <c r="G150" i="4"/>
  <c r="K174" i="4"/>
  <c r="K124" i="4"/>
  <c r="J160" i="4"/>
  <c r="H98" i="4"/>
  <c r="G169" i="4"/>
  <c r="J150" i="4"/>
  <c r="K108" i="4"/>
  <c r="I83" i="4"/>
  <c r="I170" i="4"/>
  <c r="G124" i="4"/>
  <c r="G160" i="4"/>
  <c r="G98" i="4"/>
  <c r="G83" i="4"/>
  <c r="G99" i="4"/>
  <c r="I107" i="4"/>
  <c r="H152" i="4"/>
  <c r="H174" i="4"/>
  <c r="K160" i="4"/>
  <c r="H167" i="4"/>
  <c r="K98" i="4"/>
  <c r="K153" i="4"/>
  <c r="J99" i="4"/>
  <c r="K86" i="4"/>
  <c r="G170" i="4"/>
  <c r="K107" i="4"/>
  <c r="I169" i="4"/>
  <c r="G167" i="4"/>
  <c r="K170" i="4"/>
  <c r="K131" i="4"/>
  <c r="J124" i="4"/>
  <c r="G106" i="4"/>
  <c r="H131" i="4"/>
  <c r="J152" i="4"/>
  <c r="I174" i="4"/>
  <c r="H86" i="4"/>
  <c r="H170" i="4"/>
  <c r="H169" i="4"/>
  <c r="H124" i="4"/>
  <c r="I108" i="4"/>
  <c r="K83" i="4"/>
  <c r="H99" i="4"/>
  <c r="J153" i="4"/>
  <c r="J107" i="4"/>
  <c r="K150" i="4"/>
  <c r="I98" i="4"/>
  <c r="K169" i="4"/>
  <c r="K152" i="4"/>
  <c r="J108" i="4"/>
  <c r="J83" i="4"/>
  <c r="J169" i="4"/>
  <c r="J174" i="4"/>
  <c r="K106" i="4"/>
  <c r="G152" i="4"/>
  <c r="G174" i="4"/>
  <c r="J98" i="4"/>
  <c r="G153" i="4"/>
  <c r="K99" i="4"/>
  <c r="J86" i="4"/>
  <c r="I153" i="4"/>
  <c r="H106" i="4"/>
  <c r="I131" i="4"/>
  <c r="G108" i="4"/>
  <c r="J170" i="4"/>
  <c r="J106" i="4"/>
  <c r="H107" i="4"/>
  <c r="J131" i="4"/>
  <c r="I124" i="4"/>
  <c r="J167" i="4"/>
  <c r="I147" i="4" l="1"/>
  <c r="H102" i="4"/>
  <c r="H151" i="4"/>
  <c r="G135" i="4"/>
  <c r="J85" i="4"/>
  <c r="K139" i="4"/>
  <c r="H194" i="4"/>
  <c r="G130" i="4"/>
  <c r="K135" i="4"/>
  <c r="I88" i="4"/>
  <c r="K96" i="4"/>
  <c r="K91" i="4"/>
  <c r="J104" i="4"/>
  <c r="K102" i="4"/>
  <c r="K85" i="4"/>
  <c r="K142" i="4"/>
  <c r="I177" i="4"/>
  <c r="H158" i="4"/>
  <c r="K194" i="4"/>
  <c r="H135" i="4"/>
  <c r="I96" i="4"/>
  <c r="G102" i="4"/>
  <c r="G142" i="4"/>
  <c r="J158" i="4"/>
  <c r="J139" i="4"/>
  <c r="J135" i="4"/>
  <c r="K88" i="4"/>
  <c r="J91" i="4"/>
  <c r="K101" i="4"/>
  <c r="I134" i="4"/>
  <c r="G139" i="4"/>
  <c r="H130" i="4"/>
  <c r="K113" i="4"/>
  <c r="J102" i="4"/>
  <c r="H101" i="4"/>
  <c r="I142" i="4"/>
  <c r="G158" i="4"/>
  <c r="I130" i="4"/>
  <c r="G101" i="4"/>
  <c r="H147" i="4"/>
  <c r="I113" i="4"/>
  <c r="G138" i="4"/>
  <c r="I151" i="4"/>
  <c r="I136" i="4"/>
  <c r="J194" i="4"/>
  <c r="J130" i="4"/>
  <c r="G113" i="4"/>
  <c r="I85" i="4"/>
  <c r="H142" i="4"/>
  <c r="K151" i="4"/>
  <c r="J136" i="4"/>
  <c r="G147" i="4"/>
  <c r="I135" i="4"/>
  <c r="G164" i="4"/>
  <c r="G91" i="4"/>
  <c r="H104" i="4"/>
  <c r="I102" i="4"/>
  <c r="I101" i="4"/>
  <c r="G85" i="4"/>
  <c r="H134" i="4"/>
  <c r="K177" i="4"/>
  <c r="J147" i="4"/>
  <c r="I139" i="4"/>
  <c r="H88" i="4"/>
  <c r="J164" i="4"/>
  <c r="I104" i="4"/>
  <c r="I138" i="4"/>
  <c r="K136" i="4"/>
  <c r="K147" i="4"/>
  <c r="I194" i="4"/>
  <c r="I164" i="4"/>
  <c r="G104" i="4"/>
  <c r="J134" i="4"/>
  <c r="H113" i="4"/>
  <c r="J101" i="4"/>
  <c r="J177" i="4"/>
  <c r="H91" i="4"/>
  <c r="K104" i="4"/>
  <c r="G134" i="4"/>
  <c r="J138" i="4"/>
  <c r="J151" i="4"/>
  <c r="H136" i="4"/>
  <c r="I158" i="4"/>
  <c r="H139" i="4"/>
  <c r="G88" i="4"/>
  <c r="H164" i="4"/>
  <c r="J96" i="4"/>
  <c r="G177" i="4"/>
  <c r="K158" i="4"/>
  <c r="K130" i="4"/>
  <c r="J88" i="4"/>
  <c r="K164" i="4"/>
  <c r="J113" i="4"/>
  <c r="J142" i="4"/>
  <c r="K138" i="4"/>
  <c r="H177" i="4"/>
  <c r="G136" i="4"/>
  <c r="G194" i="4"/>
  <c r="H96" i="4"/>
  <c r="I91" i="4"/>
  <c r="H85" i="4"/>
  <c r="K134" i="4"/>
  <c r="H138" i="4"/>
  <c r="G151" i="4"/>
  <c r="G96" i="4"/>
  <c r="I100" i="4" l="1"/>
  <c r="K100" i="4"/>
  <c r="G100" i="4"/>
  <c r="H100" i="4"/>
  <c r="J100" i="4"/>
  <c r="J141" i="4" l="1"/>
  <c r="H141" i="4"/>
  <c r="I141" i="4"/>
  <c r="K141" i="4"/>
  <c r="G141" i="4"/>
  <c r="L14" i="8" l="1"/>
  <c r="L12" i="8"/>
  <c r="L13" i="8"/>
  <c r="L15" i="8"/>
  <c r="L17" i="8"/>
  <c r="L16" i="8"/>
  <c r="L19" i="8"/>
  <c r="L10" i="8"/>
  <c r="L9" i="8"/>
  <c r="I227" i="4"/>
  <c r="L18" i="8"/>
  <c r="L11" i="8"/>
  <c r="K9" i="8"/>
  <c r="K16" i="8"/>
  <c r="K10" i="8"/>
  <c r="H227" i="4"/>
  <c r="K12" i="8"/>
  <c r="K13" i="8"/>
  <c r="K19" i="8"/>
  <c r="K18" i="8"/>
  <c r="K11" i="8"/>
  <c r="K14" i="8"/>
  <c r="K17" i="8"/>
  <c r="K15" i="8"/>
  <c r="N11" i="8"/>
  <c r="N17" i="8"/>
  <c r="N16" i="8"/>
  <c r="K227" i="4"/>
  <c r="N9" i="8"/>
  <c r="N15" i="8"/>
  <c r="N10" i="8"/>
  <c r="N14" i="8"/>
  <c r="N18" i="8"/>
  <c r="N19" i="8"/>
  <c r="N13" i="8"/>
  <c r="N12" i="8"/>
  <c r="M18" i="8"/>
  <c r="M19" i="8"/>
  <c r="M14" i="8"/>
  <c r="J227" i="4"/>
  <c r="M10" i="8"/>
  <c r="M9" i="8"/>
  <c r="M15" i="8"/>
  <c r="M13" i="8"/>
  <c r="M17" i="8"/>
  <c r="M11" i="8"/>
  <c r="M12" i="8"/>
  <c r="M16" i="8"/>
  <c r="J15" i="8"/>
  <c r="J18" i="8"/>
  <c r="J9" i="8"/>
  <c r="J19" i="8"/>
  <c r="J12" i="8"/>
  <c r="J17" i="8"/>
  <c r="J13" i="8"/>
  <c r="J11" i="8"/>
  <c r="J10" i="8"/>
  <c r="J14" i="8"/>
  <c r="G227" i="4"/>
  <c r="J16" i="8"/>
  <c r="I22" i="5" l="1"/>
  <c r="I23" i="5"/>
  <c r="I25" i="5"/>
  <c r="I24" i="5"/>
  <c r="L23" i="5"/>
  <c r="L24" i="5"/>
  <c r="L22" i="5"/>
  <c r="L25" i="5"/>
  <c r="L20" i="5"/>
  <c r="M22" i="5"/>
  <c r="M25" i="5"/>
  <c r="M23" i="5"/>
  <c r="M24" i="5"/>
  <c r="M20" i="5"/>
  <c r="J25" i="5"/>
  <c r="J22" i="5"/>
  <c r="J23" i="5"/>
  <c r="J24" i="5"/>
  <c r="J20" i="5"/>
  <c r="K24" i="5"/>
  <c r="K23" i="5"/>
  <c r="K25" i="5"/>
  <c r="K22" i="5"/>
  <c r="K20" i="5"/>
  <c r="L141" i="5"/>
  <c r="M154" i="5"/>
  <c r="M186" i="5"/>
  <c r="M136" i="5"/>
  <c r="M149" i="5"/>
  <c r="M48" i="5"/>
  <c r="M45" i="5"/>
  <c r="M104" i="5"/>
  <c r="M163" i="5"/>
  <c r="M12" i="5"/>
  <c r="M54" i="5"/>
  <c r="M203" i="5"/>
  <c r="M185" i="5"/>
  <c r="M59" i="5"/>
  <c r="M264" i="5" s="1"/>
  <c r="M138" i="5"/>
  <c r="M134" i="5"/>
  <c r="M37" i="5"/>
  <c r="M167" i="5"/>
  <c r="M189" i="5"/>
  <c r="M32" i="5"/>
  <c r="M47" i="5"/>
  <c r="M88" i="5"/>
  <c r="M87" i="5"/>
  <c r="M196" i="5"/>
  <c r="M28" i="5"/>
  <c r="M89" i="5"/>
  <c r="M169" i="5"/>
  <c r="M93" i="5"/>
  <c r="M182" i="5"/>
  <c r="M60" i="5"/>
  <c r="M265" i="5" s="1"/>
  <c r="M109" i="5"/>
  <c r="M157" i="5"/>
  <c r="M187" i="5"/>
  <c r="M197" i="5"/>
  <c r="M72" i="5"/>
  <c r="M118" i="5"/>
  <c r="M135" i="5"/>
  <c r="M10" i="5"/>
  <c r="M178" i="5"/>
  <c r="M95" i="5"/>
  <c r="M21" i="5"/>
  <c r="M146" i="5"/>
  <c r="M120" i="5"/>
  <c r="M14" i="5"/>
  <c r="M119" i="5"/>
  <c r="M115" i="5"/>
  <c r="M165" i="5"/>
  <c r="M126" i="5"/>
  <c r="M71" i="5"/>
  <c r="M162" i="5"/>
  <c r="M174" i="5"/>
  <c r="M39" i="5"/>
  <c r="M113" i="5"/>
  <c r="M190" i="5"/>
  <c r="M173" i="5"/>
  <c r="M49" i="5"/>
  <c r="M33" i="5"/>
  <c r="M26" i="5"/>
  <c r="M30" i="5"/>
  <c r="M84" i="5"/>
  <c r="M103" i="5"/>
  <c r="M46" i="5"/>
  <c r="M122" i="5"/>
  <c r="M202" i="5"/>
  <c r="M130" i="5"/>
  <c r="M69" i="5"/>
  <c r="M35" i="5"/>
  <c r="M175" i="5"/>
  <c r="M61" i="5"/>
  <c r="M266" i="5" s="1"/>
  <c r="M34" i="5"/>
  <c r="M116" i="5"/>
  <c r="M193" i="5"/>
  <c r="M70" i="5"/>
  <c r="M78" i="5"/>
  <c r="M43" i="5"/>
  <c r="M105" i="5"/>
  <c r="M50" i="5"/>
  <c r="M9" i="5"/>
  <c r="M132" i="5"/>
  <c r="M144" i="5"/>
  <c r="M131" i="5"/>
  <c r="M77" i="5"/>
  <c r="M57" i="5"/>
  <c r="M183" i="5"/>
  <c r="M97" i="5"/>
  <c r="M129" i="5"/>
  <c r="M99" i="5"/>
  <c r="M151" i="5"/>
  <c r="M58" i="5"/>
  <c r="M263" i="5" s="1"/>
  <c r="M98" i="5"/>
  <c r="M201" i="5"/>
  <c r="M192" i="5"/>
  <c r="M102" i="5"/>
  <c r="M38" i="5"/>
  <c r="M121" i="5"/>
  <c r="M128" i="5"/>
  <c r="M158" i="5"/>
  <c r="M18" i="5"/>
  <c r="M13" i="5"/>
  <c r="M179" i="5"/>
  <c r="M123" i="5"/>
  <c r="M172" i="5"/>
  <c r="M15" i="5"/>
  <c r="M42" i="5"/>
  <c r="M44" i="5"/>
  <c r="M92" i="5"/>
  <c r="M117" i="5"/>
  <c r="N20" i="8"/>
  <c r="M137" i="5"/>
  <c r="M161" i="5"/>
  <c r="M62" i="5"/>
  <c r="M112" i="5"/>
  <c r="M125" i="5"/>
  <c r="M188" i="5"/>
  <c r="M159" i="5"/>
  <c r="M29" i="5"/>
  <c r="M86" i="5"/>
  <c r="M53" i="5"/>
  <c r="M194" i="5"/>
  <c r="M63" i="5"/>
  <c r="M145" i="5"/>
  <c r="M156" i="5"/>
  <c r="M74" i="5"/>
  <c r="M67" i="5"/>
  <c r="M191" i="5"/>
  <c r="M31" i="5"/>
  <c r="M17" i="5"/>
  <c r="M96" i="5"/>
  <c r="M83" i="5"/>
  <c r="M56" i="5"/>
  <c r="M11" i="5"/>
  <c r="M184" i="5"/>
  <c r="M148" i="5"/>
  <c r="M85" i="5"/>
  <c r="M107" i="5"/>
  <c r="M200" i="5"/>
  <c r="M124" i="5"/>
  <c r="M94" i="5"/>
  <c r="M73" i="5"/>
  <c r="M82" i="5"/>
  <c r="M40" i="5"/>
  <c r="M91" i="5"/>
  <c r="M164" i="5"/>
  <c r="M76" i="5"/>
  <c r="M65" i="5"/>
  <c r="M101" i="5"/>
  <c r="M75" i="5"/>
  <c r="M143" i="5"/>
  <c r="M177" i="5"/>
  <c r="M142" i="5"/>
  <c r="M52" i="5"/>
  <c r="M80" i="5"/>
  <c r="M176" i="5"/>
  <c r="M155" i="5"/>
  <c r="M16" i="5"/>
  <c r="M114" i="5"/>
  <c r="M140" i="5"/>
  <c r="M90" i="5"/>
  <c r="M66" i="5"/>
  <c r="M133" i="5"/>
  <c r="M106" i="5"/>
  <c r="M19" i="5"/>
  <c r="M108" i="5"/>
  <c r="M41" i="5"/>
  <c r="M171" i="5"/>
  <c r="M198" i="5"/>
  <c r="M139" i="5"/>
  <c r="M81" i="5"/>
  <c r="M180" i="5"/>
  <c r="M181" i="5"/>
  <c r="M68" i="5"/>
  <c r="M110" i="5"/>
  <c r="M127" i="5"/>
  <c r="M195" i="5"/>
  <c r="M55" i="5"/>
  <c r="M199" i="5"/>
  <c r="M404" i="5" s="1"/>
  <c r="M51" i="5"/>
  <c r="M150" i="5"/>
  <c r="M170" i="5"/>
  <c r="M36" i="5"/>
  <c r="M153" i="5"/>
  <c r="M168" i="5"/>
  <c r="M111" i="5"/>
  <c r="M160" i="5"/>
  <c r="M152" i="5"/>
  <c r="M147" i="5"/>
  <c r="M79" i="5"/>
  <c r="M166" i="5"/>
  <c r="M27" i="5"/>
  <c r="M64" i="5"/>
  <c r="M100" i="5"/>
  <c r="J19" i="5"/>
  <c r="J45" i="5"/>
  <c r="J180" i="5"/>
  <c r="J41" i="5"/>
  <c r="J65" i="5"/>
  <c r="K20" i="8"/>
  <c r="J184" i="5"/>
  <c r="J59" i="5"/>
  <c r="J264" i="5" s="1"/>
  <c r="J39" i="5"/>
  <c r="J78" i="5"/>
  <c r="J17" i="5"/>
  <c r="J18" i="5"/>
  <c r="J9" i="5"/>
  <c r="J190" i="5"/>
  <c r="J203" i="5"/>
  <c r="J68" i="5"/>
  <c r="J187" i="5"/>
  <c r="J36" i="5"/>
  <c r="J31" i="5"/>
  <c r="J75" i="5"/>
  <c r="J66" i="5"/>
  <c r="J186" i="5"/>
  <c r="J197" i="5"/>
  <c r="J84" i="5"/>
  <c r="J28" i="5"/>
  <c r="J195" i="5"/>
  <c r="J32" i="5"/>
  <c r="J47" i="5"/>
  <c r="J44" i="5"/>
  <c r="J49" i="5"/>
  <c r="J58" i="5"/>
  <c r="J263" i="5" s="1"/>
  <c r="J62" i="5"/>
  <c r="J79" i="5"/>
  <c r="J56" i="5"/>
  <c r="J185" i="5"/>
  <c r="J34" i="5"/>
  <c r="J183" i="5"/>
  <c r="J29" i="5"/>
  <c r="J13" i="5"/>
  <c r="J198" i="5"/>
  <c r="J48" i="5"/>
  <c r="J52" i="5"/>
  <c r="J182" i="5"/>
  <c r="J192" i="5"/>
  <c r="J55" i="5"/>
  <c r="J191" i="5"/>
  <c r="J35" i="5"/>
  <c r="J57" i="5"/>
  <c r="J63" i="5"/>
  <c r="J12" i="5"/>
  <c r="J21" i="5"/>
  <c r="J40" i="5"/>
  <c r="J72" i="5"/>
  <c r="J53" i="5"/>
  <c r="J54" i="5"/>
  <c r="J67" i="5"/>
  <c r="J69" i="5"/>
  <c r="J196" i="5"/>
  <c r="J188" i="5"/>
  <c r="J14" i="5"/>
  <c r="J27" i="5"/>
  <c r="J11" i="5"/>
  <c r="J77" i="5"/>
  <c r="J60" i="5"/>
  <c r="J265" i="5" s="1"/>
  <c r="J51" i="5"/>
  <c r="J74" i="5"/>
  <c r="J70" i="5"/>
  <c r="J71" i="5"/>
  <c r="J73" i="5"/>
  <c r="J37" i="5"/>
  <c r="J201" i="5"/>
  <c r="J189" i="5"/>
  <c r="J64" i="5"/>
  <c r="J199" i="5"/>
  <c r="J404" i="5" s="1"/>
  <c r="J61" i="5"/>
  <c r="J266" i="5" s="1"/>
  <c r="J16" i="5"/>
  <c r="J15" i="5"/>
  <c r="J30" i="5"/>
  <c r="J181" i="5"/>
  <c r="J193" i="5"/>
  <c r="J33" i="5"/>
  <c r="J81" i="5"/>
  <c r="J80" i="5"/>
  <c r="J179" i="5"/>
  <c r="J42" i="5"/>
  <c r="J76" i="5"/>
  <c r="J43" i="5"/>
  <c r="J50" i="5"/>
  <c r="J26" i="5"/>
  <c r="J38" i="5"/>
  <c r="J200" i="5"/>
  <c r="J89" i="5"/>
  <c r="J94" i="5"/>
  <c r="J171" i="5"/>
  <c r="J133" i="5"/>
  <c r="J132" i="5"/>
  <c r="J116" i="5"/>
  <c r="J157" i="5"/>
  <c r="J156" i="5"/>
  <c r="J93" i="5"/>
  <c r="J120" i="5"/>
  <c r="J87" i="5"/>
  <c r="J117" i="5"/>
  <c r="J137" i="5"/>
  <c r="J121" i="5"/>
  <c r="J118" i="5"/>
  <c r="J122" i="5"/>
  <c r="J155" i="5"/>
  <c r="J126" i="5"/>
  <c r="J95" i="5"/>
  <c r="J90" i="5"/>
  <c r="J166" i="5"/>
  <c r="J165" i="5"/>
  <c r="J159" i="5"/>
  <c r="J143" i="5"/>
  <c r="J109" i="5"/>
  <c r="J92" i="5"/>
  <c r="J168" i="5"/>
  <c r="J202" i="5"/>
  <c r="J103" i="5"/>
  <c r="J105" i="5"/>
  <c r="J173" i="5"/>
  <c r="J119" i="5"/>
  <c r="J82" i="5"/>
  <c r="J163" i="5"/>
  <c r="J125" i="5"/>
  <c r="J145" i="5"/>
  <c r="J172" i="5"/>
  <c r="J123" i="5"/>
  <c r="J112" i="5"/>
  <c r="J161" i="5"/>
  <c r="J154" i="5"/>
  <c r="J129" i="5"/>
  <c r="J128" i="5"/>
  <c r="J110" i="5"/>
  <c r="J146" i="5"/>
  <c r="J148" i="5"/>
  <c r="J114" i="5"/>
  <c r="J149" i="5"/>
  <c r="J115" i="5"/>
  <c r="J144" i="5"/>
  <c r="J127" i="5"/>
  <c r="J111" i="5"/>
  <c r="J162" i="5"/>
  <c r="J140" i="5"/>
  <c r="J97" i="5"/>
  <c r="J178" i="5"/>
  <c r="J160" i="5"/>
  <c r="J170" i="5"/>
  <c r="J124" i="5"/>
  <c r="J167" i="5"/>
  <c r="J107" i="5"/>
  <c r="J174" i="5"/>
  <c r="J131" i="5"/>
  <c r="J98" i="5"/>
  <c r="J153" i="5"/>
  <c r="J99" i="5"/>
  <c r="J175" i="5"/>
  <c r="J83" i="5"/>
  <c r="J108" i="5"/>
  <c r="J106" i="5"/>
  <c r="J176" i="5"/>
  <c r="J86" i="5"/>
  <c r="J169" i="5"/>
  <c r="J150" i="5"/>
  <c r="J152" i="5"/>
  <c r="J138" i="5"/>
  <c r="J177" i="5"/>
  <c r="J164" i="5"/>
  <c r="J130" i="5"/>
  <c r="J96" i="5"/>
  <c r="J142" i="5"/>
  <c r="J88" i="5"/>
  <c r="J104" i="5"/>
  <c r="J135" i="5"/>
  <c r="J102" i="5"/>
  <c r="J101" i="5"/>
  <c r="J139" i="5"/>
  <c r="J91" i="5"/>
  <c r="J158" i="5"/>
  <c r="J194" i="5"/>
  <c r="J136" i="5"/>
  <c r="J134" i="5"/>
  <c r="J113" i="5"/>
  <c r="J151" i="5"/>
  <c r="J85" i="5"/>
  <c r="J147" i="5"/>
  <c r="J100" i="5"/>
  <c r="L181" i="5"/>
  <c r="L33" i="5"/>
  <c r="L65" i="5"/>
  <c r="L39" i="5"/>
  <c r="L195" i="5"/>
  <c r="L37" i="5"/>
  <c r="L48" i="5"/>
  <c r="L47" i="5"/>
  <c r="L74" i="5"/>
  <c r="L201" i="5"/>
  <c r="L185" i="5"/>
  <c r="L182" i="5"/>
  <c r="L191" i="5"/>
  <c r="L187" i="5"/>
  <c r="L46" i="5"/>
  <c r="L10" i="5"/>
  <c r="L199" i="5"/>
  <c r="L404" i="5" s="1"/>
  <c r="L189" i="5"/>
  <c r="L30" i="5"/>
  <c r="L14" i="5"/>
  <c r="L43" i="5"/>
  <c r="L52" i="5"/>
  <c r="L68" i="5"/>
  <c r="L179" i="5"/>
  <c r="L180" i="5"/>
  <c r="L198" i="5"/>
  <c r="L78" i="5"/>
  <c r="L9" i="5"/>
  <c r="L16" i="5"/>
  <c r="L17" i="5"/>
  <c r="L32" i="5"/>
  <c r="L45" i="5"/>
  <c r="L81" i="5"/>
  <c r="L58" i="5"/>
  <c r="L263" i="5" s="1"/>
  <c r="L200" i="5"/>
  <c r="L60" i="5"/>
  <c r="L265" i="5" s="1"/>
  <c r="L197" i="5"/>
  <c r="L77" i="5"/>
  <c r="L71" i="5"/>
  <c r="L70" i="5"/>
  <c r="L49" i="5"/>
  <c r="L79" i="5"/>
  <c r="L203" i="5"/>
  <c r="L15" i="5"/>
  <c r="L73" i="5"/>
  <c r="M20" i="8"/>
  <c r="L64" i="5"/>
  <c r="L184" i="5"/>
  <c r="L12" i="5"/>
  <c r="L31" i="5"/>
  <c r="L54" i="5"/>
  <c r="L42" i="5"/>
  <c r="L55" i="5"/>
  <c r="L67" i="5"/>
  <c r="L36" i="5"/>
  <c r="L196" i="5"/>
  <c r="L186" i="5"/>
  <c r="L13" i="5"/>
  <c r="L11" i="5"/>
  <c r="L27" i="5"/>
  <c r="L26" i="5"/>
  <c r="L75" i="5"/>
  <c r="L50" i="5"/>
  <c r="L29" i="5"/>
  <c r="L21" i="5"/>
  <c r="L41" i="5"/>
  <c r="L35" i="5"/>
  <c r="L44" i="5"/>
  <c r="L183" i="5"/>
  <c r="L76" i="5"/>
  <c r="L53" i="5"/>
  <c r="L84" i="5"/>
  <c r="L63" i="5"/>
  <c r="L268" i="5" s="1"/>
  <c r="L40" i="5"/>
  <c r="L28" i="5"/>
  <c r="L18" i="5"/>
  <c r="L38" i="5"/>
  <c r="L61" i="5"/>
  <c r="L266" i="5" s="1"/>
  <c r="L80" i="5"/>
  <c r="L59" i="5"/>
  <c r="L264" i="5" s="1"/>
  <c r="L72" i="5"/>
  <c r="L57" i="5"/>
  <c r="L51" i="5"/>
  <c r="L69" i="5"/>
  <c r="L66" i="5"/>
  <c r="L193" i="5"/>
  <c r="L62" i="5"/>
  <c r="L188" i="5"/>
  <c r="L56" i="5"/>
  <c r="L19" i="5"/>
  <c r="L190" i="5"/>
  <c r="L34" i="5"/>
  <c r="L192" i="5"/>
  <c r="L94" i="5"/>
  <c r="L117" i="5"/>
  <c r="L156" i="5"/>
  <c r="L137" i="5"/>
  <c r="L89" i="5"/>
  <c r="L132" i="5"/>
  <c r="L126" i="5"/>
  <c r="L121" i="5"/>
  <c r="L171" i="5"/>
  <c r="L133" i="5"/>
  <c r="L118" i="5"/>
  <c r="L120" i="5"/>
  <c r="L157" i="5"/>
  <c r="L87" i="5"/>
  <c r="L122" i="5"/>
  <c r="L116" i="5"/>
  <c r="L93" i="5"/>
  <c r="L155" i="5"/>
  <c r="L103" i="5"/>
  <c r="L166" i="5"/>
  <c r="L168" i="5"/>
  <c r="L95" i="5"/>
  <c r="L143" i="5"/>
  <c r="L159" i="5"/>
  <c r="L90" i="5"/>
  <c r="L109" i="5"/>
  <c r="L202" i="5"/>
  <c r="L92" i="5"/>
  <c r="L165" i="5"/>
  <c r="L123" i="5"/>
  <c r="L146" i="5"/>
  <c r="L145" i="5"/>
  <c r="L110" i="5"/>
  <c r="L119" i="5"/>
  <c r="L97" i="5"/>
  <c r="L173" i="5"/>
  <c r="L140" i="5"/>
  <c r="L125" i="5"/>
  <c r="L82" i="5"/>
  <c r="L162" i="5"/>
  <c r="L105" i="5"/>
  <c r="L114" i="5"/>
  <c r="L128" i="5"/>
  <c r="L161" i="5"/>
  <c r="L129" i="5"/>
  <c r="L127" i="5"/>
  <c r="L178" i="5"/>
  <c r="L111" i="5"/>
  <c r="L112" i="5"/>
  <c r="L149" i="5"/>
  <c r="L148" i="5"/>
  <c r="L172" i="5"/>
  <c r="L115" i="5"/>
  <c r="L163" i="5"/>
  <c r="L144" i="5"/>
  <c r="L154" i="5"/>
  <c r="L107" i="5"/>
  <c r="L124" i="5"/>
  <c r="L153" i="5"/>
  <c r="L150" i="5"/>
  <c r="L98" i="5"/>
  <c r="L169" i="5"/>
  <c r="L131" i="5"/>
  <c r="L167" i="5"/>
  <c r="L160" i="5"/>
  <c r="L108" i="5"/>
  <c r="L175" i="5"/>
  <c r="L99" i="5"/>
  <c r="L174" i="5"/>
  <c r="L152" i="5"/>
  <c r="L106" i="5"/>
  <c r="L86" i="5"/>
  <c r="L170" i="5"/>
  <c r="L83" i="5"/>
  <c r="L176" i="5"/>
  <c r="L164" i="5"/>
  <c r="L134" i="5"/>
  <c r="L101" i="5"/>
  <c r="L194" i="5"/>
  <c r="L135" i="5"/>
  <c r="L151" i="5"/>
  <c r="L113" i="5"/>
  <c r="L147" i="5"/>
  <c r="L136" i="5"/>
  <c r="L142" i="5"/>
  <c r="L130" i="5"/>
  <c r="L177" i="5"/>
  <c r="L104" i="5"/>
  <c r="L102" i="5"/>
  <c r="L91" i="5"/>
  <c r="L88" i="5"/>
  <c r="L139" i="5"/>
  <c r="L85" i="5"/>
  <c r="L158" i="5"/>
  <c r="L96" i="5"/>
  <c r="L138" i="5"/>
  <c r="L100" i="5"/>
  <c r="J141" i="5"/>
  <c r="M141" i="5"/>
  <c r="K57" i="5"/>
  <c r="K60" i="5"/>
  <c r="K265" i="5" s="1"/>
  <c r="K39" i="5"/>
  <c r="K68" i="5"/>
  <c r="K203" i="5"/>
  <c r="K34" i="5"/>
  <c r="K35" i="5"/>
  <c r="K19" i="5"/>
  <c r="K11" i="5"/>
  <c r="K54" i="5"/>
  <c r="K45" i="5"/>
  <c r="K58" i="5"/>
  <c r="K263" i="5" s="1"/>
  <c r="K201" i="5"/>
  <c r="K44" i="5"/>
  <c r="K74" i="5"/>
  <c r="K47" i="5"/>
  <c r="K41" i="5"/>
  <c r="K179" i="5"/>
  <c r="K80" i="5"/>
  <c r="K32" i="5"/>
  <c r="K183" i="5"/>
  <c r="K51" i="5"/>
  <c r="K61" i="5"/>
  <c r="K266" i="5" s="1"/>
  <c r="K65" i="5"/>
  <c r="K180" i="5"/>
  <c r="K67" i="5"/>
  <c r="K33" i="5"/>
  <c r="K75" i="5"/>
  <c r="K84" i="5"/>
  <c r="K10" i="5"/>
  <c r="K15" i="5"/>
  <c r="K78" i="5"/>
  <c r="K55" i="5"/>
  <c r="K186" i="5"/>
  <c r="K59" i="5"/>
  <c r="K264" i="5" s="1"/>
  <c r="K48" i="5"/>
  <c r="K76" i="5"/>
  <c r="K79" i="5"/>
  <c r="K196" i="5"/>
  <c r="K64" i="5"/>
  <c r="K43" i="5"/>
  <c r="K192" i="5"/>
  <c r="K30" i="5"/>
  <c r="K187" i="5"/>
  <c r="K199" i="5"/>
  <c r="K404" i="5" s="1"/>
  <c r="K16" i="5"/>
  <c r="K46" i="5"/>
  <c r="K53" i="5"/>
  <c r="K12" i="5"/>
  <c r="K77" i="5"/>
  <c r="K182" i="5"/>
  <c r="K56" i="5"/>
  <c r="K40" i="5"/>
  <c r="K185" i="5"/>
  <c r="K62" i="5"/>
  <c r="K71" i="5"/>
  <c r="K184" i="5"/>
  <c r="K18" i="5"/>
  <c r="K27" i="5"/>
  <c r="K190" i="5"/>
  <c r="K73" i="5"/>
  <c r="K36" i="5"/>
  <c r="K66" i="5"/>
  <c r="K72" i="5"/>
  <c r="K198" i="5"/>
  <c r="K195" i="5"/>
  <c r="K200" i="5"/>
  <c r="K42" i="5"/>
  <c r="K70" i="5"/>
  <c r="K81" i="5"/>
  <c r="K29" i="5"/>
  <c r="K13" i="5"/>
  <c r="K52" i="5"/>
  <c r="K188" i="5"/>
  <c r="K14" i="5"/>
  <c r="K189" i="5"/>
  <c r="K9" i="5"/>
  <c r="K197" i="5"/>
  <c r="K31" i="5"/>
  <c r="K69" i="5"/>
  <c r="K38" i="5"/>
  <c r="K50" i="5"/>
  <c r="K181" i="5"/>
  <c r="K17" i="5"/>
  <c r="K28" i="5"/>
  <c r="K21" i="5"/>
  <c r="K26" i="5"/>
  <c r="L20" i="8"/>
  <c r="K63" i="5"/>
  <c r="K268" i="5" s="1"/>
  <c r="K191" i="5"/>
  <c r="K193" i="5"/>
  <c r="K37" i="5"/>
  <c r="K49" i="5"/>
  <c r="K171" i="5"/>
  <c r="K155" i="5"/>
  <c r="K137" i="5"/>
  <c r="K133" i="5"/>
  <c r="K87" i="5"/>
  <c r="K117" i="5"/>
  <c r="K118" i="5"/>
  <c r="K157" i="5"/>
  <c r="K94" i="5"/>
  <c r="K89" i="5"/>
  <c r="K116" i="5"/>
  <c r="K132" i="5"/>
  <c r="K122" i="5"/>
  <c r="K93" i="5"/>
  <c r="K121" i="5"/>
  <c r="K156" i="5"/>
  <c r="K126" i="5"/>
  <c r="K120" i="5"/>
  <c r="K103" i="5"/>
  <c r="K166" i="5"/>
  <c r="K159" i="5"/>
  <c r="K143" i="5"/>
  <c r="K90" i="5"/>
  <c r="K92" i="5"/>
  <c r="K109" i="5"/>
  <c r="K168" i="5"/>
  <c r="K165" i="5"/>
  <c r="K202" i="5"/>
  <c r="K95" i="5"/>
  <c r="K173" i="5"/>
  <c r="K111" i="5"/>
  <c r="K178" i="5"/>
  <c r="K146" i="5"/>
  <c r="K149" i="5"/>
  <c r="K125" i="5"/>
  <c r="K123" i="5"/>
  <c r="K163" i="5"/>
  <c r="K128" i="5"/>
  <c r="K127" i="5"/>
  <c r="K119" i="5"/>
  <c r="K114" i="5"/>
  <c r="K82" i="5"/>
  <c r="K172" i="5"/>
  <c r="K110" i="5"/>
  <c r="K144" i="5"/>
  <c r="K129" i="5"/>
  <c r="K161" i="5"/>
  <c r="K162" i="5"/>
  <c r="K97" i="5"/>
  <c r="K112" i="5"/>
  <c r="K145" i="5"/>
  <c r="K140" i="5"/>
  <c r="K148" i="5"/>
  <c r="K154" i="5"/>
  <c r="K105" i="5"/>
  <c r="K115" i="5"/>
  <c r="K106" i="5"/>
  <c r="K152" i="5"/>
  <c r="K169" i="5"/>
  <c r="K174" i="5"/>
  <c r="K124" i="5"/>
  <c r="K83" i="5"/>
  <c r="K160" i="5"/>
  <c r="K86" i="5"/>
  <c r="K107" i="5"/>
  <c r="K153" i="5"/>
  <c r="K175" i="5"/>
  <c r="K108" i="5"/>
  <c r="K99" i="5"/>
  <c r="K131" i="5"/>
  <c r="K170" i="5"/>
  <c r="K150" i="5"/>
  <c r="K176" i="5"/>
  <c r="K167" i="5"/>
  <c r="K98" i="5"/>
  <c r="K177" i="5"/>
  <c r="K164" i="5"/>
  <c r="K142" i="5"/>
  <c r="K85" i="5"/>
  <c r="K138" i="5"/>
  <c r="K135" i="5"/>
  <c r="K91" i="5"/>
  <c r="K139" i="5"/>
  <c r="K147" i="5"/>
  <c r="K194" i="5"/>
  <c r="K151" i="5"/>
  <c r="K102" i="5"/>
  <c r="K104" i="5"/>
  <c r="K136" i="5"/>
  <c r="K130" i="5"/>
  <c r="K113" i="5"/>
  <c r="K134" i="5"/>
  <c r="K96" i="5"/>
  <c r="K101" i="5"/>
  <c r="K158" i="5"/>
  <c r="K88" i="5"/>
  <c r="K100" i="5"/>
  <c r="K141" i="5"/>
  <c r="I141" i="5"/>
  <c r="I46" i="5"/>
  <c r="I21" i="5"/>
  <c r="I18" i="5"/>
  <c r="I75" i="5"/>
  <c r="I200" i="5"/>
  <c r="I62" i="5"/>
  <c r="I190" i="5"/>
  <c r="I51" i="5"/>
  <c r="I50" i="5"/>
  <c r="I201" i="5"/>
  <c r="I69" i="5"/>
  <c r="I49" i="5"/>
  <c r="I52" i="5"/>
  <c r="I188" i="5"/>
  <c r="I45" i="5"/>
  <c r="I184" i="5"/>
  <c r="I192" i="5"/>
  <c r="I20" i="5"/>
  <c r="I19" i="5"/>
  <c r="I17" i="5"/>
  <c r="I10" i="5"/>
  <c r="I189" i="5"/>
  <c r="I183" i="5"/>
  <c r="I40" i="5"/>
  <c r="I55" i="5"/>
  <c r="I203" i="5"/>
  <c r="I186" i="5"/>
  <c r="I32" i="5"/>
  <c r="I79" i="5"/>
  <c r="I9" i="5"/>
  <c r="I42" i="5"/>
  <c r="I199" i="5"/>
  <c r="I404" i="5" s="1"/>
  <c r="I57" i="5"/>
  <c r="I11" i="5"/>
  <c r="I13" i="5"/>
  <c r="I64" i="5"/>
  <c r="I35" i="5"/>
  <c r="I63" i="5"/>
  <c r="I41" i="5"/>
  <c r="I72" i="5"/>
  <c r="I197" i="5"/>
  <c r="I44" i="5"/>
  <c r="I43" i="5"/>
  <c r="I58" i="5"/>
  <c r="I263" i="5" s="1"/>
  <c r="I39" i="5"/>
  <c r="I73" i="5"/>
  <c r="I179" i="5"/>
  <c r="I36" i="5"/>
  <c r="I29" i="5"/>
  <c r="I47" i="5"/>
  <c r="I84" i="5"/>
  <c r="I33" i="5"/>
  <c r="I68" i="5"/>
  <c r="I182" i="5"/>
  <c r="I74" i="5"/>
  <c r="I60" i="5"/>
  <c r="I265" i="5" s="1"/>
  <c r="I71" i="5"/>
  <c r="I59" i="5"/>
  <c r="I264" i="5" s="1"/>
  <c r="I34" i="5"/>
  <c r="I65" i="5"/>
  <c r="I53" i="5"/>
  <c r="I180" i="5"/>
  <c r="I38" i="5"/>
  <c r="I81" i="5"/>
  <c r="I26" i="5"/>
  <c r="I12" i="5"/>
  <c r="I78" i="5"/>
  <c r="I70" i="5"/>
  <c r="I54" i="5"/>
  <c r="I80" i="5"/>
  <c r="I14" i="5"/>
  <c r="I27" i="5"/>
  <c r="I30" i="5"/>
  <c r="I196" i="5"/>
  <c r="I191" i="5"/>
  <c r="I198" i="5"/>
  <c r="I185" i="5"/>
  <c r="I31" i="5"/>
  <c r="I56" i="5"/>
  <c r="I16" i="5"/>
  <c r="I181" i="5"/>
  <c r="I28" i="5"/>
  <c r="I15" i="5"/>
  <c r="I77" i="5"/>
  <c r="I48" i="5"/>
  <c r="I37" i="5"/>
  <c r="I76" i="5"/>
  <c r="I193" i="5"/>
  <c r="I66" i="5"/>
  <c r="J20" i="8"/>
  <c r="I187" i="5"/>
  <c r="I67" i="5"/>
  <c r="I195" i="5"/>
  <c r="I61" i="5"/>
  <c r="I266" i="5" s="1"/>
  <c r="I118" i="5"/>
  <c r="I155" i="5"/>
  <c r="I117" i="5"/>
  <c r="I87" i="5"/>
  <c r="I93" i="5"/>
  <c r="I126" i="5"/>
  <c r="I116" i="5"/>
  <c r="I133" i="5"/>
  <c r="I137" i="5"/>
  <c r="I157" i="5"/>
  <c r="I122" i="5"/>
  <c r="I94" i="5"/>
  <c r="I132" i="5"/>
  <c r="I171" i="5"/>
  <c r="I120" i="5"/>
  <c r="I156" i="5"/>
  <c r="I89" i="5"/>
  <c r="I121" i="5"/>
  <c r="I166" i="5"/>
  <c r="I143" i="5"/>
  <c r="I109" i="5"/>
  <c r="I92" i="5"/>
  <c r="I168" i="5"/>
  <c r="I159" i="5"/>
  <c r="I165" i="5"/>
  <c r="I95" i="5"/>
  <c r="I90" i="5"/>
  <c r="I202" i="5"/>
  <c r="I103" i="5"/>
  <c r="I148" i="5"/>
  <c r="I125" i="5"/>
  <c r="I145" i="5"/>
  <c r="I119" i="5"/>
  <c r="I144" i="5"/>
  <c r="I114" i="5"/>
  <c r="I111" i="5"/>
  <c r="I129" i="5"/>
  <c r="I115" i="5"/>
  <c r="I173" i="5"/>
  <c r="I112" i="5"/>
  <c r="I161" i="5"/>
  <c r="I127" i="5"/>
  <c r="I140" i="5"/>
  <c r="I97" i="5"/>
  <c r="I178" i="5"/>
  <c r="I110" i="5"/>
  <c r="I128" i="5"/>
  <c r="I105" i="5"/>
  <c r="I172" i="5"/>
  <c r="I146" i="5"/>
  <c r="I162" i="5"/>
  <c r="I154" i="5"/>
  <c r="I149" i="5"/>
  <c r="I163" i="5"/>
  <c r="I123" i="5"/>
  <c r="I98" i="5"/>
  <c r="I153" i="5"/>
  <c r="I175" i="5"/>
  <c r="I86" i="5"/>
  <c r="I169" i="5"/>
  <c r="I160" i="5"/>
  <c r="I124" i="5"/>
  <c r="I131" i="5"/>
  <c r="I174" i="5"/>
  <c r="I106" i="5"/>
  <c r="I82" i="5"/>
  <c r="I83" i="5"/>
  <c r="I167" i="5"/>
  <c r="I99" i="5"/>
  <c r="I108" i="5"/>
  <c r="I150" i="5"/>
  <c r="I176" i="5"/>
  <c r="I170" i="5"/>
  <c r="I107" i="5"/>
  <c r="I152" i="5"/>
  <c r="I101" i="5"/>
  <c r="I139" i="5"/>
  <c r="I194" i="5"/>
  <c r="I85" i="5"/>
  <c r="I142" i="5"/>
  <c r="I177" i="5"/>
  <c r="I164" i="5"/>
  <c r="I147" i="5"/>
  <c r="I135" i="5"/>
  <c r="I134" i="5"/>
  <c r="I130" i="5"/>
  <c r="I158" i="5"/>
  <c r="I136" i="5"/>
  <c r="I104" i="5"/>
  <c r="I138" i="5"/>
  <c r="I113" i="5"/>
  <c r="I102" i="5"/>
  <c r="I88" i="5"/>
  <c r="I96" i="5"/>
  <c r="I91" i="5"/>
  <c r="I151" i="5"/>
  <c r="I100" i="5"/>
  <c r="M204" i="5" l="1"/>
  <c r="K23" i="18" s="1"/>
  <c r="K85" i="18" s="1"/>
  <c r="N26" i="8"/>
  <c r="N32" i="8" s="1"/>
  <c r="M26" i="8"/>
  <c r="J27" i="16" s="1"/>
  <c r="L204" i="5"/>
  <c r="L26" i="8"/>
  <c r="I28" i="16" s="1"/>
  <c r="K204" i="5"/>
  <c r="J204" i="5"/>
  <c r="K26" i="8"/>
  <c r="K35" i="16"/>
  <c r="K31" i="16"/>
  <c r="K29" i="16"/>
  <c r="K95" i="16" s="1"/>
  <c r="K22" i="18"/>
  <c r="K84" i="18" s="1"/>
  <c r="K30" i="16"/>
  <c r="K96" i="16" s="1"/>
  <c r="K18" i="18"/>
  <c r="K80" i="18" s="1"/>
  <c r="K15" i="18"/>
  <c r="K77" i="18" s="1"/>
  <c r="M210" i="5"/>
  <c r="Q39" i="27" s="1"/>
  <c r="I204" i="5"/>
  <c r="J26" i="8"/>
  <c r="G27" i="16" s="1"/>
  <c r="K19" i="18" l="1"/>
  <c r="K81" i="18" s="1"/>
  <c r="K21" i="18"/>
  <c r="K83" i="18" s="1"/>
  <c r="K13" i="18"/>
  <c r="K75" i="18" s="1"/>
  <c r="K34" i="16"/>
  <c r="K100" i="16" s="1"/>
  <c r="U13" i="32" s="1"/>
  <c r="U45" i="32" s="1" a="1"/>
  <c r="U45" i="32" s="1"/>
  <c r="K27" i="16"/>
  <c r="K93" i="16" s="1"/>
  <c r="K33" i="16"/>
  <c r="K99" i="16" s="1"/>
  <c r="U12" i="32" s="1"/>
  <c r="U44" i="32" s="1" a="1"/>
  <c r="U44" i="32" s="1"/>
  <c r="K28" i="16"/>
  <c r="K94" i="16" s="1"/>
  <c r="K20" i="18"/>
  <c r="K82" i="18" s="1"/>
  <c r="K32" i="16"/>
  <c r="K14" i="18"/>
  <c r="K76" i="18" s="1"/>
  <c r="J28" i="16"/>
  <c r="J94" i="16" s="1"/>
  <c r="J35" i="16"/>
  <c r="G21" i="18"/>
  <c r="G83" i="18" s="1"/>
  <c r="G28" i="16"/>
  <c r="G94" i="16" s="1"/>
  <c r="G34" i="16"/>
  <c r="G100" i="16" s="1"/>
  <c r="J33" i="16"/>
  <c r="J99" i="16" s="1"/>
  <c r="J13" i="18"/>
  <c r="J75" i="18" s="1"/>
  <c r="K17" i="18"/>
  <c r="K79" i="18" s="1"/>
  <c r="I21" i="18"/>
  <c r="I83" i="18" s="1"/>
  <c r="J32" i="16"/>
  <c r="J98" i="16" s="1"/>
  <c r="J34" i="16"/>
  <c r="J100" i="16" s="1"/>
  <c r="G29" i="16"/>
  <c r="G95" i="16" s="1"/>
  <c r="G23" i="18"/>
  <c r="G85" i="18" s="1"/>
  <c r="H22" i="18"/>
  <c r="H84" i="18" s="1"/>
  <c r="J20" i="18"/>
  <c r="J82" i="18" s="1"/>
  <c r="H14" i="18"/>
  <c r="H76" i="18" s="1"/>
  <c r="H19" i="18"/>
  <c r="H81" i="18" s="1"/>
  <c r="J19" i="18"/>
  <c r="J81" i="18" s="1"/>
  <c r="J15" i="18"/>
  <c r="J77" i="18" s="1"/>
  <c r="J32" i="8"/>
  <c r="U9" i="32"/>
  <c r="U40" i="32" s="1" a="1"/>
  <c r="U8" i="32"/>
  <c r="U43" i="32" s="1" a="1"/>
  <c r="H35" i="16"/>
  <c r="H33" i="16"/>
  <c r="H28" i="16"/>
  <c r="H27" i="16"/>
  <c r="H34" i="16"/>
  <c r="H31" i="16"/>
  <c r="H30" i="16"/>
  <c r="K32" i="8"/>
  <c r="H32" i="16"/>
  <c r="I94" i="16"/>
  <c r="H23" i="18"/>
  <c r="H85" i="18" s="1"/>
  <c r="H18" i="18"/>
  <c r="H80" i="18" s="1"/>
  <c r="J210" i="5"/>
  <c r="N39" i="27" s="1"/>
  <c r="H13" i="18"/>
  <c r="H75" i="18" s="1"/>
  <c r="H21" i="18"/>
  <c r="H83" i="18" s="1"/>
  <c r="H20" i="18"/>
  <c r="H82" i="18" s="1"/>
  <c r="H15" i="18"/>
  <c r="H77" i="18" s="1"/>
  <c r="J93" i="16"/>
  <c r="H29" i="16"/>
  <c r="K97" i="16"/>
  <c r="K47" i="16"/>
  <c r="K63" i="16" s="1"/>
  <c r="K210" i="5"/>
  <c r="O39" i="27" s="1"/>
  <c r="J51" i="16"/>
  <c r="J67" i="16" s="1"/>
  <c r="J101" i="16"/>
  <c r="J117" i="16" s="1"/>
  <c r="J133" i="16" s="1"/>
  <c r="J30" i="16"/>
  <c r="I15" i="18"/>
  <c r="I77" i="18" s="1"/>
  <c r="I18" i="18"/>
  <c r="I80" i="18" s="1"/>
  <c r="K51" i="16"/>
  <c r="K67" i="16" s="1"/>
  <c r="K101" i="16"/>
  <c r="K117" i="16" s="1"/>
  <c r="K133" i="16" s="1"/>
  <c r="L32" i="8"/>
  <c r="J29" i="16"/>
  <c r="I19" i="18"/>
  <c r="I81" i="18" s="1"/>
  <c r="I34" i="16"/>
  <c r="K98" i="16"/>
  <c r="K48" i="16"/>
  <c r="K64" i="16" s="1"/>
  <c r="J31" i="16"/>
  <c r="M32" i="8"/>
  <c r="I22" i="18"/>
  <c r="I84" i="18" s="1"/>
  <c r="I27" i="16"/>
  <c r="I33" i="16"/>
  <c r="J23" i="18"/>
  <c r="I31" i="16"/>
  <c r="I35" i="16"/>
  <c r="I14" i="18"/>
  <c r="I76" i="18" s="1"/>
  <c r="I32" i="16"/>
  <c r="I29" i="16"/>
  <c r="J22" i="18"/>
  <c r="J84" i="18" s="1"/>
  <c r="J21" i="18"/>
  <c r="J83" i="18" s="1"/>
  <c r="L210" i="5"/>
  <c r="P39" i="27" s="1"/>
  <c r="I23" i="18"/>
  <c r="I85" i="18" s="1"/>
  <c r="I13" i="18"/>
  <c r="I75" i="18" s="1"/>
  <c r="J14" i="18"/>
  <c r="J76" i="18" s="1"/>
  <c r="J18" i="18"/>
  <c r="J80" i="18" s="1"/>
  <c r="I20" i="18"/>
  <c r="I82" i="18" s="1"/>
  <c r="I30" i="16"/>
  <c r="G15" i="18"/>
  <c r="G77" i="18" s="1"/>
  <c r="G32" i="16"/>
  <c r="G98" i="16" s="1"/>
  <c r="G93" i="16"/>
  <c r="G14" i="18"/>
  <c r="G76" i="18" s="1"/>
  <c r="G22" i="18"/>
  <c r="G84" i="18" s="1"/>
  <c r="G13" i="18"/>
  <c r="G75" i="18" s="1"/>
  <c r="G19" i="18"/>
  <c r="G81" i="18" s="1"/>
  <c r="G20" i="18"/>
  <c r="G82" i="18" s="1"/>
  <c r="G18" i="18"/>
  <c r="G80" i="18" s="1"/>
  <c r="G31" i="16"/>
  <c r="G30" i="16"/>
  <c r="G33" i="16"/>
  <c r="I210" i="5"/>
  <c r="M39" i="27" s="1"/>
  <c r="G35" i="16"/>
  <c r="K38" i="16" l="1"/>
  <c r="S26" i="22" s="1"/>
  <c r="S45" i="22" s="1"/>
  <c r="S47" i="22" s="1"/>
  <c r="S12" i="22" s="1"/>
  <c r="S27" i="22" s="1"/>
  <c r="G17" i="18"/>
  <c r="G79" i="18" s="1"/>
  <c r="J48" i="16"/>
  <c r="J64" i="16" s="1"/>
  <c r="G48" i="16"/>
  <c r="G64" i="16" s="1"/>
  <c r="J38" i="16"/>
  <c r="H99" i="16"/>
  <c r="U40" i="32"/>
  <c r="U60" i="32" s="1"/>
  <c r="U78" i="32"/>
  <c r="I51" i="16"/>
  <c r="I67" i="16" s="1"/>
  <c r="I101" i="16"/>
  <c r="I117" i="16" s="1"/>
  <c r="I133" i="16" s="1"/>
  <c r="H48" i="16"/>
  <c r="H64" i="16" s="1"/>
  <c r="H98" i="16"/>
  <c r="H95" i="16"/>
  <c r="I96" i="16"/>
  <c r="I97" i="16"/>
  <c r="I47" i="16"/>
  <c r="I63" i="16" s="1"/>
  <c r="J97" i="16"/>
  <c r="J47" i="16"/>
  <c r="J63" i="16" s="1"/>
  <c r="T7" i="32"/>
  <c r="T42" i="32" s="1" a="1"/>
  <c r="H51" i="16"/>
  <c r="H67" i="16" s="1"/>
  <c r="H101" i="16"/>
  <c r="H117" i="16" s="1"/>
  <c r="H133" i="16" s="1"/>
  <c r="U7" i="32"/>
  <c r="U42" i="32" s="1" a="1"/>
  <c r="K104" i="16"/>
  <c r="S31" i="22" s="1"/>
  <c r="J85" i="18"/>
  <c r="J17" i="18"/>
  <c r="J79" i="18" s="1"/>
  <c r="T13" i="32"/>
  <c r="S8" i="32"/>
  <c r="S43" i="32" s="1" a="1"/>
  <c r="I95" i="16"/>
  <c r="I17" i="18"/>
  <c r="I79" i="18" s="1"/>
  <c r="T12" i="32"/>
  <c r="T44" i="32" s="1" a="1"/>
  <c r="T44" i="32" s="1"/>
  <c r="H96" i="16"/>
  <c r="K39" i="16"/>
  <c r="J95" i="16"/>
  <c r="I98" i="16"/>
  <c r="I48" i="16"/>
  <c r="I64" i="16" s="1"/>
  <c r="U11" i="32"/>
  <c r="U47" i="32" s="1" a="1"/>
  <c r="K114" i="16"/>
  <c r="K130" i="16" s="1"/>
  <c r="H17" i="18"/>
  <c r="H79" i="18" s="1"/>
  <c r="H97" i="16"/>
  <c r="H47" i="16"/>
  <c r="H63" i="16" s="1"/>
  <c r="H100" i="16"/>
  <c r="U20" i="32"/>
  <c r="U55" i="32" s="1"/>
  <c r="U73" i="32" s="1"/>
  <c r="U43" i="32"/>
  <c r="U63" i="32" s="1"/>
  <c r="U80" i="32"/>
  <c r="T11" i="32"/>
  <c r="T47" i="32" s="1" a="1"/>
  <c r="J114" i="16"/>
  <c r="J130" i="16" s="1"/>
  <c r="I99" i="16"/>
  <c r="H93" i="16"/>
  <c r="H38" i="16"/>
  <c r="P26" i="22" s="1"/>
  <c r="P45" i="22" s="1"/>
  <c r="I100" i="16"/>
  <c r="I93" i="16"/>
  <c r="I38" i="16"/>
  <c r="Q26" i="22" s="1"/>
  <c r="Q45" i="22" s="1"/>
  <c r="J96" i="16"/>
  <c r="U10" i="32"/>
  <c r="U46" i="32" s="1" a="1"/>
  <c r="K113" i="16"/>
  <c r="K129" i="16" s="1"/>
  <c r="H94" i="16"/>
  <c r="T8" i="32"/>
  <c r="T43" i="32" s="1" a="1"/>
  <c r="G96" i="16"/>
  <c r="G97" i="16"/>
  <c r="G47" i="16"/>
  <c r="G63" i="16" s="1"/>
  <c r="Q13" i="32"/>
  <c r="Q45" i="32" s="1" a="1"/>
  <c r="G51" i="16"/>
  <c r="G67" i="16" s="1"/>
  <c r="G101" i="16"/>
  <c r="G117" i="16" s="1"/>
  <c r="G133" i="16" s="1"/>
  <c r="Q8" i="32"/>
  <c r="Q43" i="32" s="1" a="1"/>
  <c r="Q9" i="32"/>
  <c r="Q40" i="32" s="1" a="1"/>
  <c r="Q11" i="32"/>
  <c r="Q47" i="32" s="1" a="1"/>
  <c r="G114" i="16"/>
  <c r="G130" i="16" s="1"/>
  <c r="Q7" i="32"/>
  <c r="Q42" i="32" s="1" a="1"/>
  <c r="G99" i="16"/>
  <c r="G38" i="16"/>
  <c r="O26" i="22" s="1"/>
  <c r="O45" i="22" s="1"/>
  <c r="T45" i="32" l="1" a="1"/>
  <c r="T45" i="32" s="1"/>
  <c r="J39" i="16"/>
  <c r="R26" i="22"/>
  <c r="G104" i="16"/>
  <c r="O31" i="22" s="1"/>
  <c r="S7" i="32"/>
  <c r="S42" i="32" s="1" a="1"/>
  <c r="I104" i="16"/>
  <c r="Q31" i="22" s="1"/>
  <c r="S12" i="32"/>
  <c r="R13" i="32"/>
  <c r="S11" i="32"/>
  <c r="S47" i="32" s="1" a="1"/>
  <c r="I114" i="16"/>
  <c r="I130" i="16" s="1"/>
  <c r="S10" i="32"/>
  <c r="S46" i="32" s="1" a="1"/>
  <c r="I113" i="16"/>
  <c r="I129" i="16" s="1"/>
  <c r="R8" i="32"/>
  <c r="U81" i="32"/>
  <c r="U46" i="32"/>
  <c r="U64" i="32" s="1"/>
  <c r="S13" i="32"/>
  <c r="S45" i="32" s="1" a="1"/>
  <c r="S45" i="32" s="1"/>
  <c r="R10" i="32"/>
  <c r="R46" i="32" s="1" a="1"/>
  <c r="H113" i="16"/>
  <c r="H129" i="16" s="1"/>
  <c r="S20" i="22"/>
  <c r="S32" i="22" s="1"/>
  <c r="S9" i="32"/>
  <c r="S40" i="32" s="1" a="1"/>
  <c r="T9" i="32"/>
  <c r="T40" i="32" s="1" a="1"/>
  <c r="J104" i="16"/>
  <c r="R31" i="22" s="1"/>
  <c r="T47" i="32"/>
  <c r="T65" i="32" s="1"/>
  <c r="T82" i="32"/>
  <c r="T79" i="32"/>
  <c r="T42" i="32"/>
  <c r="R9" i="32"/>
  <c r="R40" i="32" s="1" a="1"/>
  <c r="R12" i="32"/>
  <c r="R44" i="32" s="1" a="1"/>
  <c r="R44" i="32" s="1"/>
  <c r="T80" i="32"/>
  <c r="T20" i="32"/>
  <c r="T55" i="32" s="1"/>
  <c r="T73" i="32" s="1"/>
  <c r="T43" i="32"/>
  <c r="T63" i="32" s="1"/>
  <c r="P47" i="22"/>
  <c r="P12" i="22" s="1"/>
  <c r="P27" i="22" s="1"/>
  <c r="H39" i="16"/>
  <c r="R11" i="32"/>
  <c r="R47" i="32" s="1" a="1"/>
  <c r="H114" i="16"/>
  <c r="H130" i="16" s="1"/>
  <c r="I39" i="16"/>
  <c r="Q47" i="22"/>
  <c r="Q12" i="22" s="1"/>
  <c r="Q27" i="22" s="1"/>
  <c r="R7" i="32"/>
  <c r="H104" i="16"/>
  <c r="P31" i="22" s="1"/>
  <c r="U47" i="32"/>
  <c r="U65" i="32" s="1"/>
  <c r="U82" i="32"/>
  <c r="S20" i="32"/>
  <c r="S55" i="32" s="1"/>
  <c r="S73" i="32" s="1"/>
  <c r="S80" i="32"/>
  <c r="S43" i="32"/>
  <c r="S63" i="32" s="1"/>
  <c r="U79" i="32"/>
  <c r="U42" i="32"/>
  <c r="U62" i="32" s="1"/>
  <c r="T10" i="32"/>
  <c r="T46" i="32" s="1" a="1"/>
  <c r="J113" i="16"/>
  <c r="J129" i="16" s="1"/>
  <c r="Q47" i="32"/>
  <c r="Q82" i="32"/>
  <c r="Q45" i="32"/>
  <c r="Q40" i="32"/>
  <c r="Q20" i="32"/>
  <c r="Q80" i="32"/>
  <c r="Q43" i="32"/>
  <c r="Q10" i="32"/>
  <c r="Q46" i="32" s="1" a="1"/>
  <c r="G113" i="16"/>
  <c r="G129" i="16" s="1"/>
  <c r="Q42" i="32"/>
  <c r="Q79" i="32"/>
  <c r="O47" i="22"/>
  <c r="O12" i="22" s="1"/>
  <c r="O27" i="22" s="1"/>
  <c r="G39" i="16"/>
  <c r="Q12" i="32"/>
  <c r="R45" i="22" l="1"/>
  <c r="R47" i="22" s="1"/>
  <c r="R12" i="22" s="1"/>
  <c r="Q78" i="32"/>
  <c r="Q44" i="32" a="1"/>
  <c r="T62" i="32"/>
  <c r="V7" i="32"/>
  <c r="R42" i="32" a="1"/>
  <c r="R45" i="32" a="1"/>
  <c r="R45" i="32" s="1"/>
  <c r="V45" i="32" s="1"/>
  <c r="V8" i="32"/>
  <c r="R43" i="32" a="1"/>
  <c r="R43" i="32" s="1"/>
  <c r="R63" i="32" s="1"/>
  <c r="S44" i="32" a="1"/>
  <c r="S44" i="32" s="1"/>
  <c r="V9" i="32"/>
  <c r="V13" i="32"/>
  <c r="R80" i="32"/>
  <c r="V80" i="32" s="1"/>
  <c r="R20" i="32"/>
  <c r="R55" i="32" s="1"/>
  <c r="R73" i="32" s="1"/>
  <c r="R81" i="32"/>
  <c r="R46" i="32"/>
  <c r="R64" i="32" s="1"/>
  <c r="R42" i="32"/>
  <c r="R79" i="32"/>
  <c r="Q20" i="22"/>
  <c r="Q32" i="22" s="1"/>
  <c r="P20" i="22"/>
  <c r="P32" i="22" s="1"/>
  <c r="R78" i="32"/>
  <c r="R40" i="32"/>
  <c r="S40" i="32"/>
  <c r="S78" i="32"/>
  <c r="S81" i="32"/>
  <c r="S46" i="32"/>
  <c r="S64" i="32" s="1"/>
  <c r="R82" i="32"/>
  <c r="R47" i="32"/>
  <c r="R65" i="32" s="1"/>
  <c r="K16" i="18"/>
  <c r="K78" i="18" s="1"/>
  <c r="K115" i="16"/>
  <c r="K131" i="16" s="1"/>
  <c r="K11" i="18"/>
  <c r="K112" i="16"/>
  <c r="K128" i="16" s="1"/>
  <c r="K116" i="16"/>
  <c r="K132" i="16" s="1"/>
  <c r="K111" i="16"/>
  <c r="K127" i="16" s="1"/>
  <c r="K110" i="16"/>
  <c r="K126" i="16" s="1"/>
  <c r="K109" i="16"/>
  <c r="V11" i="32"/>
  <c r="N39" i="8"/>
  <c r="N44" i="8"/>
  <c r="M361" i="5"/>
  <c r="M259" i="5"/>
  <c r="M355" i="5"/>
  <c r="N53" i="8"/>
  <c r="N45" i="8"/>
  <c r="M395" i="5"/>
  <c r="M364" i="5"/>
  <c r="M307" i="5"/>
  <c r="M339" i="5"/>
  <c r="M301" i="5"/>
  <c r="M394" i="5"/>
  <c r="M256" i="5"/>
  <c r="M381" i="5"/>
  <c r="M332" i="5"/>
  <c r="M276" i="5"/>
  <c r="M358" i="5"/>
  <c r="M375" i="5"/>
  <c r="M268" i="5"/>
  <c r="M368" i="5"/>
  <c r="M231" i="5"/>
  <c r="M247" i="5"/>
  <c r="M400" i="5"/>
  <c r="M277" i="5"/>
  <c r="M272" i="5"/>
  <c r="M354" i="5"/>
  <c r="M313" i="5"/>
  <c r="M279" i="5"/>
  <c r="M408" i="5"/>
  <c r="K49" i="16"/>
  <c r="K65" i="16" s="1"/>
  <c r="N41" i="8"/>
  <c r="M352" i="5"/>
  <c r="M333" i="5"/>
  <c r="M253" i="5"/>
  <c r="M380" i="5"/>
  <c r="M274" i="5"/>
  <c r="M367" i="5"/>
  <c r="M271" i="5"/>
  <c r="M239" i="5"/>
  <c r="M269" i="5"/>
  <c r="M377" i="5"/>
  <c r="M244" i="5"/>
  <c r="M224" i="5"/>
  <c r="M325" i="5"/>
  <c r="M341" i="5"/>
  <c r="M251" i="5"/>
  <c r="M221" i="5"/>
  <c r="M331" i="5"/>
  <c r="M310" i="5"/>
  <c r="M273" i="5"/>
  <c r="M378" i="5"/>
  <c r="M282" i="5"/>
  <c r="K46" i="16"/>
  <c r="K62" i="16" s="1"/>
  <c r="M287" i="5"/>
  <c r="N38" i="8"/>
  <c r="M320" i="5"/>
  <c r="M284" i="5"/>
  <c r="M347" i="5"/>
  <c r="M384" i="5"/>
  <c r="M350" i="5"/>
  <c r="M217" i="5"/>
  <c r="M286" i="5"/>
  <c r="M236" i="5"/>
  <c r="M304" i="5"/>
  <c r="M226" i="5"/>
  <c r="M275" i="5"/>
  <c r="M386" i="5"/>
  <c r="M356" i="5"/>
  <c r="M363" i="5"/>
  <c r="M379" i="5"/>
  <c r="M214" i="5"/>
  <c r="M327" i="5"/>
  <c r="M342" i="5"/>
  <c r="M254" i="5"/>
  <c r="M406" i="5"/>
  <c r="M241" i="5"/>
  <c r="M278" i="5"/>
  <c r="M329" i="5"/>
  <c r="M409" i="5"/>
  <c r="N47" i="8"/>
  <c r="M215" i="5"/>
  <c r="M281" i="5"/>
  <c r="M218" i="5"/>
  <c r="N52" i="8"/>
  <c r="N43" i="8"/>
  <c r="M330" i="5"/>
  <c r="M302" i="5"/>
  <c r="M335" i="5"/>
  <c r="M353" i="5"/>
  <c r="M297" i="5"/>
  <c r="M318" i="5"/>
  <c r="M295" i="5"/>
  <c r="M334" i="5"/>
  <c r="M220" i="5"/>
  <c r="M369" i="5"/>
  <c r="M292" i="5"/>
  <c r="M403" i="5"/>
  <c r="M314" i="5"/>
  <c r="M219" i="5"/>
  <c r="M317" i="5"/>
  <c r="M366" i="5"/>
  <c r="M391" i="5"/>
  <c r="M371" i="5"/>
  <c r="M315" i="5"/>
  <c r="M300" i="5"/>
  <c r="M234" i="5"/>
  <c r="M349" i="5"/>
  <c r="M370" i="5"/>
  <c r="N59" i="8"/>
  <c r="N37" i="8"/>
  <c r="M348" i="5"/>
  <c r="M374" i="5"/>
  <c r="M360" i="5"/>
  <c r="M258" i="5"/>
  <c r="M235" i="5"/>
  <c r="M324" i="5"/>
  <c r="M345" i="5"/>
  <c r="M359" i="5"/>
  <c r="M401" i="5"/>
  <c r="M389" i="5"/>
  <c r="M326" i="5"/>
  <c r="M319" i="5"/>
  <c r="M338" i="5"/>
  <c r="M299" i="5"/>
  <c r="M270" i="5"/>
  <c r="M248" i="5"/>
  <c r="M308" i="5"/>
  <c r="M405" i="5"/>
  <c r="M388" i="5"/>
  <c r="M243" i="5"/>
  <c r="M232" i="5"/>
  <c r="M285" i="5"/>
  <c r="M383" i="5"/>
  <c r="K44" i="16"/>
  <c r="K60" i="16" s="1"/>
  <c r="N60" i="8"/>
  <c r="N46" i="8"/>
  <c r="M322" i="5"/>
  <c r="M344" i="5"/>
  <c r="M225" i="5"/>
  <c r="M227" i="5"/>
  <c r="M305" i="5"/>
  <c r="M387" i="5"/>
  <c r="M228" i="5"/>
  <c r="M316" i="5"/>
  <c r="M261" i="5"/>
  <c r="M229" i="5"/>
  <c r="M260" i="5"/>
  <c r="M373" i="5"/>
  <c r="M283" i="5"/>
  <c r="M362" i="5"/>
  <c r="M372" i="5"/>
  <c r="M309" i="5"/>
  <c r="M216" i="5"/>
  <c r="M398" i="5"/>
  <c r="K45" i="16"/>
  <c r="K61" i="16" s="1"/>
  <c r="N51" i="8"/>
  <c r="N42" i="8"/>
  <c r="M245" i="5"/>
  <c r="M237" i="5"/>
  <c r="M385" i="5"/>
  <c r="M238" i="5"/>
  <c r="M257" i="5"/>
  <c r="M340" i="5"/>
  <c r="M246" i="5"/>
  <c r="M289" i="5"/>
  <c r="M250" i="5"/>
  <c r="M396" i="5"/>
  <c r="M323" i="5"/>
  <c r="M328" i="5"/>
  <c r="M306" i="5"/>
  <c r="M346" i="5"/>
  <c r="M290" i="5"/>
  <c r="M233" i="5"/>
  <c r="M392" i="5"/>
  <c r="M393" i="5"/>
  <c r="M311" i="5"/>
  <c r="M407" i="5"/>
  <c r="M376" i="5"/>
  <c r="M382" i="5"/>
  <c r="M303" i="5"/>
  <c r="K50" i="16"/>
  <c r="K66" i="16" s="1"/>
  <c r="N58" i="8"/>
  <c r="N40" i="8"/>
  <c r="M288" i="5"/>
  <c r="M321" i="5"/>
  <c r="M365" i="5"/>
  <c r="M351" i="5"/>
  <c r="M280" i="5"/>
  <c r="M336" i="5"/>
  <c r="M397" i="5"/>
  <c r="M262" i="5"/>
  <c r="M255" i="5"/>
  <c r="M291" i="5"/>
  <c r="M402" i="5"/>
  <c r="M240" i="5"/>
  <c r="M312" i="5"/>
  <c r="M294" i="5"/>
  <c r="M222" i="5"/>
  <c r="M242" i="5"/>
  <c r="M337" i="5"/>
  <c r="M223" i="5"/>
  <c r="M230" i="5"/>
  <c r="M293" i="5"/>
  <c r="M249" i="5"/>
  <c r="M296" i="5"/>
  <c r="M298" i="5"/>
  <c r="N54" i="8"/>
  <c r="M357" i="5"/>
  <c r="M399" i="5"/>
  <c r="M343" i="5"/>
  <c r="M390" i="5"/>
  <c r="M252" i="5"/>
  <c r="K43" i="16"/>
  <c r="T81" i="32"/>
  <c r="T46" i="32"/>
  <c r="T64" i="32" s="1"/>
  <c r="T40" i="32"/>
  <c r="T78" i="32"/>
  <c r="S82" i="32"/>
  <c r="S47" i="32"/>
  <c r="S65" i="32" s="1"/>
  <c r="S42" i="32"/>
  <c r="S62" i="32" s="1"/>
  <c r="S79" i="32"/>
  <c r="Q62" i="32"/>
  <c r="Q55" i="32"/>
  <c r="Q81" i="32"/>
  <c r="Q46" i="32"/>
  <c r="V10" i="32"/>
  <c r="O20" i="22"/>
  <c r="Q65" i="32"/>
  <c r="Q44" i="32"/>
  <c r="V12" i="32"/>
  <c r="Q63" i="32"/>
  <c r="R20" i="22" l="1"/>
  <c r="R32" i="22" s="1"/>
  <c r="J112" i="16" s="1"/>
  <c r="J128" i="16" s="1"/>
  <c r="R27" i="22"/>
  <c r="L249" i="5" s="1"/>
  <c r="R62" i="32"/>
  <c r="V62" i="32" s="1"/>
  <c r="V44" i="32"/>
  <c r="J11" i="18"/>
  <c r="J73" i="18" s="1"/>
  <c r="V20" i="32"/>
  <c r="L324" i="5"/>
  <c r="V63" i="32"/>
  <c r="O32" i="22"/>
  <c r="G11" i="18" s="1"/>
  <c r="V82" i="32"/>
  <c r="V78" i="32"/>
  <c r="V81" i="32"/>
  <c r="V79" i="32"/>
  <c r="V43" i="32"/>
  <c r="R60" i="32"/>
  <c r="V47" i="32"/>
  <c r="V40" i="32"/>
  <c r="K59" i="16"/>
  <c r="K70" i="16" s="1"/>
  <c r="K54" i="16"/>
  <c r="N55" i="8"/>
  <c r="V65" i="32"/>
  <c r="H16" i="18"/>
  <c r="H78" i="18" s="1"/>
  <c r="H11" i="18"/>
  <c r="H110" i="16"/>
  <c r="H126" i="16" s="1"/>
  <c r="H112" i="16"/>
  <c r="H128" i="16" s="1"/>
  <c r="H116" i="16"/>
  <c r="H132" i="16" s="1"/>
  <c r="H115" i="16"/>
  <c r="H131" i="16" s="1"/>
  <c r="H109" i="16"/>
  <c r="H111" i="16"/>
  <c r="H127" i="16" s="1"/>
  <c r="K51" i="8"/>
  <c r="K53" i="8"/>
  <c r="K60" i="8"/>
  <c r="K58" i="8"/>
  <c r="K59" i="8"/>
  <c r="K52" i="8"/>
  <c r="K40" i="8"/>
  <c r="K39" i="8"/>
  <c r="K41" i="8"/>
  <c r="K37" i="8"/>
  <c r="K43" i="8"/>
  <c r="K38" i="8"/>
  <c r="K42" i="8"/>
  <c r="K47" i="8"/>
  <c r="K46" i="8"/>
  <c r="K45" i="8"/>
  <c r="K44" i="8"/>
  <c r="J394" i="5"/>
  <c r="J270" i="5"/>
  <c r="J341" i="5"/>
  <c r="J373" i="5"/>
  <c r="J293" i="5"/>
  <c r="J331" i="5"/>
  <c r="J240" i="5"/>
  <c r="J320" i="5"/>
  <c r="J220" i="5"/>
  <c r="J283" i="5"/>
  <c r="J291" i="5"/>
  <c r="J361" i="5"/>
  <c r="J254" i="5"/>
  <c r="J344" i="5"/>
  <c r="J364" i="5"/>
  <c r="J397" i="5"/>
  <c r="J306" i="5"/>
  <c r="J370" i="5"/>
  <c r="J387" i="5"/>
  <c r="J351" i="5"/>
  <c r="J269" i="5"/>
  <c r="J316" i="5"/>
  <c r="J398" i="5"/>
  <c r="J236" i="5"/>
  <c r="J272" i="5"/>
  <c r="J309" i="5"/>
  <c r="J300" i="5"/>
  <c r="J355" i="5"/>
  <c r="J325" i="5"/>
  <c r="J230" i="5"/>
  <c r="J359" i="5"/>
  <c r="J242" i="5"/>
  <c r="J385" i="5"/>
  <c r="J303" i="5"/>
  <c r="J384" i="5"/>
  <c r="J402" i="5"/>
  <c r="J335" i="5"/>
  <c r="J323" i="5"/>
  <c r="J388" i="5"/>
  <c r="J369" i="5"/>
  <c r="J326" i="5"/>
  <c r="J239" i="5"/>
  <c r="J377" i="5"/>
  <c r="J279" i="5"/>
  <c r="J315" i="5"/>
  <c r="J251" i="5"/>
  <c r="J223" i="5"/>
  <c r="J262" i="5"/>
  <c r="J357" i="5"/>
  <c r="J292" i="5"/>
  <c r="J304" i="5"/>
  <c r="J299" i="5"/>
  <c r="J305" i="5"/>
  <c r="J287" i="5"/>
  <c r="J216" i="5"/>
  <c r="J383" i="5"/>
  <c r="J221" i="5"/>
  <c r="J408" i="5"/>
  <c r="J381" i="5"/>
  <c r="J362" i="5"/>
  <c r="J249" i="5"/>
  <c r="J311" i="5"/>
  <c r="J321" i="5"/>
  <c r="J215" i="5"/>
  <c r="J403" i="5"/>
  <c r="J380" i="5"/>
  <c r="J376" i="5"/>
  <c r="J375" i="5"/>
  <c r="J281" i="5"/>
  <c r="J233" i="5"/>
  <c r="J363" i="5"/>
  <c r="J314" i="5"/>
  <c r="J258" i="5"/>
  <c r="J354" i="5"/>
  <c r="J278" i="5"/>
  <c r="J244" i="5"/>
  <c r="J336" i="5"/>
  <c r="J405" i="5"/>
  <c r="J391" i="5"/>
  <c r="J379" i="5"/>
  <c r="J243" i="5"/>
  <c r="J271" i="5"/>
  <c r="J307" i="5"/>
  <c r="J371" i="5"/>
  <c r="J217" i="5"/>
  <c r="J284" i="5"/>
  <c r="J329" i="5"/>
  <c r="J349" i="5"/>
  <c r="J235" i="5"/>
  <c r="J392" i="5"/>
  <c r="J347" i="5"/>
  <c r="J360" i="5"/>
  <c r="J396" i="5"/>
  <c r="J366" i="5"/>
  <c r="J232" i="5"/>
  <c r="J227" i="5"/>
  <c r="J302" i="5"/>
  <c r="J285" i="5"/>
  <c r="J395" i="5"/>
  <c r="J345" i="5"/>
  <c r="J286" i="5"/>
  <c r="J228" i="5"/>
  <c r="J382" i="5"/>
  <c r="J342" i="5"/>
  <c r="J257" i="5"/>
  <c r="J214" i="5"/>
  <c r="J340" i="5"/>
  <c r="J295" i="5"/>
  <c r="J268" i="5"/>
  <c r="J248" i="5"/>
  <c r="J241" i="5"/>
  <c r="J333" i="5"/>
  <c r="J368" i="5"/>
  <c r="J282" i="5"/>
  <c r="J246" i="5"/>
  <c r="J358" i="5"/>
  <c r="J294" i="5"/>
  <c r="J289" i="5"/>
  <c r="J296" i="5"/>
  <c r="J348" i="5"/>
  <c r="J260" i="5"/>
  <c r="J317" i="5"/>
  <c r="J219" i="5"/>
  <c r="J328" i="5"/>
  <c r="J393" i="5"/>
  <c r="J224" i="5"/>
  <c r="J312" i="5"/>
  <c r="J231" i="5"/>
  <c r="J252" i="5"/>
  <c r="J229" i="5"/>
  <c r="J288" i="5"/>
  <c r="J338" i="5"/>
  <c r="J261" i="5"/>
  <c r="J386" i="5"/>
  <c r="J222" i="5"/>
  <c r="J330" i="5"/>
  <c r="J399" i="5"/>
  <c r="J297" i="5"/>
  <c r="J259" i="5"/>
  <c r="J365" i="5"/>
  <c r="J247" i="5"/>
  <c r="J273" i="5"/>
  <c r="J301" i="5"/>
  <c r="J327" i="5"/>
  <c r="J234" i="5"/>
  <c r="J346" i="5"/>
  <c r="J290" i="5"/>
  <c r="J378" i="5"/>
  <c r="J245" i="5"/>
  <c r="J356" i="5"/>
  <c r="J310" i="5"/>
  <c r="J226" i="5"/>
  <c r="J367" i="5"/>
  <c r="J238" i="5"/>
  <c r="J280" i="5"/>
  <c r="J372" i="5"/>
  <c r="J255" i="5"/>
  <c r="J237" i="5"/>
  <c r="J250" i="5"/>
  <c r="J274" i="5"/>
  <c r="J253" i="5"/>
  <c r="J353" i="5"/>
  <c r="J318" i="5"/>
  <c r="J400" i="5"/>
  <c r="J275" i="5"/>
  <c r="J313" i="5"/>
  <c r="J339" i="5"/>
  <c r="J389" i="5"/>
  <c r="J308" i="5"/>
  <c r="J343" i="5"/>
  <c r="J256" i="5"/>
  <c r="J334" i="5"/>
  <c r="J374" i="5"/>
  <c r="J337" i="5"/>
  <c r="J350" i="5"/>
  <c r="J332" i="5"/>
  <c r="J406" i="5"/>
  <c r="J298" i="5"/>
  <c r="J352" i="5"/>
  <c r="J401" i="5"/>
  <c r="J407" i="5"/>
  <c r="J225" i="5"/>
  <c r="J218" i="5"/>
  <c r="J324" i="5"/>
  <c r="J319" i="5"/>
  <c r="J390" i="5"/>
  <c r="J322" i="5"/>
  <c r="J277" i="5"/>
  <c r="J276" i="5"/>
  <c r="J409" i="5"/>
  <c r="K54" i="8"/>
  <c r="H44" i="16"/>
  <c r="H60" i="16" s="1"/>
  <c r="H46" i="16"/>
  <c r="H62" i="16" s="1"/>
  <c r="H43" i="16"/>
  <c r="H49" i="16"/>
  <c r="H65" i="16" s="1"/>
  <c r="H45" i="16"/>
  <c r="H61" i="16" s="1"/>
  <c r="H50" i="16"/>
  <c r="H66" i="16" s="1"/>
  <c r="K73" i="18"/>
  <c r="K327" i="5"/>
  <c r="L51" i="8"/>
  <c r="L59" i="8"/>
  <c r="L53" i="8"/>
  <c r="L60" i="8"/>
  <c r="L52" i="8"/>
  <c r="K225" i="5"/>
  <c r="L58" i="8"/>
  <c r="L47" i="8"/>
  <c r="L43" i="8"/>
  <c r="L42" i="8"/>
  <c r="L40" i="8"/>
  <c r="L45" i="8"/>
  <c r="L46" i="8"/>
  <c r="L38" i="8"/>
  <c r="L41" i="8"/>
  <c r="L44" i="8"/>
  <c r="L37" i="8"/>
  <c r="L39" i="8"/>
  <c r="K271" i="5"/>
  <c r="K255" i="5"/>
  <c r="K282" i="5"/>
  <c r="K379" i="5"/>
  <c r="K231" i="5"/>
  <c r="K236" i="5"/>
  <c r="K311" i="5"/>
  <c r="K383" i="5"/>
  <c r="K390" i="5"/>
  <c r="K365" i="5"/>
  <c r="K254" i="5"/>
  <c r="K275" i="5"/>
  <c r="K336" i="5"/>
  <c r="K322" i="5"/>
  <c r="K228" i="5"/>
  <c r="K300" i="5"/>
  <c r="K387" i="5"/>
  <c r="K380" i="5"/>
  <c r="K342" i="5"/>
  <c r="K285" i="5"/>
  <c r="K287" i="5"/>
  <c r="K274" i="5"/>
  <c r="K384" i="5"/>
  <c r="K385" i="5"/>
  <c r="K393" i="5"/>
  <c r="K235" i="5"/>
  <c r="K345" i="5"/>
  <c r="K399" i="5"/>
  <c r="K251" i="5"/>
  <c r="K302" i="5"/>
  <c r="K297" i="5"/>
  <c r="K221" i="5"/>
  <c r="K310" i="5"/>
  <c r="K233" i="5"/>
  <c r="K278" i="5"/>
  <c r="K288" i="5"/>
  <c r="K242" i="5"/>
  <c r="K215" i="5"/>
  <c r="K364" i="5"/>
  <c r="K229" i="5"/>
  <c r="K374" i="5"/>
  <c r="K243" i="5"/>
  <c r="K250" i="5"/>
  <c r="K354" i="5"/>
  <c r="K218" i="5"/>
  <c r="K259" i="5"/>
  <c r="K234" i="5"/>
  <c r="K223" i="5"/>
  <c r="K280" i="5"/>
  <c r="K315" i="5"/>
  <c r="K216" i="5"/>
  <c r="K260" i="5"/>
  <c r="K319" i="5"/>
  <c r="K361" i="5"/>
  <c r="K401" i="5"/>
  <c r="K293" i="5"/>
  <c r="K366" i="5"/>
  <c r="K245" i="5"/>
  <c r="K309" i="5"/>
  <c r="K359" i="5"/>
  <c r="K222" i="5"/>
  <c r="K256" i="5"/>
  <c r="K292" i="5"/>
  <c r="K281" i="5"/>
  <c r="K269" i="5"/>
  <c r="K253" i="5"/>
  <c r="K239" i="5"/>
  <c r="K328" i="5"/>
  <c r="K244" i="5"/>
  <c r="K351" i="5"/>
  <c r="K362" i="5"/>
  <c r="K283" i="5"/>
  <c r="K355" i="5"/>
  <c r="K332" i="5"/>
  <c r="K284" i="5"/>
  <c r="K291" i="5"/>
  <c r="K334" i="5"/>
  <c r="K394" i="5"/>
  <c r="K249" i="5"/>
  <c r="K398" i="5"/>
  <c r="K289" i="5"/>
  <c r="K377" i="5"/>
  <c r="K403" i="5"/>
  <c r="K246" i="5"/>
  <c r="K237" i="5"/>
  <c r="K339" i="5"/>
  <c r="K407" i="5"/>
  <c r="K305" i="5"/>
  <c r="K314" i="5"/>
  <c r="K346" i="5"/>
  <c r="K226" i="5"/>
  <c r="K270" i="5"/>
  <c r="K363" i="5"/>
  <c r="K316" i="5"/>
  <c r="K220" i="5"/>
  <c r="K367" i="5"/>
  <c r="K333" i="5"/>
  <c r="K247" i="5"/>
  <c r="K227" i="5"/>
  <c r="K386" i="5"/>
  <c r="K388" i="5"/>
  <c r="K330" i="5"/>
  <c r="K389" i="5"/>
  <c r="K372" i="5"/>
  <c r="K294" i="5"/>
  <c r="K258" i="5"/>
  <c r="K341" i="5"/>
  <c r="K369" i="5"/>
  <c r="K396" i="5"/>
  <c r="K382" i="5"/>
  <c r="K337" i="5"/>
  <c r="K381" i="5"/>
  <c r="K299" i="5"/>
  <c r="K320" i="5"/>
  <c r="K286" i="5"/>
  <c r="K224" i="5"/>
  <c r="K290" i="5"/>
  <c r="K326" i="5"/>
  <c r="K240" i="5"/>
  <c r="K356" i="5"/>
  <c r="K348" i="5"/>
  <c r="K261" i="5"/>
  <c r="K349" i="5"/>
  <c r="K405" i="5"/>
  <c r="K230" i="5"/>
  <c r="K344" i="5"/>
  <c r="K308" i="5"/>
  <c r="K397" i="5"/>
  <c r="K357" i="5"/>
  <c r="K391" i="5"/>
  <c r="K329" i="5"/>
  <c r="K400" i="5"/>
  <c r="K313" i="5"/>
  <c r="K338" i="5"/>
  <c r="K312" i="5"/>
  <c r="K376" i="5"/>
  <c r="K324" i="5"/>
  <c r="K241" i="5"/>
  <c r="K375" i="5"/>
  <c r="K323" i="5"/>
  <c r="K214" i="5"/>
  <c r="K262" i="5"/>
  <c r="K347" i="5"/>
  <c r="K298" i="5"/>
  <c r="K392" i="5"/>
  <c r="K368" i="5"/>
  <c r="K232" i="5"/>
  <c r="K303" i="5"/>
  <c r="K321" i="5"/>
  <c r="K238" i="5"/>
  <c r="K317" i="5"/>
  <c r="K272" i="5"/>
  <c r="K252" i="5"/>
  <c r="K378" i="5"/>
  <c r="K353" i="5"/>
  <c r="K370" i="5"/>
  <c r="K373" i="5"/>
  <c r="K273" i="5"/>
  <c r="K325" i="5"/>
  <c r="K307" i="5"/>
  <c r="K395" i="5"/>
  <c r="K219" i="5"/>
  <c r="K257" i="5"/>
  <c r="K295" i="5"/>
  <c r="K406" i="5"/>
  <c r="K217" i="5"/>
  <c r="K360" i="5"/>
  <c r="K301" i="5"/>
  <c r="K340" i="5"/>
  <c r="K408" i="5"/>
  <c r="K358" i="5"/>
  <c r="K248" i="5"/>
  <c r="K304" i="5"/>
  <c r="K331" i="5"/>
  <c r="K352" i="5"/>
  <c r="K335" i="5"/>
  <c r="K277" i="5"/>
  <c r="K350" i="5"/>
  <c r="K371" i="5"/>
  <c r="K343" i="5"/>
  <c r="K279" i="5"/>
  <c r="K318" i="5"/>
  <c r="K296" i="5"/>
  <c r="K276" i="5"/>
  <c r="K402" i="5"/>
  <c r="K306" i="5"/>
  <c r="I44" i="16"/>
  <c r="I60" i="16" s="1"/>
  <c r="K409" i="5"/>
  <c r="L54" i="8"/>
  <c r="I43" i="16"/>
  <c r="I45" i="16"/>
  <c r="I61" i="16" s="1"/>
  <c r="I49" i="16"/>
  <c r="I65" i="16" s="1"/>
  <c r="I46" i="16"/>
  <c r="I62" i="16" s="1"/>
  <c r="I50" i="16"/>
  <c r="I66" i="16" s="1"/>
  <c r="I11" i="18"/>
  <c r="I16" i="18"/>
  <c r="I78" i="18" s="1"/>
  <c r="I110" i="16"/>
  <c r="I126" i="16" s="1"/>
  <c r="I112" i="16"/>
  <c r="I128" i="16" s="1"/>
  <c r="I109" i="16"/>
  <c r="I116" i="16"/>
  <c r="I132" i="16" s="1"/>
  <c r="I115" i="16"/>
  <c r="I131" i="16" s="1"/>
  <c r="I111" i="16"/>
  <c r="I127" i="16" s="1"/>
  <c r="T60" i="32"/>
  <c r="V42" i="32"/>
  <c r="N61" i="8"/>
  <c r="M267" i="5"/>
  <c r="Q31" i="24" s="1"/>
  <c r="N48" i="8"/>
  <c r="K125" i="16"/>
  <c r="K136" i="16" s="1"/>
  <c r="K12" i="18"/>
  <c r="K74" i="18" s="1"/>
  <c r="K120" i="16"/>
  <c r="S60" i="32"/>
  <c r="Q64" i="32"/>
  <c r="V64" i="32" s="1"/>
  <c r="V46" i="32"/>
  <c r="J53" i="8"/>
  <c r="J51" i="8"/>
  <c r="J59" i="8"/>
  <c r="J52" i="8"/>
  <c r="J58" i="8"/>
  <c r="J60" i="8"/>
  <c r="I346" i="5"/>
  <c r="J38" i="8"/>
  <c r="J40" i="8"/>
  <c r="J42" i="8"/>
  <c r="J39" i="8"/>
  <c r="J41" i="8"/>
  <c r="J45" i="8"/>
  <c r="J46" i="8"/>
  <c r="J44" i="8"/>
  <c r="J47" i="8"/>
  <c r="J37" i="8"/>
  <c r="J43" i="8"/>
  <c r="I382" i="5"/>
  <c r="I248" i="5"/>
  <c r="I350" i="5"/>
  <c r="I274" i="5"/>
  <c r="I222" i="5"/>
  <c r="I230" i="5"/>
  <c r="I303" i="5"/>
  <c r="I296" i="5"/>
  <c r="I330" i="5"/>
  <c r="I276" i="5"/>
  <c r="I344" i="5"/>
  <c r="I337" i="5"/>
  <c r="I384" i="5"/>
  <c r="I349" i="5"/>
  <c r="I399" i="5"/>
  <c r="I241" i="5"/>
  <c r="I302" i="5"/>
  <c r="I259" i="5"/>
  <c r="I271" i="5"/>
  <c r="I253" i="5"/>
  <c r="I357" i="5"/>
  <c r="I327" i="5"/>
  <c r="I258" i="5"/>
  <c r="I365" i="5"/>
  <c r="I272" i="5"/>
  <c r="I247" i="5"/>
  <c r="I275" i="5"/>
  <c r="I368" i="5"/>
  <c r="I245" i="5"/>
  <c r="I348" i="5"/>
  <c r="I387" i="5"/>
  <c r="I394" i="5"/>
  <c r="I311" i="5"/>
  <c r="I389" i="5"/>
  <c r="I340" i="5"/>
  <c r="I291" i="5"/>
  <c r="I244" i="5"/>
  <c r="I320" i="5"/>
  <c r="I316" i="5"/>
  <c r="I319" i="5"/>
  <c r="I215" i="5"/>
  <c r="I369" i="5"/>
  <c r="I377" i="5"/>
  <c r="I224" i="5"/>
  <c r="I338" i="5"/>
  <c r="I223" i="5"/>
  <c r="I239" i="5"/>
  <c r="I317" i="5"/>
  <c r="I363" i="5"/>
  <c r="I373" i="5"/>
  <c r="I234" i="5"/>
  <c r="I304" i="5"/>
  <c r="I298" i="5"/>
  <c r="I246" i="5"/>
  <c r="I360" i="5"/>
  <c r="I329" i="5"/>
  <c r="I277" i="5"/>
  <c r="I407" i="5"/>
  <c r="I385" i="5"/>
  <c r="I214" i="5"/>
  <c r="I270" i="5"/>
  <c r="I219" i="5"/>
  <c r="I288" i="5"/>
  <c r="I322" i="5"/>
  <c r="I273" i="5"/>
  <c r="I261" i="5"/>
  <c r="I309" i="5"/>
  <c r="I218" i="5"/>
  <c r="I364" i="5"/>
  <c r="I290" i="5"/>
  <c r="I325" i="5"/>
  <c r="I402" i="5"/>
  <c r="I331" i="5"/>
  <c r="I371" i="5"/>
  <c r="I351" i="5"/>
  <c r="I324" i="5"/>
  <c r="I280" i="5"/>
  <c r="I326" i="5"/>
  <c r="I294" i="5"/>
  <c r="I235" i="5"/>
  <c r="I358" i="5"/>
  <c r="I391" i="5"/>
  <c r="I361" i="5"/>
  <c r="I355" i="5"/>
  <c r="I321" i="5"/>
  <c r="I262" i="5"/>
  <c r="I287" i="5"/>
  <c r="I354" i="5"/>
  <c r="I282" i="5"/>
  <c r="I388" i="5"/>
  <c r="I269" i="5"/>
  <c r="I353" i="5"/>
  <c r="I255" i="5"/>
  <c r="I299" i="5"/>
  <c r="I278" i="5"/>
  <c r="I393" i="5"/>
  <c r="I335" i="5"/>
  <c r="I251" i="5"/>
  <c r="I372" i="5"/>
  <c r="I367" i="5"/>
  <c r="I240" i="5"/>
  <c r="I359" i="5"/>
  <c r="I238" i="5"/>
  <c r="I347" i="5"/>
  <c r="I332" i="5"/>
  <c r="I328" i="5"/>
  <c r="I397" i="5"/>
  <c r="I334" i="5"/>
  <c r="I285" i="5"/>
  <c r="I305" i="5"/>
  <c r="I400" i="5"/>
  <c r="I392" i="5"/>
  <c r="I352" i="5"/>
  <c r="I228" i="5"/>
  <c r="I386" i="5"/>
  <c r="I342" i="5"/>
  <c r="I356" i="5"/>
  <c r="I252" i="5"/>
  <c r="I343" i="5"/>
  <c r="I366" i="5"/>
  <c r="I254" i="5"/>
  <c r="I281" i="5"/>
  <c r="I336" i="5"/>
  <c r="I242" i="5"/>
  <c r="I260" i="5"/>
  <c r="I315" i="5"/>
  <c r="I383" i="5"/>
  <c r="I403" i="5"/>
  <c r="I250" i="5"/>
  <c r="I227" i="5"/>
  <c r="I376" i="5"/>
  <c r="I292" i="5"/>
  <c r="I268" i="5"/>
  <c r="I395" i="5"/>
  <c r="I313" i="5"/>
  <c r="I345" i="5"/>
  <c r="I284" i="5"/>
  <c r="I221" i="5"/>
  <c r="I216" i="5"/>
  <c r="I370" i="5"/>
  <c r="I217" i="5"/>
  <c r="I236" i="5"/>
  <c r="I256" i="5"/>
  <c r="I307" i="5"/>
  <c r="I233" i="5"/>
  <c r="I300" i="5"/>
  <c r="I237" i="5"/>
  <c r="I283" i="5"/>
  <c r="I379" i="5"/>
  <c r="I408" i="5"/>
  <c r="I362" i="5"/>
  <c r="I323" i="5"/>
  <c r="I341" i="5"/>
  <c r="I249" i="5"/>
  <c r="I333" i="5"/>
  <c r="I232" i="5"/>
  <c r="I406" i="5"/>
  <c r="I293" i="5"/>
  <c r="I308" i="5"/>
  <c r="I243" i="5"/>
  <c r="I375" i="5"/>
  <c r="I390" i="5"/>
  <c r="I306" i="5"/>
  <c r="I220" i="5"/>
  <c r="I380" i="5"/>
  <c r="I297" i="5"/>
  <c r="I318" i="5"/>
  <c r="I295" i="5"/>
  <c r="I396" i="5"/>
  <c r="I257" i="5"/>
  <c r="I405" i="5"/>
  <c r="I289" i="5"/>
  <c r="I310" i="5"/>
  <c r="I225" i="5"/>
  <c r="I401" i="5"/>
  <c r="I398" i="5"/>
  <c r="I381" i="5"/>
  <c r="I378" i="5"/>
  <c r="I231" i="5"/>
  <c r="I226" i="5"/>
  <c r="I339" i="5"/>
  <c r="I314" i="5"/>
  <c r="I279" i="5"/>
  <c r="I312" i="5"/>
  <c r="I301" i="5"/>
  <c r="I286" i="5"/>
  <c r="I374" i="5"/>
  <c r="I229" i="5"/>
  <c r="G43" i="16"/>
  <c r="I409" i="5"/>
  <c r="J54" i="8"/>
  <c r="G45" i="16"/>
  <c r="G61" i="16" s="1"/>
  <c r="G50" i="16"/>
  <c r="G66" i="16" s="1"/>
  <c r="G44" i="16"/>
  <c r="G60" i="16" s="1"/>
  <c r="G49" i="16"/>
  <c r="G65" i="16" s="1"/>
  <c r="G46" i="16"/>
  <c r="G62" i="16" s="1"/>
  <c r="Q60" i="32"/>
  <c r="Q73" i="32"/>
  <c r="V73" i="32" s="1"/>
  <c r="V55" i="32"/>
  <c r="L235" i="5" l="1"/>
  <c r="L274" i="5"/>
  <c r="J16" i="18"/>
  <c r="J78" i="18" s="1"/>
  <c r="L346" i="5"/>
  <c r="M53" i="8"/>
  <c r="L342" i="5"/>
  <c r="J110" i="16"/>
  <c r="J126" i="16" s="1"/>
  <c r="M39" i="8"/>
  <c r="L285" i="5"/>
  <c r="M46" i="8"/>
  <c r="L281" i="5"/>
  <c r="L308" i="5"/>
  <c r="L269" i="5"/>
  <c r="L350" i="5"/>
  <c r="L289" i="5"/>
  <c r="L319" i="5"/>
  <c r="L240" i="5"/>
  <c r="L379" i="5"/>
  <c r="L386" i="5"/>
  <c r="L336" i="5"/>
  <c r="J50" i="16"/>
  <c r="J66" i="16" s="1"/>
  <c r="L315" i="5"/>
  <c r="L233" i="5"/>
  <c r="J115" i="16"/>
  <c r="J131" i="16" s="1"/>
  <c r="L392" i="5"/>
  <c r="L307" i="5"/>
  <c r="L344" i="5"/>
  <c r="J45" i="16"/>
  <c r="J61" i="16" s="1"/>
  <c r="L293" i="5"/>
  <c r="M58" i="8"/>
  <c r="L292" i="5"/>
  <c r="L351" i="5"/>
  <c r="L341" i="5"/>
  <c r="L245" i="5"/>
  <c r="J109" i="16"/>
  <c r="J125" i="16" s="1"/>
  <c r="L347" i="5"/>
  <c r="L251" i="5"/>
  <c r="L357" i="5"/>
  <c r="L271" i="5"/>
  <c r="L369" i="5"/>
  <c r="L322" i="5"/>
  <c r="L370" i="5"/>
  <c r="L219" i="5"/>
  <c r="L327" i="5"/>
  <c r="L393" i="5"/>
  <c r="L303" i="5"/>
  <c r="L391" i="5"/>
  <c r="L290" i="5"/>
  <c r="L244" i="5"/>
  <c r="M51" i="8"/>
  <c r="L312" i="5"/>
  <c r="L366" i="5"/>
  <c r="M37" i="8"/>
  <c r="L349" i="5"/>
  <c r="L283" i="5"/>
  <c r="L282" i="5"/>
  <c r="L325" i="5"/>
  <c r="L298" i="5"/>
  <c r="L384" i="5"/>
  <c r="L362" i="5"/>
  <c r="L280" i="5"/>
  <c r="M38" i="8"/>
  <c r="L374" i="5"/>
  <c r="L345" i="5"/>
  <c r="J43" i="16"/>
  <c r="J59" i="16" s="1"/>
  <c r="L248" i="5"/>
  <c r="L313" i="5"/>
  <c r="L356" i="5"/>
  <c r="L330" i="5"/>
  <c r="L236" i="5"/>
  <c r="L394" i="5"/>
  <c r="L389" i="5"/>
  <c r="L368" i="5"/>
  <c r="L355" i="5"/>
  <c r="L261" i="5"/>
  <c r="L222" i="5"/>
  <c r="L288" i="5"/>
  <c r="L284" i="5"/>
  <c r="L352" i="5"/>
  <c r="L376" i="5"/>
  <c r="J49" i="16"/>
  <c r="J65" i="16" s="1"/>
  <c r="L295" i="5"/>
  <c r="L239" i="5"/>
  <c r="L246" i="5"/>
  <c r="L304" i="5"/>
  <c r="L305" i="5"/>
  <c r="L302" i="5"/>
  <c r="M52" i="8"/>
  <c r="L385" i="5"/>
  <c r="L287" i="5"/>
  <c r="L232" i="5"/>
  <c r="L406" i="5"/>
  <c r="L328" i="5"/>
  <c r="L365" i="5"/>
  <c r="L253" i="5"/>
  <c r="L358" i="5"/>
  <c r="L270" i="5"/>
  <c r="L301" i="5"/>
  <c r="L316" i="5"/>
  <c r="L225" i="5"/>
  <c r="L214" i="5"/>
  <c r="L243" i="5"/>
  <c r="L314" i="5"/>
  <c r="L408" i="5"/>
  <c r="M45" i="8"/>
  <c r="L329" i="5"/>
  <c r="L401" i="5"/>
  <c r="L275" i="5"/>
  <c r="L306" i="5"/>
  <c r="L378" i="5"/>
  <c r="L398" i="5"/>
  <c r="L407" i="5"/>
  <c r="L223" i="5"/>
  <c r="L215" i="5"/>
  <c r="L221" i="5"/>
  <c r="L242" i="5"/>
  <c r="L332" i="5"/>
  <c r="J46" i="16"/>
  <c r="J62" i="16" s="1"/>
  <c r="L309" i="5"/>
  <c r="L343" i="5"/>
  <c r="L247" i="5"/>
  <c r="L400" i="5"/>
  <c r="L227" i="5"/>
  <c r="L371" i="5"/>
  <c r="L291" i="5"/>
  <c r="M54" i="8"/>
  <c r="L399" i="5"/>
  <c r="M59" i="8"/>
  <c r="L286" i="5"/>
  <c r="M47" i="8"/>
  <c r="L262" i="5"/>
  <c r="M42" i="8"/>
  <c r="L381" i="5"/>
  <c r="L387" i="5"/>
  <c r="L237" i="5"/>
  <c r="L234" i="5"/>
  <c r="L380" i="5"/>
  <c r="L405" i="5"/>
  <c r="L311" i="5"/>
  <c r="M44" i="8"/>
  <c r="L364" i="5"/>
  <c r="L297" i="5"/>
  <c r="M40" i="8"/>
  <c r="L388" i="5"/>
  <c r="L318" i="5"/>
  <c r="L397" i="5"/>
  <c r="L326" i="5"/>
  <c r="L321" i="5"/>
  <c r="L317" i="5"/>
  <c r="L403" i="5"/>
  <c r="L276" i="5"/>
  <c r="L334" i="5"/>
  <c r="M41" i="8"/>
  <c r="L377" i="5"/>
  <c r="L229" i="5"/>
  <c r="L277" i="5"/>
  <c r="L335" i="5"/>
  <c r="L360" i="5"/>
  <c r="L224" i="5"/>
  <c r="L375" i="5"/>
  <c r="L409" i="5"/>
  <c r="L338" i="5"/>
  <c r="L254" i="5"/>
  <c r="L337" i="5"/>
  <c r="L402" i="5"/>
  <c r="L252" i="5"/>
  <c r="L396" i="5"/>
  <c r="M43" i="8"/>
  <c r="L373" i="5"/>
  <c r="L260" i="5"/>
  <c r="L353" i="5"/>
  <c r="L323" i="5"/>
  <c r="L363" i="5"/>
  <c r="J44" i="16"/>
  <c r="J60" i="16" s="1"/>
  <c r="L395" i="5"/>
  <c r="L310" i="5"/>
  <c r="L279" i="5"/>
  <c r="L238" i="5"/>
  <c r="L241" i="5"/>
  <c r="L230" i="5"/>
  <c r="L294" i="5"/>
  <c r="L390" i="5"/>
  <c r="L218" i="5"/>
  <c r="L359" i="5"/>
  <c r="L383" i="5"/>
  <c r="L220" i="5"/>
  <c r="L273" i="5"/>
  <c r="L300" i="5"/>
  <c r="L259" i="5"/>
  <c r="L231" i="5"/>
  <c r="L361" i="5"/>
  <c r="L258" i="5"/>
  <c r="L228" i="5"/>
  <c r="L331" i="5"/>
  <c r="L339" i="5"/>
  <c r="L348" i="5"/>
  <c r="L216" i="5"/>
  <c r="L226" i="5"/>
  <c r="L299" i="5"/>
  <c r="L372" i="5"/>
  <c r="L296" i="5"/>
  <c r="L250" i="5"/>
  <c r="J111" i="16"/>
  <c r="J127" i="16" s="1"/>
  <c r="J116" i="16"/>
  <c r="J132" i="16" s="1"/>
  <c r="T20" i="22"/>
  <c r="L272" i="5"/>
  <c r="L340" i="5"/>
  <c r="L257" i="5"/>
  <c r="L367" i="5"/>
  <c r="L382" i="5"/>
  <c r="L320" i="5"/>
  <c r="L217" i="5"/>
  <c r="L333" i="5"/>
  <c r="M60" i="8"/>
  <c r="L354" i="5"/>
  <c r="L278" i="5"/>
  <c r="L256" i="5"/>
  <c r="L255" i="5"/>
  <c r="G112" i="16"/>
  <c r="G128" i="16" s="1"/>
  <c r="G111" i="16"/>
  <c r="G127" i="16" s="1"/>
  <c r="G115" i="16"/>
  <c r="G131" i="16" s="1"/>
  <c r="G116" i="16"/>
  <c r="G132" i="16" s="1"/>
  <c r="G109" i="16"/>
  <c r="G125" i="16" s="1"/>
  <c r="G110" i="16"/>
  <c r="G126" i="16" s="1"/>
  <c r="G16" i="18"/>
  <c r="G78" i="18" s="1"/>
  <c r="N63" i="8"/>
  <c r="K89" i="18"/>
  <c r="K90" i="18" s="1"/>
  <c r="K90" i="26"/>
  <c r="K138" i="16"/>
  <c r="I125" i="16"/>
  <c r="I136" i="16" s="1"/>
  <c r="I120" i="16"/>
  <c r="I12" i="18"/>
  <c r="I74" i="18" s="1"/>
  <c r="K61" i="8"/>
  <c r="H73" i="18"/>
  <c r="Q10" i="24"/>
  <c r="Q11" i="24"/>
  <c r="K95" i="18" s="1"/>
  <c r="H54" i="16"/>
  <c r="H59" i="16"/>
  <c r="H70" i="16" s="1"/>
  <c r="U14" i="32"/>
  <c r="U48" i="32" s="1" a="1"/>
  <c r="K28" i="26"/>
  <c r="K137" i="16"/>
  <c r="V60" i="32"/>
  <c r="L48" i="8"/>
  <c r="K267" i="5"/>
  <c r="K415" i="5" s="1"/>
  <c r="O55" i="27" s="1"/>
  <c r="L55" i="8"/>
  <c r="K48" i="8"/>
  <c r="J267" i="5"/>
  <c r="J415" i="5" s="1"/>
  <c r="N55" i="27" s="1"/>
  <c r="I59" i="16"/>
  <c r="I70" i="16" s="1"/>
  <c r="I54" i="16"/>
  <c r="K55" i="8"/>
  <c r="H125" i="16"/>
  <c r="H136" i="16" s="1"/>
  <c r="H12" i="18"/>
  <c r="H74" i="18" s="1"/>
  <c r="H120" i="16"/>
  <c r="M415" i="5"/>
  <c r="Q55" i="27" s="1"/>
  <c r="I73" i="18"/>
  <c r="L61" i="8"/>
  <c r="K27" i="18"/>
  <c r="K71" i="16"/>
  <c r="J55" i="8"/>
  <c r="J48" i="8"/>
  <c r="I267" i="5"/>
  <c r="M31" i="24" s="1"/>
  <c r="G73" i="18"/>
  <c r="G59" i="16"/>
  <c r="G70" i="16" s="1"/>
  <c r="G54" i="16"/>
  <c r="J61" i="8"/>
  <c r="M48" i="8" l="1"/>
  <c r="M61" i="8"/>
  <c r="M55" i="8"/>
  <c r="J54" i="16"/>
  <c r="L267" i="5"/>
  <c r="L415" i="5" s="1"/>
  <c r="P55" i="27" s="1"/>
  <c r="J70" i="16"/>
  <c r="J136" i="16"/>
  <c r="J90" i="26" s="1"/>
  <c r="J120" i="16"/>
  <c r="T14" i="32" s="1"/>
  <c r="T48" i="32" s="1" a="1"/>
  <c r="J12" i="18"/>
  <c r="J74" i="18" s="1"/>
  <c r="J89" i="18" s="1"/>
  <c r="G12" i="18"/>
  <c r="G74" i="18" s="1"/>
  <c r="G89" i="18" s="1"/>
  <c r="G120" i="16"/>
  <c r="Q14" i="32" s="1"/>
  <c r="Q48" i="32" s="1" a="1"/>
  <c r="G136" i="16"/>
  <c r="O31" i="24"/>
  <c r="O10" i="24" s="1"/>
  <c r="I27" i="18"/>
  <c r="I121" i="16" s="1"/>
  <c r="H27" i="18"/>
  <c r="N121" i="27" s="1"/>
  <c r="K55" i="16"/>
  <c r="I89" i="18"/>
  <c r="I90" i="18" s="1"/>
  <c r="L63" i="8"/>
  <c r="J63" i="8"/>
  <c r="H28" i="26"/>
  <c r="R14" i="32"/>
  <c r="R48" i="32" s="1" a="1"/>
  <c r="H137" i="16"/>
  <c r="H89" i="18"/>
  <c r="H90" i="18" s="1"/>
  <c r="K63" i="8"/>
  <c r="Q121" i="27"/>
  <c r="K28" i="18"/>
  <c r="H90" i="26"/>
  <c r="H138" i="16"/>
  <c r="I71" i="16"/>
  <c r="I55" i="16"/>
  <c r="U83" i="32"/>
  <c r="U84" i="32" s="1"/>
  <c r="U48" i="32"/>
  <c r="U15" i="32"/>
  <c r="U19" i="32" s="1"/>
  <c r="N31" i="24"/>
  <c r="S14" i="32"/>
  <c r="S48" i="32" s="1" a="1"/>
  <c r="I28" i="26"/>
  <c r="I137" i="16"/>
  <c r="H71" i="16"/>
  <c r="H55" i="16"/>
  <c r="K121" i="16"/>
  <c r="K94" i="18"/>
  <c r="K110" i="18" s="1"/>
  <c r="Q26" i="24"/>
  <c r="I90" i="26"/>
  <c r="I138" i="16"/>
  <c r="I415" i="5"/>
  <c r="M55" i="27" s="1"/>
  <c r="G71" i="16"/>
  <c r="J71" i="16" l="1"/>
  <c r="J28" i="26"/>
  <c r="P31" i="24"/>
  <c r="P11" i="24" s="1"/>
  <c r="J95" i="18" s="1"/>
  <c r="J90" i="18"/>
  <c r="M63" i="8"/>
  <c r="J138" i="16"/>
  <c r="J27" i="18"/>
  <c r="J121" i="16" s="1"/>
  <c r="T48" i="32"/>
  <c r="T66" i="32" s="1"/>
  <c r="T67" i="32" s="1"/>
  <c r="T71" i="32" s="1"/>
  <c r="T15" i="32"/>
  <c r="T19" i="32" s="1"/>
  <c r="T83" i="32"/>
  <c r="T84" i="32" s="1"/>
  <c r="J137" i="16"/>
  <c r="J55" i="16"/>
  <c r="G90" i="26"/>
  <c r="G28" i="26"/>
  <c r="G137" i="16"/>
  <c r="M11" i="24"/>
  <c r="G95" i="18" s="1"/>
  <c r="M10" i="24"/>
  <c r="G94" i="18" s="1"/>
  <c r="G27" i="18"/>
  <c r="M121" i="27" s="1"/>
  <c r="G138" i="16"/>
  <c r="O121" i="27"/>
  <c r="I28" i="18"/>
  <c r="H121" i="16"/>
  <c r="H28" i="18"/>
  <c r="K111" i="18"/>
  <c r="O11" i="24"/>
  <c r="I95" i="18" s="1"/>
  <c r="N11" i="24"/>
  <c r="H95" i="18" s="1"/>
  <c r="N10" i="24"/>
  <c r="Q27" i="24"/>
  <c r="K111" i="26"/>
  <c r="R48" i="32"/>
  <c r="R83" i="32"/>
  <c r="R84" i="32" s="1"/>
  <c r="R15" i="32"/>
  <c r="R19" i="32" s="1"/>
  <c r="S83" i="32"/>
  <c r="S84" i="32" s="1"/>
  <c r="S48" i="32"/>
  <c r="S15" i="32"/>
  <c r="S19" i="32" s="1"/>
  <c r="U66" i="32"/>
  <c r="U67" i="32" s="1"/>
  <c r="U71" i="32" s="1"/>
  <c r="U49" i="32"/>
  <c r="U53" i="32" s="1"/>
  <c r="I94" i="18"/>
  <c r="G55" i="16"/>
  <c r="Q83" i="32"/>
  <c r="Q48" i="32"/>
  <c r="V14" i="32"/>
  <c r="Q15" i="32"/>
  <c r="G90" i="18"/>
  <c r="P10" i="24" l="1"/>
  <c r="J94" i="18" s="1"/>
  <c r="J110" i="18" s="1"/>
  <c r="J28" i="18"/>
  <c r="P121" i="27"/>
  <c r="T49" i="32"/>
  <c r="T53" i="32" s="1"/>
  <c r="G110" i="18"/>
  <c r="M26" i="24"/>
  <c r="M27" i="24" s="1"/>
  <c r="G121" i="16"/>
  <c r="G28" i="18"/>
  <c r="I110" i="18"/>
  <c r="O26" i="24"/>
  <c r="O27" i="24" s="1"/>
  <c r="S66" i="32"/>
  <c r="S67" i="32" s="1"/>
  <c r="S71" i="32" s="1"/>
  <c r="S49" i="32"/>
  <c r="S53" i="32" s="1"/>
  <c r="H94" i="18"/>
  <c r="H110" i="18" s="1"/>
  <c r="N26" i="24"/>
  <c r="R66" i="32"/>
  <c r="R67" i="32" s="1"/>
  <c r="R71" i="32" s="1"/>
  <c r="R49" i="32"/>
  <c r="R53" i="32" s="1"/>
  <c r="Q84" i="32"/>
  <c r="V84" i="32" s="1"/>
  <c r="V83" i="32"/>
  <c r="Q19" i="32"/>
  <c r="V19" i="32" s="1"/>
  <c r="V15" i="32"/>
  <c r="W15" i="32" s="1"/>
  <c r="Q66" i="32"/>
  <c r="V48" i="32"/>
  <c r="Q49" i="32"/>
  <c r="P26" i="24" l="1"/>
  <c r="J111" i="26" s="1"/>
  <c r="W19" i="32"/>
  <c r="W19" i="32" a="1"/>
  <c r="G111" i="26"/>
  <c r="G111" i="18"/>
  <c r="W84" i="32"/>
  <c r="V85" i="32"/>
  <c r="I111" i="18"/>
  <c r="I111" i="26"/>
  <c r="H111" i="18"/>
  <c r="H111" i="26"/>
  <c r="N27" i="24"/>
  <c r="Q53" i="32"/>
  <c r="V53" i="32" s="1"/>
  <c r="W53" i="32" s="1"/>
  <c r="V49" i="32"/>
  <c r="W49" i="32" s="1"/>
  <c r="Q67" i="32"/>
  <c r="V66" i="32"/>
  <c r="J111" i="18" l="1"/>
  <c r="P27" i="24"/>
  <c r="Q71" i="32"/>
  <c r="V67" i="32"/>
  <c r="W67" i="32" l="1"/>
  <c r="V71" i="32"/>
  <c r="W71" i="32" l="1"/>
</calcChain>
</file>

<file path=xl/comments1.xml><?xml version="1.0" encoding="utf-8"?>
<comments xmlns="http://schemas.openxmlformats.org/spreadsheetml/2006/main">
  <authors>
    <author>Author</author>
  </authors>
  <commentList>
    <comment ref="M11" authorId="0" shapeId="0">
      <text>
        <r>
          <rPr>
            <sz val="9"/>
            <color indexed="81"/>
            <rFont val="Tahoma"/>
            <family val="2"/>
          </rPr>
          <t>Source  : 2019 Category Analysis RIN</t>
        </r>
      </text>
    </comment>
    <comment ref="M40" authorId="0" shapeId="0">
      <text>
        <r>
          <rPr>
            <sz val="9"/>
            <color indexed="81"/>
            <rFont val="Tahoma"/>
            <family val="2"/>
          </rPr>
          <t xml:space="preserve">Source : 2019 Annual RIN Response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AER:
</t>
        </r>
        <r>
          <rPr>
            <sz val="9"/>
            <color indexed="81"/>
            <rFont val="Tahoma"/>
            <family val="2"/>
          </rPr>
          <t>Per UE IR#091</t>
        </r>
      </text>
    </comment>
  </commentList>
</comments>
</file>

<file path=xl/sharedStrings.xml><?xml version="1.0" encoding="utf-8"?>
<sst xmlns="http://schemas.openxmlformats.org/spreadsheetml/2006/main" count="13927" uniqueCount="1100">
  <si>
    <t>&lt; Insert Sheet Description (if required) &gt;</t>
  </si>
  <si>
    <t>Model Information</t>
  </si>
  <si>
    <t>Model Name</t>
  </si>
  <si>
    <t>Entity</t>
  </si>
  <si>
    <t>End of Sheet</t>
  </si>
  <si>
    <t>Model Mapping</t>
  </si>
  <si>
    <t>SCS</t>
  </si>
  <si>
    <t>Public Lighting</t>
  </si>
  <si>
    <t>VBRC</t>
  </si>
  <si>
    <t>Account Mapping - Labour, Materials, Contract</t>
  </si>
  <si>
    <t>Materials</t>
  </si>
  <si>
    <t>Contracts</t>
  </si>
  <si>
    <t>Labour</t>
  </si>
  <si>
    <t>Historical Capex Source Data</t>
  </si>
  <si>
    <t>Function Code</t>
  </si>
  <si>
    <t>GL Account</t>
  </si>
  <si>
    <t>ENVIRONMENTAL MANAGEMENT</t>
  </si>
  <si>
    <t>GENERAL EQUIPMENT</t>
  </si>
  <si>
    <t>000's</t>
  </si>
  <si>
    <t>ENDirect</t>
  </si>
  <si>
    <t>Total</t>
  </si>
  <si>
    <t>OH</t>
  </si>
  <si>
    <t>FC Mapping 1</t>
  </si>
  <si>
    <t>GL Mapping 1</t>
  </si>
  <si>
    <t>GL Mapping 2</t>
  </si>
  <si>
    <t>$000s</t>
  </si>
  <si>
    <t>Flag 1</t>
  </si>
  <si>
    <t>%</t>
  </si>
  <si>
    <t>Connections</t>
  </si>
  <si>
    <t>Replacement</t>
  </si>
  <si>
    <t>Non-network general assets - IT</t>
  </si>
  <si>
    <t>Non-network general assets - Other</t>
  </si>
  <si>
    <t>Capex Inputs - ENDirect</t>
  </si>
  <si>
    <t>Flag 2</t>
  </si>
  <si>
    <t>Asset Class</t>
  </si>
  <si>
    <t>Asset Class Weightings</t>
  </si>
  <si>
    <t>Subtransmission</t>
  </si>
  <si>
    <t>Distribution System Assets</t>
  </si>
  <si>
    <t>SCADA/Network control</t>
  </si>
  <si>
    <t>Distribution system assets</t>
  </si>
  <si>
    <t>Standard metering</t>
  </si>
  <si>
    <t>Public lighting</t>
  </si>
  <si>
    <t>Supervisory cables</t>
  </si>
  <si>
    <t>Old SWER ACRs</t>
  </si>
  <si>
    <t>Land</t>
  </si>
  <si>
    <t>VBRC ENDirect - No Overheads</t>
  </si>
  <si>
    <t>VBRC Augex</t>
  </si>
  <si>
    <t>Armour rods, dampers &amp; spacers</t>
  </si>
  <si>
    <t>REFCL GFNs</t>
  </si>
  <si>
    <t>VBRC Repex</t>
  </si>
  <si>
    <t xml:space="preserve"> </t>
  </si>
  <si>
    <t>VBRC other</t>
  </si>
  <si>
    <t>SWER ACRs</t>
  </si>
  <si>
    <t>$'000</t>
  </si>
  <si>
    <t>Gross Capital Expenditure - No Overheads</t>
  </si>
  <si>
    <t>GROSS CAPITAL EXPENDITURE</t>
  </si>
  <si>
    <t>Gross Capital Expenditure - With Overheads</t>
  </si>
  <si>
    <t>Disposals</t>
  </si>
  <si>
    <t>Customer Contributions</t>
  </si>
  <si>
    <t>Augmentation</t>
  </si>
  <si>
    <t>VBRC Calc</t>
  </si>
  <si>
    <t>Inflation</t>
  </si>
  <si>
    <t>Assumptions</t>
  </si>
  <si>
    <t>Labour escalation</t>
  </si>
  <si>
    <t>Materials escalation</t>
  </si>
  <si>
    <t>Contracts escalation</t>
  </si>
  <si>
    <t>Annual capex rate of change</t>
  </si>
  <si>
    <t>Cumulative inflation from 2015 to nominal</t>
  </si>
  <si>
    <t>Cumulative inflation from nominal to 2015</t>
  </si>
  <si>
    <t>Nom_2015</t>
  </si>
  <si>
    <t>Conversion factors (multiply):</t>
  </si>
  <si>
    <t>Cumulative inflation from 2018 to nominal</t>
  </si>
  <si>
    <t>Cumulative inflation from nominal to 2018</t>
  </si>
  <si>
    <t>Nom_2018</t>
  </si>
  <si>
    <t>Flags &amp; Inflation</t>
  </si>
  <si>
    <t>Gifted Assets</t>
  </si>
  <si>
    <t>Gross Capex - ENDirect - No Overheads</t>
  </si>
  <si>
    <t>Rebates</t>
  </si>
  <si>
    <t>Cash Contributions</t>
  </si>
  <si>
    <t>TOTAL</t>
  </si>
  <si>
    <t>Gross Capex - With Overheads</t>
  </si>
  <si>
    <t xml:space="preserve">$'000 </t>
  </si>
  <si>
    <t>Total Customer Contributions</t>
  </si>
  <si>
    <t>Net Capital Expenditure - With Overheads</t>
  </si>
  <si>
    <t>Weightings Calculation by Function Code</t>
  </si>
  <si>
    <t>Weightings Calculation by Asset Class</t>
  </si>
  <si>
    <t>Functional Category</t>
  </si>
  <si>
    <t>Weightings Calculation by Functional Category</t>
  </si>
  <si>
    <t>Capital Expenditure - No Escalation</t>
  </si>
  <si>
    <t xml:space="preserve">Labour </t>
  </si>
  <si>
    <t>Capital Expenditure - With Escalation</t>
  </si>
  <si>
    <t>Capex real escalation - Cumulative</t>
  </si>
  <si>
    <t>Capex real escalation - Annual</t>
  </si>
  <si>
    <t>Capex real escalation - Annual - Blended</t>
  </si>
  <si>
    <t>Capex real escalation cumulative - Cumulative - Blended</t>
  </si>
  <si>
    <t>MAT Code Regulatory Segments</t>
  </si>
  <si>
    <t>CBA</t>
  </si>
  <si>
    <t>CDA</t>
  </si>
  <si>
    <t>CDP</t>
  </si>
  <si>
    <t>CDX</t>
  </si>
  <si>
    <t>CHA</t>
  </si>
  <si>
    <t>CHL</t>
  </si>
  <si>
    <t>CLA</t>
  </si>
  <si>
    <t>CLJ</t>
  </si>
  <si>
    <t>CLN</t>
  </si>
  <si>
    <t>CMU</t>
  </si>
  <si>
    <t>CMZ</t>
  </si>
  <si>
    <t>CNG</t>
  </si>
  <si>
    <t>CNJ</t>
  </si>
  <si>
    <t>CNM</t>
  </si>
  <si>
    <t>CNW</t>
  </si>
  <si>
    <t>CRA</t>
  </si>
  <si>
    <t>CRE</t>
  </si>
  <si>
    <t>CRP</t>
  </si>
  <si>
    <t>CRS</t>
  </si>
  <si>
    <t>CRU</t>
  </si>
  <si>
    <t>CRV</t>
  </si>
  <si>
    <t>CSA</t>
  </si>
  <si>
    <t>CSO</t>
  </si>
  <si>
    <t>CSU</t>
  </si>
  <si>
    <t>DLA</t>
  </si>
  <si>
    <t>DOA</t>
  </si>
  <si>
    <t>DSA</t>
  </si>
  <si>
    <t>DSJ</t>
  </si>
  <si>
    <t>DSM</t>
  </si>
  <si>
    <t>DSS</t>
  </si>
  <si>
    <t>DZA</t>
  </si>
  <si>
    <t>GEA</t>
  </si>
  <si>
    <t>GPA</t>
  </si>
  <si>
    <t>GPC</t>
  </si>
  <si>
    <t>GTA</t>
  </si>
  <si>
    <t>GVA</t>
  </si>
  <si>
    <t>JHA</t>
  </si>
  <si>
    <t>JM1</t>
  </si>
  <si>
    <t>JM2</t>
  </si>
  <si>
    <t>JM3</t>
  </si>
  <si>
    <t>JM4</t>
  </si>
  <si>
    <t>JM5</t>
  </si>
  <si>
    <t>JM6</t>
  </si>
  <si>
    <t>JM8</t>
  </si>
  <si>
    <t>JP2</t>
  </si>
  <si>
    <t>JP3</t>
  </si>
  <si>
    <t>JP4</t>
  </si>
  <si>
    <t>JT2</t>
  </si>
  <si>
    <t>OTP</t>
  </si>
  <si>
    <t>PDA</t>
  </si>
  <si>
    <t>PDB</t>
  </si>
  <si>
    <t>PDD</t>
  </si>
  <si>
    <t>PDH</t>
  </si>
  <si>
    <t>PDL</t>
  </si>
  <si>
    <t>PDM</t>
  </si>
  <si>
    <t>PDN</t>
  </si>
  <si>
    <t>PDP</t>
  </si>
  <si>
    <t>PDQ</t>
  </si>
  <si>
    <t>PDR</t>
  </si>
  <si>
    <t>PDS</t>
  </si>
  <si>
    <t>PDV</t>
  </si>
  <si>
    <t>PEA</t>
  </si>
  <si>
    <t>PEN</t>
  </si>
  <si>
    <t>PFA</t>
  </si>
  <si>
    <t>PQA</t>
  </si>
  <si>
    <t>PZA</t>
  </si>
  <si>
    <t>RCA</t>
  </si>
  <si>
    <t>RHA</t>
  </si>
  <si>
    <t>RHB</t>
  </si>
  <si>
    <t>RHD</t>
  </si>
  <si>
    <t>RHE</t>
  </si>
  <si>
    <t>RHF</t>
  </si>
  <si>
    <t>RHG</t>
  </si>
  <si>
    <t>RHH</t>
  </si>
  <si>
    <t>RHJ</t>
  </si>
  <si>
    <t>RHK</t>
  </si>
  <si>
    <t>RHL</t>
  </si>
  <si>
    <t>RHM</t>
  </si>
  <si>
    <t>RHN</t>
  </si>
  <si>
    <t>RHO</t>
  </si>
  <si>
    <t>RHP</t>
  </si>
  <si>
    <t>RHQ</t>
  </si>
  <si>
    <t>RHR</t>
  </si>
  <si>
    <t>RHT</t>
  </si>
  <si>
    <t>RHU</t>
  </si>
  <si>
    <t>RHV</t>
  </si>
  <si>
    <t>RHW</t>
  </si>
  <si>
    <t>RLG</t>
  </si>
  <si>
    <t>RLJ</t>
  </si>
  <si>
    <t>RLM</t>
  </si>
  <si>
    <t>RMF</t>
  </si>
  <si>
    <t>RMJ</t>
  </si>
  <si>
    <t>RMK</t>
  </si>
  <si>
    <t>RML</t>
  </si>
  <si>
    <t>RMP</t>
  </si>
  <si>
    <t>RMU</t>
  </si>
  <si>
    <t>ROA</t>
  </si>
  <si>
    <t>ROF</t>
  </si>
  <si>
    <t>ROH</t>
  </si>
  <si>
    <t>ROI</t>
  </si>
  <si>
    <t>ROJ</t>
  </si>
  <si>
    <t>ROL</t>
  </si>
  <si>
    <t>ROM</t>
  </si>
  <si>
    <t>RPA</t>
  </si>
  <si>
    <t>RPB</t>
  </si>
  <si>
    <t>RPH</t>
  </si>
  <si>
    <t>RPL</t>
  </si>
  <si>
    <t>RPS</t>
  </si>
  <si>
    <t>RRA</t>
  </si>
  <si>
    <t>RRH</t>
  </si>
  <si>
    <t>RRL</t>
  </si>
  <si>
    <t>RRP</t>
  </si>
  <si>
    <t>RRR</t>
  </si>
  <si>
    <t>RRS</t>
  </si>
  <si>
    <t>RSA</t>
  </si>
  <si>
    <t>RSB</t>
  </si>
  <si>
    <t>RSD</t>
  </si>
  <si>
    <t>RSF</t>
  </si>
  <si>
    <t>RSK</t>
  </si>
  <si>
    <t>RSM</t>
  </si>
  <si>
    <t>RSS</t>
  </si>
  <si>
    <t>RUA</t>
  </si>
  <si>
    <t>RUC</t>
  </si>
  <si>
    <t>RUD</t>
  </si>
  <si>
    <t>RUE</t>
  </si>
  <si>
    <t>RUF</t>
  </si>
  <si>
    <t>RUG</t>
  </si>
  <si>
    <t>RUH</t>
  </si>
  <si>
    <t>RUL</t>
  </si>
  <si>
    <t>RUP</t>
  </si>
  <si>
    <t>RUS</t>
  </si>
  <si>
    <t>RXD</t>
  </si>
  <si>
    <t>RXF</t>
  </si>
  <si>
    <t>RXG</t>
  </si>
  <si>
    <t>RXH</t>
  </si>
  <si>
    <t>RXI</t>
  </si>
  <si>
    <t>RXJ</t>
  </si>
  <si>
    <t>RXK</t>
  </si>
  <si>
    <t>RXL</t>
  </si>
  <si>
    <t>RXM</t>
  </si>
  <si>
    <t>RXN</t>
  </si>
  <si>
    <t>RXP</t>
  </si>
  <si>
    <t>RXQ</t>
  </si>
  <si>
    <t>RXR</t>
  </si>
  <si>
    <t>RXS</t>
  </si>
  <si>
    <t>RXT</t>
  </si>
  <si>
    <t>RXV</t>
  </si>
  <si>
    <t>RXW</t>
  </si>
  <si>
    <t>RXY</t>
  </si>
  <si>
    <t>VM7</t>
  </si>
  <si>
    <t>VM8</t>
  </si>
  <si>
    <t>VM9</t>
  </si>
  <si>
    <t>VMF</t>
  </si>
  <si>
    <t>VML</t>
  </si>
  <si>
    <t>VMM</t>
  </si>
  <si>
    <t>VMN</t>
  </si>
  <si>
    <t>VMO</t>
  </si>
  <si>
    <t>VMP</t>
  </si>
  <si>
    <t>VMQ</t>
  </si>
  <si>
    <t>VMR</t>
  </si>
  <si>
    <t>VMS</t>
  </si>
  <si>
    <t>VMT</t>
  </si>
  <si>
    <t>VMW</t>
  </si>
  <si>
    <t>VMX</t>
  </si>
  <si>
    <t>PDG</t>
  </si>
  <si>
    <t>GIA</t>
  </si>
  <si>
    <t>A10</t>
  </si>
  <si>
    <t>A30</t>
  </si>
  <si>
    <t>VS0</t>
  </si>
  <si>
    <t>GIS</t>
  </si>
  <si>
    <t>GIH</t>
  </si>
  <si>
    <t>GIC</t>
  </si>
  <si>
    <t>PRA</t>
  </si>
  <si>
    <t>ACS</t>
  </si>
  <si>
    <t>Business Supply Projects (&gt;10kVA)</t>
  </si>
  <si>
    <t>BUS SUP PROJ&gt;10KVA-LV EXTENS'N</t>
  </si>
  <si>
    <t>BUS SUP PROJ&gt;10KVA-GROUND SUBS</t>
  </si>
  <si>
    <t>BUS SUP PROJ&gt;10KVA-HVCUSTOMERS</t>
  </si>
  <si>
    <t>BUS SUP PROJ&gt;10KVA-INDOOR SUBS</t>
  </si>
  <si>
    <t>BUS SUP PROJ&gt;10KVA-KIOSK SUBST</t>
  </si>
  <si>
    <t>BUS SUP PROJ&gt;10KVA-LINEOFMAINS</t>
  </si>
  <si>
    <t>BUS SUP PROJ&gt;10KVA-POLE SUBST.</t>
  </si>
  <si>
    <t>DUAL &amp; MULTIPLE OCCPY SUPPLIES</t>
  </si>
  <si>
    <t>PIT AT BASE OF REPL P/L POLE</t>
  </si>
  <si>
    <t>LV U/G PER METRE RATE</t>
  </si>
  <si>
    <t>Medium Density Housing</t>
  </si>
  <si>
    <t>MEDDENSHOUSING- HV EXTENSION</t>
  </si>
  <si>
    <t>MEDDENSHOUSING-LV EXT. ONLY</t>
  </si>
  <si>
    <t>New Public Light</t>
  </si>
  <si>
    <t>PB.LIGHT CAPPROJ-MAJOR SCHEME</t>
  </si>
  <si>
    <t>PB.LIGHT CAPPROJ-MINOR SCHEME</t>
  </si>
  <si>
    <t>NEW U/G SERVICE CONNECTION</t>
  </si>
  <si>
    <t>NEW OVERHEAD SERVICE</t>
  </si>
  <si>
    <t>NEW SUSTAINABLE LIGHT - MINOR RD</t>
  </si>
  <si>
    <t>NEW SINGLE LIGHT - MAJOR ROADS</t>
  </si>
  <si>
    <t>NEW SINGLE LIGHT - MINOR ROAD</t>
  </si>
  <si>
    <t>NEW WATCHMAN LIGHTS</t>
  </si>
  <si>
    <t>SPECIAL CAPITAL / R'CVBLE WRKS</t>
  </si>
  <si>
    <t>CAP/RECWORKS-SUBT ASSET RELOC.</t>
  </si>
  <si>
    <t>CAP/RECWORKS-INLINE POLE/STAYS</t>
  </si>
  <si>
    <t>CAP/RECWORKS-SUB MODIFICATION</t>
  </si>
  <si>
    <t>CAP/RECWORKS-UNDERGD OF ASSETS</t>
  </si>
  <si>
    <t>CAP/RECWORKS-MAJVICROADS RELOC</t>
  </si>
  <si>
    <t>Low Density/Small Business Supply (&lt;10kvA)</t>
  </si>
  <si>
    <t>LD/SMAL.BUS DEV&lt;10KVA-O/H EXT.</t>
  </si>
  <si>
    <t>LD/SMAL.BUS DEV&lt;10KVA-U/G EXT.</t>
  </si>
  <si>
    <t>HV LINE CAPACITORS</t>
  </si>
  <si>
    <t>SUBTRANS O/HEAD LINE AUGMENTAT</t>
  </si>
  <si>
    <t>DIST.SYST.AUGMENT (RE-ACTIVE)</t>
  </si>
  <si>
    <t>POLE TX UPGRADE 200-500KVA</t>
  </si>
  <si>
    <t>POLE TX UPGRADE &lt; 200KVA</t>
  </si>
  <si>
    <t>DIST.SYST.AUG (PRO-ACTIVE TLM)</t>
  </si>
  <si>
    <t>ZONE SUBSTATION AUGMENTATION</t>
  </si>
  <si>
    <t>PROPERTY PROJECTS</t>
  </si>
  <si>
    <t>PROPERTY ACCOMMODATION</t>
  </si>
  <si>
    <t>NON NETWORK TRUCKS</t>
  </si>
  <si>
    <t>VEHICLES</t>
  </si>
  <si>
    <t>AMI Meter Ext Anten</t>
  </si>
  <si>
    <t>AMI Access Point / Relay Install</t>
  </si>
  <si>
    <t>INSTALL MTR-1PH,2W</t>
  </si>
  <si>
    <t>INSTALL MTR-1PH,2W,31.5A LC</t>
  </si>
  <si>
    <t>INSTALL MTR-3PH,4W NO LC</t>
  </si>
  <si>
    <t>INSTALL MTR-3PH,4W,31.5A LC</t>
  </si>
  <si>
    <t>INSTALL MTR-3P4W,31.5&amp;2A LC</t>
  </si>
  <si>
    <t>INSTALL MTR-3PH,4W LVT CNCT</t>
  </si>
  <si>
    <t>INSTALL METER 1PH, 2 WIRE, 2EL</t>
  </si>
  <si>
    <t>REPL MTR(PLAN)-1P,2W,31.5A LC</t>
  </si>
  <si>
    <t>REPLACE MTR(PLAN)-3P,4W NO LC</t>
  </si>
  <si>
    <t>REPL MTR(PLAN)-3P,4W,31.5A LC</t>
  </si>
  <si>
    <t>VT Replmnt (Emrgncy)</t>
  </si>
  <si>
    <t>OPERATIONAL TECHNOLOGY</t>
  </si>
  <si>
    <t>DIST.SYST.PERF-ACR</t>
  </si>
  <si>
    <t>AMPACT SWITCH LUGS + CONNECTOR</t>
  </si>
  <si>
    <t>DISTRIBUTION SYST. PERFORMANCE</t>
  </si>
  <si>
    <t>HV SPREADERS</t>
  </si>
  <si>
    <t>LV LINE CLASHING MITIGATION</t>
  </si>
  <si>
    <t>Animal Proofing</t>
  </si>
  <si>
    <t>NEW SERVICE POLES TO MEET REGS</t>
  </si>
  <si>
    <t>POSSUM PROTECTION</t>
  </si>
  <si>
    <t>POSSUM PROTECTION SW, S/S, CHP</t>
  </si>
  <si>
    <t>DIST.SYST.PERF-REMOTE.CONT.SW</t>
  </si>
  <si>
    <t>BIRD/ANIMAL PROOFING ON NETWOR</t>
  </si>
  <si>
    <t>FIT DAMPERS &amp;/OR ARMOUR RODS</t>
  </si>
  <si>
    <t>Environmental</t>
  </si>
  <si>
    <t>NETWORK FIRE MIT. CAPITAL</t>
  </si>
  <si>
    <t>QUALITY OF SUPPLY</t>
  </si>
  <si>
    <t>SUBTRANS SYSTEM PERFORMANCE</t>
  </si>
  <si>
    <t>SUBTRANS/COMM/PROTEC SYST REPL</t>
  </si>
  <si>
    <t>TXS, IN-SERVICE FAIL 200 - 500KVA</t>
  </si>
  <si>
    <t>TXS, IN-SERVICE FAIL &lt;200KVA</t>
  </si>
  <si>
    <t>TRANSFORMER FAILURE GRD/IND SUB</t>
  </si>
  <si>
    <t>INDOOR/KIOSK SW, RMU AGE FAULT</t>
  </si>
  <si>
    <t>LV SWITCHGEAR REPLACEMENT</t>
  </si>
  <si>
    <t>GAS SWITCHES (AGE REPLACEMENT)</t>
  </si>
  <si>
    <t>HV ISOLATORS (SET OF 3)</t>
  </si>
  <si>
    <t>HV ISOLATOR (SINGLE)</t>
  </si>
  <si>
    <t>KIOSK IN SERV FAIL 300KVA-2MVA</t>
  </si>
  <si>
    <t>LV ISOLATORS (SET OF 3)</t>
  </si>
  <si>
    <t>KIOSK REFURB 100KVA-2MVA NO SW</t>
  </si>
  <si>
    <t>KIOSK REFURB 100KVA-2MVA SWITC</t>
  </si>
  <si>
    <t>LV ISOLATOR (SINGLE)</t>
  </si>
  <si>
    <t>NETWK HV REPLACEMENT-PROJECT</t>
  </si>
  <si>
    <t>Replace Dist. Line Capacitor Controller</t>
  </si>
  <si>
    <t>Replace Dist. Line Capacitor Can</t>
  </si>
  <si>
    <t>Acr Replacements</t>
  </si>
  <si>
    <t>FUSE/JUNCTION BOX REPLACEMENT</t>
  </si>
  <si>
    <t>Replace Dist. Line Capacitor Switch</t>
  </si>
  <si>
    <t>Transformers - DSS</t>
  </si>
  <si>
    <t>SUSTAINABLE LANTERN REPLACEMENT</t>
  </si>
  <si>
    <t>SINGLE MAIN ROADS P/L REPLACEM</t>
  </si>
  <si>
    <t>SINGLE MINOR ROADS P/L REPLACE</t>
  </si>
  <si>
    <t>PREMISE FAULTS SERVICE REPLACE</t>
  </si>
  <si>
    <t>REPLACE SERVICE (ALTER TERMINA</t>
  </si>
  <si>
    <t>REPLACE SERVICE (&amp; CUSTOMER MA</t>
  </si>
  <si>
    <t>INSTALL DISCONNECT DEVICE</t>
  </si>
  <si>
    <t>SERVICE REPLACEMENT (PLANNED)</t>
  </si>
  <si>
    <t>O/H SERVICES REPLACED WITH U/G</t>
  </si>
  <si>
    <t>HV ABC REPLACEMENT</t>
  </si>
  <si>
    <t>FARGO SLEEVE REPLACEMENT (3)</t>
  </si>
  <si>
    <t>OPEN WIRE REPLACEMENT</t>
  </si>
  <si>
    <t>INSTALL / REPLACE HV FAULT INDICATORS</t>
  </si>
  <si>
    <t>LV Open Wire Replacement (route metre)</t>
  </si>
  <si>
    <t>O/H LINE REPL-LV ABC</t>
  </si>
  <si>
    <t>Overhead Conductors</t>
  </si>
  <si>
    <t>POLE REPLACE P/L - MAIN ROADS</t>
  </si>
  <si>
    <t>POLE REPLACE P/L - MINOR ROADS</t>
  </si>
  <si>
    <t>POLE REPLACEMENT- HIGH VOLTAGE</t>
  </si>
  <si>
    <t>POLE REPLACEMENT- LOW VOLTAGE</t>
  </si>
  <si>
    <t>POLE REPLACEMENT- SUBT</t>
  </si>
  <si>
    <t>POLE REINFORCEMENT ASSESSMENT</t>
  </si>
  <si>
    <t>POLE REINFORCEMENT- HV</t>
  </si>
  <si>
    <t>POLE REINFORCEMENT- LV</t>
  </si>
  <si>
    <t>POLE REINFORCEMENT - PL</t>
  </si>
  <si>
    <t>ALTER ASSETS TO ALLOW POLE REINFORCEMENT</t>
  </si>
  <si>
    <t>POLE REINFORCEMENT- ST</t>
  </si>
  <si>
    <t>SUBTRANS INSTALL REPLACEMENT</t>
  </si>
  <si>
    <t>Transformers - ZSS</t>
  </si>
  <si>
    <t>Replace UE Owned Substation Door</t>
  </si>
  <si>
    <t xml:space="preserve">Replace substation Fencing </t>
  </si>
  <si>
    <t xml:space="preserve">Zone Substation HV insulator replacement 66kV </t>
  </si>
  <si>
    <t>Zone Substation HV insulator replacement 11kV and 22kV</t>
  </si>
  <si>
    <t xml:space="preserve">Surge Diverter Replacement 66kV (set) </t>
  </si>
  <si>
    <t>DIST. U/G CABLE REPLACEMENT</t>
  </si>
  <si>
    <t>UNDERGROUND CABLE REPLACEMENT</t>
  </si>
  <si>
    <t>PILLAR TO PIT</t>
  </si>
  <si>
    <t>PILLAR TO PIT CUST SERVICE ALT</t>
  </si>
  <si>
    <t>PILLAR TO UEL STD PILLAR REPLA</t>
  </si>
  <si>
    <t>DIST. U/G CABLE REPL-NON CABUS</t>
  </si>
  <si>
    <t>DIST. U/G CABLE REPL-HV</t>
  </si>
  <si>
    <t>DIST. U/G CABLE REPL-LV</t>
  </si>
  <si>
    <t>REPLACE POLE TO PIT</t>
  </si>
  <si>
    <t>DIST. U/G CABLE REPL-SUBT</t>
  </si>
  <si>
    <t>SURGE DIVERTER REPL (SET OF 3)</t>
  </si>
  <si>
    <t>FUSE UNIT REPL (SET OF 3)</t>
  </si>
  <si>
    <t>SUB T INSULATOR REPL(SET OF 3)</t>
  </si>
  <si>
    <t>HV XARMS REPLACEMENT</t>
  </si>
  <si>
    <t>HV INSULATOR REPL (SET OF 3)</t>
  </si>
  <si>
    <t>FUSE UNIT REPL (SINGLE)</t>
  </si>
  <si>
    <t>SUB T INSULATOR REPL (SINGLE)</t>
  </si>
  <si>
    <t>LV XARMS REPLACEMENT</t>
  </si>
  <si>
    <t>HV INSULATOR REPL (SINGLE)</t>
  </si>
  <si>
    <t>HV Crossarm Replacement strain, anchor, termination</t>
  </si>
  <si>
    <t>POLE TOP ROT LIFE EXTENSION</t>
  </si>
  <si>
    <t>Sub Transmission Crossarm Replacement, strain, anchor termination</t>
  </si>
  <si>
    <t>Pole Top Extension HV with crossarm and insulators</t>
  </si>
  <si>
    <t>ST XARMS REPLACEMENT</t>
  </si>
  <si>
    <t>REPLACEMENT EX THERMAL SURVEY</t>
  </si>
  <si>
    <t>LV INSULATOR REPLACEMENT</t>
  </si>
  <si>
    <t>Pole Top Extension LV with crossarm and insulators</t>
  </si>
  <si>
    <t>STAY WIRE REPLACEMENT</t>
  </si>
  <si>
    <t>1 PHASE 1 ELEMENT METER INSTALL</t>
  </si>
  <si>
    <t>1 PHASE 2 ELEMENT METER INSTALL</t>
  </si>
  <si>
    <t>3 PHASE METER INSTALL</t>
  </si>
  <si>
    <t>1 PHASE 1 CHANNEL INT METER REPL</t>
  </si>
  <si>
    <t>1 PHASE 1 RATE METER REPL</t>
  </si>
  <si>
    <t>3 PHASE INTERVAL METER INSTALL</t>
  </si>
  <si>
    <t>1 PHASE INTERVAL - 1 ELEMENT REPL</t>
  </si>
  <si>
    <t>1 PHASE INTERVAL - 2 ELEMENT REPL</t>
  </si>
  <si>
    <t>1 PHASE 2 CHANNEL INT METER REPL</t>
  </si>
  <si>
    <t>3 PHASE METER REPLACEMENT</t>
  </si>
  <si>
    <t>TIMESWITCH REPLACEMENT</t>
  </si>
  <si>
    <t>1 PHASE SINGLE RATE METER INSTALL</t>
  </si>
  <si>
    <t>NEW TIMESWITCH INSTALLED</t>
  </si>
  <si>
    <t>1 PH INTERVAL 1 ELEMENT METER INSTALL</t>
  </si>
  <si>
    <t>1 PH INTERVAL 2 ELEMENT METER INSTALL</t>
  </si>
  <si>
    <t>NEW MGS Switch installation</t>
  </si>
  <si>
    <t>Information Systems Assets</t>
  </si>
  <si>
    <t>MRO Mtr Exch-1P 2W</t>
  </si>
  <si>
    <t>MRO Mtr Exch-3P 4W no LC</t>
  </si>
  <si>
    <t>Single Ph Basic 2 Elem Purch</t>
  </si>
  <si>
    <t>Information Systems - Software</t>
  </si>
  <si>
    <t>Information Systems - Hardware</t>
  </si>
  <si>
    <t>SCADA - Operations</t>
  </si>
  <si>
    <t>ZSS Security Monitoring Upgrade</t>
  </si>
  <si>
    <t>Contract Expenses Ca</t>
  </si>
  <si>
    <t>Direct Purchases Cap</t>
  </si>
  <si>
    <t>Serv Contract Labour</t>
  </si>
  <si>
    <t>Overhead 2nd CE</t>
  </si>
  <si>
    <t>Salaries Ord Time</t>
  </si>
  <si>
    <t>Consultancy Tax Ded</t>
  </si>
  <si>
    <t>IT Infra Mgmt-ASG</t>
  </si>
  <si>
    <t>SP Labour Costs</t>
  </si>
  <si>
    <t>IT Serv Mgmt -Logica</t>
  </si>
  <si>
    <t>SP Other Direct Exp</t>
  </si>
  <si>
    <t>SP LIMB3 Costs</t>
  </si>
  <si>
    <t>SP Material Costs</t>
  </si>
  <si>
    <t>SP Sub Contract Cost</t>
  </si>
  <si>
    <t>SP Plant &amp; Fleet Cos</t>
  </si>
  <si>
    <t>SP LIMB2 Costs</t>
  </si>
  <si>
    <t>SP Direct Overhead</t>
  </si>
  <si>
    <t>Contract Expenses Op</t>
  </si>
  <si>
    <t>In Kind Capital Exp</t>
  </si>
  <si>
    <t>UE Material</t>
  </si>
  <si>
    <t>UE 'Free Issue' Mat.</t>
  </si>
  <si>
    <t>SP LIMB2 Free Issue</t>
  </si>
  <si>
    <t>Dummy</t>
  </si>
  <si>
    <t>Materials Projects</t>
  </si>
  <si>
    <t>Labour Recy Assets</t>
  </si>
  <si>
    <t>Payroll Tax Salaries</t>
  </si>
  <si>
    <t>IT Hware Data Infra</t>
  </si>
  <si>
    <t>Oseas Travel Empe</t>
  </si>
  <si>
    <t>Per Diem</t>
  </si>
  <si>
    <t>UE Direct Overheads</t>
  </si>
  <si>
    <t>SP Indirect Sup Cost</t>
  </si>
  <si>
    <t>Proj CPT Charge Ext</t>
  </si>
  <si>
    <t>Cust Contrib - P/L</t>
  </si>
  <si>
    <t>SP Uplift Paymnt Cap</t>
  </si>
  <si>
    <t>Project Support</t>
  </si>
  <si>
    <t>Asset Inspection</t>
  </si>
  <si>
    <t>PropRepairs&amp;Maint</t>
  </si>
  <si>
    <t>SP Perform Paymt</t>
  </si>
  <si>
    <t>SP Sub Contractor Costs</t>
  </si>
  <si>
    <t>Vegetation Management</t>
  </si>
  <si>
    <t>Consulting - Tax Deductible</t>
  </si>
  <si>
    <t>FBT - Motor Vehicles</t>
  </si>
  <si>
    <t>IT Application Management - Accenture</t>
  </si>
  <si>
    <t>IT Service Management</t>
  </si>
  <si>
    <t>IT Infrastructure Management - Database</t>
  </si>
  <si>
    <t>IT Infrastructure Management - Security</t>
  </si>
  <si>
    <t>Salaries - Ordinary Time</t>
  </si>
  <si>
    <t>Salaries - Ex Gratia</t>
  </si>
  <si>
    <t>Workcover - Premium</t>
  </si>
  <si>
    <t>Salaries - Annual Leave Paid</t>
  </si>
  <si>
    <t>Salaries - Annual Leave Provided</t>
  </si>
  <si>
    <t>Salaries - Long Service Leave Paid</t>
  </si>
  <si>
    <t>Salaries - Long Service Leave Pro</t>
  </si>
  <si>
    <t>Salaries - Sick Leave</t>
  </si>
  <si>
    <t>Salaries - Maternity / Paternity Leave</t>
  </si>
  <si>
    <t>Superannuation - Employer Contrib</t>
  </si>
  <si>
    <t>Defined Benefit Super Expenses</t>
  </si>
  <si>
    <t>Payroll Tax - Salaries</t>
  </si>
  <si>
    <t>Contractors - Agency Temporary St</t>
  </si>
  <si>
    <t>Overhead</t>
  </si>
  <si>
    <t>CR1</t>
  </si>
  <si>
    <t>CR2</t>
  </si>
  <si>
    <t>CS1</t>
  </si>
  <si>
    <t>UE Consolidated Capex</t>
  </si>
  <si>
    <t>United Energy</t>
  </si>
  <si>
    <t>REFCL</t>
  </si>
  <si>
    <t>Commercial/industrial</t>
  </si>
  <si>
    <t>Residential</t>
  </si>
  <si>
    <t>Subdivision</t>
  </si>
  <si>
    <t>New Connect Services</t>
  </si>
  <si>
    <t>Feeder works</t>
  </si>
  <si>
    <t>New Meters</t>
  </si>
  <si>
    <t>Replacement Meters</t>
  </si>
  <si>
    <t>Service Lines</t>
  </si>
  <si>
    <t>Switchgear - DSS</t>
  </si>
  <si>
    <t>CDA1</t>
  </si>
  <si>
    <t>CDA2</t>
  </si>
  <si>
    <t>CDP1</t>
  </si>
  <si>
    <t>CDP2</t>
  </si>
  <si>
    <t>CHL1</t>
  </si>
  <si>
    <t>CHL2</t>
  </si>
  <si>
    <t>Distribution system augmentation</t>
  </si>
  <si>
    <t>Zone substation augmentation</t>
  </si>
  <si>
    <t>Pole top structures</t>
  </si>
  <si>
    <t>Underground cables</t>
  </si>
  <si>
    <t>Tools</t>
  </si>
  <si>
    <t>Property</t>
  </si>
  <si>
    <t>Fleet</t>
  </si>
  <si>
    <t xml:space="preserve">Power quality </t>
  </si>
  <si>
    <t>Network performance</t>
  </si>
  <si>
    <t>Sub/T OH line augmentation</t>
  </si>
  <si>
    <t>Operational technology</t>
  </si>
  <si>
    <t xml:space="preserve">Poles </t>
  </si>
  <si>
    <t>Overhead conductors</t>
  </si>
  <si>
    <t xml:space="preserve">Residential </t>
  </si>
  <si>
    <t>RXO</t>
  </si>
  <si>
    <t>LV Strain, Term, Anch Replace</t>
  </si>
  <si>
    <t>CBE1</t>
  </si>
  <si>
    <t>CBG1</t>
  </si>
  <si>
    <t>CBH1</t>
  </si>
  <si>
    <t>CBI1</t>
  </si>
  <si>
    <t>CBK1</t>
  </si>
  <si>
    <t>CBL1</t>
  </si>
  <si>
    <t>CBP1</t>
  </si>
  <si>
    <t>CHH1</t>
  </si>
  <si>
    <t>CHH2</t>
  </si>
  <si>
    <t>CBH2</t>
  </si>
  <si>
    <t>CBI2</t>
  </si>
  <si>
    <t>CBK2</t>
  </si>
  <si>
    <t>`</t>
  </si>
  <si>
    <t>Total VBRC Augex</t>
  </si>
  <si>
    <t>Total VBRC Repex</t>
  </si>
  <si>
    <t>Overhead Rate Calculation</t>
  </si>
  <si>
    <t>SCS Capex Base</t>
  </si>
  <si>
    <t>OH Pool</t>
  </si>
  <si>
    <t>OH Rate %</t>
  </si>
  <si>
    <t>Standard Control Capitalised Overheads</t>
  </si>
  <si>
    <t>Rate of Change</t>
  </si>
  <si>
    <t>Forecast rate of change</t>
  </si>
  <si>
    <t>Forecast Overhead Pool</t>
  </si>
  <si>
    <t>Overheads applicable to EN Direct</t>
  </si>
  <si>
    <t>Capex Base</t>
  </si>
  <si>
    <t>Capex Base - No Escalation</t>
  </si>
  <si>
    <t>Network Capital Expenditure</t>
  </si>
  <si>
    <t>OH Rate</t>
  </si>
  <si>
    <t>Capex Base - With Escalation</t>
  </si>
  <si>
    <t>Cumulative inflation from nominal to 2020</t>
  </si>
  <si>
    <t>Cumulative inflation from 2020 to nominal</t>
  </si>
  <si>
    <t>Nom_2020</t>
  </si>
  <si>
    <t>VBRC ENDirect - With Overheads</t>
  </si>
  <si>
    <t>SCADA (10-year asset)</t>
  </si>
  <si>
    <t>SCADA (5-year asset)</t>
  </si>
  <si>
    <t>Non network - other</t>
  </si>
  <si>
    <t>Non network - IT</t>
  </si>
  <si>
    <t>Nominal to Dec2020</t>
  </si>
  <si>
    <t>Dec2020 to Nominal</t>
  </si>
  <si>
    <t>SP Plant and Fleet Costs</t>
  </si>
  <si>
    <t>SP NSA Direct Cost</t>
  </si>
  <si>
    <t>SP NSA Overheads</t>
  </si>
  <si>
    <t>In Kind Capital Expenses</t>
  </si>
  <si>
    <t>Overhead Secondary CE - Assessment Cycle</t>
  </si>
  <si>
    <t>SP Other Direct Expenses</t>
  </si>
  <si>
    <t>Unitised Capex Cost Allocation</t>
  </si>
  <si>
    <t>SP Uplift Payment (Capex)</t>
  </si>
  <si>
    <t>SP Performance Payment</t>
  </si>
  <si>
    <t>Direct Purchases (Capex Only)</t>
  </si>
  <si>
    <t>Legal Expenses - Tax Deductible</t>
  </si>
  <si>
    <t>UE 'Free Issue' Materials</t>
  </si>
  <si>
    <t>SP Indirect Support Costs</t>
  </si>
  <si>
    <t>Contract Expenses (Capex Only)</t>
  </si>
  <si>
    <t>Average 16-18</t>
  </si>
  <si>
    <t>Capital Expenditure - Escalated $M Dec2020</t>
  </si>
  <si>
    <t>GPL</t>
  </si>
  <si>
    <t>$'000 Jun2021</t>
  </si>
  <si>
    <t>2021/22</t>
  </si>
  <si>
    <t>2022/23</t>
  </si>
  <si>
    <t>2023/24</t>
  </si>
  <si>
    <t>2024/25</t>
  </si>
  <si>
    <t>2025/26</t>
  </si>
  <si>
    <t>$'000 2021</t>
  </si>
  <si>
    <t>$M Jun2021</t>
  </si>
  <si>
    <t>In-house software</t>
  </si>
  <si>
    <t>Neutral Screen Services</t>
  </si>
  <si>
    <t>Distribution Transformers upgrades</t>
  </si>
  <si>
    <t>Actual / Forecast inflation</t>
  </si>
  <si>
    <t>In-house software % of Total Non Network IT</t>
  </si>
  <si>
    <t>All recoverable works &lt;= $400k</t>
  </si>
  <si>
    <t>All recoverable works &gt; $400k</t>
  </si>
  <si>
    <t>Rural Supply - O/H HV and U/G HV - &lt;= $400k</t>
  </si>
  <si>
    <t>DISPOSALS</t>
  </si>
  <si>
    <t>GIP</t>
  </si>
  <si>
    <t>CRN</t>
  </si>
  <si>
    <t>RHC</t>
  </si>
  <si>
    <t>CEA</t>
  </si>
  <si>
    <t>RHS</t>
  </si>
  <si>
    <t>Actual</t>
  </si>
  <si>
    <t>Forecast</t>
  </si>
  <si>
    <t>Total immediate deductions</t>
  </si>
  <si>
    <t>Calculations</t>
  </si>
  <si>
    <t>Reset RIN</t>
  </si>
  <si>
    <t>Activity</t>
  </si>
  <si>
    <t>Description</t>
  </si>
  <si>
    <t>NEWC vs REPL</t>
  </si>
  <si>
    <t>CBE</t>
  </si>
  <si>
    <t>Bus Sup Proj&gt;10kVA-LV Extensn</t>
  </si>
  <si>
    <t>NEWC</t>
  </si>
  <si>
    <t>CBG</t>
  </si>
  <si>
    <t>Bus Sup Proj&gt;10kVA-Ground Subs</t>
  </si>
  <si>
    <t>CBH</t>
  </si>
  <si>
    <t>Bus Sup Proj&gt;10kVA-HVCustomers</t>
  </si>
  <si>
    <t>CBI</t>
  </si>
  <si>
    <t>Bus Sup Proj&gt;10kVA-Indoor Subs</t>
  </si>
  <si>
    <t>CBK</t>
  </si>
  <si>
    <t>Bus Sup Proj&gt;10kVA-Kiosk Subst</t>
  </si>
  <si>
    <t>CBL</t>
  </si>
  <si>
    <t>Bus Sup Proj&gt;10kVA-LineofMains</t>
  </si>
  <si>
    <t>CBP</t>
  </si>
  <si>
    <t>Bus Sup Proj&gt;10kVA-Pole Subst.</t>
  </si>
  <si>
    <t>Install &amp; Energise Pole to Pit Service</t>
  </si>
  <si>
    <t>Pit at base of repl P/L pole</t>
  </si>
  <si>
    <t>LV U/G per metre rate</t>
  </si>
  <si>
    <t>Co Gen/Renew Energy Proj-Dist</t>
  </si>
  <si>
    <t>CHH</t>
  </si>
  <si>
    <t>MedDensHousing- HV Extension</t>
  </si>
  <si>
    <t>MedDensHousing-LV Ext. Only</t>
  </si>
  <si>
    <t>Pb.Light CapProj-Major Scheme</t>
  </si>
  <si>
    <t>Pb.Light CapProj-Minor Scheme</t>
  </si>
  <si>
    <t>New U/G Service Connection</t>
  </si>
  <si>
    <t>New Overhead Service</t>
  </si>
  <si>
    <t>New Sustainable Light - Minor Rd</t>
  </si>
  <si>
    <t>New Major Road Lantern - Not Sustainable</t>
  </si>
  <si>
    <t>New Single Light - Minor road</t>
  </si>
  <si>
    <t>CNS</t>
  </si>
  <si>
    <t>New Sustain. Majr Lantrn &amp; Bkt</t>
  </si>
  <si>
    <t>New Watchman Lights</t>
  </si>
  <si>
    <t>Special Capital / Rcvble Wrks</t>
  </si>
  <si>
    <t>Cap/RecWorks-SubT Asset Reloc.</t>
  </si>
  <si>
    <t>CAP/RECWORKS-NBN</t>
  </si>
  <si>
    <t>Cap/RecWorks-Inline Pole/Stays</t>
  </si>
  <si>
    <t>Cap/RecWorks-Sub Modification</t>
  </si>
  <si>
    <t>Cap/RecWorks-Undergd of Assets</t>
  </si>
  <si>
    <t>Cap/RecWorks-MajVicRoads Reloc</t>
  </si>
  <si>
    <t>LD/Smal.Bus Dev&lt;10kVA-O/H Ext.</t>
  </si>
  <si>
    <t>LD/Smal.Bus Dev&lt;10kVA-U/G Ext.</t>
  </si>
  <si>
    <t>HV Line Capacitors</t>
  </si>
  <si>
    <t>Subtrans O/head Line Augmentat</t>
  </si>
  <si>
    <t>Dist.Syst.Augment (Re-active)</t>
  </si>
  <si>
    <t>Pole TX Upgrade 200-500kVA</t>
  </si>
  <si>
    <t>Pole TX Upgrade &lt; 200kVA</t>
  </si>
  <si>
    <t>Dist.Syst.Aug (Pro-active TLM)</t>
  </si>
  <si>
    <t>Zone Substation Augmentation</t>
  </si>
  <si>
    <t>General Equipment</t>
  </si>
  <si>
    <t>GII</t>
  </si>
  <si>
    <t>SCADA - Information Technology</t>
  </si>
  <si>
    <t>GIM</t>
  </si>
  <si>
    <t>AMI - Information Systems</t>
  </si>
  <si>
    <t>GIO</t>
  </si>
  <si>
    <t>Operations - Information Systems</t>
  </si>
  <si>
    <t>Property Projects</t>
  </si>
  <si>
    <t>Property Accommodation</t>
  </si>
  <si>
    <t>Non Network Trucks</t>
  </si>
  <si>
    <t>Vehicles</t>
  </si>
  <si>
    <t>J53J53</t>
  </si>
  <si>
    <t>NEW MULTI PHASE INTERVAL</t>
  </si>
  <si>
    <t>JA4</t>
  </si>
  <si>
    <t>Install Access Point</t>
  </si>
  <si>
    <t>JA4JA4</t>
  </si>
  <si>
    <t>JA5</t>
  </si>
  <si>
    <t>Replace Access Point</t>
  </si>
  <si>
    <t>JA5JA5</t>
  </si>
  <si>
    <t>JA6</t>
  </si>
  <si>
    <t>Replace Access Point (Emerg)</t>
  </si>
  <si>
    <t>JA6JA6</t>
  </si>
  <si>
    <t>Replace Access Point (Emergency)</t>
  </si>
  <si>
    <t>JB1JB1</t>
  </si>
  <si>
    <t>NEW 1 PHASE SINGLE RATE</t>
  </si>
  <si>
    <t>JB2JB2</t>
  </si>
  <si>
    <t>1 Ph Basic 1 Ch - New</t>
  </si>
  <si>
    <t>JB5JB5</t>
  </si>
  <si>
    <t>MULTIPHASE Elec  - New</t>
  </si>
  <si>
    <t>JB8JB8</t>
  </si>
  <si>
    <t>1 Ph Basic 2 Ch  - New</t>
  </si>
  <si>
    <t>JBA</t>
  </si>
  <si>
    <t>Replace Battery</t>
  </si>
  <si>
    <t>JC1</t>
  </si>
  <si>
    <t>Install CG Mtr-1Ph 2W</t>
  </si>
  <si>
    <t>JC1JC1</t>
  </si>
  <si>
    <t>Install Cogen Meter - 1Ph, 2 Wire</t>
  </si>
  <si>
    <t>JC2</t>
  </si>
  <si>
    <t>Install CG Mtr-1Ph 2W 31.5A LC</t>
  </si>
  <si>
    <t>JC2JC2</t>
  </si>
  <si>
    <t>Install Cogen Meter-1Ph, 2Wire, 31.5A LC</t>
  </si>
  <si>
    <t>JC3</t>
  </si>
  <si>
    <t>Install CG Mtr-3Ph 4W no LC</t>
  </si>
  <si>
    <t>JC3JC3</t>
  </si>
  <si>
    <t>Install Cogen Mtr- 3Ph,4Wire with no LC</t>
  </si>
  <si>
    <t>JC4</t>
  </si>
  <si>
    <t>Install CG Mtr-3Ph 4W 31.5A LC</t>
  </si>
  <si>
    <t>JC4JC4</t>
  </si>
  <si>
    <t>Install Cogen Mtr - 3Ph, 4Wire, 31.5A LC</t>
  </si>
  <si>
    <t>JC5</t>
  </si>
  <si>
    <t>Install CG Mtr-3P4W 31.5 2A LC</t>
  </si>
  <si>
    <t>JC5JC5</t>
  </si>
  <si>
    <t>Install Cogen Mtr-3Ph,4Wire,31.5A&amp; 2A LC</t>
  </si>
  <si>
    <t>JC6</t>
  </si>
  <si>
    <t>Install CG Mtr-3Ph 4W LVT Cnct</t>
  </si>
  <si>
    <t>JC6JC6</t>
  </si>
  <si>
    <t>Install Cogen Mtr- 3Ph,4Wire LVT Connect</t>
  </si>
  <si>
    <t>JC7</t>
  </si>
  <si>
    <t>Install CG Mtr-3Ph 3W HVT Cnct</t>
  </si>
  <si>
    <t>JC7JC7</t>
  </si>
  <si>
    <t>Install Cogen Mtr- 3Ph,3Wire HVT Connect</t>
  </si>
  <si>
    <t>JC8JC8</t>
  </si>
  <si>
    <t>Install Cogen Meter - 1Ph, 2 Element</t>
  </si>
  <si>
    <t>JCT</t>
  </si>
  <si>
    <t>CT issue</t>
  </si>
  <si>
    <t>JDA</t>
  </si>
  <si>
    <t>Install/Replace Antenna</t>
  </si>
  <si>
    <t>JE1</t>
  </si>
  <si>
    <t>EM Rep 1P2W</t>
  </si>
  <si>
    <t>JE1JE1</t>
  </si>
  <si>
    <t>Replace Meter (Emergency)- 1Ph, 2 Wire</t>
  </si>
  <si>
    <t>JE2</t>
  </si>
  <si>
    <t>EM Rep 1P2W31.5A LC</t>
  </si>
  <si>
    <t>JE2JE2</t>
  </si>
  <si>
    <t>Replace Mtr(Emergency)-1P,2Wire,31.5A LC</t>
  </si>
  <si>
    <t>JE3</t>
  </si>
  <si>
    <t>EM Rep 3P4W  no LC</t>
  </si>
  <si>
    <t>JE3JE3</t>
  </si>
  <si>
    <t>Replace Mtr(Emergency)- 3P, 4Wire, no LC</t>
  </si>
  <si>
    <t>JE4</t>
  </si>
  <si>
    <t>EM Rep 3P4W31.5A LC</t>
  </si>
  <si>
    <t>JE4JE4</t>
  </si>
  <si>
    <t>Replace Mtr(Emergency)-3P,4Wire,31.5A LC</t>
  </si>
  <si>
    <t>JE5</t>
  </si>
  <si>
    <t>EM Rep3P4W31.5A 2ALC</t>
  </si>
  <si>
    <t>JE5JE5</t>
  </si>
  <si>
    <t>Replace Mtr(Emergency)-3P,4W,31.5A&amp;2A LC</t>
  </si>
  <si>
    <t>JE6</t>
  </si>
  <si>
    <t>EM Rep 3P4W LVT Cnct</t>
  </si>
  <si>
    <t>JE6JE6</t>
  </si>
  <si>
    <t>Replace Mtr(Emergency)-3P,4Wire LVT Cnct</t>
  </si>
  <si>
    <t>JE7</t>
  </si>
  <si>
    <t>EM Rep 3P3W HVT Cnct</t>
  </si>
  <si>
    <t>JE7JE7</t>
  </si>
  <si>
    <t>Replace Mtr(Emergency)-3P,3Wire HVT Cnct</t>
  </si>
  <si>
    <t>JE8JE8</t>
  </si>
  <si>
    <t>Replace Meter (Emergency)- 1Ph, 2 Elemnt</t>
  </si>
  <si>
    <t>JFA</t>
  </si>
  <si>
    <t>Install WAN Modem</t>
  </si>
  <si>
    <t>JGA</t>
  </si>
  <si>
    <t>AMI Meter External Antenna Install</t>
  </si>
  <si>
    <t>JLA</t>
  </si>
  <si>
    <t>Install/Replace LAN Antenna</t>
  </si>
  <si>
    <t>Install Mtr-1Ph 1 Element</t>
  </si>
  <si>
    <t>JM1JM1</t>
  </si>
  <si>
    <t>Install Meter - 1Ph, 2 Wire</t>
  </si>
  <si>
    <t>Install Mtr-1Ph 1 Element 31.5A LC</t>
  </si>
  <si>
    <t>JM2JM2</t>
  </si>
  <si>
    <t>Install Meter - 1Ph, 2Wire, 31.5A LC</t>
  </si>
  <si>
    <t>Install Mtr-3Ph no Load Control</t>
  </si>
  <si>
    <t>JM3JM3</t>
  </si>
  <si>
    <t>Install Meter - 3Ph, 4Wire with no LC</t>
  </si>
  <si>
    <t>Install Mtr- Code Not Used</t>
  </si>
  <si>
    <t>JM4JM4</t>
  </si>
  <si>
    <t>Install Meter- 3Ph, 4Wire with 31.5A LC</t>
  </si>
  <si>
    <t>Install Mtr-3P 31.5 and 2A Load Control</t>
  </si>
  <si>
    <t>JM5JM5</t>
  </si>
  <si>
    <t>Install Meter-3Ph,4Wire with 31.5A&amp;2A LC</t>
  </si>
  <si>
    <t>Install Mtr-3Ph LVCT</t>
  </si>
  <si>
    <t>JM6JM6</t>
  </si>
  <si>
    <t>Install Meter- 3Ph, 4Wire LVT Connect</t>
  </si>
  <si>
    <t>JM7</t>
  </si>
  <si>
    <t>Install Mtr-3Ph HVCT</t>
  </si>
  <si>
    <t>JM7JM7</t>
  </si>
  <si>
    <t>Install Meter- 3Ph, 3Wire HVT Connect</t>
  </si>
  <si>
    <t>Install Mtr-1Ph 2 Element 31.5A LC</t>
  </si>
  <si>
    <t>JM8JM8</t>
  </si>
  <si>
    <t>Install Meter - 1Ph, 2 Element</t>
  </si>
  <si>
    <t>JP1</t>
  </si>
  <si>
    <t>Replace Mtr(Plan)-1Ph 2W</t>
  </si>
  <si>
    <t>JP1JP1</t>
  </si>
  <si>
    <t>Replace Meter (Planned) - 1Ph, 2 Wire</t>
  </si>
  <si>
    <t>Repl Mtr(Plan)-1P 2W 31.5A LC</t>
  </si>
  <si>
    <t>JP2JP2</t>
  </si>
  <si>
    <t>Replace Mtr(Planned)-1P, 2Wire, 31.5A LC</t>
  </si>
  <si>
    <t>Replace Mtr(Plan)-3P 4W no LC</t>
  </si>
  <si>
    <t>JP3JP3</t>
  </si>
  <si>
    <t>Replace Mtr(Planned) - 3P, 4Wire, no LC</t>
  </si>
  <si>
    <t>Repl Mtr(Plan)-3P 4W 31.5A LC</t>
  </si>
  <si>
    <t>JP4JP4</t>
  </si>
  <si>
    <t>Replace Mtr(Planned)- 3P,4Wire, 31.5A LC</t>
  </si>
  <si>
    <t>JP5</t>
  </si>
  <si>
    <t>Repl Mtr(Plan)-3P4W31.5 2A LC</t>
  </si>
  <si>
    <t>JP5JP5</t>
  </si>
  <si>
    <t>Replace Mtr(Planned)-3P,4W,31.5A &amp; 2A LC</t>
  </si>
  <si>
    <t>JP6</t>
  </si>
  <si>
    <t>Repl Mtr(Plan)-3P 4W LVT Cnct</t>
  </si>
  <si>
    <t>JP6JP6</t>
  </si>
  <si>
    <t>Replace Mtr(Planned)- 3P, 4Wire LVT Cnct</t>
  </si>
  <si>
    <t>JP7</t>
  </si>
  <si>
    <t>Repl Mtr(Plan)-3P 3W HVT Cnct</t>
  </si>
  <si>
    <t>JP7JP7</t>
  </si>
  <si>
    <t>Replace Mtr(Planned)- 3P, 3Wire HVT Cnct</t>
  </si>
  <si>
    <t>JP8JP8</t>
  </si>
  <si>
    <t>Replace Meter (Planned) - 1Ph, 2 Element</t>
  </si>
  <si>
    <t>JR4</t>
  </si>
  <si>
    <t>Install Repeater</t>
  </si>
  <si>
    <t>JR4JR4</t>
  </si>
  <si>
    <t>JR5</t>
  </si>
  <si>
    <t>Replace Repeater</t>
  </si>
  <si>
    <t>JR5JR5</t>
  </si>
  <si>
    <t>JR6</t>
  </si>
  <si>
    <t>Replace Repeater (Emergency)</t>
  </si>
  <si>
    <t>JR6JR6</t>
  </si>
  <si>
    <t>JRM</t>
  </si>
  <si>
    <t>Rem Mtr-Mtr Ex FMY</t>
  </si>
  <si>
    <t>JRP</t>
  </si>
  <si>
    <t>Reprogram Mtr- FMY</t>
  </si>
  <si>
    <t>JT1</t>
  </si>
  <si>
    <t>CT Replmnt (Emrgncy)</t>
  </si>
  <si>
    <t>JT1JT1</t>
  </si>
  <si>
    <t>CT Replacement (Emergency)</t>
  </si>
  <si>
    <t>JT2JT2</t>
  </si>
  <si>
    <t>VT Replacement (Emergency)</t>
  </si>
  <si>
    <t>JZFJZF</t>
  </si>
  <si>
    <t>Misc Activity(Ref to Instructs)-Formway</t>
  </si>
  <si>
    <t>JZTJZT</t>
  </si>
  <si>
    <t>Misc Activity(Ref to Instructs)-Transfld</t>
  </si>
  <si>
    <t>Operational Technology Projects</t>
  </si>
  <si>
    <t>Ampact connectors (set of 3)</t>
  </si>
  <si>
    <t>Ampact switch lugs + connector</t>
  </si>
  <si>
    <t>PDC</t>
  </si>
  <si>
    <t>Dist.Syst.Perf-CMEN</t>
  </si>
  <si>
    <t>Distribution Syst. Performance</t>
  </si>
  <si>
    <t>New MGS Switch Installation</t>
  </si>
  <si>
    <t>Install Set of HV Spreaders</t>
  </si>
  <si>
    <t>LV Line clashing mitigation</t>
  </si>
  <si>
    <t>Install/Refit Cover Guard</t>
  </si>
  <si>
    <t>New service poles to meet regs</t>
  </si>
  <si>
    <t>Possum Protection</t>
  </si>
  <si>
    <t>Possum Protection Sw  S/S  CHP</t>
  </si>
  <si>
    <t>Dist.Syst.Perf-Remote.Cont.Sw</t>
  </si>
  <si>
    <t>Bird/Animal Proofing on Networ</t>
  </si>
  <si>
    <t>Fit Dampers &amp;/or Armour Rods</t>
  </si>
  <si>
    <t>Environmental Management</t>
  </si>
  <si>
    <t>Install New Earthing System (Distribtn)</t>
  </si>
  <si>
    <t>Network Fire Mit. Capital</t>
  </si>
  <si>
    <t>Quality of Supply</t>
  </si>
  <si>
    <t>Remote Monitor Control Schem</t>
  </si>
  <si>
    <t>Subtrans System Performance</t>
  </si>
  <si>
    <t>Subtrans/Comm/Protec Syst Repl</t>
  </si>
  <si>
    <t>REPL</t>
  </si>
  <si>
    <t>RFH</t>
  </si>
  <si>
    <t>Replacement of HV Fuses</t>
  </si>
  <si>
    <t>RFL</t>
  </si>
  <si>
    <t>Replacement of LV Fuses</t>
  </si>
  <si>
    <t>TXs  in-service fail 200 - 500kVA</t>
  </si>
  <si>
    <t>TXs  in-service fail &lt;200kVA</t>
  </si>
  <si>
    <t>Transformer Failure Grd/Ind Sub</t>
  </si>
  <si>
    <t>Indoor/Kiosk SW  RMU age Fault</t>
  </si>
  <si>
    <t>LV Switchgear replacement</t>
  </si>
  <si>
    <t>Gas Switches (Age Replacement)</t>
  </si>
  <si>
    <t>HV Isolators (set of 3)</t>
  </si>
  <si>
    <t>HV Isolator (single)</t>
  </si>
  <si>
    <t>Kiosk in serv fail 300kVA-2MVA</t>
  </si>
  <si>
    <t>LV Isolators (set of 3)</t>
  </si>
  <si>
    <t>Kiosk refurb 100kVA-2MVA no sw</t>
  </si>
  <si>
    <t>Kiosk refurb 100kVA-2MVA switc</t>
  </si>
  <si>
    <t>LV Isolator (single)</t>
  </si>
  <si>
    <t>Netwk HV Replacement-Project</t>
  </si>
  <si>
    <t>Replace Local / Control Box</t>
  </si>
  <si>
    <t>Line Capacitor Replacement</t>
  </si>
  <si>
    <t>Netwk HV Replacement-Substation</t>
  </si>
  <si>
    <t>ACR Replacement</t>
  </si>
  <si>
    <t>Fuse/Junction Box Replacement</t>
  </si>
  <si>
    <t>Replace HV Pole Capacitor Switch</t>
  </si>
  <si>
    <t>HV/LV Cabinet Replacement</t>
  </si>
  <si>
    <t>Sustainable Lantern Replacement</t>
  </si>
  <si>
    <t>Replace Major Road Lantern-Not Sustain</t>
  </si>
  <si>
    <t>Single Minor Roads P/L replace</t>
  </si>
  <si>
    <t>RLS</t>
  </si>
  <si>
    <t>Replace Sustain. Majr Lantern</t>
  </si>
  <si>
    <t>Premise faults service replace</t>
  </si>
  <si>
    <t>Replace Service (alter termina</t>
  </si>
  <si>
    <t>Replace Service (customer ma</t>
  </si>
  <si>
    <t>Install Disconnect Device</t>
  </si>
  <si>
    <t>Service replacement (Planned)</t>
  </si>
  <si>
    <t>O/h services replaced with U/G</t>
  </si>
  <si>
    <t>HV ABC Replacement</t>
  </si>
  <si>
    <t>ROB</t>
  </si>
  <si>
    <t>Replacement of Sub T Bridges</t>
  </si>
  <si>
    <t>ROC</t>
  </si>
  <si>
    <t>Replacement of HV Bridges</t>
  </si>
  <si>
    <t>ROD</t>
  </si>
  <si>
    <t>Replacement of LV Bridges</t>
  </si>
  <si>
    <t>Fargo Sleeve replacement (3)</t>
  </si>
  <si>
    <t>Open wire replacement</t>
  </si>
  <si>
    <t>Install/Replace HV Fault Indicators</t>
  </si>
  <si>
    <t>LV O/H Conductor Replacement</t>
  </si>
  <si>
    <t>O/H Line Repl-LV ABC</t>
  </si>
  <si>
    <t>LV Facade Mounted  ABC Replacement</t>
  </si>
  <si>
    <t>Pole Replace P/L - Main Roads</t>
  </si>
  <si>
    <t>Pole Replace P/L - Minor Roads</t>
  </si>
  <si>
    <t>Pole Replacement- High Voltage</t>
  </si>
  <si>
    <t>Pole Replacement- Low Voltage</t>
  </si>
  <si>
    <t>Pole Replacement- SubT</t>
  </si>
  <si>
    <t>Pole Reinforcement- HV</t>
  </si>
  <si>
    <t>Pole Reinforcement- LV</t>
  </si>
  <si>
    <t>POLE REINFORCEMENT – PL</t>
  </si>
  <si>
    <t>Pole Reinforcement- ST</t>
  </si>
  <si>
    <t>Subtrans Install Replacement</t>
  </si>
  <si>
    <t>ZSS 66kV Bushing Replacement</t>
  </si>
  <si>
    <t>Replace UE Owned Substation Doors</t>
  </si>
  <si>
    <t>Replace Substation Fencing</t>
  </si>
  <si>
    <t>ZSS 66kV Insulator Replace</t>
  </si>
  <si>
    <t>ZSS 11/22kV Insulator Replace</t>
  </si>
  <si>
    <t>ZSS 66kV Surge Divert Replace</t>
  </si>
  <si>
    <t>Dist. U/G Cable Replacement</t>
  </si>
  <si>
    <t>LV Underground Cable Replacement</t>
  </si>
  <si>
    <t>Pillar to Pit</t>
  </si>
  <si>
    <t>Pillar to Pit Cust Service Alt</t>
  </si>
  <si>
    <t>Pillar to UEL STD Pillar Repla</t>
  </si>
  <si>
    <t>Dist. U/G Cable Repl-non cabus</t>
  </si>
  <si>
    <t>Dist. U/G Cable Repl-HV</t>
  </si>
  <si>
    <t>LV U/G Cable Term/Joint Replacement</t>
  </si>
  <si>
    <t>Replace Pole to Pit</t>
  </si>
  <si>
    <t>Dist. U/G Cable Repl-SubT</t>
  </si>
  <si>
    <t>RXA</t>
  </si>
  <si>
    <t>Replace Sub T/HV Fittings</t>
  </si>
  <si>
    <t>RXB</t>
  </si>
  <si>
    <t>Replacement of LV Fittings</t>
  </si>
  <si>
    <t>Surge Diverter repl (set of 3)</t>
  </si>
  <si>
    <t>RXE</t>
  </si>
  <si>
    <t>Surge Diverter repl - (single)</t>
  </si>
  <si>
    <t>Fuse Unit repl (set of 3)</t>
  </si>
  <si>
    <t>Sub T Insulator repl(set of 3)</t>
  </si>
  <si>
    <t>HV Xarms replacement</t>
  </si>
  <si>
    <t>HV Insulator repl (set of 3)</t>
  </si>
  <si>
    <t>Fuse Unit repl (single)</t>
  </si>
  <si>
    <t>Sub T Insulator repl (single)</t>
  </si>
  <si>
    <t>LV Xarms replacement</t>
  </si>
  <si>
    <t>HV Insulator repl (single)</t>
  </si>
  <si>
    <t>HV Strain, Term, Anch Replace</t>
  </si>
  <si>
    <t>Pole Top Rot life extension</t>
  </si>
  <si>
    <t>SubT Strain, Term, Anch Replace</t>
  </si>
  <si>
    <t>Pole Top Ext HV/LV</t>
  </si>
  <si>
    <t>ST Xarms replacement</t>
  </si>
  <si>
    <t>Replacement ex Thermal survey</t>
  </si>
  <si>
    <t>LV Insulator Replacement</t>
  </si>
  <si>
    <t>LV Pole Top Ext Include LV Arm</t>
  </si>
  <si>
    <t>Stay wire Replacement</t>
  </si>
  <si>
    <t>VM1</t>
  </si>
  <si>
    <t>Co-Gen - 1 Phase meter install</t>
  </si>
  <si>
    <t>VM2</t>
  </si>
  <si>
    <t>Co-Gen - CT interval meter install</t>
  </si>
  <si>
    <t>VM5</t>
  </si>
  <si>
    <t>1 Phase Single Rate meter Fault</t>
  </si>
  <si>
    <t>1 Phase 1 Element meter install</t>
  </si>
  <si>
    <t>1 Phase 2 Element meter install</t>
  </si>
  <si>
    <t>3 Phase meter install</t>
  </si>
  <si>
    <t>VMA</t>
  </si>
  <si>
    <t>New CT Metering S Type</t>
  </si>
  <si>
    <t>VMB</t>
  </si>
  <si>
    <t>New CT Metering T Type</t>
  </si>
  <si>
    <t>VMC</t>
  </si>
  <si>
    <t>New CT Metering W Type</t>
  </si>
  <si>
    <t>VMD</t>
  </si>
  <si>
    <t>Issuance - S Type CT Metering</t>
  </si>
  <si>
    <t>VME</t>
  </si>
  <si>
    <t>CT Metering Replacement</t>
  </si>
  <si>
    <t>1 Phase 1 Channel Int meter Repl</t>
  </si>
  <si>
    <t>VMH</t>
  </si>
  <si>
    <t>Issuance - T Type CT Metering</t>
  </si>
  <si>
    <t>VMI</t>
  </si>
  <si>
    <t>Poly Phase Meter Fault</t>
  </si>
  <si>
    <t>VMJ</t>
  </si>
  <si>
    <t>Co-Gen - 3 Phase meter install</t>
  </si>
  <si>
    <t>VMK</t>
  </si>
  <si>
    <t>3 Phase Interval Meter Repl</t>
  </si>
  <si>
    <t>1 Phase 1 Rate Meter Repl</t>
  </si>
  <si>
    <t>3 Phase Interval Meter Install</t>
  </si>
  <si>
    <t>1 Phase Interval - 1 Element Repl</t>
  </si>
  <si>
    <t>1 Phase Interval - 2 Element Repl</t>
  </si>
  <si>
    <t>1 Phase 2 Channel Int meter Repl</t>
  </si>
  <si>
    <t>3 Phase Meter Replacement</t>
  </si>
  <si>
    <t>Timeswitch Replacement</t>
  </si>
  <si>
    <t>1 Phase Single Rate Meter install</t>
  </si>
  <si>
    <t>New Timeswitch Installed</t>
  </si>
  <si>
    <t>VMU</t>
  </si>
  <si>
    <t>Issuance - W Type CT Metering</t>
  </si>
  <si>
    <t>1 Ph interval 1 Element meter install</t>
  </si>
  <si>
    <t>1 Ph interval 2 Element meter install</t>
  </si>
  <si>
    <t>VS2</t>
  </si>
  <si>
    <t>Three Ph CT Conn Int Met Purch</t>
  </si>
  <si>
    <t>VS3</t>
  </si>
  <si>
    <t>Single Ph Interval Meter Purch</t>
  </si>
  <si>
    <t>VS4</t>
  </si>
  <si>
    <t>Three Ph Direct Conn Int Met P</t>
  </si>
  <si>
    <t>VS5</t>
  </si>
  <si>
    <t>Single Ph Off Peak Int Meter P</t>
  </si>
  <si>
    <t>VS7</t>
  </si>
  <si>
    <t>Three PH DC Basic Meter Purch</t>
  </si>
  <si>
    <t>VS8</t>
  </si>
  <si>
    <t>Timeswitch Purchase</t>
  </si>
  <si>
    <t>VS9</t>
  </si>
  <si>
    <t>Single Ph Basic 1 Elem Purch</t>
  </si>
  <si>
    <t>Tax</t>
  </si>
  <si>
    <t>Immediate Expensing of Capital Expenditure</t>
  </si>
  <si>
    <t>Overhead Pool - Average actual 2016 2019</t>
  </si>
  <si>
    <t>Cumulative forecast rate of change</t>
  </si>
  <si>
    <t>Overheads</t>
  </si>
  <si>
    <t>Capcons</t>
  </si>
  <si>
    <t>Total gross capex</t>
  </si>
  <si>
    <t>Total net capex</t>
  </si>
  <si>
    <t>Net connections</t>
  </si>
  <si>
    <t>Repex</t>
  </si>
  <si>
    <t>DER capex</t>
  </si>
  <si>
    <t>Augex</t>
  </si>
  <si>
    <t>Gross connections</t>
  </si>
  <si>
    <t>ICT capex</t>
  </si>
  <si>
    <t>Other non-network capex</t>
  </si>
  <si>
    <t xml:space="preserve">   less capcons</t>
  </si>
  <si>
    <t xml:space="preserve">   less disposals</t>
  </si>
  <si>
    <t>Solar enablement</t>
  </si>
  <si>
    <t>Digital network devices</t>
  </si>
  <si>
    <t>Digital network</t>
  </si>
  <si>
    <t>UE MOD 1.27 Plant Stations and Lines Replacement Capex</t>
  </si>
  <si>
    <t>UE - Augmentation Capex</t>
  </si>
  <si>
    <t>Nominal to Jun2021</t>
  </si>
  <si>
    <t>Revised Proposal</t>
  </si>
  <si>
    <t>United Energy categories</t>
  </si>
  <si>
    <t>augex</t>
  </si>
  <si>
    <t>connections</t>
  </si>
  <si>
    <t>repex</t>
  </si>
  <si>
    <t>IT</t>
  </si>
  <si>
    <t>Other</t>
  </si>
  <si>
    <t>vbrc</t>
  </si>
  <si>
    <t>refcl</t>
  </si>
  <si>
    <t>overheads</t>
  </si>
  <si>
    <t>gross capex</t>
  </si>
  <si>
    <t>contributions</t>
  </si>
  <si>
    <t>disposals</t>
  </si>
  <si>
    <t>net capex</t>
  </si>
  <si>
    <t>DER</t>
  </si>
  <si>
    <t>Solar enablement initiative</t>
  </si>
  <si>
    <t>LV supply quality</t>
  </si>
  <si>
    <t>LV augmentation: supply quality</t>
  </si>
  <si>
    <t>Digital network: network devices</t>
  </si>
  <si>
    <t>DVMS</t>
  </si>
  <si>
    <t>Solar enablement DVMS</t>
  </si>
  <si>
    <t>other</t>
  </si>
  <si>
    <t>Contributions</t>
  </si>
  <si>
    <t>AER categories</t>
  </si>
  <si>
    <t>Summary</t>
  </si>
  <si>
    <t>AER Final Decision</t>
  </si>
  <si>
    <t>Overhead Pool - No Escalation</t>
  </si>
  <si>
    <t>Direct Network Capital Expenditure attracting Capitlised Overheads</t>
  </si>
  <si>
    <t>Average (2016-2019)</t>
  </si>
  <si>
    <t>Fixed Overheads</t>
  </si>
  <si>
    <t>Variable Overheads</t>
  </si>
  <si>
    <t>Variable Overheads Rate</t>
  </si>
  <si>
    <t>Total Overheads - No Escalation</t>
  </si>
  <si>
    <t xml:space="preserve">2019 Annual RIN - Total capex </t>
  </si>
  <si>
    <t>2019 Annual RIN - Non-Network Capital Expenditure</t>
  </si>
  <si>
    <t>2019 Annual RIN - Total Network Capital Expenditure</t>
  </si>
  <si>
    <t>2019 Category Analysis RIN - Capitalised Overheads</t>
  </si>
  <si>
    <t>Direct Network Capital Expenditure</t>
  </si>
  <si>
    <t>Source : 2016- 2019 Category Analysis RINs</t>
  </si>
  <si>
    <t>United Energy categories with DER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</si>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</sst>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#,##0_);\(#,##0\);\-\-_)"/>
    <numFmt numFmtId="167" formatCode="[$-409]mmm\-yy;&quot;nm&quot;;&quot;nm&quot;"/>
    <numFmt numFmtId="168" formatCode="#,##0.0\ ;&quot;(&quot;#,##0.0&quot;)&quot;"/>
    <numFmt numFmtId="169" formatCode="#,##0;[Red]\-#,##0;\ &quot;-&quot;"/>
    <numFmt numFmtId="170" formatCode="0.00%;[Red]\-0.00%;\ &quot;-&quot;"/>
    <numFmt numFmtId="171" formatCode="0_ ;[Red]\-0\ "/>
    <numFmt numFmtId="172" formatCode="#,##0.0000;[Red]\-#,##0.0000;\ &quot;-&quot;"/>
    <numFmt numFmtId="173" formatCode="_-* #,##0_-;\-* #,##0_-;_-* &quot;-&quot;??_-;_-@_-"/>
    <numFmt numFmtId="174" formatCode="#,##0.00_);\(#,##0.00\);\-\-_)"/>
    <numFmt numFmtId="175" formatCode="#,##0.000_);\(#,##0.000\);\-\-_)"/>
    <numFmt numFmtId="176" formatCode="0.000000%"/>
    <numFmt numFmtId="177" formatCode="0.0%"/>
    <numFmt numFmtId="178" formatCode="#,##0.0000_);\(#,##0.0000\);\-\-_)"/>
    <numFmt numFmtId="179" formatCode="#,##0.000000"/>
    <numFmt numFmtId="180" formatCode="#,##0.0_);\(#,##0.0\);\-\-_)"/>
    <numFmt numFmtId="181" formatCode="#,##0.0"/>
    <numFmt numFmtId="182" formatCode="0.0"/>
    <numFmt numFmtId="183" formatCode="#,##0.000"/>
    <numFmt numFmtId="184" formatCode="_(* #,##0.000_);_(* \(#,##0.000\);_(* &quot;-&quot;??_);_(@_)"/>
    <numFmt numFmtId="185" formatCode="mmmm\-yyyy"/>
    <numFmt numFmtId="186" formatCode="#,##0.000000000_);\(#,##0.000000000\);\-\-_)"/>
  </numFmts>
  <fonts count="60" x14ac:knownFonts="1"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5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u/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rgb="FF0000FF"/>
      <name val="Arial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indexed="63"/>
      <name val="Arial"/>
      <family val="2"/>
    </font>
    <font>
      <b/>
      <sz val="10"/>
      <color rgb="FFFF0000"/>
      <name val="Verdana"/>
      <family val="2"/>
    </font>
    <font>
      <sz val="10"/>
      <color theme="9" tint="-0.249977111117893"/>
      <name val="Arial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b/>
      <i/>
      <sz val="10"/>
      <color theme="1"/>
      <name val="Arial"/>
      <family val="2"/>
    </font>
    <font>
      <b/>
      <i/>
      <sz val="10"/>
      <color indexed="12"/>
      <name val="Arial"/>
      <family val="2"/>
    </font>
    <font>
      <b/>
      <sz val="10"/>
      <color indexed="55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8" fillId="0" borderId="0" applyFill="0" applyBorder="0">
      <alignment vertical="center"/>
    </xf>
    <xf numFmtId="167" fontId="18" fillId="0" borderId="0" applyFill="0" applyBorder="0">
      <alignment vertical="center"/>
    </xf>
    <xf numFmtId="4" fontId="23" fillId="9" borderId="5" applyNumberFormat="0" applyProtection="0">
      <alignment horizontal="left" vertical="center" indent="1"/>
    </xf>
    <xf numFmtId="4" fontId="23" fillId="0" borderId="5" applyNumberFormat="0" applyProtection="0">
      <alignment horizontal="right" vertical="center"/>
    </xf>
    <xf numFmtId="4" fontId="23" fillId="3" borderId="5" applyNumberFormat="0" applyProtection="0">
      <alignment horizontal="left" vertical="center" indent="1"/>
    </xf>
    <xf numFmtId="4" fontId="23" fillId="10" borderId="5" applyNumberFormat="0" applyProtection="0">
      <alignment vertical="center"/>
    </xf>
    <xf numFmtId="4" fontId="23" fillId="9" borderId="5" applyNumberFormat="0" applyProtection="0">
      <alignment horizontal="left" vertical="center" indent="1"/>
    </xf>
    <xf numFmtId="4" fontId="23" fillId="0" borderId="5" applyNumberFormat="0" applyProtection="0">
      <alignment horizontal="right" vertical="center"/>
    </xf>
    <xf numFmtId="4" fontId="23" fillId="3" borderId="5" applyNumberFormat="0" applyProtection="0">
      <alignment horizontal="left" vertical="center" indent="1"/>
    </xf>
    <xf numFmtId="4" fontId="23" fillId="10" borderId="5" applyNumberFormat="0" applyProtection="0">
      <alignment vertical="center"/>
    </xf>
    <xf numFmtId="0" fontId="33" fillId="14" borderId="0" applyNumberFormat="0">
      <alignment vertical="center"/>
    </xf>
    <xf numFmtId="4" fontId="23" fillId="0" borderId="19" applyNumberFormat="0" applyProtection="0">
      <alignment horizontal="right" vertical="center"/>
    </xf>
    <xf numFmtId="4" fontId="23" fillId="9" borderId="19" applyNumberFormat="0" applyProtection="0">
      <alignment horizontal="left" vertical="center" indent="1"/>
    </xf>
    <xf numFmtId="0" fontId="41" fillId="0" borderId="0"/>
    <xf numFmtId="0" fontId="10" fillId="0" borderId="0"/>
    <xf numFmtId="9" fontId="10" fillId="0" borderId="0" applyFont="0" applyFill="0" applyBorder="0" applyAlignment="0" applyProtection="0"/>
  </cellStyleXfs>
  <cellXfs count="328">
    <xf numFmtId="0" fontId="0" fillId="0" borderId="0" xfId="0"/>
    <xf numFmtId="0" fontId="11" fillId="2" borderId="0" xfId="3" applyFont="1" applyFill="1"/>
    <xf numFmtId="0" fontId="12" fillId="2" borderId="0" xfId="3" applyFont="1" applyFill="1"/>
    <xf numFmtId="0" fontId="16" fillId="2" borderId="0" xfId="3" applyFont="1" applyFill="1"/>
    <xf numFmtId="0" fontId="17" fillId="2" borderId="0" xfId="3" applyFont="1" applyFill="1"/>
    <xf numFmtId="0" fontId="17" fillId="2" borderId="0" xfId="3" applyFont="1" applyFill="1" applyAlignment="1">
      <alignment horizontal="left" indent="1"/>
    </xf>
    <xf numFmtId="0" fontId="15" fillId="2" borderId="0" xfId="3" applyFont="1" applyFill="1"/>
    <xf numFmtId="0" fontId="0" fillId="2" borderId="0" xfId="0" applyFill="1"/>
    <xf numFmtId="0" fontId="20" fillId="2" borderId="0" xfId="3" applyFont="1" applyFill="1"/>
    <xf numFmtId="0" fontId="20" fillId="2" borderId="0" xfId="0" applyFont="1" applyFill="1"/>
    <xf numFmtId="0" fontId="16" fillId="2" borderId="0" xfId="3" quotePrefix="1" applyFont="1" applyFill="1"/>
    <xf numFmtId="0" fontId="17" fillId="2" borderId="0" xfId="3" applyNumberFormat="1" applyFont="1" applyFill="1"/>
    <xf numFmtId="0" fontId="0" fillId="4" borderId="0" xfId="0" applyFill="1"/>
    <xf numFmtId="166" fontId="11" fillId="5" borderId="0" xfId="3" applyNumberFormat="1" applyFont="1" applyFill="1"/>
    <xf numFmtId="0" fontId="12" fillId="5" borderId="0" xfId="3" applyFont="1" applyFill="1"/>
    <xf numFmtId="0" fontId="13" fillId="5" borderId="0" xfId="3" applyFont="1" applyFill="1"/>
    <xf numFmtId="0" fontId="14" fillId="5" borderId="0" xfId="3" applyFont="1" applyFill="1"/>
    <xf numFmtId="166" fontId="14" fillId="5" borderId="0" xfId="3" applyNumberFormat="1" applyFont="1" applyFill="1"/>
    <xf numFmtId="14" fontId="14" fillId="5" borderId="0" xfId="3" applyNumberFormat="1" applyFont="1" applyFill="1" applyAlignment="1">
      <alignment horizontal="left" indent="1"/>
    </xf>
    <xf numFmtId="0" fontId="15" fillId="5" borderId="0" xfId="3" applyFont="1" applyFill="1"/>
    <xf numFmtId="0" fontId="0" fillId="5" borderId="0" xfId="0" applyFill="1"/>
    <xf numFmtId="0" fontId="11" fillId="5" borderId="0" xfId="3" applyFont="1" applyFill="1"/>
    <xf numFmtId="0" fontId="14" fillId="5" borderId="0" xfId="3" applyFont="1" applyFill="1" applyAlignment="1">
      <alignment horizontal="left" indent="1"/>
    </xf>
    <xf numFmtId="0" fontId="16" fillId="5" borderId="0" xfId="3" applyFont="1" applyFill="1"/>
    <xf numFmtId="0" fontId="17" fillId="5" borderId="0" xfId="3" applyFont="1" applyFill="1"/>
    <xf numFmtId="0" fontId="17" fillId="5" borderId="0" xfId="3" applyFont="1" applyFill="1" applyAlignment="1">
      <alignment horizontal="left" indent="1"/>
    </xf>
    <xf numFmtId="166" fontId="19" fillId="8" borderId="1" xfId="4" applyFont="1" applyFill="1" applyBorder="1">
      <alignment vertical="center"/>
    </xf>
    <xf numFmtId="166" fontId="18" fillId="8" borderId="1" xfId="4" applyFont="1" applyFill="1" applyBorder="1">
      <alignment vertical="center"/>
    </xf>
    <xf numFmtId="0" fontId="14" fillId="5" borderId="3" xfId="0" applyFont="1" applyFill="1" applyBorder="1" applyAlignment="1">
      <alignment horizontal="centerContinuous"/>
    </xf>
    <xf numFmtId="0" fontId="14" fillId="5" borderId="2" xfId="0" applyFont="1" applyFill="1" applyBorder="1" applyAlignment="1">
      <alignment horizontal="centerContinuous"/>
    </xf>
    <xf numFmtId="0" fontId="14" fillId="5" borderId="4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Continuous"/>
    </xf>
    <xf numFmtId="0" fontId="23" fillId="9" borderId="5" xfId="6" quotePrefix="1" applyNumberFormat="1">
      <alignment horizontal="left" vertical="center" indent="1"/>
    </xf>
    <xf numFmtId="168" fontId="23" fillId="0" borderId="5" xfId="7" applyNumberFormat="1">
      <alignment horizontal="right" vertical="center"/>
    </xf>
    <xf numFmtId="0" fontId="22" fillId="5" borderId="0" xfId="3" applyFont="1" applyFill="1" applyAlignment="1">
      <alignment horizontal="center"/>
    </xf>
    <xf numFmtId="0" fontId="23" fillId="9" borderId="5" xfId="10" quotePrefix="1" applyNumberFormat="1">
      <alignment horizontal="left" vertical="center" indent="1"/>
    </xf>
    <xf numFmtId="168" fontId="23" fillId="0" borderId="5" xfId="11" applyNumberFormat="1">
      <alignment horizontal="right" vertical="center"/>
    </xf>
    <xf numFmtId="0" fontId="14" fillId="5" borderId="6" xfId="3" applyFont="1" applyFill="1" applyBorder="1"/>
    <xf numFmtId="0" fontId="17" fillId="2" borderId="0" xfId="0" applyFont="1" applyFill="1"/>
    <xf numFmtId="0" fontId="17" fillId="0" borderId="0" xfId="0" applyFont="1"/>
    <xf numFmtId="166" fontId="19" fillId="11" borderId="1" xfId="4" applyFont="1" applyFill="1" applyBorder="1">
      <alignment vertical="center"/>
    </xf>
    <xf numFmtId="0" fontId="22" fillId="5" borderId="6" xfId="3" applyFont="1" applyFill="1" applyBorder="1" applyAlignment="1">
      <alignment horizontal="center"/>
    </xf>
    <xf numFmtId="0" fontId="14" fillId="5" borderId="6" xfId="3" applyFont="1" applyFill="1" applyBorder="1" applyAlignment="1">
      <alignment horizontal="center"/>
    </xf>
    <xf numFmtId="166" fontId="18" fillId="2" borderId="0" xfId="4" applyFont="1" applyFill="1" applyBorder="1">
      <alignment vertical="center"/>
    </xf>
    <xf numFmtId="165" fontId="17" fillId="2" borderId="0" xfId="1" applyFont="1" applyFill="1"/>
    <xf numFmtId="9" fontId="17" fillId="2" borderId="0" xfId="2" applyFont="1" applyFill="1"/>
    <xf numFmtId="166" fontId="18" fillId="2" borderId="10" xfId="4" applyFont="1" applyFill="1" applyBorder="1">
      <alignment vertical="center"/>
    </xf>
    <xf numFmtId="9" fontId="17" fillId="2" borderId="10" xfId="2" applyFont="1" applyFill="1" applyBorder="1"/>
    <xf numFmtId="166" fontId="18" fillId="2" borderId="11" xfId="4" applyFont="1" applyFill="1" applyBorder="1">
      <alignment vertical="center"/>
    </xf>
    <xf numFmtId="9" fontId="17" fillId="2" borderId="11" xfId="2" applyFont="1" applyFill="1" applyBorder="1"/>
    <xf numFmtId="0" fontId="14" fillId="5" borderId="3" xfId="0" applyFont="1" applyFill="1" applyBorder="1" applyAlignment="1">
      <alignment horizontal="center"/>
    </xf>
    <xf numFmtId="166" fontId="18" fillId="6" borderId="0" xfId="4" applyFont="1" applyFill="1" applyBorder="1">
      <alignment vertical="center"/>
    </xf>
    <xf numFmtId="0" fontId="25" fillId="2" borderId="0" xfId="0" applyFont="1" applyFill="1"/>
    <xf numFmtId="164" fontId="22" fillId="5" borderId="0" xfId="3" applyNumberFormat="1" applyFont="1" applyFill="1" applyAlignment="1">
      <alignment horizontal="center"/>
    </xf>
    <xf numFmtId="166" fontId="21" fillId="7" borderId="0" xfId="0" applyNumberFormat="1" applyFont="1" applyFill="1"/>
    <xf numFmtId="0" fontId="26" fillId="4" borderId="0" xfId="0" applyFont="1" applyFill="1"/>
    <xf numFmtId="0" fontId="20" fillId="2" borderId="15" xfId="0" applyFont="1" applyFill="1" applyBorder="1"/>
    <xf numFmtId="166" fontId="12" fillId="2" borderId="15" xfId="4" applyFont="1" applyFill="1" applyBorder="1">
      <alignment vertical="center"/>
    </xf>
    <xf numFmtId="0" fontId="17" fillId="4" borderId="0" xfId="0" applyFont="1" applyFill="1"/>
    <xf numFmtId="0" fontId="27" fillId="4" borderId="0" xfId="0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166" fontId="21" fillId="2" borderId="0" xfId="4" applyFont="1" applyFill="1" applyBorder="1">
      <alignment vertical="center"/>
    </xf>
    <xf numFmtId="10" fontId="28" fillId="8" borderId="0" xfId="0" applyNumberFormat="1" applyFont="1" applyFill="1"/>
    <xf numFmtId="169" fontId="18" fillId="2" borderId="0" xfId="0" applyNumberFormat="1" applyFont="1" applyFill="1" applyAlignment="1">
      <alignment horizontal="right"/>
    </xf>
    <xf numFmtId="0" fontId="20" fillId="2" borderId="0" xfId="0" applyFont="1" applyFill="1" applyBorder="1"/>
    <xf numFmtId="0" fontId="20" fillId="2" borderId="17" xfId="0" applyFont="1" applyFill="1" applyBorder="1"/>
    <xf numFmtId="9" fontId="18" fillId="2" borderId="0" xfId="0" applyNumberFormat="1" applyFont="1" applyFill="1"/>
    <xf numFmtId="0" fontId="24" fillId="2" borderId="17" xfId="0" applyFont="1" applyFill="1" applyBorder="1" applyAlignment="1">
      <alignment horizontal="right"/>
    </xf>
    <xf numFmtId="10" fontId="20" fillId="2" borderId="17" xfId="2" applyNumberFormat="1" applyFont="1" applyFill="1" applyBorder="1"/>
    <xf numFmtId="0" fontId="26" fillId="4" borderId="0" xfId="0" applyFont="1" applyFill="1" applyBorder="1"/>
    <xf numFmtId="0" fontId="27" fillId="4" borderId="0" xfId="0" applyFont="1" applyFill="1" applyBorder="1"/>
    <xf numFmtId="0" fontId="17" fillId="2" borderId="0" xfId="0" applyFont="1" applyFill="1" applyAlignment="1">
      <alignment horizontal="right"/>
    </xf>
    <xf numFmtId="171" fontId="17" fillId="2" borderId="0" xfId="0" applyNumberFormat="1" applyFont="1" applyFill="1"/>
    <xf numFmtId="172" fontId="17" fillId="2" borderId="0" xfId="0" applyNumberFormat="1" applyFont="1" applyFill="1"/>
    <xf numFmtId="170" fontId="28" fillId="8" borderId="0" xfId="0" applyNumberFormat="1" applyFont="1" applyFill="1"/>
    <xf numFmtId="0" fontId="26" fillId="6" borderId="16" xfId="0" applyFont="1" applyFill="1" applyBorder="1"/>
    <xf numFmtId="14" fontId="14" fillId="5" borderId="0" xfId="3" applyNumberFormat="1" applyFont="1" applyFill="1" applyBorder="1" applyAlignment="1">
      <alignment horizontal="left" indent="1"/>
    </xf>
    <xf numFmtId="0" fontId="14" fillId="5" borderId="0" xfId="3" applyFont="1" applyFill="1" applyBorder="1" applyAlignment="1">
      <alignment horizontal="left" indent="1"/>
    </xf>
    <xf numFmtId="0" fontId="13" fillId="5" borderId="0" xfId="3" applyFont="1" applyFill="1" applyBorder="1"/>
    <xf numFmtId="0" fontId="14" fillId="5" borderId="0" xfId="0" applyFont="1" applyFill="1" applyBorder="1" applyAlignment="1">
      <alignment horizontal="center"/>
    </xf>
    <xf numFmtId="0" fontId="17" fillId="2" borderId="0" xfId="3" applyFont="1" applyFill="1" applyBorder="1" applyAlignment="1">
      <alignment horizontal="left" indent="1"/>
    </xf>
    <xf numFmtId="164" fontId="22" fillId="5" borderId="0" xfId="3" applyNumberFormat="1" applyFont="1" applyFill="1" applyBorder="1" applyAlignment="1">
      <alignment horizontal="center"/>
    </xf>
    <xf numFmtId="0" fontId="17" fillId="2" borderId="0" xfId="0" applyFont="1" applyFill="1" applyBorder="1"/>
    <xf numFmtId="0" fontId="14" fillId="5" borderId="12" xfId="0" applyFont="1" applyFill="1" applyBorder="1" applyAlignment="1">
      <alignment horizontal="centerContinuous"/>
    </xf>
    <xf numFmtId="0" fontId="17" fillId="2" borderId="15" xfId="0" applyFont="1" applyFill="1" applyBorder="1"/>
    <xf numFmtId="0" fontId="0" fillId="2" borderId="15" xfId="0" applyFill="1" applyBorder="1"/>
    <xf numFmtId="166" fontId="29" fillId="2" borderId="15" xfId="0" applyNumberFormat="1" applyFont="1" applyFill="1" applyBorder="1"/>
    <xf numFmtId="166" fontId="29" fillId="2" borderId="0" xfId="0" applyNumberFormat="1" applyFont="1" applyFill="1"/>
    <xf numFmtId="9" fontId="17" fillId="2" borderId="0" xfId="2" applyFont="1" applyFill="1" applyBorder="1"/>
    <xf numFmtId="0" fontId="29" fillId="2" borderId="0" xfId="0" applyFont="1" applyFill="1"/>
    <xf numFmtId="166" fontId="12" fillId="2" borderId="0" xfId="4" applyFont="1" applyFill="1" applyBorder="1">
      <alignment vertical="center"/>
    </xf>
    <xf numFmtId="165" fontId="20" fillId="2" borderId="0" xfId="1" applyFont="1" applyFill="1"/>
    <xf numFmtId="9" fontId="20" fillId="2" borderId="15" xfId="2" applyFont="1" applyFill="1" applyBorder="1"/>
    <xf numFmtId="166" fontId="0" fillId="2" borderId="0" xfId="0" applyNumberFormat="1" applyFill="1"/>
    <xf numFmtId="0" fontId="17" fillId="2" borderId="0" xfId="0" applyFont="1" applyFill="1" applyAlignment="1">
      <alignment horizontal="center"/>
    </xf>
    <xf numFmtId="9" fontId="17" fillId="2" borderId="0" xfId="0" applyNumberFormat="1" applyFont="1" applyFill="1" applyAlignment="1">
      <alignment horizontal="center"/>
    </xf>
    <xf numFmtId="10" fontId="17" fillId="2" borderId="0" xfId="2" applyNumberFormat="1" applyFont="1" applyFill="1" applyBorder="1" applyAlignment="1">
      <alignment horizontal="right"/>
    </xf>
    <xf numFmtId="9" fontId="17" fillId="12" borderId="11" xfId="2" applyFont="1" applyFill="1" applyBorder="1"/>
    <xf numFmtId="9" fontId="17" fillId="12" borderId="0" xfId="2" applyFont="1" applyFill="1" applyBorder="1"/>
    <xf numFmtId="173" fontId="0" fillId="2" borderId="0" xfId="1" applyNumberFormat="1" applyFont="1" applyFill="1"/>
    <xf numFmtId="166" fontId="19" fillId="13" borderId="1" xfId="4" applyFont="1" applyFill="1" applyBorder="1">
      <alignment vertical="center"/>
    </xf>
    <xf numFmtId="166" fontId="18" fillId="2" borderId="0" xfId="4" applyNumberFormat="1" applyFont="1" applyFill="1" applyBorder="1">
      <alignment vertical="center"/>
    </xf>
    <xf numFmtId="166" fontId="17" fillId="2" borderId="15" xfId="0" applyNumberFormat="1" applyFont="1" applyFill="1" applyBorder="1"/>
    <xf numFmtId="165" fontId="0" fillId="2" borderId="0" xfId="1" applyFont="1" applyFill="1"/>
    <xf numFmtId="9" fontId="17" fillId="2" borderId="0" xfId="2" applyNumberFormat="1" applyFont="1" applyFill="1" applyBorder="1"/>
    <xf numFmtId="166" fontId="30" fillId="2" borderId="0" xfId="0" applyNumberFormat="1" applyFont="1" applyFill="1"/>
    <xf numFmtId="0" fontId="31" fillId="2" borderId="0" xfId="3" applyFont="1" applyFill="1"/>
    <xf numFmtId="0" fontId="32" fillId="2" borderId="0" xfId="3" applyFont="1" applyFill="1"/>
    <xf numFmtId="0" fontId="14" fillId="5" borderId="18" xfId="0" applyFont="1" applyFill="1" applyBorder="1" applyAlignment="1">
      <alignment horizontal="center"/>
    </xf>
    <xf numFmtId="0" fontId="34" fillId="2" borderId="0" xfId="0" applyFont="1" applyFill="1"/>
    <xf numFmtId="166" fontId="20" fillId="2" borderId="0" xfId="0" applyNumberFormat="1" applyFont="1" applyFill="1"/>
    <xf numFmtId="0" fontId="17" fillId="6" borderId="0" xfId="0" applyFont="1" applyFill="1"/>
    <xf numFmtId="10" fontId="20" fillId="2" borderId="15" xfId="2" applyNumberFormat="1" applyFont="1" applyFill="1" applyBorder="1"/>
    <xf numFmtId="166" fontId="17" fillId="2" borderId="0" xfId="0" applyNumberFormat="1" applyFont="1" applyFill="1"/>
    <xf numFmtId="10" fontId="17" fillId="2" borderId="0" xfId="2" applyNumberFormat="1" applyFont="1" applyFill="1"/>
    <xf numFmtId="10" fontId="18" fillId="2" borderId="0" xfId="2" applyNumberFormat="1" applyFont="1" applyFill="1" applyBorder="1" applyAlignment="1">
      <alignment vertical="center"/>
    </xf>
    <xf numFmtId="166" fontId="28" fillId="6" borderId="0" xfId="4" applyFont="1" applyFill="1" applyBorder="1">
      <alignment vertical="center"/>
    </xf>
    <xf numFmtId="166" fontId="28" fillId="2" borderId="0" xfId="4" applyFont="1" applyFill="1" applyBorder="1">
      <alignment vertical="center"/>
    </xf>
    <xf numFmtId="0" fontId="25" fillId="2" borderId="0" xfId="0" applyFont="1" applyFill="1" applyAlignment="1">
      <alignment horizontal="right"/>
    </xf>
    <xf numFmtId="166" fontId="12" fillId="2" borderId="15" xfId="4" applyNumberFormat="1" applyFont="1" applyFill="1" applyBorder="1">
      <alignment vertical="center"/>
    </xf>
    <xf numFmtId="166" fontId="19" fillId="15" borderId="1" xfId="4" applyFont="1" applyFill="1" applyBorder="1">
      <alignment vertical="center"/>
    </xf>
    <xf numFmtId="168" fontId="23" fillId="2" borderId="5" xfId="11" applyNumberFormat="1" applyFill="1">
      <alignment horizontal="right" vertical="center"/>
    </xf>
    <xf numFmtId="0" fontId="35" fillId="2" borderId="0" xfId="0" applyFont="1" applyFill="1"/>
    <xf numFmtId="166" fontId="18" fillId="16" borderId="0" xfId="4" applyFont="1" applyFill="1" applyBorder="1">
      <alignment vertical="center"/>
    </xf>
    <xf numFmtId="0" fontId="26" fillId="6" borderId="16" xfId="0" applyFont="1" applyFill="1" applyBorder="1" applyAlignment="1">
      <alignment horizontal="right"/>
    </xf>
    <xf numFmtId="166" fontId="12" fillId="16" borderId="15" xfId="4" applyFont="1" applyFill="1" applyBorder="1">
      <alignment vertical="center"/>
    </xf>
    <xf numFmtId="172" fontId="17" fillId="16" borderId="0" xfId="0" applyNumberFormat="1" applyFont="1" applyFill="1"/>
    <xf numFmtId="166" fontId="21" fillId="16" borderId="0" xfId="4" applyFont="1" applyFill="1" applyBorder="1">
      <alignment vertical="center"/>
    </xf>
    <xf numFmtId="175" fontId="21" fillId="2" borderId="0" xfId="4" applyNumberFormat="1" applyFont="1" applyFill="1" applyBorder="1">
      <alignment vertical="center"/>
    </xf>
    <xf numFmtId="166" fontId="18" fillId="17" borderId="0" xfId="4" applyFont="1" applyFill="1" applyBorder="1">
      <alignment vertical="center"/>
    </xf>
    <xf numFmtId="0" fontId="9" fillId="2" borderId="0" xfId="0" applyFont="1" applyFill="1"/>
    <xf numFmtId="174" fontId="18" fillId="2" borderId="0" xfId="4" applyNumberFormat="1" applyFont="1" applyFill="1" applyBorder="1">
      <alignment vertical="center"/>
    </xf>
    <xf numFmtId="0" fontId="36" fillId="18" borderId="0" xfId="0" applyFont="1" applyFill="1"/>
    <xf numFmtId="0" fontId="29" fillId="0" borderId="0" xfId="0" applyFont="1"/>
    <xf numFmtId="0" fontId="28" fillId="2" borderId="0" xfId="0" applyFont="1" applyFill="1"/>
    <xf numFmtId="177" fontId="18" fillId="18" borderId="0" xfId="2" applyNumberFormat="1" applyFont="1" applyFill="1" applyBorder="1" applyAlignment="1">
      <alignment vertical="center"/>
    </xf>
    <xf numFmtId="176" fontId="17" fillId="2" borderId="0" xfId="0" applyNumberFormat="1" applyFont="1" applyFill="1"/>
    <xf numFmtId="0" fontId="8" fillId="2" borderId="0" xfId="0" applyFont="1" applyFill="1"/>
    <xf numFmtId="0" fontId="0" fillId="12" borderId="0" xfId="0" applyFill="1"/>
    <xf numFmtId="0" fontId="29" fillId="12" borderId="0" xfId="0" applyFont="1" applyFill="1"/>
    <xf numFmtId="0" fontId="7" fillId="2" borderId="0" xfId="3" applyFont="1" applyFill="1"/>
    <xf numFmtId="166" fontId="19" fillId="19" borderId="1" xfId="4" applyFont="1" applyFill="1" applyBorder="1">
      <alignment vertical="center"/>
    </xf>
    <xf numFmtId="166" fontId="28" fillId="20" borderId="1" xfId="4" applyFont="1" applyFill="1" applyBorder="1">
      <alignment vertical="center"/>
    </xf>
    <xf numFmtId="166" fontId="19" fillId="20" borderId="1" xfId="4" applyFont="1" applyFill="1" applyBorder="1">
      <alignment vertical="center"/>
    </xf>
    <xf numFmtId="166" fontId="18" fillId="11" borderId="1" xfId="4" applyFont="1" applyFill="1" applyBorder="1">
      <alignment vertical="center"/>
    </xf>
    <xf numFmtId="166" fontId="19" fillId="21" borderId="1" xfId="4" applyFont="1" applyFill="1" applyBorder="1">
      <alignment vertical="center"/>
    </xf>
    <xf numFmtId="166" fontId="18" fillId="17" borderId="1" xfId="4" applyFont="1" applyFill="1" applyBorder="1">
      <alignment vertical="center"/>
    </xf>
    <xf numFmtId="0" fontId="6" fillId="2" borderId="0" xfId="0" applyFont="1" applyFill="1"/>
    <xf numFmtId="0" fontId="21" fillId="2" borderId="0" xfId="0" applyFont="1" applyFill="1"/>
    <xf numFmtId="0" fontId="6" fillId="2" borderId="0" xfId="3" applyFont="1" applyFill="1"/>
    <xf numFmtId="0" fontId="6" fillId="5" borderId="0" xfId="3" applyFont="1" applyFill="1"/>
    <xf numFmtId="0" fontId="0" fillId="16" borderId="0" xfId="0" applyFill="1"/>
    <xf numFmtId="173" fontId="37" fillId="2" borderId="0" xfId="1" applyNumberFormat="1" applyFont="1" applyFill="1"/>
    <xf numFmtId="166" fontId="18" fillId="2" borderId="0" xfId="4" applyFill="1" applyBorder="1">
      <alignment vertical="center"/>
    </xf>
    <xf numFmtId="166" fontId="18" fillId="16" borderId="0" xfId="4" applyFill="1" applyBorder="1">
      <alignment vertical="center"/>
    </xf>
    <xf numFmtId="0" fontId="12" fillId="5" borderId="0" xfId="3" applyFont="1" applyFill="1" applyAlignment="1">
      <alignment horizontal="center"/>
    </xf>
    <xf numFmtId="0" fontId="11" fillId="5" borderId="0" xfId="3" applyFont="1" applyFill="1" applyAlignment="1">
      <alignment horizontal="center"/>
    </xf>
    <xf numFmtId="0" fontId="12" fillId="2" borderId="0" xfId="3" applyFont="1" applyFill="1" applyAlignment="1">
      <alignment horizontal="center"/>
    </xf>
    <xf numFmtId="0" fontId="0" fillId="21" borderId="0" xfId="0" applyFill="1" applyAlignment="1">
      <alignment horizontal="center"/>
    </xf>
    <xf numFmtId="0" fontId="0" fillId="0" borderId="0" xfId="0" applyAlignment="1">
      <alignment horizontal="center"/>
    </xf>
    <xf numFmtId="166" fontId="21" fillId="11" borderId="0" xfId="4" applyFont="1" applyFill="1" applyBorder="1">
      <alignment vertical="center"/>
    </xf>
    <xf numFmtId="166" fontId="19" fillId="19" borderId="0" xfId="4" applyFont="1" applyFill="1" applyBorder="1">
      <alignment vertical="center"/>
    </xf>
    <xf numFmtId="0" fontId="6" fillId="6" borderId="0" xfId="0" applyFont="1" applyFill="1"/>
    <xf numFmtId="0" fontId="28" fillId="6" borderId="0" xfId="0" applyFont="1" applyFill="1"/>
    <xf numFmtId="0" fontId="38" fillId="2" borderId="0" xfId="0" applyFont="1" applyFill="1"/>
    <xf numFmtId="0" fontId="5" fillId="2" borderId="0" xfId="0" applyFont="1" applyFill="1"/>
    <xf numFmtId="166" fontId="0" fillId="0" borderId="0" xfId="0" applyNumberFormat="1"/>
    <xf numFmtId="0" fontId="5" fillId="16" borderId="0" xfId="0" applyFont="1" applyFill="1"/>
    <xf numFmtId="0" fontId="28" fillId="16" borderId="0" xfId="0" applyFont="1" applyFill="1"/>
    <xf numFmtId="178" fontId="18" fillId="2" borderId="0" xfId="4" applyNumberFormat="1" applyFont="1" applyFill="1" applyBorder="1">
      <alignment vertical="center"/>
    </xf>
    <xf numFmtId="179" fontId="0" fillId="2" borderId="0" xfId="0" applyNumberFormat="1" applyFill="1"/>
    <xf numFmtId="0" fontId="37" fillId="2" borderId="0" xfId="0" applyFont="1" applyFill="1"/>
    <xf numFmtId="0" fontId="22" fillId="5" borderId="3" xfId="0" applyFont="1" applyFill="1" applyBorder="1" applyAlignment="1">
      <alignment horizontal="center"/>
    </xf>
    <xf numFmtId="0" fontId="4" fillId="2" borderId="0" xfId="3" applyFont="1" applyFill="1"/>
    <xf numFmtId="0" fontId="20" fillId="2" borderId="0" xfId="3" applyFont="1" applyFill="1" applyAlignment="1">
      <alignment horizontal="center"/>
    </xf>
    <xf numFmtId="0" fontId="40" fillId="2" borderId="0" xfId="3" applyFont="1" applyFill="1"/>
    <xf numFmtId="0" fontId="4" fillId="2" borderId="0" xfId="3" applyFont="1" applyFill="1" applyAlignment="1">
      <alignment horizontal="center"/>
    </xf>
    <xf numFmtId="0" fontId="4" fillId="5" borderId="0" xfId="3" applyFont="1" applyFill="1"/>
    <xf numFmtId="0" fontId="4" fillId="2" borderId="0" xfId="0" applyFont="1" applyFill="1"/>
    <xf numFmtId="0" fontId="29" fillId="2" borderId="0" xfId="0" applyFont="1" applyFill="1" applyAlignment="1">
      <alignment horizontal="left"/>
    </xf>
    <xf numFmtId="0" fontId="42" fillId="22" borderId="20" xfId="17" applyFont="1" applyFill="1" applyBorder="1" applyAlignment="1">
      <alignment horizontal="center" vertical="center"/>
    </xf>
    <xf numFmtId="0" fontId="42" fillId="22" borderId="21" xfId="17" applyFont="1" applyFill="1" applyBorder="1"/>
    <xf numFmtId="0" fontId="42" fillId="22" borderId="22" xfId="17" applyFont="1" applyFill="1" applyBorder="1" applyAlignment="1">
      <alignment horizontal="center" vertical="center"/>
    </xf>
    <xf numFmtId="0" fontId="41" fillId="0" borderId="0" xfId="17"/>
    <xf numFmtId="49" fontId="41" fillId="23" borderId="23" xfId="17" applyNumberFormat="1" applyFill="1" applyBorder="1" applyAlignment="1">
      <alignment horizontal="center" vertical="center"/>
    </xf>
    <xf numFmtId="49" fontId="41" fillId="23" borderId="23" xfId="17" applyNumberFormat="1" applyFill="1" applyBorder="1"/>
    <xf numFmtId="0" fontId="41" fillId="23" borderId="23" xfId="17" applyFill="1" applyBorder="1" applyAlignment="1">
      <alignment horizontal="center" vertical="center"/>
    </xf>
    <xf numFmtId="49" fontId="41" fillId="19" borderId="23" xfId="17" applyNumberFormat="1" applyFill="1" applyBorder="1" applyAlignment="1">
      <alignment horizontal="center" vertical="center"/>
    </xf>
    <xf numFmtId="49" fontId="41" fillId="19" borderId="23" xfId="17" applyNumberFormat="1" applyFill="1" applyBorder="1"/>
    <xf numFmtId="0" fontId="41" fillId="19" borderId="23" xfId="17" applyFill="1" applyBorder="1" applyAlignment="1">
      <alignment horizontal="center" vertical="center"/>
    </xf>
    <xf numFmtId="49" fontId="41" fillId="24" borderId="23" xfId="17" applyNumberFormat="1" applyFill="1" applyBorder="1" applyAlignment="1">
      <alignment horizontal="center" vertical="center"/>
    </xf>
    <xf numFmtId="49" fontId="41" fillId="24" borderId="23" xfId="17" applyNumberFormat="1" applyFill="1" applyBorder="1"/>
    <xf numFmtId="0" fontId="41" fillId="24" borderId="23" xfId="17" applyFill="1" applyBorder="1" applyAlignment="1">
      <alignment horizontal="center" vertical="center"/>
    </xf>
    <xf numFmtId="49" fontId="41" fillId="25" borderId="23" xfId="17" applyNumberFormat="1" applyFill="1" applyBorder="1" applyAlignment="1">
      <alignment horizontal="center" vertical="center"/>
    </xf>
    <xf numFmtId="49" fontId="41" fillId="25" borderId="23" xfId="17" applyNumberFormat="1" applyFill="1" applyBorder="1"/>
    <xf numFmtId="0" fontId="41" fillId="25" borderId="23" xfId="17" applyFill="1" applyBorder="1" applyAlignment="1">
      <alignment horizontal="center" vertical="center"/>
    </xf>
    <xf numFmtId="49" fontId="41" fillId="26" borderId="23" xfId="17" applyNumberFormat="1" applyFill="1" applyBorder="1" applyAlignment="1">
      <alignment horizontal="center" vertical="center"/>
    </xf>
    <xf numFmtId="49" fontId="41" fillId="26" borderId="23" xfId="17" applyNumberFormat="1" applyFill="1" applyBorder="1"/>
    <xf numFmtId="0" fontId="41" fillId="26" borderId="23" xfId="17" applyFill="1" applyBorder="1" applyAlignment="1">
      <alignment horizontal="center" vertical="center"/>
    </xf>
    <xf numFmtId="49" fontId="41" fillId="27" borderId="23" xfId="17" applyNumberFormat="1" applyFill="1" applyBorder="1" applyAlignment="1">
      <alignment horizontal="center" vertical="center"/>
    </xf>
    <xf numFmtId="49" fontId="41" fillId="27" borderId="23" xfId="17" applyNumberFormat="1" applyFill="1" applyBorder="1"/>
    <xf numFmtId="0" fontId="41" fillId="27" borderId="23" xfId="17" applyFill="1" applyBorder="1" applyAlignment="1">
      <alignment horizontal="center" vertical="center"/>
    </xf>
    <xf numFmtId="49" fontId="41" fillId="28" borderId="23" xfId="17" applyNumberFormat="1" applyFill="1" applyBorder="1" applyAlignment="1">
      <alignment horizontal="center" vertical="center"/>
    </xf>
    <xf numFmtId="49" fontId="41" fillId="28" borderId="23" xfId="17" applyNumberFormat="1" applyFill="1" applyBorder="1"/>
    <xf numFmtId="0" fontId="41" fillId="28" borderId="23" xfId="17" applyFill="1" applyBorder="1" applyAlignment="1">
      <alignment horizontal="center" vertical="center"/>
    </xf>
    <xf numFmtId="49" fontId="41" fillId="29" borderId="23" xfId="17" applyNumberFormat="1" applyFill="1" applyBorder="1" applyAlignment="1">
      <alignment horizontal="center" vertical="center"/>
    </xf>
    <xf numFmtId="49" fontId="41" fillId="29" borderId="23" xfId="17" applyNumberFormat="1" applyFill="1" applyBorder="1"/>
    <xf numFmtId="0" fontId="41" fillId="29" borderId="23" xfId="17" applyFill="1" applyBorder="1" applyAlignment="1">
      <alignment horizontal="center" vertical="center"/>
    </xf>
    <xf numFmtId="0" fontId="41" fillId="0" borderId="0" xfId="17" applyAlignment="1">
      <alignment horizontal="center" vertical="center"/>
    </xf>
    <xf numFmtId="0" fontId="0" fillId="2" borderId="0" xfId="0" applyFill="1" applyAlignment="1">
      <alignment horizontal="center"/>
    </xf>
    <xf numFmtId="166" fontId="18" fillId="8" borderId="0" xfId="4" applyFont="1" applyFill="1" applyBorder="1">
      <alignment vertical="center"/>
    </xf>
    <xf numFmtId="0" fontId="26" fillId="12" borderId="0" xfId="0" applyFont="1" applyFill="1"/>
    <xf numFmtId="178" fontId="28" fillId="2" borderId="0" xfId="4" applyNumberFormat="1" applyFont="1" applyFill="1" applyBorder="1">
      <alignment vertical="center"/>
    </xf>
    <xf numFmtId="0" fontId="3" fillId="2" borderId="0" xfId="0" applyFont="1" applyFill="1"/>
    <xf numFmtId="166" fontId="18" fillId="16" borderId="0" xfId="4" applyNumberFormat="1" applyFont="1" applyFill="1" applyBorder="1">
      <alignment vertical="center"/>
    </xf>
    <xf numFmtId="166" fontId="18" fillId="12" borderId="0" xfId="4" applyFont="1" applyFill="1" applyBorder="1">
      <alignment vertical="center"/>
    </xf>
    <xf numFmtId="166" fontId="21" fillId="12" borderId="0" xfId="4" applyFont="1" applyFill="1" applyBorder="1">
      <alignment vertical="center"/>
    </xf>
    <xf numFmtId="177" fontId="28" fillId="12" borderId="0" xfId="2" applyNumberFormat="1" applyFont="1" applyFill="1" applyBorder="1" applyAlignment="1">
      <alignment vertical="center"/>
    </xf>
    <xf numFmtId="0" fontId="36" fillId="12" borderId="0" xfId="0" applyFont="1" applyFill="1"/>
    <xf numFmtId="180" fontId="12" fillId="2" borderId="15" xfId="4" applyNumberFormat="1" applyFont="1" applyFill="1" applyBorder="1">
      <alignment vertical="center"/>
    </xf>
    <xf numFmtId="180" fontId="0" fillId="2" borderId="0" xfId="0" applyNumberFormat="1" applyFill="1"/>
    <xf numFmtId="0" fontId="2" fillId="2" borderId="0" xfId="0" applyFont="1" applyFill="1"/>
    <xf numFmtId="10" fontId="28" fillId="30" borderId="0" xfId="0" applyNumberFormat="1" applyFont="1" applyFill="1"/>
    <xf numFmtId="9" fontId="17" fillId="2" borderId="0" xfId="2" applyFont="1" applyFill="1" applyBorder="1" applyAlignment="1">
      <alignment horizontal="center"/>
    </xf>
    <xf numFmtId="9" fontId="17" fillId="30" borderId="0" xfId="2" applyFont="1" applyFill="1" applyBorder="1"/>
    <xf numFmtId="0" fontId="17" fillId="30" borderId="0" xfId="0" applyFont="1" applyFill="1"/>
    <xf numFmtId="166" fontId="39" fillId="30" borderId="1" xfId="4" applyFont="1" applyFill="1" applyBorder="1">
      <alignment vertical="center"/>
    </xf>
    <xf numFmtId="166" fontId="18" fillId="30" borderId="0" xfId="4" applyFont="1" applyFill="1" applyBorder="1">
      <alignment vertical="center"/>
    </xf>
    <xf numFmtId="166" fontId="19" fillId="30" borderId="1" xfId="4" applyFont="1" applyFill="1" applyBorder="1">
      <alignment vertical="center"/>
    </xf>
    <xf numFmtId="166" fontId="19" fillId="2" borderId="0" xfId="4" applyFont="1" applyFill="1" applyBorder="1">
      <alignment vertical="center"/>
    </xf>
    <xf numFmtId="0" fontId="0" fillId="2" borderId="0" xfId="0" applyFont="1" applyFill="1"/>
    <xf numFmtId="166" fontId="18" fillId="12" borderId="1" xfId="4" applyFont="1" applyFill="1" applyBorder="1">
      <alignment vertical="center"/>
    </xf>
    <xf numFmtId="166" fontId="21" fillId="19" borderId="1" xfId="4" applyFont="1" applyFill="1" applyBorder="1">
      <alignment vertical="center"/>
    </xf>
    <xf numFmtId="0" fontId="0" fillId="0" borderId="0" xfId="0" applyFill="1"/>
    <xf numFmtId="166" fontId="21" fillId="30" borderId="1" xfId="4" applyFont="1" applyFill="1" applyBorder="1">
      <alignment vertical="center"/>
    </xf>
    <xf numFmtId="0" fontId="30" fillId="0" borderId="0" xfId="0" applyFont="1"/>
    <xf numFmtId="10" fontId="18" fillId="30" borderId="1" xfId="2" applyNumberFormat="1" applyFont="1" applyFill="1" applyBorder="1" applyAlignment="1">
      <alignment vertical="center"/>
    </xf>
    <xf numFmtId="10" fontId="19" fillId="30" borderId="1" xfId="2" applyNumberFormat="1" applyFont="1" applyFill="1" applyBorder="1" applyAlignment="1">
      <alignment vertical="center"/>
    </xf>
    <xf numFmtId="174" fontId="21" fillId="2" borderId="0" xfId="4" applyNumberFormat="1" applyFont="1" applyFill="1" applyBorder="1">
      <alignment vertical="center"/>
    </xf>
    <xf numFmtId="0" fontId="4" fillId="30" borderId="0" xfId="0" applyFont="1" applyFill="1"/>
    <xf numFmtId="0" fontId="0" fillId="30" borderId="0" xfId="0" applyFill="1"/>
    <xf numFmtId="181" fontId="44" fillId="2" borderId="0" xfId="18" applyNumberFormat="1" applyFont="1" applyFill="1" applyAlignment="1">
      <alignment horizontal="center" vertical="center"/>
    </xf>
    <xf numFmtId="181" fontId="44" fillId="2" borderId="0" xfId="18" applyNumberFormat="1" applyFont="1" applyFill="1" applyAlignment="1">
      <alignment horizontal="left" vertical="center"/>
    </xf>
    <xf numFmtId="181" fontId="45" fillId="2" borderId="0" xfId="18" applyNumberFormat="1" applyFont="1" applyFill="1" applyAlignment="1">
      <alignment horizontal="center" vertical="center"/>
    </xf>
    <xf numFmtId="181" fontId="47" fillId="2" borderId="0" xfId="18" applyNumberFormat="1" applyFont="1" applyFill="1" applyAlignment="1">
      <alignment horizontal="center" vertical="center"/>
    </xf>
    <xf numFmtId="181" fontId="46" fillId="31" borderId="0" xfId="18" applyNumberFormat="1" applyFont="1" applyFill="1" applyAlignment="1">
      <alignment vertical="center"/>
    </xf>
    <xf numFmtId="182" fontId="44" fillId="2" borderId="0" xfId="18" applyNumberFormat="1" applyFont="1" applyFill="1" applyAlignment="1">
      <alignment horizontal="center" vertical="center"/>
    </xf>
    <xf numFmtId="181" fontId="45" fillId="2" borderId="16" xfId="18" applyNumberFormat="1" applyFont="1" applyFill="1" applyBorder="1" applyAlignment="1">
      <alignment horizontal="left" vertical="center"/>
    </xf>
    <xf numFmtId="181" fontId="44" fillId="2" borderId="16" xfId="18" applyNumberFormat="1" applyFont="1" applyFill="1" applyBorder="1" applyAlignment="1">
      <alignment horizontal="center" vertical="center"/>
    </xf>
    <xf numFmtId="181" fontId="44" fillId="2" borderId="16" xfId="18" applyNumberFormat="1" applyFont="1" applyFill="1" applyBorder="1" applyAlignment="1">
      <alignment horizontal="left" vertical="center"/>
    </xf>
    <xf numFmtId="181" fontId="45" fillId="2" borderId="16" xfId="18" applyNumberFormat="1" applyFont="1" applyFill="1" applyBorder="1" applyAlignment="1">
      <alignment horizontal="center" vertical="center"/>
    </xf>
    <xf numFmtId="181" fontId="44" fillId="0" borderId="0" xfId="18" applyNumberFormat="1" applyFont="1" applyAlignment="1">
      <alignment horizontal="center" vertical="center"/>
    </xf>
    <xf numFmtId="10" fontId="44" fillId="2" borderId="0" xfId="19" applyNumberFormat="1" applyFont="1" applyFill="1" applyAlignment="1">
      <alignment horizontal="center" vertical="center"/>
    </xf>
    <xf numFmtId="181" fontId="50" fillId="2" borderId="0" xfId="18" applyNumberFormat="1" applyFont="1" applyFill="1" applyAlignment="1">
      <alignment horizontal="center" vertical="center"/>
    </xf>
    <xf numFmtId="183" fontId="44" fillId="2" borderId="0" xfId="18" applyNumberFormat="1" applyFont="1" applyFill="1" applyAlignment="1">
      <alignment horizontal="center" vertical="center"/>
    </xf>
    <xf numFmtId="183" fontId="44" fillId="2" borderId="0" xfId="18" quotePrefix="1" applyNumberFormat="1" applyFont="1" applyFill="1" applyAlignment="1">
      <alignment horizontal="center" vertical="center"/>
    </xf>
    <xf numFmtId="181" fontId="45" fillId="2" borderId="0" xfId="18" applyNumberFormat="1" applyFont="1" applyFill="1" applyAlignment="1">
      <alignment horizontal="left" vertical="center"/>
    </xf>
    <xf numFmtId="182" fontId="45" fillId="2" borderId="0" xfId="18" applyNumberFormat="1" applyFont="1" applyFill="1" applyAlignment="1">
      <alignment horizontal="center" vertical="center"/>
    </xf>
    <xf numFmtId="9" fontId="44" fillId="2" borderId="0" xfId="18" applyNumberFormat="1" applyFont="1" applyFill="1" applyAlignment="1">
      <alignment horizontal="center" vertical="center"/>
    </xf>
    <xf numFmtId="9" fontId="45" fillId="2" borderId="0" xfId="18" applyNumberFormat="1" applyFont="1" applyFill="1" applyAlignment="1">
      <alignment horizontal="center" vertical="center"/>
    </xf>
    <xf numFmtId="181" fontId="46" fillId="24" borderId="0" xfId="18" applyNumberFormat="1" applyFont="1" applyFill="1" applyAlignment="1">
      <alignment vertical="center"/>
    </xf>
    <xf numFmtId="0" fontId="53" fillId="2" borderId="0" xfId="18" applyFont="1" applyFill="1" applyAlignment="1">
      <alignment horizontal="center" vertical="center"/>
    </xf>
    <xf numFmtId="181" fontId="49" fillId="2" borderId="0" xfId="18" applyNumberFormat="1" applyFont="1" applyFill="1" applyAlignment="1">
      <alignment horizontal="center" vertical="center"/>
    </xf>
    <xf numFmtId="9" fontId="49" fillId="2" borderId="0" xfId="18" applyNumberFormat="1" applyFont="1" applyFill="1" applyAlignment="1">
      <alignment horizontal="center" vertical="center"/>
    </xf>
    <xf numFmtId="9" fontId="50" fillId="2" borderId="0" xfId="18" applyNumberFormat="1" applyFont="1" applyFill="1" applyAlignment="1">
      <alignment horizontal="center" vertical="center"/>
    </xf>
    <xf numFmtId="181" fontId="48" fillId="2" borderId="0" xfId="18" applyNumberFormat="1" applyFont="1" applyFill="1" applyAlignment="1">
      <alignment horizontal="left" vertical="center"/>
    </xf>
    <xf numFmtId="181" fontId="49" fillId="2" borderId="0" xfId="18" applyNumberFormat="1" applyFont="1" applyFill="1" applyAlignment="1">
      <alignment horizontal="left" vertical="center"/>
    </xf>
    <xf numFmtId="181" fontId="50" fillId="2" borderId="0" xfId="18" applyNumberFormat="1" applyFont="1" applyFill="1" applyAlignment="1">
      <alignment horizontal="left" vertical="center"/>
    </xf>
    <xf numFmtId="181" fontId="51" fillId="2" borderId="0" xfId="18" applyNumberFormat="1" applyFont="1" applyFill="1" applyAlignment="1">
      <alignment horizontal="center" vertical="center"/>
    </xf>
    <xf numFmtId="181" fontId="52" fillId="2" borderId="0" xfId="18" applyNumberFormat="1" applyFont="1" applyFill="1" applyAlignment="1">
      <alignment horizontal="left" vertical="center"/>
    </xf>
    <xf numFmtId="181" fontId="49" fillId="2" borderId="15" xfId="18" applyNumberFormat="1" applyFont="1" applyFill="1" applyBorder="1" applyAlignment="1">
      <alignment horizontal="left" vertical="center"/>
    </xf>
    <xf numFmtId="181" fontId="50" fillId="2" borderId="15" xfId="18" applyNumberFormat="1" applyFont="1" applyFill="1" applyBorder="1" applyAlignment="1">
      <alignment horizontal="center" vertical="center"/>
    </xf>
    <xf numFmtId="181" fontId="50" fillId="2" borderId="24" xfId="18" applyNumberFormat="1" applyFont="1" applyFill="1" applyBorder="1" applyAlignment="1">
      <alignment horizontal="left" vertical="center"/>
    </xf>
    <xf numFmtId="181" fontId="50" fillId="2" borderId="24" xfId="18" applyNumberFormat="1" applyFont="1" applyFill="1" applyBorder="1" applyAlignment="1">
      <alignment horizontal="center" vertical="center"/>
    </xf>
    <xf numFmtId="181" fontId="51" fillId="2" borderId="24" xfId="18" applyNumberFormat="1" applyFont="1" applyFill="1" applyBorder="1" applyAlignment="1">
      <alignment horizontal="center" vertical="center"/>
    </xf>
    <xf numFmtId="181" fontId="54" fillId="2" borderId="0" xfId="18" applyNumberFormat="1" applyFont="1" applyFill="1" applyAlignment="1">
      <alignment horizontal="center" vertical="center"/>
    </xf>
    <xf numFmtId="181" fontId="48" fillId="2" borderId="0" xfId="18" applyNumberFormat="1" applyFont="1" applyFill="1" applyAlignment="1">
      <alignment horizontal="center" vertical="center"/>
    </xf>
    <xf numFmtId="172" fontId="1" fillId="12" borderId="0" xfId="0" applyNumberFormat="1" applyFont="1" applyFill="1"/>
    <xf numFmtId="172" fontId="21" fillId="12" borderId="0" xfId="0" applyNumberFormat="1" applyFont="1" applyFill="1"/>
    <xf numFmtId="0" fontId="1" fillId="2" borderId="0" xfId="0" applyFont="1" applyFill="1"/>
    <xf numFmtId="0" fontId="0" fillId="2" borderId="0" xfId="0" quotePrefix="1" applyFill="1"/>
    <xf numFmtId="0" fontId="29" fillId="4" borderId="0" xfId="0" applyFont="1" applyFill="1"/>
    <xf numFmtId="0" fontId="55" fillId="0" borderId="0" xfId="0" applyFont="1"/>
    <xf numFmtId="0" fontId="1" fillId="2" borderId="0" xfId="0" applyFont="1" applyFill="1" applyAlignment="1">
      <alignment horizontal="right"/>
    </xf>
    <xf numFmtId="166" fontId="18" fillId="13" borderId="0" xfId="4" applyFill="1" applyBorder="1">
      <alignment vertical="center"/>
    </xf>
    <xf numFmtId="166" fontId="18" fillId="12" borderId="0" xfId="4" applyFill="1" applyBorder="1">
      <alignment vertical="center"/>
    </xf>
    <xf numFmtId="0" fontId="20" fillId="2" borderId="0" xfId="0" applyFont="1" applyFill="1" applyAlignment="1">
      <alignment horizontal="left"/>
    </xf>
    <xf numFmtId="0" fontId="56" fillId="2" borderId="0" xfId="0" applyFont="1" applyFill="1"/>
    <xf numFmtId="166" fontId="56" fillId="2" borderId="0" xfId="0" applyNumberFormat="1" applyFont="1" applyFill="1" applyAlignment="1">
      <alignment horizontal="right"/>
    </xf>
    <xf numFmtId="166" fontId="56" fillId="2" borderId="0" xfId="0" applyNumberFormat="1" applyFont="1" applyFill="1"/>
    <xf numFmtId="0" fontId="57" fillId="2" borderId="0" xfId="0" applyFont="1" applyFill="1"/>
    <xf numFmtId="177" fontId="43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177" fontId="12" fillId="2" borderId="0" xfId="0" applyNumberFormat="1" applyFont="1" applyFill="1" applyAlignment="1">
      <alignment horizontal="center"/>
    </xf>
    <xf numFmtId="10" fontId="1" fillId="2" borderId="0" xfId="2" applyNumberFormat="1" applyFont="1" applyFill="1"/>
    <xf numFmtId="0" fontId="20" fillId="2" borderId="0" xfId="0" quotePrefix="1" applyFont="1" applyFill="1"/>
    <xf numFmtId="166" fontId="20" fillId="2" borderId="24" xfId="0" applyNumberFormat="1" applyFont="1" applyFill="1" applyBorder="1"/>
    <xf numFmtId="0" fontId="0" fillId="2" borderId="0" xfId="0" applyFill="1" applyAlignment="1">
      <alignment horizontal="right"/>
    </xf>
    <xf numFmtId="166" fontId="28" fillId="2" borderId="16" xfId="4" applyFont="1" applyFill="1" applyBorder="1">
      <alignment vertical="center"/>
    </xf>
    <xf numFmtId="166" fontId="37" fillId="12" borderId="16" xfId="0" applyNumberFormat="1" applyFont="1" applyFill="1" applyBorder="1"/>
    <xf numFmtId="0" fontId="1" fillId="12" borderId="0" xfId="0" applyFont="1" applyFill="1"/>
    <xf numFmtId="166" fontId="0" fillId="12" borderId="0" xfId="0" applyNumberFormat="1" applyFill="1"/>
    <xf numFmtId="166" fontId="1" fillId="2" borderId="0" xfId="0" applyNumberFormat="1" applyFont="1" applyFill="1"/>
    <xf numFmtId="166" fontId="18" fillId="8" borderId="0" xfId="4" applyFill="1" applyBorder="1">
      <alignment vertical="center"/>
    </xf>
    <xf numFmtId="166" fontId="19" fillId="32" borderId="1" xfId="4" applyFont="1" applyFill="1" applyBorder="1">
      <alignment vertical="center"/>
    </xf>
    <xf numFmtId="184" fontId="21" fillId="2" borderId="0" xfId="1" applyNumberFormat="1" applyFont="1" applyFill="1" applyBorder="1" applyAlignment="1">
      <alignment vertical="center"/>
    </xf>
    <xf numFmtId="166" fontId="18" fillId="24" borderId="0" xfId="4" applyFont="1" applyFill="1" applyBorder="1">
      <alignment vertical="center"/>
    </xf>
    <xf numFmtId="170" fontId="21" fillId="12" borderId="0" xfId="0" applyNumberFormat="1" applyFont="1" applyFill="1"/>
    <xf numFmtId="170" fontId="28" fillId="30" borderId="0" xfId="0" applyNumberFormat="1" applyFont="1" applyFill="1"/>
    <xf numFmtId="185" fontId="12" fillId="33" borderId="25" xfId="0" applyNumberFormat="1" applyFont="1" applyFill="1" applyBorder="1"/>
    <xf numFmtId="0" fontId="26" fillId="6" borderId="26" xfId="0" applyFont="1" applyFill="1" applyBorder="1" applyAlignment="1">
      <alignment horizontal="right"/>
    </xf>
    <xf numFmtId="186" fontId="17" fillId="2" borderId="0" xfId="0" applyNumberFormat="1" applyFont="1" applyFill="1"/>
    <xf numFmtId="0" fontId="43" fillId="2" borderId="0" xfId="0" applyFont="1" applyFill="1" applyAlignment="1">
      <alignment horizontal="left"/>
    </xf>
    <xf numFmtId="0" fontId="38" fillId="30" borderId="0" xfId="0" applyFont="1" applyFill="1"/>
    <xf numFmtId="166" fontId="18" fillId="8" borderId="0" xfId="4" applyNumberFormat="1" applyFont="1" applyFill="1" applyBorder="1">
      <alignment vertical="center"/>
    </xf>
    <xf numFmtId="165" fontId="18" fillId="2" borderId="0" xfId="1" applyFont="1" applyFill="1" applyBorder="1" applyAlignment="1">
      <alignment vertical="center"/>
    </xf>
    <xf numFmtId="165" fontId="18" fillId="8" borderId="0" xfId="1" applyFont="1" applyFill="1" applyBorder="1" applyAlignment="1">
      <alignment vertical="center"/>
    </xf>
    <xf numFmtId="165" fontId="12" fillId="2" borderId="15" xfId="1" applyFont="1" applyFill="1" applyBorder="1" applyAlignment="1">
      <alignment vertical="center"/>
    </xf>
    <xf numFmtId="0" fontId="22" fillId="5" borderId="7" xfId="3" applyFont="1" applyFill="1" applyBorder="1" applyAlignment="1">
      <alignment horizontal="center"/>
    </xf>
    <xf numFmtId="0" fontId="22" fillId="5" borderId="8" xfId="3" applyFont="1" applyFill="1" applyBorder="1" applyAlignment="1">
      <alignment horizontal="center"/>
    </xf>
    <xf numFmtId="0" fontId="22" fillId="5" borderId="9" xfId="3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14" fillId="5" borderId="7" xfId="3" applyFont="1" applyFill="1" applyBorder="1" applyAlignment="1">
      <alignment horizontal="center"/>
    </xf>
    <xf numFmtId="0" fontId="14" fillId="5" borderId="8" xfId="3" applyFont="1" applyFill="1" applyBorder="1" applyAlignment="1">
      <alignment horizontal="center"/>
    </xf>
    <xf numFmtId="0" fontId="14" fillId="5" borderId="9" xfId="3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</cellXfs>
  <cellStyles count="20">
    <cellStyle name="Comma" xfId="1" builtinId="3"/>
    <cellStyle name="K_BannerGrp1" xfId="14"/>
    <cellStyle name="K_DateShort" xfId="5"/>
    <cellStyle name="K_Number" xfId="4"/>
    <cellStyle name="Normal" xfId="0" builtinId="0"/>
    <cellStyle name="Normal 2" xfId="17"/>
    <cellStyle name="Normal 247" xfId="18"/>
    <cellStyle name="Normal 42" xfId="3"/>
    <cellStyle name="Percent" xfId="2" builtinId="5"/>
    <cellStyle name="Percent 2" xfId="19"/>
    <cellStyle name="SAPBEXaggData 14" xfId="13"/>
    <cellStyle name="SAPBEXaggData 3" xfId="9"/>
    <cellStyle name="SAPBEXaggItem 14" xfId="12"/>
    <cellStyle name="SAPBEXaggItem 3" xfId="8"/>
    <cellStyle name="SAPBEXstdData 13" xfId="11"/>
    <cellStyle name="SAPBEXstdData 3" xfId="7"/>
    <cellStyle name="SAPBEXstdData 9" xfId="15"/>
    <cellStyle name="SAPBEXstdItem 13" xfId="10"/>
    <cellStyle name="SAPBEXstdItem 3" xfId="6"/>
    <cellStyle name="SAPBEXstdItem 9" xfId="16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FFFFCC"/>
      <color rgb="FF0000FF"/>
      <color rgb="FFFF00FF"/>
      <color rgb="FF00FFFF"/>
      <color rgb="FFCC0099"/>
      <color rgb="FFFF66FF"/>
      <color rgb="FFFF9933"/>
      <color rgb="FF6600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L50"/>
  <sheetViews>
    <sheetView zoomScale="85" zoomScaleNormal="85" workbookViewId="0">
      <selection activeCell="H43" sqref="H43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11.61328125" customWidth="1"/>
    <col min="6" max="6" width="3.4609375" customWidth="1"/>
    <col min="7" max="7" width="28" bestFit="1" customWidth="1"/>
    <col min="8" max="8" width="10.23046875" customWidth="1"/>
    <col min="9" max="9" width="25.23046875" bestFit="1" customWidth="1"/>
    <col min="10" max="10" width="28" bestFit="1" customWidth="1"/>
    <col min="11" max="11" width="71.23046875" bestFit="1" customWidth="1"/>
    <col min="12" max="12" width="10.23046875" customWidth="1"/>
    <col min="13" max="16384" width="9" hidden="1"/>
  </cols>
  <sheetData>
    <row r="1" spans="1:12" s="20" customFormat="1" x14ac:dyDescent="0.3">
      <c r="A1" s="13" t="str">
        <f>$G$9</f>
        <v>UE Consolidated Capex</v>
      </c>
      <c r="B1" s="13"/>
      <c r="C1" s="14"/>
      <c r="D1" s="15"/>
      <c r="E1" s="16"/>
      <c r="F1" s="16"/>
      <c r="G1" s="17"/>
      <c r="H1" s="18"/>
      <c r="I1" s="19"/>
      <c r="J1" s="19"/>
      <c r="K1" s="16"/>
      <c r="L1" s="16"/>
    </row>
    <row r="2" spans="1:12" s="20" customFormat="1" x14ac:dyDescent="0.3">
      <c r="A2" s="21" t="str">
        <f ca="1" xml:space="preserve"> "Sheet: " &amp; RIGHT(CELL("filename", $A$1), LEN(CELL("filename", $A$1)) - SEARCH("]", CELL("filename", $A$1)))</f>
        <v>Sheet: Control</v>
      </c>
      <c r="B2" s="21"/>
      <c r="C2" s="14"/>
      <c r="D2" s="15"/>
      <c r="E2" s="16"/>
      <c r="F2" s="16"/>
      <c r="G2" s="16"/>
      <c r="H2" s="22"/>
      <c r="I2" s="19"/>
      <c r="J2" s="19"/>
      <c r="K2" s="16"/>
      <c r="L2" s="16"/>
    </row>
    <row r="3" spans="1:12" s="20" customFormat="1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9"/>
      <c r="K3" s="16"/>
      <c r="L3" s="16"/>
    </row>
    <row r="4" spans="1:12" s="20" customFormat="1" x14ac:dyDescent="0.3">
      <c r="A4" s="21"/>
      <c r="B4" s="21"/>
      <c r="C4" s="14"/>
      <c r="D4" s="15"/>
      <c r="E4" s="16"/>
      <c r="F4" s="16"/>
      <c r="G4" s="16"/>
      <c r="H4" s="22"/>
      <c r="I4" s="19"/>
      <c r="J4" s="19"/>
      <c r="K4" s="16"/>
      <c r="L4" s="16"/>
    </row>
    <row r="5" spans="1:12" s="20" customForma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16"/>
      <c r="L5" s="16"/>
    </row>
    <row r="6" spans="1:12" x14ac:dyDescent="0.3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4"/>
    </row>
    <row r="7" spans="1:12" s="20" customFormat="1" x14ac:dyDescent="0.3">
      <c r="A7" s="21" t="s">
        <v>1</v>
      </c>
      <c r="B7" s="21"/>
      <c r="C7" s="14"/>
      <c r="D7" s="23"/>
      <c r="E7" s="24"/>
      <c r="F7" s="24"/>
      <c r="G7" s="24"/>
      <c r="H7" s="25"/>
      <c r="I7" s="19"/>
      <c r="J7" s="19"/>
      <c r="K7" s="24"/>
      <c r="L7" s="24"/>
    </row>
    <row r="8" spans="1:12" x14ac:dyDescent="0.3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4"/>
    </row>
    <row r="9" spans="1:12" x14ac:dyDescent="0.3">
      <c r="A9" s="1"/>
      <c r="B9" s="1"/>
      <c r="C9" s="2"/>
      <c r="D9" s="3"/>
      <c r="E9" s="4" t="s">
        <v>2</v>
      </c>
      <c r="F9" s="4"/>
      <c r="G9" s="27" t="s">
        <v>512</v>
      </c>
      <c r="H9" s="5"/>
      <c r="I9" s="6"/>
      <c r="J9" s="6"/>
      <c r="K9" s="4"/>
      <c r="L9" s="4"/>
    </row>
    <row r="10" spans="1:12" x14ac:dyDescent="0.3">
      <c r="A10" s="1"/>
      <c r="B10" s="1"/>
      <c r="C10" s="2"/>
      <c r="D10" s="3"/>
      <c r="E10" s="4" t="s">
        <v>3</v>
      </c>
      <c r="F10" s="4"/>
      <c r="G10" s="27" t="s">
        <v>513</v>
      </c>
      <c r="H10" s="5"/>
      <c r="I10" s="6"/>
      <c r="J10" s="6"/>
      <c r="K10" s="4"/>
      <c r="L10" s="4"/>
    </row>
    <row r="11" spans="1:12" x14ac:dyDescent="0.3">
      <c r="A11" s="1"/>
      <c r="B11" s="1"/>
      <c r="C11" s="2"/>
      <c r="D11" s="3"/>
      <c r="E11" s="4"/>
      <c r="F11" s="4"/>
      <c r="G11" s="4"/>
      <c r="H11" s="5"/>
      <c r="I11" s="6"/>
      <c r="J11" s="6"/>
      <c r="K11" s="4"/>
      <c r="L11" s="4"/>
    </row>
    <row r="12" spans="1:12" x14ac:dyDescent="0.3">
      <c r="A12" s="1"/>
      <c r="B12" s="1"/>
      <c r="C12" s="2"/>
      <c r="D12" s="3"/>
      <c r="E12" s="4"/>
      <c r="F12" s="4"/>
      <c r="G12" s="4"/>
      <c r="H12" s="5"/>
      <c r="I12" s="6"/>
      <c r="J12" s="6"/>
      <c r="K12" s="4"/>
      <c r="L12" s="4"/>
    </row>
    <row r="13" spans="1:12" x14ac:dyDescent="0.3">
      <c r="A13" s="1"/>
      <c r="B13" s="1"/>
      <c r="C13" s="2"/>
      <c r="D13" s="3"/>
      <c r="E13" s="4"/>
      <c r="F13" s="4"/>
      <c r="G13" s="4"/>
      <c r="H13" s="5"/>
      <c r="I13" s="6"/>
      <c r="J13" s="6"/>
      <c r="K13" s="4"/>
      <c r="L13" s="4"/>
    </row>
    <row r="14" spans="1:12" x14ac:dyDescent="0.3">
      <c r="A14" s="1"/>
      <c r="B14" s="1"/>
      <c r="C14" s="2"/>
      <c r="D14" s="3"/>
      <c r="E14" s="4"/>
      <c r="F14" s="4"/>
      <c r="G14" s="4"/>
      <c r="H14" s="5"/>
      <c r="I14" s="6"/>
      <c r="J14" s="6"/>
      <c r="K14" s="4"/>
      <c r="L14" s="4"/>
    </row>
    <row r="15" spans="1:12" x14ac:dyDescent="0.3">
      <c r="A15" s="1"/>
      <c r="B15" s="1"/>
      <c r="C15" s="2"/>
      <c r="D15" s="3"/>
      <c r="E15" s="4"/>
      <c r="F15" s="4"/>
      <c r="G15" s="4"/>
      <c r="H15" s="5"/>
      <c r="I15" s="6"/>
      <c r="J15" s="6"/>
      <c r="K15" s="4"/>
      <c r="L15" s="4"/>
    </row>
    <row r="16" spans="1:12" s="20" customFormat="1" x14ac:dyDescent="0.3">
      <c r="A16" s="1"/>
      <c r="B16" s="1"/>
      <c r="C16" s="2"/>
      <c r="D16" s="3"/>
      <c r="E16" s="4"/>
      <c r="F16" s="4"/>
      <c r="G16" s="4"/>
      <c r="H16" s="5"/>
      <c r="I16" s="6"/>
      <c r="J16" s="6"/>
      <c r="K16" s="4"/>
      <c r="L16" s="4"/>
    </row>
    <row r="17" spans="1:12" x14ac:dyDescent="0.3">
      <c r="A17" s="1"/>
      <c r="B17" s="1"/>
      <c r="C17" s="2"/>
      <c r="D17" s="3"/>
      <c r="E17" s="4"/>
      <c r="F17" s="4"/>
      <c r="G17" s="4"/>
      <c r="H17" s="5"/>
      <c r="I17" s="6"/>
      <c r="J17" s="6"/>
      <c r="K17" s="4"/>
      <c r="L17" s="4"/>
    </row>
    <row r="18" spans="1:12" x14ac:dyDescent="0.3">
      <c r="A18" s="1"/>
      <c r="B18" s="1"/>
      <c r="C18" s="2"/>
      <c r="D18" s="3"/>
      <c r="E18" s="4"/>
      <c r="F18" s="4"/>
      <c r="G18" s="4"/>
      <c r="H18" s="5"/>
      <c r="I18" s="6"/>
      <c r="J18" s="6"/>
      <c r="K18" s="4"/>
      <c r="L18" s="4"/>
    </row>
    <row r="19" spans="1:12" x14ac:dyDescent="0.3">
      <c r="A19" s="1"/>
      <c r="B19" s="1"/>
      <c r="C19" s="2"/>
      <c r="D19" s="3"/>
      <c r="E19" s="4"/>
      <c r="F19" s="4"/>
      <c r="G19" s="4"/>
      <c r="H19" s="5"/>
      <c r="I19" s="6"/>
      <c r="J19" s="6"/>
      <c r="K19" s="4"/>
      <c r="L19" s="4"/>
    </row>
    <row r="20" spans="1:12" x14ac:dyDescent="0.3">
      <c r="A20" s="1"/>
      <c r="B20" s="1"/>
      <c r="C20" s="2"/>
      <c r="D20" s="3"/>
      <c r="E20" s="4"/>
      <c r="F20" s="4"/>
      <c r="G20" s="4"/>
      <c r="H20" s="5"/>
      <c r="I20" s="6"/>
      <c r="J20" s="6"/>
      <c r="K20" s="4"/>
      <c r="L20" s="4"/>
    </row>
    <row r="21" spans="1:12" x14ac:dyDescent="0.3">
      <c r="A21" s="1"/>
      <c r="B21" s="1"/>
      <c r="C21" s="2"/>
      <c r="D21" s="3"/>
      <c r="E21" s="4"/>
      <c r="F21" s="4"/>
      <c r="G21" s="4"/>
      <c r="H21" s="5"/>
      <c r="I21" s="6"/>
      <c r="J21" s="6"/>
      <c r="K21" s="4"/>
      <c r="L21" s="4"/>
    </row>
    <row r="22" spans="1:12" x14ac:dyDescent="0.3">
      <c r="A22" s="1"/>
      <c r="B22" s="1"/>
      <c r="C22" s="2"/>
      <c r="D22" s="3"/>
      <c r="E22" s="4"/>
      <c r="F22" s="4"/>
      <c r="G22" s="4"/>
      <c r="H22" s="5"/>
      <c r="I22" s="6"/>
      <c r="J22" s="6"/>
      <c r="K22" s="4"/>
      <c r="L22" s="4"/>
    </row>
    <row r="23" spans="1:12" x14ac:dyDescent="0.3">
      <c r="A23" s="1"/>
      <c r="B23" s="1"/>
      <c r="C23" s="2"/>
      <c r="D23" s="3"/>
      <c r="E23" s="4"/>
      <c r="F23" s="4"/>
      <c r="G23" s="4"/>
      <c r="H23" s="5"/>
      <c r="I23" s="6"/>
      <c r="J23" s="6"/>
      <c r="K23" s="4"/>
      <c r="L23" s="4"/>
    </row>
    <row r="24" spans="1:12" x14ac:dyDescent="0.3">
      <c r="A24" s="1"/>
      <c r="B24" s="1"/>
      <c r="C24" s="2"/>
      <c r="D24" s="3"/>
      <c r="E24" s="4"/>
      <c r="F24" s="4"/>
      <c r="G24" s="4"/>
      <c r="H24" s="5"/>
      <c r="I24" s="6"/>
      <c r="J24" s="6"/>
      <c r="K24" s="4"/>
      <c r="L24" s="4"/>
    </row>
    <row r="25" spans="1:12" x14ac:dyDescent="0.3">
      <c r="A25" s="1"/>
      <c r="B25" s="1"/>
      <c r="C25" s="2"/>
      <c r="D25" s="3"/>
      <c r="E25" s="4"/>
      <c r="F25" s="4"/>
      <c r="G25" s="4"/>
      <c r="H25" s="5"/>
      <c r="I25" s="6"/>
      <c r="J25" s="6"/>
      <c r="K25" s="4"/>
      <c r="L25" s="4"/>
    </row>
    <row r="26" spans="1:12" x14ac:dyDescent="0.3">
      <c r="A26" s="1"/>
      <c r="B26" s="1"/>
      <c r="C26" s="2"/>
      <c r="D26" s="3"/>
      <c r="E26" s="4"/>
      <c r="F26" s="4"/>
      <c r="G26" s="4"/>
      <c r="H26" s="5"/>
      <c r="I26" s="6"/>
      <c r="J26" s="6"/>
      <c r="K26" s="4"/>
      <c r="L26" s="4"/>
    </row>
    <row r="27" spans="1:12" x14ac:dyDescent="0.3">
      <c r="A27" s="1"/>
      <c r="B27" s="1"/>
      <c r="C27" s="2"/>
      <c r="D27" s="3"/>
      <c r="E27" s="4"/>
      <c r="F27" s="4"/>
      <c r="G27" s="4"/>
      <c r="H27" s="5"/>
      <c r="I27" s="6"/>
      <c r="J27" s="6"/>
      <c r="K27" s="4"/>
      <c r="L27" s="4"/>
    </row>
    <row r="28" spans="1:12" x14ac:dyDescent="0.3">
      <c r="A28" s="1"/>
      <c r="B28" s="1"/>
      <c r="C28" s="2"/>
      <c r="D28" s="3"/>
      <c r="E28" s="4"/>
      <c r="F28" s="4"/>
      <c r="G28" s="4"/>
      <c r="H28" s="5"/>
      <c r="I28" s="6"/>
      <c r="J28" s="6"/>
      <c r="K28" s="4"/>
      <c r="L28" s="4"/>
    </row>
    <row r="29" spans="1:12" x14ac:dyDescent="0.3">
      <c r="A29" s="1"/>
      <c r="B29" s="1"/>
      <c r="C29" s="2"/>
      <c r="D29" s="3"/>
      <c r="E29" s="4"/>
      <c r="F29" s="4"/>
      <c r="G29" s="4"/>
      <c r="H29" s="5"/>
      <c r="I29" s="6"/>
      <c r="J29" s="6"/>
      <c r="K29" s="4"/>
      <c r="L29" s="4"/>
    </row>
    <row r="30" spans="1:12" x14ac:dyDescent="0.3">
      <c r="A30" s="1"/>
      <c r="B30" s="1"/>
      <c r="C30" s="2"/>
      <c r="D30" s="3"/>
      <c r="E30" s="4"/>
      <c r="F30" s="4"/>
      <c r="G30" s="4"/>
      <c r="H30" s="5"/>
      <c r="I30" s="6"/>
      <c r="J30" s="6"/>
      <c r="K30" s="4"/>
      <c r="L30" s="4"/>
    </row>
    <row r="31" spans="1:12" s="20" customFormat="1" x14ac:dyDescent="0.3">
      <c r="A31" s="1"/>
      <c r="B31" s="1"/>
      <c r="C31" s="2"/>
      <c r="D31" s="3"/>
      <c r="E31" s="4"/>
      <c r="F31" s="4"/>
      <c r="G31" s="4"/>
      <c r="H31" s="5"/>
      <c r="I31" s="6"/>
      <c r="J31" s="6"/>
      <c r="K31" s="4"/>
      <c r="L31" s="4"/>
    </row>
    <row r="32" spans="1:12" s="7" customFormat="1" x14ac:dyDescent="0.3">
      <c r="A32" s="1"/>
      <c r="B32" s="1"/>
      <c r="C32" s="2"/>
      <c r="D32" s="3"/>
      <c r="E32" s="4"/>
      <c r="F32" s="4"/>
      <c r="G32" s="4"/>
      <c r="H32" s="5"/>
      <c r="I32" s="6"/>
      <c r="J32" s="6"/>
      <c r="K32" s="4"/>
      <c r="L32" s="4"/>
    </row>
    <row r="33" spans="1:12" s="7" customFormat="1" x14ac:dyDescent="0.3">
      <c r="A33" s="1"/>
      <c r="B33" s="1"/>
      <c r="C33" s="2"/>
      <c r="D33" s="3"/>
      <c r="E33" s="4"/>
      <c r="F33" s="4"/>
      <c r="G33" s="4"/>
      <c r="H33" s="5"/>
      <c r="I33" s="6"/>
      <c r="J33" s="6"/>
      <c r="K33" s="4"/>
      <c r="L33" s="4"/>
    </row>
    <row r="34" spans="1:12" s="7" customFormat="1" x14ac:dyDescent="0.3">
      <c r="A34" s="1"/>
      <c r="B34" s="1"/>
      <c r="C34" s="2"/>
      <c r="D34" s="3"/>
      <c r="E34" s="4"/>
      <c r="F34" s="4"/>
      <c r="G34" s="4"/>
      <c r="H34" s="5"/>
      <c r="I34" s="6"/>
      <c r="J34" s="6"/>
      <c r="K34" s="4"/>
      <c r="L34" s="4"/>
    </row>
    <row r="35" spans="1:12" s="7" customFormat="1" x14ac:dyDescent="0.3">
      <c r="A35" s="1"/>
      <c r="B35" s="1"/>
      <c r="C35" s="2"/>
      <c r="D35" s="3"/>
      <c r="E35" s="4"/>
      <c r="F35" s="4"/>
      <c r="G35" s="4"/>
      <c r="H35" s="5"/>
      <c r="I35" s="6"/>
      <c r="J35" s="6"/>
      <c r="K35" s="4"/>
      <c r="L35" s="4"/>
    </row>
    <row r="36" spans="1:12" s="7" customFormat="1" x14ac:dyDescent="0.3">
      <c r="A36" s="1"/>
      <c r="B36" s="1"/>
      <c r="C36" s="2"/>
      <c r="D36" s="3"/>
      <c r="E36" s="4"/>
      <c r="F36" s="4"/>
      <c r="G36" s="4"/>
      <c r="H36" s="5"/>
      <c r="I36" s="6"/>
      <c r="J36" s="6"/>
      <c r="K36" s="4"/>
      <c r="L36" s="4"/>
    </row>
    <row r="37" spans="1:12" s="7" customFormat="1" x14ac:dyDescent="0.3"/>
    <row r="38" spans="1:12" s="7" customFormat="1" x14ac:dyDescent="0.3"/>
    <row r="39" spans="1:12" s="7" customFormat="1" x14ac:dyDescent="0.3"/>
    <row r="40" spans="1:12" s="7" customFormat="1" x14ac:dyDescent="0.3"/>
    <row r="41" spans="1:12" s="7" customFormat="1" x14ac:dyDescent="0.3"/>
    <row r="42" spans="1:12" s="7" customFormat="1" x14ac:dyDescent="0.3"/>
    <row r="43" spans="1:12" s="7" customFormat="1" x14ac:dyDescent="0.3"/>
    <row r="44" spans="1:12" s="7" customFormat="1" x14ac:dyDescent="0.3"/>
    <row r="45" spans="1:12" s="7" customFormat="1" x14ac:dyDescent="0.3"/>
    <row r="46" spans="1:12" s="7" customFormat="1" x14ac:dyDescent="0.3"/>
    <row r="47" spans="1:12" s="7" customFormat="1" x14ac:dyDescent="0.3"/>
    <row r="48" spans="1:12" s="7" customFormat="1" x14ac:dyDescent="0.3">
      <c r="A48" s="1"/>
      <c r="B48" s="1"/>
      <c r="C48" s="2"/>
      <c r="D48" s="3"/>
      <c r="E48" s="4"/>
      <c r="F48" s="4"/>
      <c r="G48" s="4"/>
      <c r="H48" s="5"/>
      <c r="I48" s="6"/>
      <c r="J48" s="6"/>
      <c r="K48" s="4"/>
      <c r="L48" s="4"/>
    </row>
    <row r="49" spans="1:12" s="7" customFormat="1" x14ac:dyDescent="0.3">
      <c r="A49" s="21" t="s">
        <v>4</v>
      </c>
      <c r="B49" s="21"/>
      <c r="C49" s="14"/>
      <c r="D49" s="23"/>
      <c r="E49" s="24"/>
      <c r="F49" s="24"/>
      <c r="G49" s="24"/>
      <c r="H49" s="25"/>
      <c r="I49" s="19"/>
      <c r="J49" s="19"/>
      <c r="K49" s="24"/>
      <c r="L49" s="24"/>
    </row>
    <row r="50" spans="1:12" s="7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Y125"/>
  <sheetViews>
    <sheetView topLeftCell="A46" zoomScale="85" zoomScaleNormal="85" workbookViewId="0">
      <selection activeCell="L24" sqref="L24"/>
    </sheetView>
  </sheetViews>
  <sheetFormatPr defaultColWidth="0" defaultRowHeight="12.5" zeroHeight="1" x14ac:dyDescent="0.25"/>
  <cols>
    <col min="1" max="1" width="2.4609375" style="39" customWidth="1"/>
    <col min="2" max="4" width="2.3828125" style="39" customWidth="1"/>
    <col min="5" max="5" width="31" style="39" bestFit="1" customWidth="1"/>
    <col min="6" max="6" width="16.61328125" style="39" bestFit="1" customWidth="1"/>
    <col min="7" max="23" width="10.3828125" style="39" customWidth="1"/>
    <col min="24" max="25" width="10.3828125" style="39" hidden="1" customWidth="1"/>
    <col min="26" max="16384" width="9" style="39" hidden="1"/>
  </cols>
  <sheetData>
    <row r="1" spans="1:25" ht="13" x14ac:dyDescent="0.3">
      <c r="A1" s="13" t="str">
        <f>Control!$G$9</f>
        <v>UE Consolidated Capex</v>
      </c>
      <c r="B1" s="13"/>
      <c r="C1" s="14"/>
      <c r="D1" s="15"/>
      <c r="E1" s="16"/>
      <c r="F1" s="16"/>
      <c r="G1" s="17"/>
      <c r="H1" s="18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3" x14ac:dyDescent="0.3">
      <c r="A2" s="21" t="str">
        <f ca="1" xml:space="preserve"> "Sheet: " &amp; RIGHT(CELL("filename", $A$1), LEN(CELL("filename", $A$1)) - SEARCH("]", CELL("filename", $A$1)))</f>
        <v>Sheet: Inflation</v>
      </c>
      <c r="B2" s="21"/>
      <c r="C2" s="14"/>
      <c r="D2" s="15"/>
      <c r="E2" s="16"/>
      <c r="F2" s="16"/>
      <c r="G2" s="16"/>
      <c r="H2" s="22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3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13" x14ac:dyDescent="0.3">
      <c r="A4" s="21"/>
      <c r="B4" s="21"/>
      <c r="C4" s="14"/>
      <c r="D4" s="15"/>
      <c r="E4" s="16"/>
      <c r="F4" s="16"/>
      <c r="G4" s="16"/>
      <c r="H4" s="2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13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3" x14ac:dyDescent="0.3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3" x14ac:dyDescent="0.3">
      <c r="A7" s="21" t="s">
        <v>61</v>
      </c>
      <c r="B7" s="21"/>
      <c r="C7" s="14"/>
      <c r="D7" s="23"/>
      <c r="E7" s="24"/>
      <c r="F7" s="24"/>
      <c r="G7" s="24"/>
      <c r="H7" s="25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spans="1:25" s="58" customFormat="1" ht="13" x14ac:dyDescent="0.3">
      <c r="A9" s="69" t="s">
        <v>74</v>
      </c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</row>
    <row r="10" spans="1:25" ht="13" x14ac:dyDescent="0.3">
      <c r="A10" s="38"/>
      <c r="B10" s="38"/>
      <c r="C10" s="38"/>
      <c r="D10" s="38"/>
      <c r="E10" s="38"/>
      <c r="F10" s="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09">
        <v>44348</v>
      </c>
      <c r="R10" s="38"/>
      <c r="S10" s="38"/>
      <c r="T10" s="38"/>
      <c r="U10" s="38"/>
      <c r="V10" s="38"/>
      <c r="W10" s="38"/>
      <c r="X10" s="38"/>
      <c r="Y10" s="38"/>
    </row>
    <row r="11" spans="1:25" ht="13" x14ac:dyDescent="0.3">
      <c r="A11" s="38"/>
      <c r="B11" s="38"/>
      <c r="C11" s="38"/>
      <c r="D11" s="75" t="s">
        <v>61</v>
      </c>
      <c r="E11" s="75"/>
      <c r="F11" s="75"/>
      <c r="G11" s="75"/>
      <c r="H11" s="75"/>
      <c r="I11" s="75"/>
      <c r="J11" s="75"/>
      <c r="K11" s="75"/>
      <c r="L11" s="124">
        <v>2015</v>
      </c>
      <c r="M11" s="124">
        <v>2016</v>
      </c>
      <c r="N11" s="124">
        <v>2017</v>
      </c>
      <c r="O11" s="124">
        <v>2018</v>
      </c>
      <c r="P11" s="124">
        <v>2019</v>
      </c>
      <c r="Q11" s="310">
        <v>2020</v>
      </c>
      <c r="R11" s="124" t="s">
        <v>603</v>
      </c>
      <c r="S11" s="124" t="s">
        <v>604</v>
      </c>
      <c r="T11" s="124" t="s">
        <v>605</v>
      </c>
      <c r="U11" s="124" t="s">
        <v>606</v>
      </c>
      <c r="V11" s="124" t="s">
        <v>607</v>
      </c>
      <c r="W11" s="38"/>
      <c r="X11" s="38"/>
      <c r="Y11" s="38"/>
    </row>
    <row r="12" spans="1:25" ht="13" x14ac:dyDescent="0.3">
      <c r="A12" s="38"/>
      <c r="B12" s="38"/>
      <c r="C12" s="38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38"/>
      <c r="X12" s="38"/>
      <c r="Y12" s="38"/>
    </row>
    <row r="13" spans="1:25" ht="13" x14ac:dyDescent="0.3">
      <c r="A13" s="38"/>
      <c r="B13" s="38"/>
      <c r="C13" s="38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38"/>
      <c r="X13" s="38"/>
      <c r="Y13" s="38"/>
    </row>
    <row r="14" spans="1:25" ht="13" x14ac:dyDescent="0.3">
      <c r="A14" s="38"/>
      <c r="B14" s="38"/>
      <c r="C14" s="38"/>
      <c r="D14" s="64"/>
      <c r="E14" s="38" t="s">
        <v>613</v>
      </c>
      <c r="F14" s="38"/>
      <c r="G14" s="38"/>
      <c r="H14" s="38"/>
      <c r="I14" s="38"/>
      <c r="J14" s="38"/>
      <c r="K14" s="74">
        <v>3.0155642023346418E-2</v>
      </c>
      <c r="L14" s="74">
        <v>1.5108593012275628E-2</v>
      </c>
      <c r="M14" s="74">
        <v>1.0232558139534831E-2</v>
      </c>
      <c r="N14" s="74">
        <v>1.9337016574585641E-2</v>
      </c>
      <c r="O14" s="74">
        <v>2.0776874435411097E-2</v>
      </c>
      <c r="P14" s="74">
        <v>1.5929203539823078E-2</v>
      </c>
      <c r="Q14" s="307">
        <f>117.2/114.8-1</f>
        <v>2.0905923344947785E-2</v>
      </c>
      <c r="R14" s="308">
        <v>1.9993872504847632E-2</v>
      </c>
      <c r="S14" s="308">
        <v>1.9993872504847632E-2</v>
      </c>
      <c r="T14" s="308">
        <v>1.9993872504847632E-2</v>
      </c>
      <c r="U14" s="308">
        <v>1.9993872504847632E-2</v>
      </c>
      <c r="V14" s="308">
        <v>1.9993872504847632E-2</v>
      </c>
      <c r="W14" s="38"/>
      <c r="X14" s="38"/>
      <c r="Y14" s="38"/>
    </row>
    <row r="15" spans="1:25" ht="13" x14ac:dyDescent="0.3">
      <c r="A15" s="38"/>
      <c r="B15" s="38"/>
      <c r="C15" s="38"/>
      <c r="D15" s="64"/>
      <c r="E15" s="38" t="s">
        <v>67</v>
      </c>
      <c r="F15" s="38"/>
      <c r="G15" s="72">
        <v>2015</v>
      </c>
      <c r="H15" s="38"/>
      <c r="I15" s="38"/>
      <c r="J15" s="38"/>
      <c r="K15" s="38"/>
      <c r="L15" s="73">
        <f>IF(L$11=$G15,1,K15*(1+L14))</f>
        <v>1</v>
      </c>
      <c r="M15" s="73">
        <f t="shared" ref="M15:V15" si="0">IF(M$11=$G15,1,L15*(1+M14))</f>
        <v>1.0102325581395348</v>
      </c>
      <c r="N15" s="73">
        <f t="shared" si="0"/>
        <v>1.029767441860465</v>
      </c>
      <c r="O15" s="73">
        <f t="shared" si="0"/>
        <v>1.0511627906976744</v>
      </c>
      <c r="P15" s="73">
        <f t="shared" si="0"/>
        <v>1.067906976744186</v>
      </c>
      <c r="Q15" s="73">
        <f t="shared" si="0"/>
        <v>1.0902325581395349</v>
      </c>
      <c r="R15" s="73">
        <f t="shared" si="0"/>
        <v>1.1120305289076107</v>
      </c>
      <c r="S15" s="73">
        <f t="shared" si="0"/>
        <v>1.1342643255240876</v>
      </c>
      <c r="T15" s="73">
        <f t="shared" si="0"/>
        <v>1.1569426618354133</v>
      </c>
      <c r="U15" s="73">
        <f t="shared" si="0"/>
        <v>1.1800744259115696</v>
      </c>
      <c r="V15" s="73">
        <f t="shared" si="0"/>
        <v>1.2036686835294768</v>
      </c>
      <c r="W15" s="38"/>
      <c r="X15" s="38"/>
      <c r="Y15" s="38"/>
    </row>
    <row r="16" spans="1:25" x14ac:dyDescent="0.25">
      <c r="A16" s="38"/>
      <c r="B16" s="38"/>
      <c r="C16" s="38"/>
      <c r="D16" s="38"/>
      <c r="E16" s="38" t="s">
        <v>68</v>
      </c>
      <c r="F16" s="38"/>
      <c r="G16" s="72" t="s">
        <v>69</v>
      </c>
      <c r="H16" s="38"/>
      <c r="I16" s="38"/>
      <c r="J16" s="38"/>
      <c r="K16" s="38"/>
      <c r="L16" s="73">
        <f>1/L15</f>
        <v>1</v>
      </c>
      <c r="M16" s="73">
        <f t="shared" ref="M16:V16" si="1">1/M15</f>
        <v>0.98987108655616951</v>
      </c>
      <c r="N16" s="73">
        <f t="shared" si="1"/>
        <v>0.97109304426377607</v>
      </c>
      <c r="O16" s="73">
        <f t="shared" si="1"/>
        <v>0.95132743362831862</v>
      </c>
      <c r="P16" s="73">
        <f t="shared" si="1"/>
        <v>0.93641114982578399</v>
      </c>
      <c r="Q16" s="73">
        <f t="shared" si="1"/>
        <v>0.91723549488054601</v>
      </c>
      <c r="R16" s="73">
        <f t="shared" si="1"/>
        <v>0.89925588732023165</v>
      </c>
      <c r="S16" s="73">
        <f t="shared" si="1"/>
        <v>0.88162871519206887</v>
      </c>
      <c r="T16" s="73">
        <f t="shared" si="1"/>
        <v>0.86434707007308897</v>
      </c>
      <c r="U16" s="73">
        <f t="shared" si="1"/>
        <v>0.8474041789589094</v>
      </c>
      <c r="V16" s="73">
        <f t="shared" si="1"/>
        <v>0.83079340160926507</v>
      </c>
      <c r="W16" s="38"/>
      <c r="X16" s="38"/>
      <c r="Y16" s="38"/>
    </row>
    <row r="17" spans="1:25" ht="13" x14ac:dyDescent="0.3">
      <c r="A17" s="38"/>
      <c r="B17" s="38"/>
      <c r="C17" s="38"/>
      <c r="D17" s="38"/>
      <c r="E17" s="9" t="s">
        <v>70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5" ht="13" x14ac:dyDescent="0.3">
      <c r="A18" s="38"/>
      <c r="B18" s="38"/>
      <c r="C18" s="38"/>
      <c r="D18" s="6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ht="13" x14ac:dyDescent="0.3">
      <c r="A19" s="38"/>
      <c r="B19" s="38"/>
      <c r="C19" s="38"/>
      <c r="D19" s="64"/>
      <c r="E19" s="38" t="s">
        <v>71</v>
      </c>
      <c r="F19" s="38"/>
      <c r="G19" s="72">
        <v>2018</v>
      </c>
      <c r="H19" s="38"/>
      <c r="I19" s="38"/>
      <c r="J19" s="38"/>
      <c r="K19" s="38"/>
      <c r="L19" s="73">
        <f>IF(L$11=VALUE(LEFT($G19,4)),1,L$15/INDEX($L$15:$V$15, MATCH(VALUE(LEFT($G19,4)), $L$11:$V$11,0)))</f>
        <v>0.95132743362831862</v>
      </c>
      <c r="M19" s="73">
        <f>IF(M$11=VALUE(LEFT($G19,4)),1,M$15/INDEX($L$15:$V$15, MATCH(VALUE(LEFT($G19,4)), $L$11:$V$11,0)))</f>
        <v>0.9610619469026549</v>
      </c>
      <c r="N19" s="73">
        <f t="shared" ref="N19:V19" si="2">IF(N$11=VALUE(LEFT($G19,4)),1,N$15/INDEX($L$15:$V$15, MATCH(VALUE(LEFT($G19,4)), $L$11:$V$11,0)))</f>
        <v>0.97964601769911497</v>
      </c>
      <c r="O19" s="73">
        <f t="shared" si="2"/>
        <v>1</v>
      </c>
      <c r="P19" s="73">
        <f t="shared" si="2"/>
        <v>1.0159292035398231</v>
      </c>
      <c r="Q19" s="73">
        <f t="shared" si="2"/>
        <v>1.0371681415929204</v>
      </c>
      <c r="R19" s="73">
        <f t="shared" si="2"/>
        <v>1.0579051491820191</v>
      </c>
      <c r="S19" s="73">
        <f t="shared" si="2"/>
        <v>1.079056769856986</v>
      </c>
      <c r="T19" s="73">
        <f t="shared" si="2"/>
        <v>1.1006312933389995</v>
      </c>
      <c r="U19" s="73">
        <f t="shared" si="2"/>
        <v>1.122637175092865</v>
      </c>
      <c r="V19" s="73">
        <f t="shared" si="2"/>
        <v>1.145083039640874</v>
      </c>
      <c r="W19" s="38"/>
      <c r="X19" s="38"/>
      <c r="Y19" s="38"/>
    </row>
    <row r="20" spans="1:25" ht="13" x14ac:dyDescent="0.3">
      <c r="A20" s="38"/>
      <c r="B20" s="38"/>
      <c r="C20" s="38"/>
      <c r="D20" s="64"/>
      <c r="E20" s="38" t="s">
        <v>72</v>
      </c>
      <c r="F20" s="38"/>
      <c r="G20" s="72" t="s">
        <v>73</v>
      </c>
      <c r="H20" s="38"/>
      <c r="I20" s="38"/>
      <c r="J20" s="38"/>
      <c r="K20" s="38"/>
      <c r="L20" s="73">
        <f t="shared" ref="L20:V20" si="3">1/L19</f>
        <v>1.0511627906976744</v>
      </c>
      <c r="M20" s="73">
        <f t="shared" si="3"/>
        <v>1.0405156537753222</v>
      </c>
      <c r="N20" s="73">
        <f t="shared" si="3"/>
        <v>1.0207768744354111</v>
      </c>
      <c r="O20" s="73">
        <f t="shared" si="3"/>
        <v>1</v>
      </c>
      <c r="P20" s="73">
        <f t="shared" si="3"/>
        <v>0.98432055749128911</v>
      </c>
      <c r="Q20" s="73">
        <f t="shared" si="3"/>
        <v>0.96416382252559729</v>
      </c>
      <c r="R20" s="73">
        <f t="shared" si="3"/>
        <v>0.94526432806684813</v>
      </c>
      <c r="S20" s="73">
        <f t="shared" si="3"/>
        <v>0.92673530062050036</v>
      </c>
      <c r="T20" s="73">
        <f t="shared" si="3"/>
        <v>0.90856947830938639</v>
      </c>
      <c r="U20" s="73">
        <f t="shared" si="3"/>
        <v>0.89075974160331861</v>
      </c>
      <c r="V20" s="73">
        <f t="shared" si="3"/>
        <v>0.87329911052880882</v>
      </c>
      <c r="W20" s="38"/>
      <c r="X20" s="38"/>
      <c r="Y20" s="38"/>
    </row>
    <row r="21" spans="1:2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</row>
    <row r="22" spans="1:25" x14ac:dyDescent="0.25">
      <c r="A22" s="38"/>
      <c r="B22" s="38"/>
      <c r="C22" s="38"/>
      <c r="D22" s="38"/>
      <c r="E22" s="38" t="s">
        <v>576</v>
      </c>
      <c r="F22" s="38"/>
      <c r="G22" s="72">
        <v>2020</v>
      </c>
      <c r="H22" s="38"/>
      <c r="I22" s="38"/>
      <c r="J22" s="38"/>
      <c r="K22" s="38"/>
      <c r="L22" s="73">
        <f>IF(L$11=VALUE(LEFT($G22,4)),1,L$15/INDEX($L$15:$V$15, MATCH(VALUE(LEFT($G22,4)), $L$11:$V$11,0)))</f>
        <v>0.91723549488054601</v>
      </c>
      <c r="M22" s="73">
        <f t="shared" ref="M22:V22" si="4">IF(M$11=VALUE(LEFT($G22,4)),1,M$15/INDEX($L$15:$V$15, MATCH(VALUE(LEFT($G22,4)), $L$11:$V$11,0)))</f>
        <v>0.92662116040955622</v>
      </c>
      <c r="N22" s="73">
        <f t="shared" si="4"/>
        <v>0.94453924914675758</v>
      </c>
      <c r="O22" s="73">
        <f t="shared" si="4"/>
        <v>0.96416382252559718</v>
      </c>
      <c r="P22" s="73">
        <f t="shared" si="4"/>
        <v>0.97952218430034121</v>
      </c>
      <c r="Q22" s="73">
        <f t="shared" si="4"/>
        <v>1</v>
      </c>
      <c r="R22" s="73">
        <f t="shared" si="4"/>
        <v>1.0199938725048476</v>
      </c>
      <c r="S22" s="73">
        <f t="shared" si="4"/>
        <v>1.0403874999474354</v>
      </c>
      <c r="T22" s="73">
        <f t="shared" si="4"/>
        <v>1.0611888749770215</v>
      </c>
      <c r="U22" s="73">
        <f t="shared" si="4"/>
        <v>1.0824061500468749</v>
      </c>
      <c r="V22" s="73">
        <f t="shared" si="4"/>
        <v>1.1040476406093751</v>
      </c>
      <c r="W22" s="38"/>
      <c r="X22" s="38"/>
      <c r="Y22" s="38"/>
    </row>
    <row r="23" spans="1:25" x14ac:dyDescent="0.25">
      <c r="A23" s="38"/>
      <c r="B23" s="38"/>
      <c r="C23" s="38"/>
      <c r="D23" s="38"/>
      <c r="E23" s="38" t="s">
        <v>575</v>
      </c>
      <c r="F23" s="38"/>
      <c r="G23" s="72" t="s">
        <v>577</v>
      </c>
      <c r="H23" s="38"/>
      <c r="I23" s="38"/>
      <c r="J23" s="38"/>
      <c r="K23" s="38"/>
      <c r="L23" s="73">
        <f t="shared" ref="L23:V23" si="5">1/L22</f>
        <v>1.0902325581395349</v>
      </c>
      <c r="M23" s="73">
        <f t="shared" si="5"/>
        <v>1.0791896869244937</v>
      </c>
      <c r="N23" s="73">
        <f t="shared" si="5"/>
        <v>1.0587172538392051</v>
      </c>
      <c r="O23" s="73">
        <f t="shared" si="5"/>
        <v>1.0371681415929204</v>
      </c>
      <c r="P23" s="73">
        <f t="shared" si="5"/>
        <v>1.0209059233449478</v>
      </c>
      <c r="Q23" s="73">
        <f t="shared" si="5"/>
        <v>1</v>
      </c>
      <c r="R23" s="73">
        <f t="shared" si="5"/>
        <v>0.98039804645517359</v>
      </c>
      <c r="S23" s="73">
        <f t="shared" si="5"/>
        <v>0.9611803294931206</v>
      </c>
      <c r="T23" s="73">
        <f t="shared" si="5"/>
        <v>0.94233931732619558</v>
      </c>
      <c r="U23" s="73">
        <f t="shared" si="5"/>
        <v>0.92386762580450399</v>
      </c>
      <c r="V23" s="73">
        <f t="shared" si="5"/>
        <v>0.90575801552191504</v>
      </c>
      <c r="W23" s="38"/>
      <c r="X23" s="38"/>
      <c r="Y23" s="38"/>
    </row>
    <row r="24" spans="1:25" x14ac:dyDescent="0.25">
      <c r="A24" s="38"/>
      <c r="B24" s="38"/>
      <c r="C24" s="38"/>
      <c r="D24" s="38"/>
      <c r="E24" s="38" t="s">
        <v>583</v>
      </c>
      <c r="F24" s="38"/>
      <c r="G24" s="72"/>
      <c r="H24" s="38"/>
      <c r="I24" s="38"/>
      <c r="J24" s="38"/>
      <c r="K24" s="38"/>
      <c r="L24" s="73">
        <f>L23*(1+$R$14)^0.5</f>
        <v>1.101077603196162</v>
      </c>
      <c r="M24" s="73">
        <f t="shared" ref="M24:V24" si="6">M23*(1+$R$14)^0.5</f>
        <v>1.0899248834584476</v>
      </c>
      <c r="N24" s="73">
        <f t="shared" si="6"/>
        <v>1.069248801658423</v>
      </c>
      <c r="O24" s="73">
        <f t="shared" si="6"/>
        <v>1.0474853304742249</v>
      </c>
      <c r="P24" s="126">
        <f t="shared" si="6"/>
        <v>1.0310613444563363</v>
      </c>
      <c r="Q24" s="73">
        <f t="shared" si="6"/>
        <v>1.0099474602695171</v>
      </c>
      <c r="R24" s="73">
        <f t="shared" si="6"/>
        <v>0.99015051707059865</v>
      </c>
      <c r="S24" s="73">
        <f t="shared" si="6"/>
        <v>0.97074163263259472</v>
      </c>
      <c r="T24" s="73">
        <f t="shared" si="6"/>
        <v>0.95171320024570172</v>
      </c>
      <c r="U24" s="73">
        <f t="shared" si="6"/>
        <v>0.9330577623064874</v>
      </c>
      <c r="V24" s="73">
        <f t="shared" si="6"/>
        <v>0.91476800739511599</v>
      </c>
      <c r="W24" s="38"/>
      <c r="X24" s="38"/>
      <c r="Y24" s="38"/>
    </row>
    <row r="25" spans="1:25" x14ac:dyDescent="0.25">
      <c r="A25" s="38"/>
      <c r="B25" s="38"/>
      <c r="C25" s="38"/>
      <c r="D25" s="38"/>
      <c r="E25" s="38" t="s">
        <v>584</v>
      </c>
      <c r="F25" s="38"/>
      <c r="G25" s="72"/>
      <c r="H25" s="38"/>
      <c r="I25" s="38"/>
      <c r="J25" s="38"/>
      <c r="K25" s="38"/>
      <c r="L25" s="73">
        <f>1/L24</f>
        <v>0.90820119953147882</v>
      </c>
      <c r="M25" s="73">
        <f t="shared" ref="M25:V25" si="7">1/M24</f>
        <v>0.91749442110807999</v>
      </c>
      <c r="N25" s="73">
        <f t="shared" si="7"/>
        <v>0.93523602593613675</v>
      </c>
      <c r="O25" s="73">
        <f t="shared" si="7"/>
        <v>0.9546673074144848</v>
      </c>
      <c r="P25" s="73">
        <f t="shared" si="7"/>
        <v>0.96987439726710489</v>
      </c>
      <c r="Q25" s="73">
        <f t="shared" si="7"/>
        <v>0.99015051707059842</v>
      </c>
      <c r="R25" s="73">
        <f t="shared" si="7"/>
        <v>1.0099474602695169</v>
      </c>
      <c r="S25" s="73">
        <f t="shared" si="7"/>
        <v>1.0301402210267405</v>
      </c>
      <c r="T25" s="73">
        <f t="shared" si="7"/>
        <v>1.0507367132680645</v>
      </c>
      <c r="U25" s="73">
        <f t="shared" si="7"/>
        <v>1.0717450091493088</v>
      </c>
      <c r="V25" s="73">
        <f t="shared" si="7"/>
        <v>1.0931733422199468</v>
      </c>
      <c r="W25" s="38"/>
      <c r="X25" s="38"/>
      <c r="Y25" s="38"/>
    </row>
    <row r="26" spans="1:25" x14ac:dyDescent="0.25">
      <c r="A26" s="38"/>
      <c r="B26" s="38"/>
      <c r="C26" s="38"/>
      <c r="D26" s="38"/>
      <c r="E26" s="221" t="s">
        <v>1058</v>
      </c>
      <c r="F26" s="38"/>
      <c r="G26" s="72"/>
      <c r="H26" s="38"/>
      <c r="I26" s="38"/>
      <c r="J26" s="38"/>
      <c r="K26" s="38"/>
      <c r="L26" s="277">
        <f t="shared" ref="L26:O26" si="8">M26*(1+M14)</f>
        <v>1.0902325581395349</v>
      </c>
      <c r="M26" s="277">
        <f t="shared" si="8"/>
        <v>1.0791896869244937</v>
      </c>
      <c r="N26" s="277">
        <f t="shared" si="8"/>
        <v>1.0587172538392051</v>
      </c>
      <c r="O26" s="277">
        <f t="shared" si="8"/>
        <v>1.0371681415929204</v>
      </c>
      <c r="P26" s="277">
        <f>Q26*(1+Q14)</f>
        <v>1.0209059233449478</v>
      </c>
      <c r="Q26" s="278">
        <v>1</v>
      </c>
      <c r="R26" s="73"/>
      <c r="S26" s="73"/>
      <c r="T26" s="73"/>
      <c r="U26" s="73"/>
      <c r="V26" s="73"/>
      <c r="W26" s="38"/>
      <c r="X26" s="38"/>
      <c r="Y26" s="38"/>
    </row>
    <row r="27" spans="1:25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</row>
    <row r="28" spans="1:25" ht="13" x14ac:dyDescent="0.3">
      <c r="A28" s="69" t="s">
        <v>62</v>
      </c>
      <c r="B28" s="58"/>
      <c r="C28" s="58"/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58"/>
      <c r="X28" s="38"/>
      <c r="Y28" s="38"/>
    </row>
    <row r="29" spans="1:25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63"/>
      <c r="S29" s="63"/>
      <c r="T29" s="63"/>
      <c r="U29" s="63"/>
      <c r="V29" s="63"/>
      <c r="W29" s="38"/>
      <c r="X29" s="38"/>
      <c r="Y29" s="38"/>
    </row>
    <row r="30" spans="1:25" ht="13" x14ac:dyDescent="0.3">
      <c r="A30" s="38"/>
      <c r="B30" s="38"/>
      <c r="C30" s="38"/>
      <c r="D30" s="75" t="s">
        <v>92</v>
      </c>
      <c r="E30" s="75"/>
      <c r="F30" s="75"/>
      <c r="G30" s="75"/>
      <c r="H30" s="75"/>
      <c r="I30" s="75"/>
      <c r="J30" s="75"/>
      <c r="K30" s="75"/>
      <c r="L30" s="124">
        <v>2015</v>
      </c>
      <c r="M30" s="124">
        <v>2016</v>
      </c>
      <c r="N30" s="124">
        <v>2017</v>
      </c>
      <c r="O30" s="124">
        <v>2018</v>
      </c>
      <c r="P30" s="124">
        <v>2019</v>
      </c>
      <c r="Q30" s="124">
        <v>2020</v>
      </c>
      <c r="R30" s="124" t="s">
        <v>603</v>
      </c>
      <c r="S30" s="124" t="s">
        <v>604</v>
      </c>
      <c r="T30" s="124" t="s">
        <v>605</v>
      </c>
      <c r="U30" s="124" t="s">
        <v>606</v>
      </c>
      <c r="V30" s="124" t="s">
        <v>607</v>
      </c>
      <c r="W30" s="38"/>
      <c r="X30" s="38"/>
      <c r="Y30" s="38"/>
    </row>
    <row r="31" spans="1:2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25" x14ac:dyDescent="0.25">
      <c r="A32" s="38"/>
      <c r="B32" s="38"/>
      <c r="C32" s="38"/>
      <c r="D32" s="38"/>
      <c r="E32" s="38" t="s">
        <v>63</v>
      </c>
      <c r="F32" s="38"/>
      <c r="G32" s="38"/>
      <c r="H32" s="66"/>
      <c r="I32" s="66"/>
      <c r="J32" s="66"/>
      <c r="K32" s="66"/>
      <c r="L32" s="66"/>
      <c r="M32" s="66"/>
      <c r="N32" s="66"/>
      <c r="O32" s="66"/>
      <c r="P32" s="62"/>
      <c r="Q32" s="62"/>
      <c r="R32" s="222">
        <v>1.0035262398578897E-2</v>
      </c>
      <c r="S32" s="222">
        <v>6.6268624707600688E-3</v>
      </c>
      <c r="T32" s="222">
        <v>6.0912696932914154E-3</v>
      </c>
      <c r="U32" s="222">
        <v>7.3277279219734291E-3</v>
      </c>
      <c r="V32" s="222">
        <v>9.5094682370305637E-3</v>
      </c>
      <c r="W32" s="38"/>
      <c r="X32" s="38"/>
      <c r="Y32" s="38"/>
    </row>
    <row r="33" spans="1:25" x14ac:dyDescent="0.25">
      <c r="A33" s="38"/>
      <c r="B33" s="38"/>
      <c r="C33" s="38"/>
      <c r="D33" s="38"/>
      <c r="E33" s="38" t="s">
        <v>64</v>
      </c>
      <c r="F33" s="38"/>
      <c r="G33" s="38"/>
      <c r="H33" s="66"/>
      <c r="I33" s="66"/>
      <c r="J33" s="66"/>
      <c r="K33" s="66"/>
      <c r="L33" s="66"/>
      <c r="M33" s="66"/>
      <c r="N33" s="66"/>
      <c r="O33" s="66"/>
      <c r="P33" s="62"/>
      <c r="Q33" s="62"/>
      <c r="R33" s="62"/>
      <c r="S33" s="62"/>
      <c r="T33" s="62"/>
      <c r="U33" s="62"/>
      <c r="V33" s="62"/>
      <c r="W33" s="38"/>
      <c r="X33" s="38"/>
      <c r="Y33" s="38"/>
    </row>
    <row r="34" spans="1:25" x14ac:dyDescent="0.25">
      <c r="A34" s="38"/>
      <c r="B34" s="38"/>
      <c r="C34" s="38"/>
      <c r="D34" s="38"/>
      <c r="E34" s="38" t="s">
        <v>65</v>
      </c>
      <c r="F34" s="38"/>
      <c r="G34" s="38"/>
      <c r="H34" s="66"/>
      <c r="I34" s="66"/>
      <c r="J34" s="66"/>
      <c r="K34" s="66"/>
      <c r="L34" s="66"/>
      <c r="M34" s="66"/>
      <c r="N34" s="66"/>
      <c r="O34" s="66"/>
      <c r="P34" s="62"/>
      <c r="Q34" s="62"/>
      <c r="R34" s="62"/>
      <c r="S34" s="62"/>
      <c r="T34" s="62"/>
      <c r="U34" s="62"/>
      <c r="V34" s="62"/>
      <c r="W34" s="38"/>
      <c r="X34" s="38"/>
      <c r="Y34" s="38"/>
    </row>
    <row r="35" spans="1:25" ht="13" x14ac:dyDescent="0.3">
      <c r="A35" s="38"/>
      <c r="B35" s="38"/>
      <c r="C35" s="38"/>
      <c r="D35" s="38"/>
      <c r="E35" s="65" t="s">
        <v>66</v>
      </c>
      <c r="F35" s="65"/>
      <c r="G35" s="65"/>
      <c r="H35" s="67"/>
      <c r="I35" s="67"/>
      <c r="J35" s="67"/>
      <c r="K35" s="67"/>
      <c r="L35" s="67"/>
      <c r="M35" s="67"/>
      <c r="N35" s="67"/>
      <c r="O35" s="67"/>
      <c r="P35" s="68"/>
      <c r="Q35" s="68"/>
      <c r="R35" s="68"/>
      <c r="S35" s="68"/>
      <c r="T35" s="68"/>
      <c r="U35" s="68"/>
      <c r="V35" s="68"/>
      <c r="W35" s="38"/>
      <c r="X35" s="38"/>
      <c r="Y35" s="38"/>
    </row>
    <row r="36" spans="1:2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ht="13" x14ac:dyDescent="0.3">
      <c r="A37" s="38"/>
      <c r="B37" s="38"/>
      <c r="C37" s="38"/>
      <c r="D37" s="75" t="s">
        <v>93</v>
      </c>
      <c r="E37" s="75"/>
      <c r="F37" s="75"/>
      <c r="G37" s="75"/>
      <c r="H37" s="75"/>
      <c r="I37" s="75"/>
      <c r="J37" s="75"/>
      <c r="K37" s="75"/>
      <c r="L37" s="124">
        <v>2015</v>
      </c>
      <c r="M37" s="124">
        <v>2016</v>
      </c>
      <c r="N37" s="124">
        <v>2017</v>
      </c>
      <c r="O37" s="124">
        <v>2018</v>
      </c>
      <c r="P37" s="124">
        <v>2019</v>
      </c>
      <c r="Q37" s="124">
        <v>2020</v>
      </c>
      <c r="R37" s="124" t="s">
        <v>603</v>
      </c>
      <c r="S37" s="124" t="s">
        <v>604</v>
      </c>
      <c r="T37" s="124" t="s">
        <v>605</v>
      </c>
      <c r="U37" s="124" t="s">
        <v>606</v>
      </c>
      <c r="V37" s="124" t="s">
        <v>607</v>
      </c>
      <c r="W37" s="38"/>
      <c r="X37" s="38"/>
      <c r="Y37" s="38"/>
    </row>
    <row r="38" spans="1:25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x14ac:dyDescent="0.25">
      <c r="A39" s="38"/>
      <c r="B39" s="38"/>
      <c r="C39" s="38"/>
      <c r="D39" s="38"/>
      <c r="E39" s="38"/>
      <c r="F39" s="38"/>
      <c r="G39" s="94" t="s">
        <v>89</v>
      </c>
      <c r="H39" s="94" t="s">
        <v>10</v>
      </c>
      <c r="I39" s="94" t="s">
        <v>11</v>
      </c>
      <c r="J39" s="38"/>
      <c r="L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</row>
    <row r="40" spans="1:25" x14ac:dyDescent="0.25">
      <c r="A40" s="38"/>
      <c r="B40" s="38"/>
      <c r="C40" s="38"/>
      <c r="D40" s="38"/>
      <c r="E40" s="38" t="s">
        <v>36</v>
      </c>
      <c r="F40" s="38"/>
      <c r="G40" s="223">
        <f>'Calc|Weightings'!AS216</f>
        <v>0.58555961159041303</v>
      </c>
      <c r="H40" s="223">
        <f>'Calc|Weightings'!AT216</f>
        <v>0.2564369018996564</v>
      </c>
      <c r="I40" s="223">
        <f>'Calc|Weightings'!AU216</f>
        <v>0.15800348650993049</v>
      </c>
      <c r="J40" s="38"/>
      <c r="K40" s="38"/>
      <c r="L40" s="136"/>
      <c r="M40" s="136"/>
      <c r="N40" s="136"/>
      <c r="O40" s="96"/>
      <c r="P40" s="96">
        <f t="shared" ref="P40:V50" si="9">($G40*P$32)+($H40*P$33)+($I40*P$34)</f>
        <v>0</v>
      </c>
      <c r="Q40" s="96">
        <f t="shared" si="9"/>
        <v>0</v>
      </c>
      <c r="R40" s="96">
        <f t="shared" si="9"/>
        <v>5.876244352319736E-3</v>
      </c>
      <c r="S40" s="96">
        <f t="shared" si="9"/>
        <v>3.8804230144413509E-3</v>
      </c>
      <c r="T40" s="96">
        <f t="shared" si="9"/>
        <v>3.5668015156961755E-3</v>
      </c>
      <c r="U40" s="96">
        <f t="shared" si="9"/>
        <v>4.2908215158309858E-3</v>
      </c>
      <c r="V40" s="96">
        <f t="shared" si="9"/>
        <v>5.5683605273069868E-3</v>
      </c>
      <c r="W40" s="38"/>
      <c r="X40" s="38"/>
      <c r="Y40" s="38"/>
    </row>
    <row r="41" spans="1:25" x14ac:dyDescent="0.25">
      <c r="A41" s="38"/>
      <c r="B41" s="38"/>
      <c r="C41" s="38"/>
      <c r="D41" s="38"/>
      <c r="E41" s="38" t="s">
        <v>39</v>
      </c>
      <c r="F41" s="38"/>
      <c r="G41" s="223">
        <f>'Calc|Weightings'!AS217</f>
        <v>0.58555961159041314</v>
      </c>
      <c r="H41" s="223">
        <f>'Calc|Weightings'!AT217</f>
        <v>0.25643690189965646</v>
      </c>
      <c r="I41" s="223">
        <f>'Calc|Weightings'!AU217</f>
        <v>0.15800348650993049</v>
      </c>
      <c r="J41" s="38"/>
      <c r="K41" s="38"/>
      <c r="L41" s="136"/>
      <c r="M41" s="136"/>
      <c r="N41" s="136"/>
      <c r="O41" s="96"/>
      <c r="P41" s="96">
        <f t="shared" si="9"/>
        <v>0</v>
      </c>
      <c r="Q41" s="96">
        <f t="shared" si="9"/>
        <v>0</v>
      </c>
      <c r="R41" s="96">
        <f t="shared" si="9"/>
        <v>5.8762443523197368E-3</v>
      </c>
      <c r="S41" s="96">
        <f t="shared" si="9"/>
        <v>3.8804230144413514E-3</v>
      </c>
      <c r="T41" s="96">
        <f t="shared" si="9"/>
        <v>3.5668015156961764E-3</v>
      </c>
      <c r="U41" s="96">
        <f t="shared" si="9"/>
        <v>4.2908215158309867E-3</v>
      </c>
      <c r="V41" s="96">
        <f t="shared" si="9"/>
        <v>5.5683605273069876E-3</v>
      </c>
      <c r="W41" s="38"/>
      <c r="X41" s="38"/>
      <c r="Y41" s="38"/>
    </row>
    <row r="42" spans="1:25" x14ac:dyDescent="0.25">
      <c r="A42" s="38"/>
      <c r="B42" s="38"/>
      <c r="C42" s="38"/>
      <c r="D42" s="38"/>
      <c r="E42" s="38" t="s">
        <v>40</v>
      </c>
      <c r="F42" s="38"/>
      <c r="G42" s="223">
        <f>'Calc|Weightings'!AS218</f>
        <v>0</v>
      </c>
      <c r="H42" s="223">
        <f>'Calc|Weightings'!AT218</f>
        <v>0</v>
      </c>
      <c r="I42" s="223">
        <f>'Calc|Weightings'!AU218</f>
        <v>0</v>
      </c>
      <c r="J42" s="38"/>
      <c r="K42" s="38"/>
      <c r="L42" s="136"/>
      <c r="M42" s="136"/>
      <c r="N42" s="136"/>
      <c r="O42" s="96"/>
      <c r="P42" s="96">
        <f t="shared" si="9"/>
        <v>0</v>
      </c>
      <c r="Q42" s="96">
        <f t="shared" si="9"/>
        <v>0</v>
      </c>
      <c r="R42" s="96">
        <f t="shared" si="9"/>
        <v>0</v>
      </c>
      <c r="S42" s="96">
        <f t="shared" si="9"/>
        <v>0</v>
      </c>
      <c r="T42" s="96">
        <f t="shared" si="9"/>
        <v>0</v>
      </c>
      <c r="U42" s="96">
        <f t="shared" si="9"/>
        <v>0</v>
      </c>
      <c r="V42" s="96">
        <f t="shared" si="9"/>
        <v>0</v>
      </c>
      <c r="W42" s="38"/>
      <c r="X42" s="38"/>
      <c r="Y42" s="38"/>
    </row>
    <row r="43" spans="1:25" x14ac:dyDescent="0.25">
      <c r="A43" s="38"/>
      <c r="B43" s="38"/>
      <c r="C43" s="38"/>
      <c r="D43" s="38"/>
      <c r="E43" s="38" t="s">
        <v>41</v>
      </c>
      <c r="F43" s="38"/>
      <c r="G43" s="223">
        <f>'Calc|Weightings'!AS219</f>
        <v>0</v>
      </c>
      <c r="H43" s="223">
        <f>'Calc|Weightings'!AT219</f>
        <v>0</v>
      </c>
      <c r="I43" s="223">
        <f>'Calc|Weightings'!AU219</f>
        <v>0</v>
      </c>
      <c r="J43" s="38"/>
      <c r="K43" s="38"/>
      <c r="L43" s="136"/>
      <c r="M43" s="136"/>
      <c r="N43" s="136"/>
      <c r="O43" s="96"/>
      <c r="P43" s="96">
        <f t="shared" si="9"/>
        <v>0</v>
      </c>
      <c r="Q43" s="96">
        <f t="shared" si="9"/>
        <v>0</v>
      </c>
      <c r="R43" s="96">
        <f t="shared" si="9"/>
        <v>0</v>
      </c>
      <c r="S43" s="96">
        <f t="shared" si="9"/>
        <v>0</v>
      </c>
      <c r="T43" s="96">
        <f t="shared" si="9"/>
        <v>0</v>
      </c>
      <c r="U43" s="96">
        <f t="shared" si="9"/>
        <v>0</v>
      </c>
      <c r="V43" s="96">
        <f t="shared" si="9"/>
        <v>0</v>
      </c>
      <c r="W43" s="38"/>
      <c r="X43" s="38"/>
      <c r="Y43" s="38"/>
    </row>
    <row r="44" spans="1:25" x14ac:dyDescent="0.25">
      <c r="A44" s="38"/>
      <c r="B44" s="38"/>
      <c r="C44" s="38"/>
      <c r="D44" s="38"/>
      <c r="E44" s="38" t="s">
        <v>579</v>
      </c>
      <c r="F44" s="38"/>
      <c r="G44" s="223">
        <f>'Calc|Weightings'!AS220</f>
        <v>0.5689545798112704</v>
      </c>
      <c r="H44" s="223">
        <f>'Calc|Weightings'!AT220</f>
        <v>0.30826790085248651</v>
      </c>
      <c r="I44" s="223">
        <f>'Calc|Weightings'!AU220</f>
        <v>0.12277751933624309</v>
      </c>
      <c r="J44" s="38"/>
      <c r="K44" s="38"/>
      <c r="L44" s="136"/>
      <c r="M44" s="136"/>
      <c r="N44" s="136"/>
      <c r="O44" s="96"/>
      <c r="P44" s="96">
        <f t="shared" si="9"/>
        <v>0</v>
      </c>
      <c r="Q44" s="96">
        <f t="shared" si="9"/>
        <v>0</v>
      </c>
      <c r="R44" s="96">
        <f t="shared" si="9"/>
        <v>5.7096085012792981E-3</v>
      </c>
      <c r="S44" s="96">
        <f t="shared" si="9"/>
        <v>3.7703837525183722E-3</v>
      </c>
      <c r="T44" s="96">
        <f t="shared" si="9"/>
        <v>3.4656557888637432E-3</v>
      </c>
      <c r="U44" s="96">
        <f t="shared" si="9"/>
        <v>4.1691443608177061E-3</v>
      </c>
      <c r="V44" s="96">
        <f t="shared" si="9"/>
        <v>5.410455505028347E-3</v>
      </c>
      <c r="W44" s="38"/>
      <c r="X44" s="38"/>
      <c r="Y44" s="38"/>
    </row>
    <row r="45" spans="1:25" x14ac:dyDescent="0.25">
      <c r="A45" s="38"/>
      <c r="B45" s="38"/>
      <c r="C45" s="38"/>
      <c r="D45" s="38"/>
      <c r="E45" s="38" t="s">
        <v>582</v>
      </c>
      <c r="F45" s="38"/>
      <c r="G45" s="223">
        <f>'Calc|Weightings'!AS221</f>
        <v>0.56056936204408869</v>
      </c>
      <c r="H45" s="223">
        <f>'Calc|Weightings'!AT221</f>
        <v>0.22835894441058724</v>
      </c>
      <c r="I45" s="223">
        <f>'Calc|Weightings'!AU221</f>
        <v>0.21107169354532415</v>
      </c>
      <c r="J45" s="38"/>
      <c r="K45" s="38"/>
      <c r="L45" s="136"/>
      <c r="M45" s="136"/>
      <c r="N45" s="136"/>
      <c r="O45" s="96"/>
      <c r="P45" s="96">
        <f t="shared" si="9"/>
        <v>0</v>
      </c>
      <c r="Q45" s="96">
        <f t="shared" si="9"/>
        <v>0</v>
      </c>
      <c r="R45" s="96">
        <f t="shared" si="9"/>
        <v>5.6254606407164032E-3</v>
      </c>
      <c r="S45" s="96">
        <f t="shared" si="9"/>
        <v>3.7148160675878851E-3</v>
      </c>
      <c r="T45" s="96">
        <f t="shared" si="9"/>
        <v>3.4145791660068607E-3</v>
      </c>
      <c r="U45" s="96">
        <f t="shared" si="9"/>
        <v>4.1076997664533012E-3</v>
      </c>
      <c r="V45" s="96">
        <f t="shared" si="9"/>
        <v>5.3307165430107476E-3</v>
      </c>
      <c r="W45" s="38"/>
      <c r="X45" s="38"/>
      <c r="Y45" s="38"/>
    </row>
    <row r="46" spans="1:25" x14ac:dyDescent="0.25">
      <c r="A46" s="38"/>
      <c r="B46" s="38"/>
      <c r="C46" s="38"/>
      <c r="D46" s="38"/>
      <c r="E46" s="38" t="s">
        <v>581</v>
      </c>
      <c r="F46" s="38"/>
      <c r="G46" s="223">
        <f>'Calc|Weightings'!AS222</f>
        <v>5.7938258110033815E-3</v>
      </c>
      <c r="H46" s="223">
        <f>'Calc|Weightings'!AT222</f>
        <v>0.60671107357143872</v>
      </c>
      <c r="I46" s="223">
        <f>'Calc|Weightings'!AU222</f>
        <v>0.38749510061755782</v>
      </c>
      <c r="J46" s="38"/>
      <c r="K46" s="38"/>
      <c r="L46" s="136"/>
      <c r="M46" s="136"/>
      <c r="N46" s="136"/>
      <c r="O46" s="96"/>
      <c r="P46" s="96">
        <f t="shared" si="9"/>
        <v>0</v>
      </c>
      <c r="Q46" s="96">
        <f t="shared" si="9"/>
        <v>0</v>
      </c>
      <c r="R46" s="96">
        <f t="shared" si="9"/>
        <v>5.8142562305078117E-5</v>
      </c>
      <c r="S46" s="96">
        <f t="shared" si="9"/>
        <v>3.8394886829059331E-5</v>
      </c>
      <c r="T46" s="96">
        <f t="shared" si="9"/>
        <v>3.5291755570774456E-5</v>
      </c>
      <c r="U46" s="96">
        <f t="shared" si="9"/>
        <v>4.2455579170339826E-5</v>
      </c>
      <c r="V46" s="96">
        <f t="shared" si="9"/>
        <v>5.50962025206245E-5</v>
      </c>
      <c r="W46" s="38"/>
      <c r="X46" s="38"/>
      <c r="Y46" s="38"/>
    </row>
    <row r="47" spans="1:25" x14ac:dyDescent="0.25">
      <c r="A47" s="38"/>
      <c r="B47" s="38"/>
      <c r="C47" s="38"/>
      <c r="D47" s="38"/>
      <c r="E47" s="38" t="s">
        <v>8</v>
      </c>
      <c r="F47" s="38"/>
      <c r="G47" s="223">
        <f>'Calc|Weightings'!AS223</f>
        <v>0</v>
      </c>
      <c r="H47" s="223">
        <f>'Calc|Weightings'!AT223</f>
        <v>0</v>
      </c>
      <c r="I47" s="223">
        <f>'Calc|Weightings'!AU223</f>
        <v>0</v>
      </c>
      <c r="J47" s="38"/>
      <c r="K47" s="38"/>
      <c r="L47" s="136"/>
      <c r="M47" s="136"/>
      <c r="N47" s="136"/>
      <c r="O47" s="96"/>
      <c r="P47" s="96">
        <f t="shared" si="9"/>
        <v>0</v>
      </c>
      <c r="Q47" s="96">
        <f t="shared" si="9"/>
        <v>0</v>
      </c>
      <c r="R47" s="96">
        <f t="shared" si="9"/>
        <v>0</v>
      </c>
      <c r="S47" s="96">
        <f t="shared" si="9"/>
        <v>0</v>
      </c>
      <c r="T47" s="96">
        <f t="shared" si="9"/>
        <v>0</v>
      </c>
      <c r="U47" s="96">
        <f t="shared" si="9"/>
        <v>0</v>
      </c>
      <c r="V47" s="96">
        <f t="shared" si="9"/>
        <v>0</v>
      </c>
      <c r="W47" s="38"/>
      <c r="X47" s="38"/>
      <c r="Y47" s="38"/>
    </row>
    <row r="48" spans="1:25" x14ac:dyDescent="0.25">
      <c r="A48" s="38"/>
      <c r="B48" s="38"/>
      <c r="C48" s="38"/>
      <c r="D48" s="38"/>
      <c r="E48" s="38" t="s">
        <v>42</v>
      </c>
      <c r="F48" s="38"/>
      <c r="G48" s="223">
        <f>'Calc|Weightings'!AS224</f>
        <v>0</v>
      </c>
      <c r="H48" s="223">
        <f>'Calc|Weightings'!AT224</f>
        <v>0</v>
      </c>
      <c r="I48" s="223">
        <f>'Calc|Weightings'!AU224</f>
        <v>0</v>
      </c>
      <c r="J48" s="38"/>
      <c r="K48" s="38"/>
      <c r="L48" s="136"/>
      <c r="M48" s="136"/>
      <c r="N48" s="136"/>
      <c r="O48" s="96"/>
      <c r="P48" s="96">
        <f t="shared" si="9"/>
        <v>0</v>
      </c>
      <c r="Q48" s="96">
        <f t="shared" si="9"/>
        <v>0</v>
      </c>
      <c r="R48" s="96">
        <f t="shared" si="9"/>
        <v>0</v>
      </c>
      <c r="S48" s="96">
        <f t="shared" si="9"/>
        <v>0</v>
      </c>
      <c r="T48" s="96">
        <f t="shared" si="9"/>
        <v>0</v>
      </c>
      <c r="U48" s="96">
        <f t="shared" si="9"/>
        <v>0</v>
      </c>
      <c r="V48" s="96">
        <f t="shared" si="9"/>
        <v>0</v>
      </c>
      <c r="W48" s="38"/>
      <c r="X48" s="38"/>
      <c r="Y48" s="38"/>
    </row>
    <row r="49" spans="1:25" x14ac:dyDescent="0.25">
      <c r="A49" s="38"/>
      <c r="B49" s="38"/>
      <c r="C49" s="38"/>
      <c r="D49" s="38"/>
      <c r="E49" s="38" t="s">
        <v>43</v>
      </c>
      <c r="F49" s="38"/>
      <c r="G49" s="223">
        <f>'Calc|Weightings'!AS225</f>
        <v>0</v>
      </c>
      <c r="H49" s="223">
        <f>'Calc|Weightings'!AT225</f>
        <v>0</v>
      </c>
      <c r="I49" s="223">
        <f>'Calc|Weightings'!AU225</f>
        <v>0</v>
      </c>
      <c r="J49" s="38"/>
      <c r="K49" s="38"/>
      <c r="L49" s="136"/>
      <c r="M49" s="136"/>
      <c r="N49" s="136"/>
      <c r="O49" s="96"/>
      <c r="P49" s="96">
        <f t="shared" si="9"/>
        <v>0</v>
      </c>
      <c r="Q49" s="96">
        <f t="shared" si="9"/>
        <v>0</v>
      </c>
      <c r="R49" s="96">
        <f t="shared" si="9"/>
        <v>0</v>
      </c>
      <c r="S49" s="96">
        <f t="shared" si="9"/>
        <v>0</v>
      </c>
      <c r="T49" s="96">
        <f t="shared" si="9"/>
        <v>0</v>
      </c>
      <c r="U49" s="96">
        <f t="shared" si="9"/>
        <v>0</v>
      </c>
      <c r="V49" s="96">
        <f t="shared" si="9"/>
        <v>0</v>
      </c>
      <c r="W49" s="38"/>
      <c r="X49" s="38"/>
      <c r="Y49" s="38"/>
    </row>
    <row r="50" spans="1:25" x14ac:dyDescent="0.25">
      <c r="A50" s="38"/>
      <c r="B50" s="38"/>
      <c r="C50" s="38"/>
      <c r="D50" s="38"/>
      <c r="E50" s="38" t="s">
        <v>44</v>
      </c>
      <c r="F50" s="38"/>
      <c r="G50" s="223">
        <f>'Calc|Weightings'!AS226</f>
        <v>0</v>
      </c>
      <c r="H50" s="223">
        <f>'Calc|Weightings'!AT226</f>
        <v>1</v>
      </c>
      <c r="I50" s="223">
        <f>'Calc|Weightings'!AU226</f>
        <v>0</v>
      </c>
      <c r="J50" s="38"/>
      <c r="K50" s="38"/>
      <c r="L50" s="136"/>
      <c r="M50" s="136"/>
      <c r="N50" s="136"/>
      <c r="O50" s="96"/>
      <c r="P50" s="96">
        <f t="shared" si="9"/>
        <v>0</v>
      </c>
      <c r="Q50" s="96">
        <f t="shared" si="9"/>
        <v>0</v>
      </c>
      <c r="R50" s="96">
        <f t="shared" si="9"/>
        <v>0</v>
      </c>
      <c r="S50" s="96">
        <f t="shared" si="9"/>
        <v>0</v>
      </c>
      <c r="T50" s="96">
        <f t="shared" si="9"/>
        <v>0</v>
      </c>
      <c r="U50" s="96">
        <f t="shared" si="9"/>
        <v>0</v>
      </c>
      <c r="V50" s="96">
        <f t="shared" si="9"/>
        <v>0</v>
      </c>
      <c r="W50" s="38"/>
      <c r="X50" s="38"/>
      <c r="Y50" s="38"/>
    </row>
    <row r="51" spans="1:25" x14ac:dyDescent="0.25">
      <c r="A51" s="38"/>
      <c r="B51" s="38"/>
      <c r="C51" s="38"/>
      <c r="D51" s="38"/>
      <c r="E51" s="38"/>
      <c r="F51" s="38"/>
      <c r="G51" s="95"/>
      <c r="H51" s="95"/>
      <c r="I51" s="95"/>
      <c r="J51" s="38"/>
      <c r="K51" s="38"/>
      <c r="L51" s="136"/>
      <c r="M51" s="136"/>
      <c r="N51" s="136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</row>
    <row r="52" spans="1:25" x14ac:dyDescent="0.25">
      <c r="A52" s="38"/>
      <c r="B52" s="38"/>
      <c r="C52" s="38"/>
      <c r="D52" s="38"/>
      <c r="E52" s="38"/>
      <c r="F52" s="38"/>
      <c r="G52" s="95"/>
      <c r="H52" s="95"/>
      <c r="I52" s="95"/>
      <c r="J52" s="38"/>
      <c r="K52" s="38"/>
      <c r="L52" s="136"/>
      <c r="M52" s="136"/>
      <c r="N52" s="136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</row>
    <row r="53" spans="1:25" x14ac:dyDescent="0.25">
      <c r="A53" s="38"/>
      <c r="B53" s="38"/>
      <c r="C53" s="38"/>
      <c r="D53" s="38"/>
      <c r="E53" s="38" t="s">
        <v>59</v>
      </c>
      <c r="F53" s="38"/>
      <c r="G53" s="95">
        <f>'Calc|Weightings'!AS203</f>
        <v>0.52873353684785718</v>
      </c>
      <c r="H53" s="95">
        <f>'Calc|Weightings'!AT203</f>
        <v>0.36209527896336496</v>
      </c>
      <c r="I53" s="95">
        <f>'Calc|Weightings'!AU203</f>
        <v>0.10917118418877772</v>
      </c>
      <c r="J53" s="38"/>
      <c r="K53" s="38"/>
      <c r="L53" s="136"/>
      <c r="M53" s="136"/>
      <c r="N53" s="136"/>
      <c r="O53" s="96"/>
      <c r="P53" s="96">
        <f t="shared" ref="P53:V60" si="10">($G53*P$32)+($H53*P$33)+($I53*P$34)</f>
        <v>0</v>
      </c>
      <c r="Q53" s="96">
        <f t="shared" si="10"/>
        <v>0</v>
      </c>
      <c r="R53" s="96">
        <f t="shared" si="10"/>
        <v>5.3059797811969307E-3</v>
      </c>
      <c r="S53" s="96">
        <f t="shared" si="10"/>
        <v>3.5038444323693008E-3</v>
      </c>
      <c r="T53" s="96">
        <f t="shared" si="10"/>
        <v>3.2206585688281321E-3</v>
      </c>
      <c r="U53" s="96">
        <f t="shared" si="10"/>
        <v>3.8744155012438099E-3</v>
      </c>
      <c r="V53" s="96">
        <f t="shared" si="10"/>
        <v>5.0279747745075268E-3</v>
      </c>
      <c r="W53" s="38"/>
      <c r="X53" s="38"/>
      <c r="Y53" s="38"/>
    </row>
    <row r="54" spans="1:25" x14ac:dyDescent="0.25">
      <c r="A54" s="38"/>
      <c r="B54" s="38"/>
      <c r="C54" s="38"/>
      <c r="D54" s="38"/>
      <c r="E54" s="38" t="s">
        <v>28</v>
      </c>
      <c r="F54" s="38"/>
      <c r="G54" s="95">
        <f>'Calc|Weightings'!AS204</f>
        <v>0.61544591981384722</v>
      </c>
      <c r="H54" s="95">
        <f>'Calc|Weightings'!AT204</f>
        <v>0.14315680060120867</v>
      </c>
      <c r="I54" s="95">
        <f>'Calc|Weightings'!AU204</f>
        <v>0.24139727958494409</v>
      </c>
      <c r="J54" s="38"/>
      <c r="K54" s="38"/>
      <c r="L54" s="136"/>
      <c r="M54" s="136"/>
      <c r="N54" s="136"/>
      <c r="O54" s="96"/>
      <c r="P54" s="96">
        <f t="shared" si="10"/>
        <v>0</v>
      </c>
      <c r="Q54" s="96">
        <f t="shared" si="10"/>
        <v>0</v>
      </c>
      <c r="R54" s="96">
        <f t="shared" si="10"/>
        <v>6.1761612974667044E-3</v>
      </c>
      <c r="S54" s="96">
        <f t="shared" si="10"/>
        <v>4.0784754687967946E-3</v>
      </c>
      <c r="T54" s="96">
        <f t="shared" si="10"/>
        <v>3.7488470792219463E-3</v>
      </c>
      <c r="U54" s="96">
        <f t="shared" si="10"/>
        <v>4.5098202510845484E-3</v>
      </c>
      <c r="V54" s="96">
        <f t="shared" si="10"/>
        <v>5.8525634260798397E-3</v>
      </c>
      <c r="W54" s="38"/>
      <c r="X54" s="38"/>
      <c r="Y54" s="38"/>
    </row>
    <row r="55" spans="1:25" x14ac:dyDescent="0.25">
      <c r="A55" s="38"/>
      <c r="B55" s="38"/>
      <c r="C55" s="38"/>
      <c r="D55" s="38"/>
      <c r="E55" s="38" t="s">
        <v>29</v>
      </c>
      <c r="F55" s="38"/>
      <c r="G55" s="95">
        <f>'Calc|Weightings'!AS205</f>
        <v>0.58115507074423267</v>
      </c>
      <c r="H55" s="95">
        <f>'Calc|Weightings'!AT205</f>
        <v>0.31547574440359305</v>
      </c>
      <c r="I55" s="95">
        <f>'Calc|Weightings'!AU205</f>
        <v>0.10336918485217428</v>
      </c>
      <c r="J55" s="38"/>
      <c r="K55" s="38"/>
      <c r="L55" s="136"/>
      <c r="M55" s="136"/>
      <c r="N55" s="136"/>
      <c r="O55" s="96"/>
      <c r="P55" s="96">
        <f t="shared" si="10"/>
        <v>0</v>
      </c>
      <c r="Q55" s="96">
        <f t="shared" si="10"/>
        <v>0</v>
      </c>
      <c r="R55" s="96">
        <f t="shared" si="10"/>
        <v>5.8320436291830566E-3</v>
      </c>
      <c r="S55" s="96">
        <f t="shared" si="10"/>
        <v>3.8512347280068682E-3</v>
      </c>
      <c r="T55" s="96">
        <f t="shared" si="10"/>
        <v>3.539972269526973E-3</v>
      </c>
      <c r="U55" s="96">
        <f t="shared" si="10"/>
        <v>4.2585462388889574E-3</v>
      </c>
      <c r="V55" s="96">
        <f t="shared" si="10"/>
        <v>5.5264756860315305E-3</v>
      </c>
      <c r="W55" s="38"/>
      <c r="X55" s="38"/>
      <c r="Y55" s="38"/>
    </row>
    <row r="56" spans="1:25" x14ac:dyDescent="0.25">
      <c r="A56" s="38"/>
      <c r="B56" s="38"/>
      <c r="C56" s="38"/>
      <c r="D56" s="38"/>
      <c r="E56" s="38" t="s">
        <v>38</v>
      </c>
      <c r="F56" s="38"/>
      <c r="G56" s="95">
        <f>'Calc|Weightings'!AS206</f>
        <v>0.5689545798112704</v>
      </c>
      <c r="H56" s="95">
        <f>'Calc|Weightings'!AT206</f>
        <v>0.30826790085248651</v>
      </c>
      <c r="I56" s="95">
        <f>'Calc|Weightings'!AU206</f>
        <v>0.12277751933624309</v>
      </c>
      <c r="J56" s="38"/>
      <c r="K56" s="38"/>
      <c r="L56" s="136"/>
      <c r="M56" s="136"/>
      <c r="N56" s="136"/>
      <c r="O56" s="96"/>
      <c r="P56" s="96">
        <f t="shared" si="10"/>
        <v>0</v>
      </c>
      <c r="Q56" s="96">
        <f t="shared" si="10"/>
        <v>0</v>
      </c>
      <c r="R56" s="96">
        <f t="shared" si="10"/>
        <v>5.7096085012792981E-3</v>
      </c>
      <c r="S56" s="96">
        <f t="shared" si="10"/>
        <v>3.7703837525183722E-3</v>
      </c>
      <c r="T56" s="96">
        <f t="shared" si="10"/>
        <v>3.4656557888637432E-3</v>
      </c>
      <c r="U56" s="96">
        <f t="shared" si="10"/>
        <v>4.1691443608177061E-3</v>
      </c>
      <c r="V56" s="96">
        <f t="shared" si="10"/>
        <v>5.410455505028347E-3</v>
      </c>
      <c r="W56" s="38"/>
      <c r="X56" s="38"/>
      <c r="Y56" s="38"/>
    </row>
    <row r="57" spans="1:25" x14ac:dyDescent="0.25">
      <c r="A57" s="38"/>
      <c r="B57" s="38"/>
      <c r="C57" s="38"/>
      <c r="D57" s="38"/>
      <c r="E57" s="38" t="s">
        <v>30</v>
      </c>
      <c r="F57" s="38"/>
      <c r="G57" s="95">
        <f>'Calc|Weightings'!AS207</f>
        <v>0.56056936204408869</v>
      </c>
      <c r="H57" s="95">
        <f>'Calc|Weightings'!AT207</f>
        <v>0.22835894441058724</v>
      </c>
      <c r="I57" s="95">
        <f>'Calc|Weightings'!AU207</f>
        <v>0.21107169354532415</v>
      </c>
      <c r="J57" s="38"/>
      <c r="K57" s="38"/>
      <c r="L57" s="136"/>
      <c r="M57" s="136"/>
      <c r="N57" s="136"/>
      <c r="O57" s="96"/>
      <c r="P57" s="96">
        <f t="shared" si="10"/>
        <v>0</v>
      </c>
      <c r="Q57" s="96">
        <f t="shared" si="10"/>
        <v>0</v>
      </c>
      <c r="R57" s="96">
        <f t="shared" si="10"/>
        <v>5.6254606407164032E-3</v>
      </c>
      <c r="S57" s="96">
        <f t="shared" si="10"/>
        <v>3.7148160675878851E-3</v>
      </c>
      <c r="T57" s="96">
        <f t="shared" si="10"/>
        <v>3.4145791660068607E-3</v>
      </c>
      <c r="U57" s="96">
        <f t="shared" si="10"/>
        <v>4.1076997664533012E-3</v>
      </c>
      <c r="V57" s="96">
        <f t="shared" si="10"/>
        <v>5.3307165430107476E-3</v>
      </c>
      <c r="W57" s="38"/>
      <c r="X57" s="38"/>
      <c r="Y57" s="38"/>
    </row>
    <row r="58" spans="1:25" x14ac:dyDescent="0.25">
      <c r="A58" s="38"/>
      <c r="B58" s="38"/>
      <c r="C58" s="38"/>
      <c r="D58" s="38"/>
      <c r="E58" s="38" t="s">
        <v>31</v>
      </c>
      <c r="F58" s="38"/>
      <c r="G58" s="95">
        <f>'Calc|Weightings'!AS208</f>
        <v>5.7938258110033815E-3</v>
      </c>
      <c r="H58" s="95">
        <f>'Calc|Weightings'!AT208</f>
        <v>0.60671107357143872</v>
      </c>
      <c r="I58" s="95">
        <f>'Calc|Weightings'!AU208</f>
        <v>0.38749510061755782</v>
      </c>
      <c r="J58" s="38"/>
      <c r="K58" s="38"/>
      <c r="L58" s="136"/>
      <c r="M58" s="136"/>
      <c r="N58" s="136"/>
      <c r="O58" s="96"/>
      <c r="P58" s="96">
        <f t="shared" si="10"/>
        <v>0</v>
      </c>
      <c r="Q58" s="96">
        <f t="shared" si="10"/>
        <v>0</v>
      </c>
      <c r="R58" s="96">
        <f t="shared" si="10"/>
        <v>5.8142562305078117E-5</v>
      </c>
      <c r="S58" s="96">
        <f t="shared" si="10"/>
        <v>3.8394886829059331E-5</v>
      </c>
      <c r="T58" s="96">
        <f t="shared" si="10"/>
        <v>3.5291755570774456E-5</v>
      </c>
      <c r="U58" s="96">
        <f t="shared" si="10"/>
        <v>4.2455579170339826E-5</v>
      </c>
      <c r="V58" s="96">
        <f t="shared" si="10"/>
        <v>5.50962025206245E-5</v>
      </c>
      <c r="W58" s="38"/>
      <c r="X58" s="38"/>
      <c r="Y58" s="38"/>
    </row>
    <row r="59" spans="1:25" x14ac:dyDescent="0.25">
      <c r="A59" s="38"/>
      <c r="B59" s="38"/>
      <c r="C59" s="38"/>
      <c r="D59" s="38"/>
      <c r="E59" s="38" t="s">
        <v>60</v>
      </c>
      <c r="F59" s="38"/>
      <c r="G59" s="95">
        <f>'Calc|Weightings'!AS209</f>
        <v>0.58115507074423267</v>
      </c>
      <c r="H59" s="95">
        <f>'Calc|Weightings'!AT209</f>
        <v>0.31547574440359305</v>
      </c>
      <c r="I59" s="95">
        <f>'Calc|Weightings'!AU209</f>
        <v>0.10336918485217428</v>
      </c>
      <c r="J59" s="38"/>
      <c r="K59" s="38"/>
      <c r="L59" s="136"/>
      <c r="M59" s="136"/>
      <c r="N59" s="136"/>
      <c r="O59" s="96"/>
      <c r="P59" s="96">
        <f t="shared" si="10"/>
        <v>0</v>
      </c>
      <c r="Q59" s="96">
        <f t="shared" si="10"/>
        <v>0</v>
      </c>
      <c r="R59" s="96">
        <f t="shared" si="10"/>
        <v>5.8320436291830566E-3</v>
      </c>
      <c r="S59" s="96">
        <f t="shared" si="10"/>
        <v>3.8512347280068682E-3</v>
      </c>
      <c r="T59" s="96">
        <f t="shared" si="10"/>
        <v>3.539972269526973E-3</v>
      </c>
      <c r="U59" s="96">
        <f t="shared" si="10"/>
        <v>4.2585462388889574E-3</v>
      </c>
      <c r="V59" s="96">
        <f t="shared" si="10"/>
        <v>5.5264756860315305E-3</v>
      </c>
      <c r="W59" s="38"/>
      <c r="X59" s="38"/>
      <c r="Y59" s="38"/>
    </row>
    <row r="60" spans="1:25" x14ac:dyDescent="0.25">
      <c r="A60" s="38"/>
      <c r="B60" s="38"/>
      <c r="C60" s="38"/>
      <c r="D60" s="38"/>
      <c r="E60" s="38" t="s">
        <v>44</v>
      </c>
      <c r="F60" s="38"/>
      <c r="G60" s="95">
        <f>'Calc|Weightings'!AS210</f>
        <v>0</v>
      </c>
      <c r="H60" s="95">
        <f>'Calc|Weightings'!AT210</f>
        <v>1</v>
      </c>
      <c r="I60" s="95">
        <f>'Calc|Weightings'!AU210</f>
        <v>0</v>
      </c>
      <c r="J60" s="38"/>
      <c r="K60" s="38"/>
      <c r="L60" s="136"/>
      <c r="M60" s="136"/>
      <c r="N60" s="136"/>
      <c r="O60" s="96"/>
      <c r="P60" s="96">
        <f t="shared" si="10"/>
        <v>0</v>
      </c>
      <c r="Q60" s="96">
        <f t="shared" si="10"/>
        <v>0</v>
      </c>
      <c r="R60" s="96">
        <f t="shared" si="10"/>
        <v>0</v>
      </c>
      <c r="S60" s="96">
        <f t="shared" si="10"/>
        <v>0</v>
      </c>
      <c r="T60" s="96">
        <f t="shared" si="10"/>
        <v>0</v>
      </c>
      <c r="U60" s="96">
        <f t="shared" si="10"/>
        <v>0</v>
      </c>
      <c r="V60" s="96">
        <f t="shared" si="10"/>
        <v>0</v>
      </c>
      <c r="W60" s="38"/>
      <c r="X60" s="38"/>
      <c r="Y60" s="38"/>
    </row>
    <row r="61" spans="1:25" x14ac:dyDescent="0.25">
      <c r="A61" s="38"/>
      <c r="B61" s="38"/>
      <c r="C61" s="38"/>
      <c r="D61" s="38"/>
      <c r="E61" s="38"/>
      <c r="F61" s="38"/>
      <c r="G61" s="95"/>
      <c r="H61" s="95"/>
      <c r="I61" s="95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</row>
    <row r="62" spans="1:25" ht="13" x14ac:dyDescent="0.3">
      <c r="A62" s="38"/>
      <c r="B62" s="38"/>
      <c r="C62" s="38"/>
      <c r="D62" s="75" t="s">
        <v>91</v>
      </c>
      <c r="E62" s="75"/>
      <c r="F62" s="75"/>
      <c r="G62" s="75"/>
      <c r="H62" s="75"/>
      <c r="I62" s="75"/>
      <c r="J62" s="75"/>
      <c r="K62" s="75"/>
      <c r="L62" s="124">
        <v>2015</v>
      </c>
      <c r="M62" s="124">
        <v>2016</v>
      </c>
      <c r="N62" s="124">
        <v>2017</v>
      </c>
      <c r="O62" s="124">
        <v>2018</v>
      </c>
      <c r="P62" s="124">
        <v>2019</v>
      </c>
      <c r="Q62" s="124">
        <v>2020</v>
      </c>
      <c r="R62" s="124" t="s">
        <v>603</v>
      </c>
      <c r="S62" s="124" t="s">
        <v>604</v>
      </c>
      <c r="T62" s="124" t="s">
        <v>605</v>
      </c>
      <c r="U62" s="124" t="s">
        <v>606</v>
      </c>
      <c r="V62" s="124" t="s">
        <v>607</v>
      </c>
      <c r="W62" s="38"/>
      <c r="X62" s="38"/>
      <c r="Y62" s="38"/>
    </row>
    <row r="63" spans="1:2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1:25" x14ac:dyDescent="0.25">
      <c r="A64" s="38"/>
      <c r="B64" s="38"/>
      <c r="C64" s="38"/>
      <c r="D64" s="38"/>
      <c r="E64" s="38" t="s">
        <v>63</v>
      </c>
      <c r="F64" s="38"/>
      <c r="G64" s="38"/>
      <c r="H64" s="66"/>
      <c r="I64" s="66"/>
      <c r="J64" s="66"/>
      <c r="K64" s="66"/>
      <c r="L64" s="66"/>
      <c r="M64" s="66"/>
      <c r="N64" s="66"/>
      <c r="O64" s="66"/>
      <c r="P64" s="62"/>
      <c r="Q64" s="62"/>
      <c r="R64" s="62">
        <f t="shared" ref="R64:V64" si="11">(1+Q64)*(1+R32)-1</f>
        <v>1.0035262398578881E-2</v>
      </c>
      <c r="S64" s="62">
        <f t="shared" si="11"/>
        <v>1.6728627173112409E-2</v>
      </c>
      <c r="T64" s="62">
        <f t="shared" si="11"/>
        <v>2.2921795446113613E-2</v>
      </c>
      <c r="U64" s="62">
        <f t="shared" si="11"/>
        <v>3.0417488048599228E-2</v>
      </c>
      <c r="V64" s="62">
        <f t="shared" si="11"/>
        <v>4.0216210422078014E-2</v>
      </c>
      <c r="W64" s="38"/>
      <c r="X64" s="38"/>
      <c r="Y64" s="38"/>
    </row>
    <row r="65" spans="1:25" x14ac:dyDescent="0.25">
      <c r="A65" s="38"/>
      <c r="B65" s="38"/>
      <c r="C65" s="38"/>
      <c r="D65" s="38"/>
      <c r="E65" s="38" t="s">
        <v>64</v>
      </c>
      <c r="F65" s="38"/>
      <c r="G65" s="38"/>
      <c r="H65" s="66"/>
      <c r="I65" s="66"/>
      <c r="J65" s="66"/>
      <c r="K65" s="66"/>
      <c r="L65" s="66"/>
      <c r="M65" s="66"/>
      <c r="N65" s="66"/>
      <c r="O65" s="66"/>
      <c r="P65" s="62"/>
      <c r="Q65" s="62"/>
      <c r="R65" s="62">
        <f t="shared" ref="R65:V66" si="12">(1+Q65)*(1+R33)-1</f>
        <v>0</v>
      </c>
      <c r="S65" s="62">
        <f t="shared" si="12"/>
        <v>0</v>
      </c>
      <c r="T65" s="62">
        <f t="shared" si="12"/>
        <v>0</v>
      </c>
      <c r="U65" s="62">
        <f t="shared" si="12"/>
        <v>0</v>
      </c>
      <c r="V65" s="62">
        <f t="shared" si="12"/>
        <v>0</v>
      </c>
      <c r="W65" s="38"/>
      <c r="X65" s="38"/>
      <c r="Y65" s="38"/>
    </row>
    <row r="66" spans="1:25" x14ac:dyDescent="0.25">
      <c r="A66" s="38"/>
      <c r="B66" s="38"/>
      <c r="C66" s="38"/>
      <c r="D66" s="38"/>
      <c r="E66" s="38" t="s">
        <v>65</v>
      </c>
      <c r="F66" s="38"/>
      <c r="G66" s="38"/>
      <c r="H66" s="66"/>
      <c r="I66" s="66"/>
      <c r="J66" s="66"/>
      <c r="K66" s="66"/>
      <c r="L66" s="66"/>
      <c r="M66" s="66"/>
      <c r="N66" s="66"/>
      <c r="O66" s="66"/>
      <c r="P66" s="62"/>
      <c r="Q66" s="62"/>
      <c r="R66" s="62">
        <f t="shared" si="12"/>
        <v>0</v>
      </c>
      <c r="S66" s="62">
        <f t="shared" si="12"/>
        <v>0</v>
      </c>
      <c r="T66" s="62">
        <f t="shared" si="12"/>
        <v>0</v>
      </c>
      <c r="U66" s="62">
        <f t="shared" si="12"/>
        <v>0</v>
      </c>
      <c r="V66" s="62">
        <f t="shared" si="12"/>
        <v>0</v>
      </c>
      <c r="W66" s="38"/>
      <c r="X66" s="38"/>
      <c r="Y66" s="38"/>
    </row>
    <row r="67" spans="1:25" ht="13" x14ac:dyDescent="0.3">
      <c r="A67" s="38"/>
      <c r="B67" s="38"/>
      <c r="C67" s="38"/>
      <c r="D67" s="38"/>
      <c r="E67" s="65" t="s">
        <v>66</v>
      </c>
      <c r="F67" s="65"/>
      <c r="G67" s="65"/>
      <c r="H67" s="67"/>
      <c r="I67" s="67"/>
      <c r="J67" s="67"/>
      <c r="K67" s="67"/>
      <c r="L67" s="67"/>
      <c r="M67" s="67"/>
      <c r="N67" s="67"/>
      <c r="O67" s="67"/>
      <c r="P67" s="68"/>
      <c r="Q67" s="68"/>
      <c r="R67" s="68"/>
      <c r="S67" s="68"/>
      <c r="T67" s="68"/>
      <c r="U67" s="68"/>
      <c r="V67" s="68"/>
      <c r="W67" s="38"/>
      <c r="X67" s="38"/>
      <c r="Y67" s="38"/>
    </row>
    <row r="68" spans="1:25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</row>
    <row r="69" spans="1:25" ht="13" x14ac:dyDescent="0.3">
      <c r="A69" s="38"/>
      <c r="B69" s="38"/>
      <c r="C69" s="38"/>
      <c r="D69" s="75" t="s">
        <v>94</v>
      </c>
      <c r="E69" s="75"/>
      <c r="F69" s="75"/>
      <c r="G69" s="75"/>
      <c r="H69" s="75"/>
      <c r="I69" s="75"/>
      <c r="J69" s="75"/>
      <c r="K69" s="75"/>
      <c r="L69" s="124">
        <v>2015</v>
      </c>
      <c r="M69" s="124">
        <v>2016</v>
      </c>
      <c r="N69" s="124">
        <v>2017</v>
      </c>
      <c r="O69" s="124">
        <v>2018</v>
      </c>
      <c r="P69" s="124">
        <v>2019</v>
      </c>
      <c r="Q69" s="124">
        <v>2020</v>
      </c>
      <c r="R69" s="124" t="s">
        <v>603</v>
      </c>
      <c r="S69" s="124" t="s">
        <v>604</v>
      </c>
      <c r="T69" s="124" t="s">
        <v>605</v>
      </c>
      <c r="U69" s="124" t="s">
        <v>606</v>
      </c>
      <c r="V69" s="124" t="s">
        <v>607</v>
      </c>
      <c r="W69" s="38"/>
      <c r="X69" s="38"/>
      <c r="Y69" s="38"/>
    </row>
    <row r="70" spans="1:2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</row>
    <row r="71" spans="1:25" x14ac:dyDescent="0.25">
      <c r="A71" s="38"/>
      <c r="B71" s="38"/>
      <c r="C71" s="38"/>
      <c r="D71" s="38"/>
      <c r="E71" s="38"/>
      <c r="F71" s="38"/>
      <c r="G71" s="94" t="s">
        <v>89</v>
      </c>
      <c r="H71" s="94" t="s">
        <v>10</v>
      </c>
      <c r="I71" s="94" t="s">
        <v>11</v>
      </c>
      <c r="J71" s="38"/>
      <c r="L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</row>
    <row r="72" spans="1:25" x14ac:dyDescent="0.25">
      <c r="A72" s="38"/>
      <c r="B72" s="38"/>
      <c r="C72" s="38"/>
      <c r="D72" s="38"/>
      <c r="E72" s="38" t="s">
        <v>36</v>
      </c>
      <c r="F72" s="38"/>
      <c r="G72" s="223">
        <f>G40</f>
        <v>0.58555961159041303</v>
      </c>
      <c r="H72" s="223">
        <f t="shared" ref="H72:I72" si="13">H40</f>
        <v>0.2564369018996564</v>
      </c>
      <c r="I72" s="223">
        <f t="shared" si="13"/>
        <v>0.15800348650993049</v>
      </c>
      <c r="J72" s="38"/>
      <c r="K72" s="38"/>
      <c r="L72" s="38"/>
      <c r="M72" s="38"/>
      <c r="N72" s="38"/>
      <c r="O72" s="96">
        <f>($G72*O$64)+($H72*O$65)+($I72*O$66)</f>
        <v>0</v>
      </c>
      <c r="P72" s="96">
        <f t="shared" ref="P72:V82" si="14">($G72*P$64)+($H72*P$65)+($I72*P$66)</f>
        <v>0</v>
      </c>
      <c r="Q72" s="96">
        <f t="shared" si="14"/>
        <v>0</v>
      </c>
      <c r="R72" s="96">
        <f t="shared" si="14"/>
        <v>5.8762443523197264E-3</v>
      </c>
      <c r="S72" s="96">
        <f t="shared" si="14"/>
        <v>9.7956084299285311E-3</v>
      </c>
      <c r="T72" s="96">
        <f t="shared" si="14"/>
        <v>1.3422077638381186E-2</v>
      </c>
      <c r="U72" s="96">
        <f t="shared" si="14"/>
        <v>1.7811252487293795E-2</v>
      </c>
      <c r="V72" s="96">
        <f t="shared" si="14"/>
        <v>2.3548988554390322E-2</v>
      </c>
      <c r="W72" s="38"/>
      <c r="X72" s="38"/>
      <c r="Y72" s="38"/>
    </row>
    <row r="73" spans="1:25" x14ac:dyDescent="0.25">
      <c r="A73" s="38"/>
      <c r="B73" s="38"/>
      <c r="C73" s="38"/>
      <c r="D73" s="38"/>
      <c r="E73" s="38" t="s">
        <v>39</v>
      </c>
      <c r="F73" s="38"/>
      <c r="G73" s="223">
        <f t="shared" ref="G73:I73" si="15">G41</f>
        <v>0.58555961159041314</v>
      </c>
      <c r="H73" s="223">
        <f t="shared" si="15"/>
        <v>0.25643690189965646</v>
      </c>
      <c r="I73" s="223">
        <f t="shared" si="15"/>
        <v>0.15800348650993049</v>
      </c>
      <c r="J73" s="38"/>
      <c r="K73" s="38"/>
      <c r="L73" s="38"/>
      <c r="M73" s="38"/>
      <c r="N73" s="38"/>
      <c r="O73" s="96">
        <f t="shared" ref="O73:O82" si="16">($G73*O$64)+($H73*O$65)+($I73*O$66)</f>
        <v>0</v>
      </c>
      <c r="P73" s="96">
        <f t="shared" si="14"/>
        <v>0</v>
      </c>
      <c r="Q73" s="96">
        <f t="shared" si="14"/>
        <v>0</v>
      </c>
      <c r="R73" s="96">
        <f t="shared" si="14"/>
        <v>5.8762443523197273E-3</v>
      </c>
      <c r="S73" s="96">
        <f t="shared" si="14"/>
        <v>9.7956084299285328E-3</v>
      </c>
      <c r="T73" s="96">
        <f t="shared" si="14"/>
        <v>1.3422077638381187E-2</v>
      </c>
      <c r="U73" s="96">
        <f t="shared" si="14"/>
        <v>1.7811252487293799E-2</v>
      </c>
      <c r="V73" s="96">
        <f t="shared" si="14"/>
        <v>2.3548988554390325E-2</v>
      </c>
      <c r="W73" s="38"/>
      <c r="X73" s="38"/>
      <c r="Y73" s="38"/>
    </row>
    <row r="74" spans="1:25" x14ac:dyDescent="0.25">
      <c r="A74" s="38"/>
      <c r="B74" s="38"/>
      <c r="C74" s="38"/>
      <c r="D74" s="38"/>
      <c r="E74" s="38" t="s">
        <v>40</v>
      </c>
      <c r="F74" s="38"/>
      <c r="G74" s="223">
        <f t="shared" ref="G74:I74" si="17">G42</f>
        <v>0</v>
      </c>
      <c r="H74" s="223">
        <f t="shared" si="17"/>
        <v>0</v>
      </c>
      <c r="I74" s="223">
        <f t="shared" si="17"/>
        <v>0</v>
      </c>
      <c r="J74" s="38"/>
      <c r="K74" s="38"/>
      <c r="L74" s="38"/>
      <c r="M74" s="38"/>
      <c r="N74" s="38"/>
      <c r="O74" s="96">
        <f t="shared" si="16"/>
        <v>0</v>
      </c>
      <c r="P74" s="96">
        <f t="shared" si="14"/>
        <v>0</v>
      </c>
      <c r="Q74" s="96">
        <f t="shared" si="14"/>
        <v>0</v>
      </c>
      <c r="R74" s="96">
        <f t="shared" si="14"/>
        <v>0</v>
      </c>
      <c r="S74" s="96">
        <f t="shared" si="14"/>
        <v>0</v>
      </c>
      <c r="T74" s="96">
        <f t="shared" si="14"/>
        <v>0</v>
      </c>
      <c r="U74" s="96">
        <f t="shared" si="14"/>
        <v>0</v>
      </c>
      <c r="V74" s="96">
        <f t="shared" si="14"/>
        <v>0</v>
      </c>
      <c r="W74" s="38"/>
      <c r="X74" s="38"/>
      <c r="Y74" s="38"/>
    </row>
    <row r="75" spans="1:25" x14ac:dyDescent="0.25">
      <c r="A75" s="38"/>
      <c r="B75" s="38"/>
      <c r="C75" s="38"/>
      <c r="D75" s="38"/>
      <c r="E75" s="38" t="s">
        <v>41</v>
      </c>
      <c r="F75" s="38"/>
      <c r="G75" s="223">
        <f t="shared" ref="G75:I75" si="18">G43</f>
        <v>0</v>
      </c>
      <c r="H75" s="223">
        <f t="shared" si="18"/>
        <v>0</v>
      </c>
      <c r="I75" s="223">
        <f t="shared" si="18"/>
        <v>0</v>
      </c>
      <c r="J75" s="38"/>
      <c r="K75" s="38"/>
      <c r="L75" s="38"/>
      <c r="M75" s="38"/>
      <c r="N75" s="38"/>
      <c r="O75" s="96">
        <f t="shared" si="16"/>
        <v>0</v>
      </c>
      <c r="P75" s="96">
        <f t="shared" si="14"/>
        <v>0</v>
      </c>
      <c r="Q75" s="96">
        <f t="shared" si="14"/>
        <v>0</v>
      </c>
      <c r="R75" s="96">
        <f t="shared" si="14"/>
        <v>0</v>
      </c>
      <c r="S75" s="96">
        <f t="shared" si="14"/>
        <v>0</v>
      </c>
      <c r="T75" s="96">
        <f t="shared" si="14"/>
        <v>0</v>
      </c>
      <c r="U75" s="96">
        <f t="shared" si="14"/>
        <v>0</v>
      </c>
      <c r="V75" s="96">
        <f t="shared" si="14"/>
        <v>0</v>
      </c>
      <c r="W75" s="38"/>
      <c r="X75" s="38"/>
      <c r="Y75" s="38"/>
    </row>
    <row r="76" spans="1:25" x14ac:dyDescent="0.25">
      <c r="A76" s="38"/>
      <c r="B76" s="38"/>
      <c r="C76" s="38"/>
      <c r="D76" s="38"/>
      <c r="E76" s="38" t="s">
        <v>579</v>
      </c>
      <c r="F76" s="38"/>
      <c r="G76" s="223">
        <f t="shared" ref="G76:I76" si="19">G44</f>
        <v>0.5689545798112704</v>
      </c>
      <c r="H76" s="223">
        <f t="shared" si="19"/>
        <v>0.30826790085248651</v>
      </c>
      <c r="I76" s="223">
        <f t="shared" si="19"/>
        <v>0.12277751933624309</v>
      </c>
      <c r="J76" s="38"/>
      <c r="K76" s="136"/>
      <c r="L76" s="136"/>
      <c r="M76" s="136"/>
      <c r="N76" s="38"/>
      <c r="O76" s="96">
        <f t="shared" si="16"/>
        <v>0</v>
      </c>
      <c r="P76" s="96">
        <f t="shared" si="14"/>
        <v>0</v>
      </c>
      <c r="Q76" s="96">
        <f t="shared" si="14"/>
        <v>0</v>
      </c>
      <c r="R76" s="96">
        <f t="shared" si="14"/>
        <v>5.7096085012792886E-3</v>
      </c>
      <c r="S76" s="96">
        <f t="shared" si="14"/>
        <v>9.5178290440975713E-3</v>
      </c>
      <c r="T76" s="96">
        <f t="shared" si="14"/>
        <v>1.3041460496563462E-2</v>
      </c>
      <c r="U76" s="96">
        <f t="shared" si="14"/>
        <v>1.7306169131605112E-2</v>
      </c>
      <c r="V76" s="96">
        <f t="shared" si="14"/>
        <v>2.2881197102295029E-2</v>
      </c>
      <c r="W76" s="38"/>
      <c r="X76" s="38"/>
      <c r="Y76" s="38"/>
    </row>
    <row r="77" spans="1:25" x14ac:dyDescent="0.25">
      <c r="A77" s="38"/>
      <c r="B77" s="38"/>
      <c r="C77" s="38"/>
      <c r="D77" s="38"/>
      <c r="E77" s="38" t="s">
        <v>582</v>
      </c>
      <c r="F77" s="38"/>
      <c r="G77" s="223">
        <f t="shared" ref="G77:I77" si="20">G45</f>
        <v>0.56056936204408869</v>
      </c>
      <c r="H77" s="223">
        <f t="shared" si="20"/>
        <v>0.22835894441058724</v>
      </c>
      <c r="I77" s="223">
        <f t="shared" si="20"/>
        <v>0.21107169354532415</v>
      </c>
      <c r="J77" s="38"/>
      <c r="K77" s="38"/>
      <c r="L77" s="38"/>
      <c r="M77" s="38"/>
      <c r="N77" s="38"/>
      <c r="O77" s="96">
        <f t="shared" si="16"/>
        <v>0</v>
      </c>
      <c r="P77" s="96">
        <f t="shared" si="14"/>
        <v>0</v>
      </c>
      <c r="Q77" s="96">
        <f t="shared" si="14"/>
        <v>0</v>
      </c>
      <c r="R77" s="96">
        <f t="shared" si="14"/>
        <v>5.6254606407163945E-3</v>
      </c>
      <c r="S77" s="96">
        <f t="shared" si="14"/>
        <v>9.3775558623050304E-3</v>
      </c>
      <c r="T77" s="96">
        <f t="shared" si="14"/>
        <v>1.2849256250133006E-2</v>
      </c>
      <c r="U77" s="96">
        <f t="shared" si="14"/>
        <v>1.7051111870386961E-2</v>
      </c>
      <c r="V77" s="96">
        <f t="shared" si="14"/>
        <v>2.2543975420135105E-2</v>
      </c>
      <c r="W77" s="38"/>
      <c r="X77" s="38"/>
      <c r="Y77" s="38"/>
    </row>
    <row r="78" spans="1:25" x14ac:dyDescent="0.25">
      <c r="A78" s="38"/>
      <c r="B78" s="38"/>
      <c r="C78" s="38"/>
      <c r="D78" s="38"/>
      <c r="E78" s="38" t="s">
        <v>581</v>
      </c>
      <c r="F78" s="38"/>
      <c r="G78" s="223">
        <f t="shared" ref="G78:I78" si="21">G46</f>
        <v>5.7938258110033815E-3</v>
      </c>
      <c r="H78" s="223">
        <f t="shared" si="21"/>
        <v>0.60671107357143872</v>
      </c>
      <c r="I78" s="223">
        <f t="shared" si="21"/>
        <v>0.38749510061755782</v>
      </c>
      <c r="J78" s="38"/>
      <c r="K78" s="38"/>
      <c r="L78" s="38"/>
      <c r="M78" s="38"/>
      <c r="N78" s="38"/>
      <c r="O78" s="96">
        <f t="shared" si="16"/>
        <v>0</v>
      </c>
      <c r="P78" s="96">
        <f t="shared" si="14"/>
        <v>0</v>
      </c>
      <c r="Q78" s="96">
        <f t="shared" si="14"/>
        <v>0</v>
      </c>
      <c r="R78" s="96">
        <f t="shared" si="14"/>
        <v>5.8142562305078029E-5</v>
      </c>
      <c r="S78" s="96">
        <f t="shared" si="14"/>
        <v>9.6922751898231209E-5</v>
      </c>
      <c r="T78" s="96">
        <f t="shared" si="14"/>
        <v>1.3280489009023281E-4</v>
      </c>
      <c r="U78" s="96">
        <f t="shared" si="14"/>
        <v>1.7623362736186109E-4</v>
      </c>
      <c r="V78" s="96">
        <f t="shared" si="14"/>
        <v>2.330057179641788E-4</v>
      </c>
      <c r="W78" s="38"/>
      <c r="X78" s="38"/>
      <c r="Y78" s="38"/>
    </row>
    <row r="79" spans="1:25" x14ac:dyDescent="0.25">
      <c r="A79" s="38"/>
      <c r="B79" s="38"/>
      <c r="C79" s="38"/>
      <c r="D79" s="38"/>
      <c r="E79" s="38" t="s">
        <v>8</v>
      </c>
      <c r="F79" s="38"/>
      <c r="G79" s="223">
        <f t="shared" ref="G79:I79" si="22">G47</f>
        <v>0</v>
      </c>
      <c r="H79" s="223">
        <f t="shared" si="22"/>
        <v>0</v>
      </c>
      <c r="I79" s="223">
        <f t="shared" si="22"/>
        <v>0</v>
      </c>
      <c r="J79" s="38"/>
      <c r="K79" s="38"/>
      <c r="L79" s="38"/>
      <c r="M79" s="38"/>
      <c r="N79" s="38"/>
      <c r="O79" s="96">
        <f t="shared" si="16"/>
        <v>0</v>
      </c>
      <c r="P79" s="96">
        <f t="shared" si="14"/>
        <v>0</v>
      </c>
      <c r="Q79" s="96">
        <f t="shared" si="14"/>
        <v>0</v>
      </c>
      <c r="R79" s="96">
        <f t="shared" si="14"/>
        <v>0</v>
      </c>
      <c r="S79" s="96">
        <f t="shared" si="14"/>
        <v>0</v>
      </c>
      <c r="T79" s="96">
        <f t="shared" si="14"/>
        <v>0</v>
      </c>
      <c r="U79" s="96">
        <f t="shared" si="14"/>
        <v>0</v>
      </c>
      <c r="V79" s="96">
        <f t="shared" si="14"/>
        <v>0</v>
      </c>
      <c r="W79" s="38"/>
      <c r="X79" s="38"/>
      <c r="Y79" s="38"/>
    </row>
    <row r="80" spans="1:25" x14ac:dyDescent="0.25">
      <c r="A80" s="38"/>
      <c r="B80" s="38"/>
      <c r="C80" s="38"/>
      <c r="D80" s="38"/>
      <c r="E80" s="38" t="s">
        <v>42</v>
      </c>
      <c r="F80" s="38"/>
      <c r="G80" s="223">
        <f t="shared" ref="G80:I80" si="23">G48</f>
        <v>0</v>
      </c>
      <c r="H80" s="223">
        <f t="shared" si="23"/>
        <v>0</v>
      </c>
      <c r="I80" s="223">
        <f t="shared" si="23"/>
        <v>0</v>
      </c>
      <c r="J80" s="38"/>
      <c r="K80" s="38"/>
      <c r="L80" s="38"/>
      <c r="M80" s="38"/>
      <c r="N80" s="38"/>
      <c r="O80" s="96">
        <f t="shared" si="16"/>
        <v>0</v>
      </c>
      <c r="P80" s="96">
        <f t="shared" si="14"/>
        <v>0</v>
      </c>
      <c r="Q80" s="96">
        <f t="shared" si="14"/>
        <v>0</v>
      </c>
      <c r="R80" s="96">
        <f t="shared" si="14"/>
        <v>0</v>
      </c>
      <c r="S80" s="96">
        <f t="shared" si="14"/>
        <v>0</v>
      </c>
      <c r="T80" s="96">
        <f t="shared" si="14"/>
        <v>0</v>
      </c>
      <c r="U80" s="96">
        <f t="shared" si="14"/>
        <v>0</v>
      </c>
      <c r="V80" s="96">
        <f t="shared" si="14"/>
        <v>0</v>
      </c>
      <c r="W80" s="38"/>
      <c r="X80" s="38"/>
      <c r="Y80" s="38"/>
    </row>
    <row r="81" spans="1:25" x14ac:dyDescent="0.25">
      <c r="A81" s="38"/>
      <c r="B81" s="38"/>
      <c r="C81" s="38"/>
      <c r="D81" s="38"/>
      <c r="E81" s="38" t="s">
        <v>43</v>
      </c>
      <c r="F81" s="38"/>
      <c r="G81" s="223">
        <f t="shared" ref="G81:I81" si="24">G49</f>
        <v>0</v>
      </c>
      <c r="H81" s="223">
        <f t="shared" si="24"/>
        <v>0</v>
      </c>
      <c r="I81" s="223">
        <f t="shared" si="24"/>
        <v>0</v>
      </c>
      <c r="J81" s="38"/>
      <c r="K81" s="38"/>
      <c r="L81" s="38"/>
      <c r="M81" s="38"/>
      <c r="N81" s="38"/>
      <c r="O81" s="96">
        <f t="shared" si="16"/>
        <v>0</v>
      </c>
      <c r="P81" s="96">
        <f t="shared" si="14"/>
        <v>0</v>
      </c>
      <c r="Q81" s="96">
        <f t="shared" si="14"/>
        <v>0</v>
      </c>
      <c r="R81" s="96">
        <f t="shared" si="14"/>
        <v>0</v>
      </c>
      <c r="S81" s="96">
        <f t="shared" si="14"/>
        <v>0</v>
      </c>
      <c r="T81" s="96">
        <f t="shared" si="14"/>
        <v>0</v>
      </c>
      <c r="U81" s="96">
        <f t="shared" si="14"/>
        <v>0</v>
      </c>
      <c r="V81" s="96">
        <f t="shared" si="14"/>
        <v>0</v>
      </c>
      <c r="W81" s="38"/>
      <c r="X81" s="38"/>
      <c r="Y81" s="38"/>
    </row>
    <row r="82" spans="1:25" x14ac:dyDescent="0.25">
      <c r="A82" s="38"/>
      <c r="B82" s="38"/>
      <c r="C82" s="38"/>
      <c r="D82" s="38"/>
      <c r="E82" s="38" t="s">
        <v>44</v>
      </c>
      <c r="F82" s="38"/>
      <c r="G82" s="223">
        <f t="shared" ref="G82:I82" si="25">G50</f>
        <v>0</v>
      </c>
      <c r="H82" s="223">
        <f t="shared" si="25"/>
        <v>1</v>
      </c>
      <c r="I82" s="223">
        <f t="shared" si="25"/>
        <v>0</v>
      </c>
      <c r="J82" s="38"/>
      <c r="K82" s="38"/>
      <c r="L82" s="38"/>
      <c r="M82" s="38"/>
      <c r="N82" s="38"/>
      <c r="O82" s="96">
        <f t="shared" si="16"/>
        <v>0</v>
      </c>
      <c r="P82" s="96">
        <f t="shared" si="14"/>
        <v>0</v>
      </c>
      <c r="Q82" s="96">
        <f t="shared" si="14"/>
        <v>0</v>
      </c>
      <c r="R82" s="96">
        <f t="shared" si="14"/>
        <v>0</v>
      </c>
      <c r="S82" s="96">
        <f t="shared" si="14"/>
        <v>0</v>
      </c>
      <c r="T82" s="96">
        <f t="shared" si="14"/>
        <v>0</v>
      </c>
      <c r="U82" s="96">
        <f t="shared" si="14"/>
        <v>0</v>
      </c>
      <c r="V82" s="96">
        <f t="shared" si="14"/>
        <v>0</v>
      </c>
      <c r="W82" s="38"/>
      <c r="X82" s="38"/>
      <c r="Y82" s="38"/>
    </row>
    <row r="83" spans="1:25" x14ac:dyDescent="0.25">
      <c r="A83" s="38"/>
      <c r="B83" s="38"/>
      <c r="C83" s="38"/>
      <c r="D83" s="38"/>
      <c r="E83" s="38"/>
      <c r="F83" s="38"/>
      <c r="G83" s="95"/>
      <c r="H83" s="95"/>
      <c r="I83" s="95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</row>
    <row r="84" spans="1:25" x14ac:dyDescent="0.25">
      <c r="A84" s="38"/>
      <c r="B84" s="38"/>
      <c r="C84" s="38"/>
      <c r="D84" s="38"/>
      <c r="E84" s="38"/>
      <c r="F84" s="38"/>
      <c r="G84" s="95"/>
      <c r="H84" s="95"/>
      <c r="I84" s="95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</row>
    <row r="85" spans="1:25" x14ac:dyDescent="0.25">
      <c r="A85" s="38"/>
      <c r="B85" s="38"/>
      <c r="C85" s="38"/>
      <c r="D85" s="38"/>
      <c r="E85" s="38" t="s">
        <v>59</v>
      </c>
      <c r="F85" s="38"/>
      <c r="G85" s="223">
        <f t="shared" ref="G85:I85" si="26">G53</f>
        <v>0.52873353684785718</v>
      </c>
      <c r="H85" s="223">
        <f t="shared" si="26"/>
        <v>0.36209527896336496</v>
      </c>
      <c r="I85" s="223">
        <f t="shared" si="26"/>
        <v>0.10917118418877772</v>
      </c>
      <c r="J85" s="38"/>
      <c r="K85" s="38"/>
      <c r="L85" s="38"/>
      <c r="M85" s="38"/>
      <c r="N85" s="38"/>
      <c r="O85" s="96">
        <f>($G85*O$64)+($H85*O$65)+($I85*O$66)</f>
        <v>0</v>
      </c>
      <c r="P85" s="96">
        <f t="shared" ref="P85:V92" si="27">($G85*P$64)+($H85*P$65)+($I85*P$66)</f>
        <v>0</v>
      </c>
      <c r="Q85" s="96">
        <f t="shared" si="27"/>
        <v>0</v>
      </c>
      <c r="R85" s="96">
        <f t="shared" si="27"/>
        <v>5.3059797811969229E-3</v>
      </c>
      <c r="S85" s="96">
        <f t="shared" si="27"/>
        <v>8.8449862118488952E-3</v>
      </c>
      <c r="T85" s="96">
        <f t="shared" si="27"/>
        <v>1.2119521977126757E-2</v>
      </c>
      <c r="U85" s="96">
        <f t="shared" si="27"/>
        <v>1.6082746037963294E-2</v>
      </c>
      <c r="V85" s="96">
        <f t="shared" si="27"/>
        <v>2.1263659175082963E-2</v>
      </c>
      <c r="W85" s="38"/>
      <c r="X85" s="38"/>
      <c r="Y85" s="38"/>
    </row>
    <row r="86" spans="1:25" x14ac:dyDescent="0.25">
      <c r="A86" s="38"/>
      <c r="B86" s="38"/>
      <c r="C86" s="38"/>
      <c r="D86" s="38"/>
      <c r="E86" s="38" t="s">
        <v>28</v>
      </c>
      <c r="F86" s="38"/>
      <c r="G86" s="223">
        <f t="shared" ref="G86:I86" si="28">G54</f>
        <v>0.61544591981384722</v>
      </c>
      <c r="H86" s="223">
        <f t="shared" si="28"/>
        <v>0.14315680060120867</v>
      </c>
      <c r="I86" s="223">
        <f t="shared" si="28"/>
        <v>0.24139727958494409</v>
      </c>
      <c r="J86" s="38"/>
      <c r="K86" s="38"/>
      <c r="L86" s="38"/>
      <c r="M86" s="38"/>
      <c r="N86" s="38"/>
      <c r="O86" s="96">
        <f t="shared" ref="O86:O92" si="29">($G86*O$64)+($H86*O$65)+($I86*O$66)</f>
        <v>0</v>
      </c>
      <c r="P86" s="96">
        <f t="shared" si="27"/>
        <v>0</v>
      </c>
      <c r="Q86" s="96">
        <f t="shared" si="27"/>
        <v>0</v>
      </c>
      <c r="R86" s="96">
        <f t="shared" si="27"/>
        <v>6.176161297466694E-3</v>
      </c>
      <c r="S86" s="96">
        <f t="shared" si="27"/>
        <v>1.0295565337779086E-2</v>
      </c>
      <c r="T86" s="96">
        <f t="shared" si="27"/>
        <v>1.4107125482118246E-2</v>
      </c>
      <c r="U86" s="96">
        <f t="shared" si="27"/>
        <v>1.8720318910496858E-2</v>
      </c>
      <c r="V86" s="96">
        <f t="shared" si="27"/>
        <v>2.4750902614643033E-2</v>
      </c>
      <c r="W86" s="38"/>
      <c r="X86" s="38"/>
      <c r="Y86" s="38"/>
    </row>
    <row r="87" spans="1:25" x14ac:dyDescent="0.25">
      <c r="A87" s="38"/>
      <c r="B87" s="38"/>
      <c r="C87" s="38"/>
      <c r="D87" s="38"/>
      <c r="E87" s="38" t="s">
        <v>29</v>
      </c>
      <c r="F87" s="38"/>
      <c r="G87" s="223">
        <f t="shared" ref="G87:I87" si="30">G55</f>
        <v>0.58115507074423267</v>
      </c>
      <c r="H87" s="223">
        <f t="shared" si="30"/>
        <v>0.31547574440359305</v>
      </c>
      <c r="I87" s="223">
        <f t="shared" si="30"/>
        <v>0.10336918485217428</v>
      </c>
      <c r="J87" s="38"/>
      <c r="K87" s="38"/>
      <c r="L87" s="38"/>
      <c r="M87" s="38"/>
      <c r="N87" s="38"/>
      <c r="O87" s="96">
        <f t="shared" si="29"/>
        <v>0</v>
      </c>
      <c r="P87" s="96">
        <f t="shared" si="27"/>
        <v>0</v>
      </c>
      <c r="Q87" s="96">
        <f t="shared" si="27"/>
        <v>0</v>
      </c>
      <c r="R87" s="96">
        <f t="shared" si="27"/>
        <v>5.832043629183048E-3</v>
      </c>
      <c r="S87" s="96">
        <f t="shared" si="27"/>
        <v>9.7219265082440359E-3</v>
      </c>
      <c r="T87" s="96">
        <f t="shared" si="27"/>
        <v>1.3321117654070987E-2</v>
      </c>
      <c r="U87" s="96">
        <f t="shared" si="27"/>
        <v>1.7677277418745536E-2</v>
      </c>
      <c r="V87" s="96">
        <f t="shared" si="27"/>
        <v>2.3371854612907694E-2</v>
      </c>
      <c r="W87" s="38"/>
      <c r="X87" s="38"/>
      <c r="Y87" s="38"/>
    </row>
    <row r="88" spans="1:25" x14ac:dyDescent="0.25">
      <c r="A88" s="38"/>
      <c r="B88" s="38"/>
      <c r="C88" s="38"/>
      <c r="D88" s="38"/>
      <c r="E88" s="130" t="s">
        <v>38</v>
      </c>
      <c r="F88" s="38"/>
      <c r="G88" s="223">
        <f t="shared" ref="G88:I88" si="31">G56</f>
        <v>0.5689545798112704</v>
      </c>
      <c r="H88" s="223">
        <f t="shared" si="31"/>
        <v>0.30826790085248651</v>
      </c>
      <c r="I88" s="223">
        <f t="shared" si="31"/>
        <v>0.12277751933624309</v>
      </c>
      <c r="J88" s="38"/>
      <c r="K88" s="38"/>
      <c r="L88" s="38"/>
      <c r="M88" s="38"/>
      <c r="N88" s="38"/>
      <c r="O88" s="96">
        <f t="shared" si="29"/>
        <v>0</v>
      </c>
      <c r="P88" s="96">
        <f t="shared" si="27"/>
        <v>0</v>
      </c>
      <c r="Q88" s="96">
        <f t="shared" si="27"/>
        <v>0</v>
      </c>
      <c r="R88" s="96">
        <f t="shared" si="27"/>
        <v>5.7096085012792886E-3</v>
      </c>
      <c r="S88" s="96">
        <f t="shared" si="27"/>
        <v>9.5178290440975713E-3</v>
      </c>
      <c r="T88" s="96">
        <f t="shared" si="27"/>
        <v>1.3041460496563462E-2</v>
      </c>
      <c r="U88" s="96">
        <f t="shared" si="27"/>
        <v>1.7306169131605112E-2</v>
      </c>
      <c r="V88" s="96">
        <f t="shared" si="27"/>
        <v>2.2881197102295029E-2</v>
      </c>
      <c r="W88" s="38"/>
      <c r="X88" s="38"/>
      <c r="Y88" s="38"/>
    </row>
    <row r="89" spans="1:25" x14ac:dyDescent="0.25">
      <c r="A89" s="38"/>
      <c r="B89" s="38"/>
      <c r="C89" s="38"/>
      <c r="D89" s="38"/>
      <c r="E89" s="38" t="s">
        <v>30</v>
      </c>
      <c r="F89" s="38"/>
      <c r="G89" s="223">
        <f t="shared" ref="G89:I89" si="32">G57</f>
        <v>0.56056936204408869</v>
      </c>
      <c r="H89" s="223">
        <f t="shared" si="32"/>
        <v>0.22835894441058724</v>
      </c>
      <c r="I89" s="223">
        <f t="shared" si="32"/>
        <v>0.21107169354532415</v>
      </c>
      <c r="J89" s="38"/>
      <c r="K89" s="38"/>
      <c r="L89" s="38"/>
      <c r="M89" s="38"/>
      <c r="N89" s="38"/>
      <c r="O89" s="96">
        <f t="shared" si="29"/>
        <v>0</v>
      </c>
      <c r="P89" s="96">
        <f t="shared" si="27"/>
        <v>0</v>
      </c>
      <c r="Q89" s="96">
        <f t="shared" si="27"/>
        <v>0</v>
      </c>
      <c r="R89" s="96">
        <f t="shared" si="27"/>
        <v>5.6254606407163945E-3</v>
      </c>
      <c r="S89" s="96">
        <f t="shared" si="27"/>
        <v>9.3775558623050304E-3</v>
      </c>
      <c r="T89" s="96">
        <f t="shared" si="27"/>
        <v>1.2849256250133006E-2</v>
      </c>
      <c r="U89" s="96">
        <f t="shared" si="27"/>
        <v>1.7051111870386961E-2</v>
      </c>
      <c r="V89" s="96">
        <f t="shared" si="27"/>
        <v>2.2543975420135105E-2</v>
      </c>
      <c r="W89" s="38"/>
      <c r="X89" s="38"/>
      <c r="Y89" s="38"/>
    </row>
    <row r="90" spans="1:25" x14ac:dyDescent="0.25">
      <c r="A90" s="38"/>
      <c r="B90" s="38"/>
      <c r="C90" s="38"/>
      <c r="D90" s="38"/>
      <c r="E90" s="38" t="s">
        <v>31</v>
      </c>
      <c r="F90" s="38"/>
      <c r="G90" s="223">
        <f t="shared" ref="G90:I90" si="33">G58</f>
        <v>5.7938258110033815E-3</v>
      </c>
      <c r="H90" s="223">
        <f t="shared" si="33"/>
        <v>0.60671107357143872</v>
      </c>
      <c r="I90" s="223">
        <f t="shared" si="33"/>
        <v>0.38749510061755782</v>
      </c>
      <c r="J90" s="38"/>
      <c r="K90" s="38"/>
      <c r="L90" s="38"/>
      <c r="M90" s="38"/>
      <c r="N90" s="38"/>
      <c r="O90" s="96">
        <f t="shared" si="29"/>
        <v>0</v>
      </c>
      <c r="P90" s="96">
        <f t="shared" si="27"/>
        <v>0</v>
      </c>
      <c r="Q90" s="96">
        <f t="shared" si="27"/>
        <v>0</v>
      </c>
      <c r="R90" s="96">
        <f t="shared" si="27"/>
        <v>5.8142562305078029E-5</v>
      </c>
      <c r="S90" s="96">
        <f t="shared" si="27"/>
        <v>9.6922751898231209E-5</v>
      </c>
      <c r="T90" s="96">
        <f t="shared" si="27"/>
        <v>1.3280489009023281E-4</v>
      </c>
      <c r="U90" s="96">
        <f t="shared" si="27"/>
        <v>1.7623362736186109E-4</v>
      </c>
      <c r="V90" s="96">
        <f t="shared" si="27"/>
        <v>2.330057179641788E-4</v>
      </c>
      <c r="W90" s="38"/>
      <c r="X90" s="38"/>
      <c r="Y90" s="38"/>
    </row>
    <row r="91" spans="1:25" x14ac:dyDescent="0.25">
      <c r="A91" s="38"/>
      <c r="B91" s="38"/>
      <c r="C91" s="38"/>
      <c r="D91" s="38"/>
      <c r="E91" s="38" t="s">
        <v>60</v>
      </c>
      <c r="F91" s="38"/>
      <c r="G91" s="223">
        <f t="shared" ref="G91:I91" si="34">G59</f>
        <v>0.58115507074423267</v>
      </c>
      <c r="H91" s="223">
        <f t="shared" si="34"/>
        <v>0.31547574440359305</v>
      </c>
      <c r="I91" s="223">
        <f t="shared" si="34"/>
        <v>0.10336918485217428</v>
      </c>
      <c r="J91" s="38"/>
      <c r="K91" s="38"/>
      <c r="L91" s="38"/>
      <c r="M91" s="38"/>
      <c r="N91" s="38"/>
      <c r="O91" s="96">
        <f t="shared" si="29"/>
        <v>0</v>
      </c>
      <c r="P91" s="96">
        <f t="shared" si="27"/>
        <v>0</v>
      </c>
      <c r="Q91" s="96">
        <f t="shared" si="27"/>
        <v>0</v>
      </c>
      <c r="R91" s="96">
        <f t="shared" si="27"/>
        <v>5.832043629183048E-3</v>
      </c>
      <c r="S91" s="96">
        <f t="shared" si="27"/>
        <v>9.7219265082440359E-3</v>
      </c>
      <c r="T91" s="96">
        <f t="shared" si="27"/>
        <v>1.3321117654070987E-2</v>
      </c>
      <c r="U91" s="96">
        <f t="shared" si="27"/>
        <v>1.7677277418745536E-2</v>
      </c>
      <c r="V91" s="96">
        <f t="shared" si="27"/>
        <v>2.3371854612907694E-2</v>
      </c>
      <c r="W91" s="38"/>
      <c r="X91" s="38"/>
      <c r="Y91" s="38"/>
    </row>
    <row r="92" spans="1:25" x14ac:dyDescent="0.25">
      <c r="A92" s="38"/>
      <c r="B92" s="38"/>
      <c r="C92" s="38"/>
      <c r="D92" s="38"/>
      <c r="E92" s="38" t="s">
        <v>44</v>
      </c>
      <c r="F92" s="38"/>
      <c r="G92" s="223">
        <f t="shared" ref="G92:I92" si="35">G60</f>
        <v>0</v>
      </c>
      <c r="H92" s="223">
        <f t="shared" si="35"/>
        <v>1</v>
      </c>
      <c r="I92" s="223">
        <f t="shared" si="35"/>
        <v>0</v>
      </c>
      <c r="J92" s="38"/>
      <c r="K92" s="38"/>
      <c r="L92" s="38"/>
      <c r="M92" s="38"/>
      <c r="N92" s="38"/>
      <c r="O92" s="96">
        <f t="shared" si="29"/>
        <v>0</v>
      </c>
      <c r="P92" s="96">
        <f t="shared" si="27"/>
        <v>0</v>
      </c>
      <c r="Q92" s="96">
        <f t="shared" si="27"/>
        <v>0</v>
      </c>
      <c r="R92" s="96">
        <f t="shared" si="27"/>
        <v>0</v>
      </c>
      <c r="S92" s="96">
        <f t="shared" si="27"/>
        <v>0</v>
      </c>
      <c r="T92" s="96">
        <f t="shared" si="27"/>
        <v>0</v>
      </c>
      <c r="U92" s="96">
        <f t="shared" si="27"/>
        <v>0</v>
      </c>
      <c r="V92" s="96">
        <f t="shared" si="27"/>
        <v>0</v>
      </c>
      <c r="W92" s="38"/>
      <c r="X92" s="38"/>
      <c r="Y92" s="38"/>
    </row>
    <row r="93" spans="1:25" x14ac:dyDescent="0.25">
      <c r="A93" s="38"/>
      <c r="B93" s="38"/>
      <c r="C93" s="38"/>
      <c r="D93" s="38"/>
      <c r="E93" s="38"/>
      <c r="F93" s="38"/>
      <c r="G93" s="95"/>
      <c r="H93" s="95"/>
      <c r="I93" s="95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 s="38" customFormat="1" x14ac:dyDescent="0.25"/>
    <row r="95" spans="1:25" s="20" customFormat="1" ht="13.5" x14ac:dyDescent="0.3">
      <c r="A95" s="21" t="s">
        <v>4</v>
      </c>
      <c r="B95" s="21"/>
      <c r="C95" s="14"/>
      <c r="D95" s="23"/>
      <c r="E95" s="24"/>
      <c r="F95" s="24"/>
      <c r="G95" s="24"/>
      <c r="H95" s="25"/>
      <c r="I95" s="19"/>
      <c r="J95" s="19"/>
      <c r="K95" s="24"/>
      <c r="L95" s="24"/>
    </row>
    <row r="96" spans="1:25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1:25" hidden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1:25" hidden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1:25" hidden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1:25" hidden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1:25" hidden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1:25" hidden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1:25" hidden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1:25" hidden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1:25" hidden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1:25" hidden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1:25" hidden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1:25" hidden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1:25" hidden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1:25" hidden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1:25" hidden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1:25" hidden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1:25" hidden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1:25" hidden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1:25" hidden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1:25" hidden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1:25" hidden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1:25" hidden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1:25" hidden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1:25" hidden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1:25" hidden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1:25" hidden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1:25" hidden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1:25" hidden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1:25" hidden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N244"/>
  <sheetViews>
    <sheetView zoomScale="85" zoomScaleNormal="85" workbookViewId="0">
      <selection activeCell="I8" sqref="I8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11.61328125" customWidth="1"/>
    <col min="6" max="6" width="3.4609375" customWidth="1"/>
    <col min="7" max="7" width="27.84375" customWidth="1"/>
    <col min="8" max="8" width="10.23046875" customWidth="1"/>
    <col min="9" max="9" width="27.3828125" bestFit="1" customWidth="1"/>
    <col min="10" max="10" width="10.3828125" customWidth="1"/>
    <col min="11" max="11" width="27.3828125" bestFit="1" customWidth="1"/>
    <col min="12" max="12" width="10.3828125" customWidth="1"/>
    <col min="13" max="13" width="27.3828125" bestFit="1" customWidth="1"/>
    <col min="14" max="14" width="10.3828125" customWidth="1"/>
    <col min="15" max="16384" width="9" hidden="1"/>
  </cols>
  <sheetData>
    <row r="1" spans="1:14" s="20" customFormat="1" x14ac:dyDescent="0.3">
      <c r="A1" s="13" t="str">
        <f>Control!$G$9</f>
        <v>UE Consolidated Capex</v>
      </c>
      <c r="B1" s="13"/>
      <c r="C1" s="14"/>
      <c r="D1" s="15"/>
      <c r="E1" s="16"/>
      <c r="F1" s="16"/>
      <c r="G1" s="17"/>
      <c r="H1" s="18"/>
      <c r="I1" s="19"/>
      <c r="J1" s="19"/>
      <c r="K1" s="16"/>
      <c r="L1" s="19"/>
      <c r="M1" s="16"/>
      <c r="N1" s="19"/>
    </row>
    <row r="2" spans="1:14" s="20" customFormat="1" x14ac:dyDescent="0.3">
      <c r="A2" s="21" t="str">
        <f ca="1" xml:space="preserve"> "Sheet: " &amp; RIGHT(CELL("filename", $A$1), LEN(CELL("filename", $A$1)) - SEARCH("]", CELL("filename", $A$1)))</f>
        <v>Sheet: Mapping</v>
      </c>
      <c r="B2" s="21"/>
      <c r="C2" s="14"/>
      <c r="D2" s="15"/>
      <c r="E2" s="16"/>
      <c r="F2" s="16"/>
      <c r="G2" s="16"/>
      <c r="H2" s="22"/>
      <c r="I2" s="19"/>
      <c r="J2" s="19"/>
      <c r="K2" s="16"/>
      <c r="L2" s="19"/>
      <c r="M2" s="16"/>
      <c r="N2" s="19"/>
    </row>
    <row r="3" spans="1:14" s="20" customFormat="1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9"/>
      <c r="K3" s="16"/>
      <c r="L3" s="19"/>
      <c r="M3" s="16"/>
      <c r="N3" s="19"/>
    </row>
    <row r="4" spans="1:14" s="20" customFormat="1" x14ac:dyDescent="0.3">
      <c r="A4" s="21"/>
      <c r="B4" s="21"/>
      <c r="C4" s="14"/>
      <c r="D4" s="15"/>
      <c r="E4" s="16"/>
      <c r="F4" s="16"/>
      <c r="G4" s="16"/>
      <c r="H4" s="22"/>
      <c r="I4" s="19"/>
      <c r="J4" s="19"/>
      <c r="K4" s="16"/>
      <c r="L4" s="19"/>
      <c r="M4" s="16"/>
      <c r="N4" s="19"/>
    </row>
    <row r="5" spans="1:14" s="20" customForma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16"/>
      <c r="L5" s="21"/>
      <c r="M5" s="16"/>
      <c r="N5" s="21"/>
    </row>
    <row r="6" spans="1:14" x14ac:dyDescent="0.3">
      <c r="A6" s="1"/>
      <c r="B6" s="1"/>
      <c r="C6" s="2"/>
      <c r="D6" s="3"/>
      <c r="E6" s="4"/>
      <c r="F6" s="4"/>
      <c r="G6" s="4"/>
      <c r="H6" s="5"/>
      <c r="I6" s="6"/>
      <c r="J6" s="6"/>
      <c r="K6" s="4"/>
      <c r="L6" s="6"/>
      <c r="M6" s="4"/>
      <c r="N6" s="6"/>
    </row>
    <row r="7" spans="1:14" s="20" customFormat="1" x14ac:dyDescent="0.3">
      <c r="A7" s="21" t="s">
        <v>5</v>
      </c>
      <c r="B7" s="21"/>
      <c r="C7" s="14"/>
      <c r="D7" s="23"/>
      <c r="E7" s="24"/>
      <c r="F7" s="24"/>
      <c r="G7" s="24"/>
      <c r="H7" s="25"/>
      <c r="I7" s="19"/>
      <c r="J7" s="19"/>
      <c r="K7" s="24"/>
      <c r="L7" s="19"/>
      <c r="M7" s="24"/>
      <c r="N7" s="19"/>
    </row>
    <row r="8" spans="1:14" x14ac:dyDescent="0.3">
      <c r="A8" s="1"/>
      <c r="B8" s="1"/>
      <c r="C8" s="2"/>
      <c r="D8" s="3"/>
      <c r="E8" s="4"/>
      <c r="F8" s="4"/>
      <c r="G8" s="4"/>
      <c r="H8" s="5"/>
      <c r="I8" s="6"/>
      <c r="J8" s="6"/>
      <c r="K8" s="4"/>
      <c r="L8" s="6"/>
      <c r="M8" s="4"/>
      <c r="N8" s="6"/>
    </row>
    <row r="9" spans="1:14" x14ac:dyDescent="0.3">
      <c r="A9" s="1"/>
      <c r="B9" s="1"/>
      <c r="C9" s="2"/>
      <c r="D9" s="3"/>
      <c r="E9" s="8" t="s">
        <v>95</v>
      </c>
      <c r="F9" s="4"/>
      <c r="G9" s="4"/>
      <c r="H9" s="5"/>
      <c r="I9" s="6"/>
      <c r="J9" s="6"/>
      <c r="K9" s="4"/>
      <c r="L9" s="6"/>
      <c r="M9" s="4"/>
      <c r="N9" s="6"/>
    </row>
    <row r="10" spans="1:14" x14ac:dyDescent="0.3">
      <c r="A10" s="1"/>
      <c r="B10" s="1"/>
      <c r="C10" s="2"/>
      <c r="D10" s="3"/>
      <c r="E10" s="4"/>
      <c r="F10" s="4"/>
      <c r="G10" s="4"/>
      <c r="H10" s="5"/>
      <c r="I10" s="6"/>
      <c r="J10" s="6"/>
      <c r="K10" s="4"/>
      <c r="L10" s="6"/>
      <c r="M10" s="4"/>
      <c r="N10" s="6"/>
    </row>
    <row r="11" spans="1:14" x14ac:dyDescent="0.3">
      <c r="A11" s="1"/>
      <c r="B11" s="1"/>
      <c r="C11" s="2"/>
      <c r="D11" s="10"/>
      <c r="E11" s="11" t="s">
        <v>96</v>
      </c>
      <c r="F11" s="4"/>
      <c r="G11" s="26" t="s">
        <v>28</v>
      </c>
      <c r="H11" s="5"/>
      <c r="I11" s="26" t="s">
        <v>6</v>
      </c>
      <c r="J11" s="6"/>
      <c r="K11" s="26" t="s">
        <v>6</v>
      </c>
      <c r="L11" s="6"/>
      <c r="M11" s="26" t="s">
        <v>515</v>
      </c>
      <c r="N11" s="6"/>
    </row>
    <row r="12" spans="1:14" x14ac:dyDescent="0.3">
      <c r="A12" s="1"/>
      <c r="B12" s="1"/>
      <c r="C12" s="2"/>
      <c r="D12" s="10"/>
      <c r="E12" s="11" t="s">
        <v>546</v>
      </c>
      <c r="F12" s="4"/>
      <c r="G12" s="26" t="s">
        <v>28</v>
      </c>
      <c r="H12" s="5"/>
      <c r="I12" s="26" t="s">
        <v>6</v>
      </c>
      <c r="J12" s="6"/>
      <c r="K12" s="26" t="s">
        <v>6</v>
      </c>
      <c r="L12" s="6"/>
      <c r="M12" s="26" t="s">
        <v>515</v>
      </c>
      <c r="N12" s="6"/>
    </row>
    <row r="13" spans="1:14" x14ac:dyDescent="0.3">
      <c r="A13" s="1"/>
      <c r="B13" s="1"/>
      <c r="C13" s="2"/>
      <c r="D13" s="10"/>
      <c r="E13" s="11" t="s">
        <v>547</v>
      </c>
      <c r="F13" s="4"/>
      <c r="G13" s="26" t="s">
        <v>28</v>
      </c>
      <c r="H13" s="5"/>
      <c r="I13" s="26" t="s">
        <v>6</v>
      </c>
      <c r="J13" s="6"/>
      <c r="K13" s="26" t="s">
        <v>6</v>
      </c>
      <c r="L13" s="6"/>
      <c r="M13" s="26" t="s">
        <v>515</v>
      </c>
      <c r="N13" s="6"/>
    </row>
    <row r="14" spans="1:14" x14ac:dyDescent="0.3">
      <c r="A14" s="1"/>
      <c r="B14" s="1"/>
      <c r="C14" s="2"/>
      <c r="D14" s="10"/>
      <c r="E14" s="11" t="s">
        <v>548</v>
      </c>
      <c r="F14" s="4"/>
      <c r="G14" s="26" t="s">
        <v>28</v>
      </c>
      <c r="H14" s="5"/>
      <c r="I14" s="26" t="s">
        <v>6</v>
      </c>
      <c r="J14" s="6"/>
      <c r="K14" s="26" t="s">
        <v>6</v>
      </c>
      <c r="L14" s="6"/>
      <c r="M14" s="26" t="s">
        <v>515</v>
      </c>
      <c r="N14" s="6"/>
    </row>
    <row r="15" spans="1:14" x14ac:dyDescent="0.3">
      <c r="A15" s="1"/>
      <c r="B15" s="1"/>
      <c r="C15" s="2"/>
      <c r="D15" s="10"/>
      <c r="E15" s="11" t="s">
        <v>555</v>
      </c>
      <c r="F15" s="4"/>
      <c r="G15" s="26" t="s">
        <v>28</v>
      </c>
      <c r="H15" s="5"/>
      <c r="I15" s="26" t="s">
        <v>6</v>
      </c>
      <c r="J15" s="6"/>
      <c r="K15" s="26" t="s">
        <v>6</v>
      </c>
      <c r="L15" s="6"/>
      <c r="M15" s="26" t="s">
        <v>515</v>
      </c>
      <c r="N15" s="6"/>
    </row>
    <row r="16" spans="1:14" x14ac:dyDescent="0.3">
      <c r="A16" s="1"/>
      <c r="B16" s="1"/>
      <c r="C16" s="2"/>
      <c r="D16" s="10"/>
      <c r="E16" s="11" t="s">
        <v>549</v>
      </c>
      <c r="F16" s="4"/>
      <c r="G16" s="26" t="s">
        <v>28</v>
      </c>
      <c r="H16" s="5"/>
      <c r="I16" s="26" t="s">
        <v>6</v>
      </c>
      <c r="J16" s="6"/>
      <c r="K16" s="26" t="s">
        <v>6</v>
      </c>
      <c r="L16" s="6"/>
      <c r="M16" s="26" t="s">
        <v>515</v>
      </c>
      <c r="N16" s="6"/>
    </row>
    <row r="17" spans="1:14" x14ac:dyDescent="0.3">
      <c r="A17" s="1"/>
      <c r="B17" s="1"/>
      <c r="C17" s="2"/>
      <c r="D17" s="10"/>
      <c r="E17" s="11" t="s">
        <v>556</v>
      </c>
      <c r="F17" s="4"/>
      <c r="G17" s="26" t="s">
        <v>28</v>
      </c>
      <c r="H17" s="5"/>
      <c r="I17" s="26" t="s">
        <v>6</v>
      </c>
      <c r="J17" s="6"/>
      <c r="K17" s="26" t="s">
        <v>6</v>
      </c>
      <c r="L17" s="6"/>
      <c r="M17" s="26" t="s">
        <v>515</v>
      </c>
      <c r="N17" s="6"/>
    </row>
    <row r="18" spans="1:14" x14ac:dyDescent="0.3">
      <c r="A18" s="1"/>
      <c r="B18" s="1"/>
      <c r="C18" s="2"/>
      <c r="D18" s="10"/>
      <c r="E18" s="11" t="s">
        <v>550</v>
      </c>
      <c r="F18" s="4"/>
      <c r="G18" s="26" t="s">
        <v>28</v>
      </c>
      <c r="H18" s="5"/>
      <c r="I18" s="26" t="s">
        <v>6</v>
      </c>
      <c r="J18" s="6"/>
      <c r="K18" s="26" t="s">
        <v>6</v>
      </c>
      <c r="L18" s="6"/>
      <c r="M18" s="26" t="s">
        <v>515</v>
      </c>
      <c r="N18" s="6"/>
    </row>
    <row r="19" spans="1:14" x14ac:dyDescent="0.3">
      <c r="A19" s="1"/>
      <c r="B19" s="1"/>
      <c r="C19" s="2"/>
      <c r="D19" s="10"/>
      <c r="E19" s="11" t="s">
        <v>557</v>
      </c>
      <c r="F19" s="4"/>
      <c r="G19" s="26" t="s">
        <v>28</v>
      </c>
      <c r="H19" s="5"/>
      <c r="I19" s="26" t="s">
        <v>6</v>
      </c>
      <c r="J19" s="6"/>
      <c r="K19" s="26" t="s">
        <v>6</v>
      </c>
      <c r="L19" s="6"/>
      <c r="M19" s="26" t="s">
        <v>515</v>
      </c>
      <c r="N19" s="6"/>
    </row>
    <row r="20" spans="1:14" x14ac:dyDescent="0.3">
      <c r="A20" s="1"/>
      <c r="B20" s="1"/>
      <c r="C20" s="2"/>
      <c r="D20" s="10"/>
      <c r="E20" s="11" t="s">
        <v>551</v>
      </c>
      <c r="F20" s="4"/>
      <c r="G20" s="26" t="s">
        <v>28</v>
      </c>
      <c r="H20" s="5"/>
      <c r="I20" s="26" t="s">
        <v>6</v>
      </c>
      <c r="J20" s="6"/>
      <c r="K20" s="26" t="s">
        <v>6</v>
      </c>
      <c r="L20" s="6"/>
      <c r="M20" s="26" t="s">
        <v>515</v>
      </c>
      <c r="N20" s="6"/>
    </row>
    <row r="21" spans="1:14" x14ac:dyDescent="0.3">
      <c r="A21" s="1"/>
      <c r="B21" s="1"/>
      <c r="C21" s="2"/>
      <c r="D21" s="10"/>
      <c r="E21" s="11" t="s">
        <v>552</v>
      </c>
      <c r="F21" s="4"/>
      <c r="G21" s="26" t="s">
        <v>28</v>
      </c>
      <c r="H21" s="5"/>
      <c r="I21" s="26" t="s">
        <v>6</v>
      </c>
      <c r="J21" s="6"/>
      <c r="K21" s="26" t="s">
        <v>6</v>
      </c>
      <c r="L21" s="6"/>
      <c r="M21" s="26" t="s">
        <v>515</v>
      </c>
      <c r="N21" s="6"/>
    </row>
    <row r="22" spans="1:14" x14ac:dyDescent="0.3">
      <c r="A22" s="1"/>
      <c r="B22" s="1"/>
      <c r="C22" s="2"/>
      <c r="D22" s="10"/>
      <c r="E22" s="11" t="s">
        <v>97</v>
      </c>
      <c r="F22" s="4"/>
      <c r="G22" s="26" t="s">
        <v>28</v>
      </c>
      <c r="H22" s="5"/>
      <c r="I22" s="26" t="s">
        <v>6</v>
      </c>
      <c r="J22" s="6"/>
      <c r="K22" s="26" t="s">
        <v>6</v>
      </c>
      <c r="L22" s="6"/>
      <c r="M22" s="26" t="s">
        <v>543</v>
      </c>
      <c r="N22" s="106">
        <v>0.74</v>
      </c>
    </row>
    <row r="23" spans="1:14" x14ac:dyDescent="0.3">
      <c r="A23" s="1"/>
      <c r="B23" s="1"/>
      <c r="C23" s="2"/>
      <c r="D23" s="10"/>
      <c r="E23" s="11" t="s">
        <v>524</v>
      </c>
      <c r="F23" s="4"/>
      <c r="G23" s="26" t="s">
        <v>28</v>
      </c>
      <c r="H23" s="5"/>
      <c r="I23" s="26" t="s">
        <v>6</v>
      </c>
      <c r="J23" s="6"/>
      <c r="K23" s="26" t="s">
        <v>6</v>
      </c>
      <c r="L23" s="6"/>
      <c r="M23" s="26" t="s">
        <v>543</v>
      </c>
      <c r="N23" s="106">
        <v>0.74</v>
      </c>
    </row>
    <row r="24" spans="1:14" x14ac:dyDescent="0.3">
      <c r="A24" s="1"/>
      <c r="B24" s="1"/>
      <c r="C24" s="2"/>
      <c r="D24" s="10"/>
      <c r="E24" s="11" t="s">
        <v>525</v>
      </c>
      <c r="F24" s="4"/>
      <c r="G24" s="26" t="s">
        <v>28</v>
      </c>
      <c r="H24" s="5"/>
      <c r="I24" s="26" t="s">
        <v>6</v>
      </c>
      <c r="J24" s="6"/>
      <c r="K24" s="26" t="s">
        <v>6</v>
      </c>
      <c r="L24" s="6"/>
      <c r="M24" s="26" t="s">
        <v>517</v>
      </c>
      <c r="N24" s="106">
        <v>0.26</v>
      </c>
    </row>
    <row r="25" spans="1:14" x14ac:dyDescent="0.3">
      <c r="A25" s="1"/>
      <c r="B25" s="1"/>
      <c r="C25" s="2"/>
      <c r="D25" s="10"/>
      <c r="E25" s="11" t="s">
        <v>526</v>
      </c>
      <c r="F25" s="4"/>
      <c r="G25" s="26" t="s">
        <v>28</v>
      </c>
      <c r="H25" s="5"/>
      <c r="I25" s="26" t="s">
        <v>6</v>
      </c>
      <c r="J25" s="6"/>
      <c r="K25" s="26" t="s">
        <v>6</v>
      </c>
      <c r="L25" s="6"/>
      <c r="M25" s="26" t="s">
        <v>543</v>
      </c>
      <c r="N25" s="106">
        <v>0.74</v>
      </c>
    </row>
    <row r="26" spans="1:14" x14ac:dyDescent="0.3">
      <c r="A26" s="1"/>
      <c r="B26" s="1"/>
      <c r="C26" s="2"/>
      <c r="D26" s="10"/>
      <c r="E26" s="11" t="s">
        <v>527</v>
      </c>
      <c r="F26" s="4"/>
      <c r="G26" s="26" t="s">
        <v>28</v>
      </c>
      <c r="H26" s="5"/>
      <c r="I26" s="26" t="s">
        <v>6</v>
      </c>
      <c r="J26" s="6"/>
      <c r="K26" s="26" t="s">
        <v>6</v>
      </c>
      <c r="L26" s="6"/>
      <c r="M26" s="26" t="s">
        <v>517</v>
      </c>
      <c r="N26" s="106">
        <v>0.26</v>
      </c>
    </row>
    <row r="27" spans="1:14" x14ac:dyDescent="0.3">
      <c r="A27" s="1"/>
      <c r="B27" s="1"/>
      <c r="C27" s="2"/>
      <c r="D27" s="10"/>
      <c r="E27" s="11" t="s">
        <v>99</v>
      </c>
      <c r="F27" s="4"/>
      <c r="G27" s="26" t="s">
        <v>28</v>
      </c>
      <c r="H27" s="5"/>
      <c r="I27" s="26" t="s">
        <v>6</v>
      </c>
      <c r="J27" s="6"/>
      <c r="K27" s="26" t="s">
        <v>6</v>
      </c>
      <c r="L27" s="6"/>
      <c r="M27" s="26" t="s">
        <v>516</v>
      </c>
      <c r="N27" s="106"/>
    </row>
    <row r="28" spans="1:14" x14ac:dyDescent="0.3">
      <c r="A28" s="1"/>
      <c r="B28" s="1"/>
      <c r="C28" s="2"/>
      <c r="D28" s="10"/>
      <c r="E28" s="11" t="s">
        <v>100</v>
      </c>
      <c r="F28" s="4"/>
      <c r="G28" s="26" t="s">
        <v>28</v>
      </c>
      <c r="H28" s="5"/>
      <c r="I28" s="26" t="s">
        <v>6</v>
      </c>
      <c r="J28" s="6"/>
      <c r="K28" s="26" t="s">
        <v>6</v>
      </c>
      <c r="L28" s="6"/>
      <c r="M28" s="26" t="s">
        <v>517</v>
      </c>
      <c r="N28" s="106"/>
    </row>
    <row r="29" spans="1:14" x14ac:dyDescent="0.3">
      <c r="A29" s="1"/>
      <c r="B29" s="1"/>
      <c r="C29" s="2"/>
      <c r="D29" s="10"/>
      <c r="E29" s="11" t="s">
        <v>553</v>
      </c>
      <c r="F29" s="4"/>
      <c r="G29" s="26" t="s">
        <v>28</v>
      </c>
      <c r="H29" s="5"/>
      <c r="I29" s="26" t="s">
        <v>6</v>
      </c>
      <c r="J29" s="6"/>
      <c r="K29" s="26" t="s">
        <v>6</v>
      </c>
      <c r="L29" s="6"/>
      <c r="M29" s="26" t="s">
        <v>517</v>
      </c>
      <c r="N29" s="106"/>
    </row>
    <row r="30" spans="1:14" x14ac:dyDescent="0.3">
      <c r="A30" s="1"/>
      <c r="B30" s="1"/>
      <c r="C30" s="2"/>
      <c r="D30" s="10"/>
      <c r="E30" s="11" t="s">
        <v>554</v>
      </c>
      <c r="F30" s="4"/>
      <c r="G30" s="26" t="s">
        <v>28</v>
      </c>
      <c r="H30" s="5"/>
      <c r="I30" s="26" t="s">
        <v>6</v>
      </c>
      <c r="J30" s="6"/>
      <c r="K30" s="26" t="s">
        <v>6</v>
      </c>
      <c r="L30" s="6"/>
      <c r="M30" s="26" t="s">
        <v>517</v>
      </c>
      <c r="N30" s="106"/>
    </row>
    <row r="31" spans="1:14" x14ac:dyDescent="0.3">
      <c r="A31" s="1"/>
      <c r="B31" s="1"/>
      <c r="C31" s="2"/>
      <c r="D31" s="10"/>
      <c r="E31" s="11" t="s">
        <v>528</v>
      </c>
      <c r="F31" s="4"/>
      <c r="G31" s="26" t="s">
        <v>28</v>
      </c>
      <c r="H31" s="5"/>
      <c r="I31" s="26" t="s">
        <v>6</v>
      </c>
      <c r="J31" s="6"/>
      <c r="K31" s="26" t="s">
        <v>6</v>
      </c>
      <c r="L31" s="6"/>
      <c r="M31" s="26" t="s">
        <v>543</v>
      </c>
      <c r="N31" s="106">
        <v>0.74</v>
      </c>
    </row>
    <row r="32" spans="1:14" x14ac:dyDescent="0.3">
      <c r="A32" s="1"/>
      <c r="B32" s="1"/>
      <c r="C32" s="2"/>
      <c r="D32" s="10"/>
      <c r="E32" s="11" t="s">
        <v>529</v>
      </c>
      <c r="F32" s="4"/>
      <c r="G32" s="26" t="s">
        <v>28</v>
      </c>
      <c r="H32" s="5"/>
      <c r="I32" s="26" t="s">
        <v>6</v>
      </c>
      <c r="J32" s="6"/>
      <c r="K32" s="26" t="s">
        <v>6</v>
      </c>
      <c r="L32" s="6"/>
      <c r="M32" s="26" t="s">
        <v>517</v>
      </c>
      <c r="N32" s="106">
        <v>0.26</v>
      </c>
    </row>
    <row r="33" spans="1:14" x14ac:dyDescent="0.3">
      <c r="A33" s="1"/>
      <c r="B33" s="1"/>
      <c r="C33" s="2"/>
      <c r="D33" s="10"/>
      <c r="E33" s="11" t="s">
        <v>102</v>
      </c>
      <c r="F33" s="4"/>
      <c r="G33" s="26" t="s">
        <v>7</v>
      </c>
      <c r="H33" s="5"/>
      <c r="I33" s="26" t="s">
        <v>7</v>
      </c>
      <c r="J33" s="6"/>
      <c r="K33" s="26" t="s">
        <v>7</v>
      </c>
      <c r="L33" s="6"/>
      <c r="M33" s="26" t="s">
        <v>284</v>
      </c>
      <c r="N33" s="107"/>
    </row>
    <row r="34" spans="1:14" x14ac:dyDescent="0.3">
      <c r="A34" s="1"/>
      <c r="B34" s="1"/>
      <c r="C34" s="2"/>
      <c r="D34" s="10"/>
      <c r="E34" s="11" t="s">
        <v>103</v>
      </c>
      <c r="F34" s="4"/>
      <c r="G34" s="26" t="s">
        <v>7</v>
      </c>
      <c r="H34" s="5"/>
      <c r="I34" s="26" t="s">
        <v>7</v>
      </c>
      <c r="J34" s="6"/>
      <c r="K34" s="26" t="s">
        <v>7</v>
      </c>
      <c r="L34" s="6"/>
      <c r="M34" s="26" t="s">
        <v>284</v>
      </c>
      <c r="N34" s="6"/>
    </row>
    <row r="35" spans="1:14" x14ac:dyDescent="0.3">
      <c r="A35" s="1"/>
      <c r="B35" s="1"/>
      <c r="C35" s="2"/>
      <c r="D35" s="10"/>
      <c r="E35" s="11" t="s">
        <v>104</v>
      </c>
      <c r="F35" s="4"/>
      <c r="G35" s="26" t="s">
        <v>7</v>
      </c>
      <c r="H35" s="5"/>
      <c r="I35" s="26" t="s">
        <v>7</v>
      </c>
      <c r="J35" s="6"/>
      <c r="K35" s="26" t="s">
        <v>7</v>
      </c>
      <c r="L35" s="6"/>
      <c r="M35" s="26" t="s">
        <v>284</v>
      </c>
      <c r="N35" s="6"/>
    </row>
    <row r="36" spans="1:14" x14ac:dyDescent="0.3">
      <c r="A36" s="1"/>
      <c r="B36" s="1"/>
      <c r="C36" s="2"/>
      <c r="D36" s="10"/>
      <c r="E36" s="11" t="s">
        <v>105</v>
      </c>
      <c r="F36" s="4"/>
      <c r="G36" s="26" t="s">
        <v>269</v>
      </c>
      <c r="H36" s="5"/>
      <c r="I36" s="26" t="s">
        <v>269</v>
      </c>
      <c r="J36" s="6"/>
      <c r="K36" s="26" t="s">
        <v>269</v>
      </c>
      <c r="L36" s="6"/>
      <c r="M36" s="26" t="s">
        <v>518</v>
      </c>
      <c r="N36" s="6"/>
    </row>
    <row r="37" spans="1:14" x14ac:dyDescent="0.3">
      <c r="A37" s="1"/>
      <c r="B37" s="1"/>
      <c r="C37" s="2"/>
      <c r="D37" s="10"/>
      <c r="E37" s="11" t="s">
        <v>106</v>
      </c>
      <c r="F37" s="4"/>
      <c r="G37" s="26" t="s">
        <v>269</v>
      </c>
      <c r="H37" s="5"/>
      <c r="I37" s="26" t="s">
        <v>269</v>
      </c>
      <c r="J37" s="6"/>
      <c r="K37" s="26" t="s">
        <v>269</v>
      </c>
      <c r="L37" s="6"/>
      <c r="M37" s="26" t="s">
        <v>518</v>
      </c>
      <c r="N37" s="6"/>
    </row>
    <row r="38" spans="1:14" x14ac:dyDescent="0.3">
      <c r="A38" s="1"/>
      <c r="B38" s="1"/>
      <c r="C38" s="2"/>
      <c r="D38" s="10"/>
      <c r="E38" s="11" t="s">
        <v>107</v>
      </c>
      <c r="F38" s="4"/>
      <c r="G38" s="26" t="s">
        <v>7</v>
      </c>
      <c r="H38" s="5"/>
      <c r="I38" s="26" t="s">
        <v>7</v>
      </c>
      <c r="J38" s="6"/>
      <c r="K38" s="26" t="s">
        <v>7</v>
      </c>
      <c r="L38" s="6"/>
      <c r="M38" s="26" t="s">
        <v>284</v>
      </c>
      <c r="N38" s="6"/>
    </row>
    <row r="39" spans="1:14" x14ac:dyDescent="0.3">
      <c r="A39" s="1"/>
      <c r="B39" s="1"/>
      <c r="C39" s="2"/>
      <c r="D39" s="10"/>
      <c r="E39" s="11" t="s">
        <v>108</v>
      </c>
      <c r="F39" s="4"/>
      <c r="G39" s="26" t="s">
        <v>7</v>
      </c>
      <c r="H39" s="5"/>
      <c r="I39" s="26" t="s">
        <v>7</v>
      </c>
      <c r="J39" s="6"/>
      <c r="K39" s="26" t="s">
        <v>7</v>
      </c>
      <c r="L39" s="6"/>
      <c r="M39" s="26" t="s">
        <v>284</v>
      </c>
      <c r="N39" s="6"/>
    </row>
    <row r="40" spans="1:14" x14ac:dyDescent="0.3">
      <c r="A40" s="1"/>
      <c r="B40" s="1"/>
      <c r="C40" s="2"/>
      <c r="D40" s="10"/>
      <c r="E40" s="11" t="s">
        <v>109</v>
      </c>
      <c r="F40" s="4"/>
      <c r="G40" s="26" t="s">
        <v>7</v>
      </c>
      <c r="H40" s="5"/>
      <c r="I40" s="26" t="s">
        <v>7</v>
      </c>
      <c r="J40" s="6"/>
      <c r="K40" s="26" t="s">
        <v>7</v>
      </c>
      <c r="L40" s="6"/>
      <c r="M40" s="26" t="s">
        <v>284</v>
      </c>
      <c r="N40" s="6"/>
    </row>
    <row r="41" spans="1:14" x14ac:dyDescent="0.3">
      <c r="A41" s="1"/>
      <c r="B41" s="1"/>
      <c r="C41" s="2"/>
      <c r="D41" s="10"/>
      <c r="E41" s="11" t="s">
        <v>110</v>
      </c>
      <c r="F41" s="4"/>
      <c r="G41" s="26" t="s">
        <v>7</v>
      </c>
      <c r="H41" s="5"/>
      <c r="I41" s="26" t="s">
        <v>7</v>
      </c>
      <c r="J41" s="6"/>
      <c r="K41" s="26" t="s">
        <v>7</v>
      </c>
      <c r="L41" s="6"/>
      <c r="M41" s="26" t="s">
        <v>284</v>
      </c>
      <c r="N41" s="6"/>
    </row>
    <row r="42" spans="1:14" x14ac:dyDescent="0.3">
      <c r="A42" s="1"/>
      <c r="B42" s="1"/>
      <c r="C42" s="2"/>
      <c r="D42" s="10"/>
      <c r="E42" s="11" t="s">
        <v>111</v>
      </c>
      <c r="F42" s="4"/>
      <c r="G42" s="26" t="s">
        <v>28</v>
      </c>
      <c r="H42" s="5"/>
      <c r="I42" s="26" t="s">
        <v>6</v>
      </c>
      <c r="J42" s="6"/>
      <c r="K42" s="26" t="s">
        <v>6</v>
      </c>
      <c r="L42" s="6"/>
      <c r="M42" s="26" t="s">
        <v>515</v>
      </c>
      <c r="N42" s="6"/>
    </row>
    <row r="43" spans="1:14" x14ac:dyDescent="0.3">
      <c r="A43" s="1"/>
      <c r="B43" s="1"/>
      <c r="C43" s="2"/>
      <c r="D43" s="10"/>
      <c r="E43" s="11" t="s">
        <v>112</v>
      </c>
      <c r="F43" s="4"/>
      <c r="G43" s="26" t="s">
        <v>28</v>
      </c>
      <c r="H43" s="5"/>
      <c r="I43" s="26" t="s">
        <v>6</v>
      </c>
      <c r="J43" s="6"/>
      <c r="K43" s="26" t="s">
        <v>6</v>
      </c>
      <c r="L43" s="6"/>
      <c r="M43" s="26" t="s">
        <v>515</v>
      </c>
      <c r="N43" s="6"/>
    </row>
    <row r="44" spans="1:14" x14ac:dyDescent="0.3">
      <c r="A44" s="1"/>
      <c r="B44" s="1"/>
      <c r="C44" s="2"/>
      <c r="D44" s="10"/>
      <c r="E44" s="11" t="s">
        <v>113</v>
      </c>
      <c r="F44" s="4"/>
      <c r="G44" s="26" t="s">
        <v>28</v>
      </c>
      <c r="H44" s="5"/>
      <c r="I44" s="26" t="s">
        <v>6</v>
      </c>
      <c r="J44" s="6"/>
      <c r="K44" s="26" t="s">
        <v>6</v>
      </c>
      <c r="L44" s="6"/>
      <c r="M44" s="26" t="s">
        <v>515</v>
      </c>
      <c r="N44" s="6"/>
    </row>
    <row r="45" spans="1:14" x14ac:dyDescent="0.3">
      <c r="A45" s="1"/>
      <c r="B45" s="1"/>
      <c r="C45" s="2"/>
      <c r="D45" s="10"/>
      <c r="E45" s="11" t="s">
        <v>114</v>
      </c>
      <c r="F45" s="4"/>
      <c r="G45" s="26" t="s">
        <v>28</v>
      </c>
      <c r="H45" s="5"/>
      <c r="I45" s="26" t="s">
        <v>6</v>
      </c>
      <c r="J45" s="6"/>
      <c r="K45" s="26" t="s">
        <v>6</v>
      </c>
      <c r="L45" s="6"/>
      <c r="M45" s="26" t="s">
        <v>515</v>
      </c>
      <c r="N45" s="6"/>
    </row>
    <row r="46" spans="1:14" x14ac:dyDescent="0.3">
      <c r="A46" s="1"/>
      <c r="B46" s="1"/>
      <c r="C46" s="2"/>
      <c r="D46" s="10"/>
      <c r="E46" s="11" t="s">
        <v>115</v>
      </c>
      <c r="F46" s="4"/>
      <c r="G46" s="26" t="s">
        <v>28</v>
      </c>
      <c r="H46" s="5"/>
      <c r="I46" s="26" t="s">
        <v>6</v>
      </c>
      <c r="J46" s="6"/>
      <c r="K46" s="26" t="s">
        <v>6</v>
      </c>
      <c r="L46" s="6"/>
      <c r="M46" s="26" t="s">
        <v>515</v>
      </c>
      <c r="N46" s="6"/>
    </row>
    <row r="47" spans="1:14" x14ac:dyDescent="0.3">
      <c r="A47" s="1"/>
      <c r="B47" s="1"/>
      <c r="C47" s="2"/>
      <c r="D47" s="10"/>
      <c r="E47" s="11" t="s">
        <v>116</v>
      </c>
      <c r="F47" s="4"/>
      <c r="G47" s="26" t="s">
        <v>28</v>
      </c>
      <c r="H47" s="5"/>
      <c r="I47" s="26" t="s">
        <v>6</v>
      </c>
      <c r="J47" s="6"/>
      <c r="K47" s="26" t="s">
        <v>6</v>
      </c>
      <c r="L47" s="6"/>
      <c r="M47" s="26" t="s">
        <v>515</v>
      </c>
      <c r="N47" s="6"/>
    </row>
    <row r="48" spans="1:14" x14ac:dyDescent="0.3">
      <c r="A48" s="1"/>
      <c r="B48" s="1"/>
      <c r="C48" s="2"/>
      <c r="D48" s="10"/>
      <c r="E48" s="11" t="s">
        <v>509</v>
      </c>
      <c r="F48" s="4"/>
      <c r="G48" s="26" t="s">
        <v>28</v>
      </c>
      <c r="H48" s="5"/>
      <c r="I48" s="26" t="s">
        <v>6</v>
      </c>
      <c r="J48" s="6"/>
      <c r="K48" s="26" t="s">
        <v>6</v>
      </c>
      <c r="L48" s="6"/>
      <c r="M48" s="26" t="s">
        <v>515</v>
      </c>
      <c r="N48" s="6"/>
    </row>
    <row r="49" spans="1:14" x14ac:dyDescent="0.3">
      <c r="A49" s="1"/>
      <c r="B49" s="1"/>
      <c r="C49" s="2"/>
      <c r="D49" s="10"/>
      <c r="E49" s="11" t="s">
        <v>510</v>
      </c>
      <c r="F49" s="4"/>
      <c r="G49" s="26" t="s">
        <v>28</v>
      </c>
      <c r="H49" s="5"/>
      <c r="I49" s="26" t="s">
        <v>6</v>
      </c>
      <c r="J49" s="6"/>
      <c r="K49" s="26" t="s">
        <v>6</v>
      </c>
      <c r="L49" s="6"/>
      <c r="M49" s="26" t="s">
        <v>515</v>
      </c>
      <c r="N49" s="6"/>
    </row>
    <row r="50" spans="1:14" x14ac:dyDescent="0.3">
      <c r="A50" s="1"/>
      <c r="B50" s="1"/>
      <c r="C50" s="2"/>
      <c r="D50" s="10"/>
      <c r="E50" s="11" t="s">
        <v>511</v>
      </c>
      <c r="F50" s="4"/>
      <c r="G50" s="26" t="s">
        <v>28</v>
      </c>
      <c r="H50" s="5"/>
      <c r="I50" s="26" t="s">
        <v>6</v>
      </c>
      <c r="J50" s="6"/>
      <c r="K50" s="26" t="s">
        <v>6</v>
      </c>
      <c r="L50" s="6"/>
      <c r="M50" s="26" t="s">
        <v>517</v>
      </c>
      <c r="N50" s="6"/>
    </row>
    <row r="51" spans="1:14" x14ac:dyDescent="0.3">
      <c r="A51" s="1"/>
      <c r="B51" s="1"/>
      <c r="C51" s="2"/>
      <c r="D51" s="10"/>
      <c r="E51" s="11" t="s">
        <v>117</v>
      </c>
      <c r="F51" s="4"/>
      <c r="G51" s="26" t="s">
        <v>28</v>
      </c>
      <c r="H51" s="5"/>
      <c r="I51" s="26" t="s">
        <v>6</v>
      </c>
      <c r="J51" s="6"/>
      <c r="K51" s="26" t="s">
        <v>6</v>
      </c>
      <c r="L51" s="6"/>
      <c r="M51" s="26" t="s">
        <v>515</v>
      </c>
      <c r="N51" s="6"/>
    </row>
    <row r="52" spans="1:14" x14ac:dyDescent="0.3">
      <c r="A52" s="1"/>
      <c r="B52" s="1"/>
      <c r="C52" s="2"/>
      <c r="D52" s="10"/>
      <c r="E52" s="11" t="s">
        <v>118</v>
      </c>
      <c r="F52" s="4"/>
      <c r="G52" s="26" t="s">
        <v>28</v>
      </c>
      <c r="H52" s="5"/>
      <c r="I52" s="26" t="s">
        <v>6</v>
      </c>
      <c r="J52" s="6"/>
      <c r="K52" s="26" t="s">
        <v>6</v>
      </c>
      <c r="L52" s="6"/>
      <c r="M52" s="26" t="s">
        <v>515</v>
      </c>
      <c r="N52" s="6"/>
    </row>
    <row r="53" spans="1:14" x14ac:dyDescent="0.3">
      <c r="A53" s="1"/>
      <c r="B53" s="1"/>
      <c r="C53" s="2"/>
      <c r="D53" s="10"/>
      <c r="E53" s="11" t="s">
        <v>119</v>
      </c>
      <c r="F53" s="4"/>
      <c r="G53" s="26" t="s">
        <v>28</v>
      </c>
      <c r="H53" s="5"/>
      <c r="I53" s="26" t="s">
        <v>6</v>
      </c>
      <c r="J53" s="6"/>
      <c r="K53" s="26" t="s">
        <v>6</v>
      </c>
      <c r="L53" s="6"/>
      <c r="M53" s="26" t="s">
        <v>515</v>
      </c>
      <c r="N53" s="6"/>
    </row>
    <row r="54" spans="1:14" x14ac:dyDescent="0.3">
      <c r="A54" s="1"/>
      <c r="B54" s="1"/>
      <c r="C54" s="2"/>
      <c r="D54" s="10"/>
      <c r="E54" s="11" t="s">
        <v>120</v>
      </c>
      <c r="F54" s="4"/>
      <c r="G54" s="26" t="s">
        <v>59</v>
      </c>
      <c r="H54" s="5"/>
      <c r="I54" s="26" t="s">
        <v>6</v>
      </c>
      <c r="J54" s="6"/>
      <c r="K54" s="26" t="s">
        <v>6</v>
      </c>
      <c r="L54" s="6"/>
      <c r="M54" s="26" t="s">
        <v>519</v>
      </c>
      <c r="N54" s="6"/>
    </row>
    <row r="55" spans="1:14" x14ac:dyDescent="0.3">
      <c r="A55" s="1"/>
      <c r="B55" s="1"/>
      <c r="C55" s="2"/>
      <c r="D55" s="10"/>
      <c r="E55" s="11" t="s">
        <v>121</v>
      </c>
      <c r="F55" s="4"/>
      <c r="G55" s="26" t="s">
        <v>59</v>
      </c>
      <c r="H55" s="5"/>
      <c r="I55" s="26" t="s">
        <v>6</v>
      </c>
      <c r="J55" s="6"/>
      <c r="K55" s="26" t="s">
        <v>6</v>
      </c>
      <c r="L55" s="6"/>
      <c r="M55" s="26" t="s">
        <v>539</v>
      </c>
      <c r="N55" s="6"/>
    </row>
    <row r="56" spans="1:14" x14ac:dyDescent="0.3">
      <c r="A56" s="1"/>
      <c r="B56" s="1"/>
      <c r="C56" s="2"/>
      <c r="D56" s="10"/>
      <c r="E56" s="11" t="s">
        <v>122</v>
      </c>
      <c r="F56" s="4"/>
      <c r="G56" s="26" t="s">
        <v>59</v>
      </c>
      <c r="H56" s="5"/>
      <c r="I56" s="26" t="s">
        <v>6</v>
      </c>
      <c r="J56" s="6"/>
      <c r="K56" s="26" t="s">
        <v>6</v>
      </c>
      <c r="L56" s="6"/>
      <c r="M56" s="26" t="s">
        <v>519</v>
      </c>
      <c r="N56" s="6"/>
    </row>
    <row r="57" spans="1:14" x14ac:dyDescent="0.3">
      <c r="A57" s="1"/>
      <c r="B57" s="1"/>
      <c r="C57" s="2"/>
      <c r="D57" s="10"/>
      <c r="E57" s="11" t="s">
        <v>123</v>
      </c>
      <c r="F57" s="4"/>
      <c r="G57" s="26" t="s">
        <v>59</v>
      </c>
      <c r="H57" s="5"/>
      <c r="I57" s="26" t="s">
        <v>6</v>
      </c>
      <c r="J57" s="6"/>
      <c r="K57" s="26" t="s">
        <v>6</v>
      </c>
      <c r="L57" s="6"/>
      <c r="M57" s="26" t="s">
        <v>530</v>
      </c>
      <c r="N57" s="6"/>
    </row>
    <row r="58" spans="1:14" x14ac:dyDescent="0.3">
      <c r="A58" s="1"/>
      <c r="B58" s="1"/>
      <c r="C58" s="2"/>
      <c r="D58" s="10"/>
      <c r="E58" s="11" t="s">
        <v>124</v>
      </c>
      <c r="F58" s="4"/>
      <c r="G58" s="26" t="s">
        <v>59</v>
      </c>
      <c r="H58" s="5"/>
      <c r="I58" s="26" t="s">
        <v>6</v>
      </c>
      <c r="J58" s="6"/>
      <c r="K58" s="26" t="s">
        <v>6</v>
      </c>
      <c r="L58" s="6"/>
      <c r="M58" s="26" t="s">
        <v>530</v>
      </c>
      <c r="N58" s="6"/>
    </row>
    <row r="59" spans="1:14" x14ac:dyDescent="0.3">
      <c r="A59" s="1"/>
      <c r="B59" s="1"/>
      <c r="C59" s="2"/>
      <c r="D59" s="10"/>
      <c r="E59" s="11" t="s">
        <v>125</v>
      </c>
      <c r="F59" s="4"/>
      <c r="G59" s="26" t="s">
        <v>59</v>
      </c>
      <c r="H59" s="5"/>
      <c r="I59" s="26" t="s">
        <v>6</v>
      </c>
      <c r="J59" s="6"/>
      <c r="K59" s="26" t="s">
        <v>6</v>
      </c>
      <c r="L59" s="6"/>
      <c r="M59" s="26" t="s">
        <v>530</v>
      </c>
      <c r="N59" s="6"/>
    </row>
    <row r="60" spans="1:14" x14ac:dyDescent="0.3">
      <c r="A60" s="1"/>
      <c r="B60" s="1"/>
      <c r="C60" s="2"/>
      <c r="D60" s="10"/>
      <c r="E60" s="11" t="s">
        <v>126</v>
      </c>
      <c r="F60" s="4"/>
      <c r="G60" s="26" t="s">
        <v>59</v>
      </c>
      <c r="H60" s="5"/>
      <c r="I60" s="26" t="s">
        <v>6</v>
      </c>
      <c r="J60" s="6"/>
      <c r="K60" s="26" t="s">
        <v>6</v>
      </c>
      <c r="L60" s="6"/>
      <c r="M60" s="26" t="s">
        <v>531</v>
      </c>
      <c r="N60" s="6"/>
    </row>
    <row r="61" spans="1:14" x14ac:dyDescent="0.3">
      <c r="A61" s="1"/>
      <c r="B61" s="1"/>
      <c r="C61" s="2"/>
      <c r="D61" s="10"/>
      <c r="E61" s="11" t="s">
        <v>127</v>
      </c>
      <c r="F61" s="4"/>
      <c r="G61" s="26" t="s">
        <v>31</v>
      </c>
      <c r="H61" s="5"/>
      <c r="I61" s="26" t="s">
        <v>6</v>
      </c>
      <c r="J61" s="6"/>
      <c r="K61" s="26" t="s">
        <v>31</v>
      </c>
      <c r="L61" s="6"/>
      <c r="M61" s="26" t="s">
        <v>534</v>
      </c>
      <c r="N61" s="6"/>
    </row>
    <row r="62" spans="1:14" x14ac:dyDescent="0.3">
      <c r="A62" s="1"/>
      <c r="B62" s="1"/>
      <c r="C62" s="2"/>
      <c r="D62" s="10"/>
      <c r="E62" s="11" t="s">
        <v>128</v>
      </c>
      <c r="F62" s="4"/>
      <c r="G62" s="26" t="s">
        <v>31</v>
      </c>
      <c r="H62" s="5"/>
      <c r="I62" s="26" t="s">
        <v>6</v>
      </c>
      <c r="J62" s="6"/>
      <c r="K62" s="26" t="s">
        <v>31</v>
      </c>
      <c r="L62" s="6"/>
      <c r="M62" s="26" t="s">
        <v>535</v>
      </c>
      <c r="N62" s="6"/>
    </row>
    <row r="63" spans="1:14" x14ac:dyDescent="0.3">
      <c r="A63" s="1"/>
      <c r="B63" s="1"/>
      <c r="C63" s="2"/>
      <c r="D63" s="10"/>
      <c r="E63" s="11" t="s">
        <v>129</v>
      </c>
      <c r="F63" s="4"/>
      <c r="G63" s="26" t="s">
        <v>31</v>
      </c>
      <c r="H63" s="5"/>
      <c r="I63" s="26" t="s">
        <v>6</v>
      </c>
      <c r="J63" s="6"/>
      <c r="K63" s="26" t="s">
        <v>31</v>
      </c>
      <c r="L63" s="6"/>
      <c r="M63" s="26" t="s">
        <v>535</v>
      </c>
      <c r="N63" s="6"/>
    </row>
    <row r="64" spans="1:14" x14ac:dyDescent="0.3">
      <c r="A64" s="1"/>
      <c r="B64" s="1"/>
      <c r="C64" s="2"/>
      <c r="D64" s="10"/>
      <c r="E64" s="11" t="s">
        <v>130</v>
      </c>
      <c r="F64" s="4"/>
      <c r="G64" s="26" t="s">
        <v>31</v>
      </c>
      <c r="H64" s="5"/>
      <c r="I64" s="26" t="s">
        <v>6</v>
      </c>
      <c r="J64" s="6"/>
      <c r="K64" s="26" t="s">
        <v>31</v>
      </c>
      <c r="L64" s="6"/>
      <c r="M64" s="26" t="s">
        <v>536</v>
      </c>
      <c r="N64" s="6"/>
    </row>
    <row r="65" spans="1:14" x14ac:dyDescent="0.3">
      <c r="A65" s="1"/>
      <c r="B65" s="1"/>
      <c r="C65" s="2"/>
      <c r="D65" s="10"/>
      <c r="E65" s="11" t="s">
        <v>131</v>
      </c>
      <c r="F65" s="4"/>
      <c r="G65" s="26" t="s">
        <v>31</v>
      </c>
      <c r="H65" s="5"/>
      <c r="I65" s="26" t="s">
        <v>6</v>
      </c>
      <c r="J65" s="6"/>
      <c r="K65" s="26" t="s">
        <v>31</v>
      </c>
      <c r="L65" s="6"/>
      <c r="M65" s="26" t="s">
        <v>536</v>
      </c>
      <c r="N65" s="6"/>
    </row>
    <row r="66" spans="1:14" x14ac:dyDescent="0.3">
      <c r="A66" s="1"/>
      <c r="B66" s="1"/>
      <c r="C66" s="2"/>
      <c r="D66" s="10"/>
      <c r="E66" s="11" t="s">
        <v>601</v>
      </c>
      <c r="F66" s="4"/>
      <c r="G66" s="26" t="s">
        <v>31</v>
      </c>
      <c r="H66" s="5"/>
      <c r="I66" s="26" t="s">
        <v>44</v>
      </c>
      <c r="J66" s="6"/>
      <c r="K66" s="26" t="s">
        <v>44</v>
      </c>
      <c r="L66" s="6"/>
      <c r="M66" s="26" t="s">
        <v>535</v>
      </c>
      <c r="N66" s="6"/>
    </row>
    <row r="67" spans="1:14" x14ac:dyDescent="0.3">
      <c r="A67" s="1"/>
      <c r="B67" s="1"/>
      <c r="C67" s="2"/>
      <c r="D67" s="10"/>
      <c r="E67" s="11" t="s">
        <v>132</v>
      </c>
      <c r="F67" s="4"/>
      <c r="G67" s="26" t="s">
        <v>269</v>
      </c>
      <c r="H67" s="5"/>
      <c r="I67" s="26" t="s">
        <v>269</v>
      </c>
      <c r="J67" s="6"/>
      <c r="K67" s="26" t="s">
        <v>269</v>
      </c>
      <c r="L67" s="6"/>
      <c r="M67" s="26" t="s">
        <v>520</v>
      </c>
      <c r="N67" s="6"/>
    </row>
    <row r="68" spans="1:14" x14ac:dyDescent="0.3">
      <c r="A68" s="1"/>
      <c r="B68" s="1"/>
      <c r="C68" s="2"/>
      <c r="D68" s="10"/>
      <c r="E68" s="11" t="s">
        <v>133</v>
      </c>
      <c r="F68" s="4"/>
      <c r="G68" s="26" t="s">
        <v>269</v>
      </c>
      <c r="H68" s="5"/>
      <c r="I68" s="26" t="s">
        <v>269</v>
      </c>
      <c r="J68" s="6"/>
      <c r="K68" s="26" t="s">
        <v>269</v>
      </c>
      <c r="L68" s="6"/>
      <c r="M68" s="26" t="s">
        <v>520</v>
      </c>
      <c r="N68" s="6"/>
    </row>
    <row r="69" spans="1:14" x14ac:dyDescent="0.3">
      <c r="A69" s="1"/>
      <c r="B69" s="1"/>
      <c r="C69" s="2"/>
      <c r="D69" s="10"/>
      <c r="E69" s="11" t="s">
        <v>134</v>
      </c>
      <c r="F69" s="4"/>
      <c r="G69" s="26" t="s">
        <v>269</v>
      </c>
      <c r="H69" s="5"/>
      <c r="I69" s="26" t="s">
        <v>269</v>
      </c>
      <c r="J69" s="6"/>
      <c r="K69" s="26" t="s">
        <v>269</v>
      </c>
      <c r="L69" s="6"/>
      <c r="M69" s="26" t="s">
        <v>520</v>
      </c>
      <c r="N69" s="6"/>
    </row>
    <row r="70" spans="1:14" x14ac:dyDescent="0.3">
      <c r="A70" s="1"/>
      <c r="B70" s="1"/>
      <c r="C70" s="2"/>
      <c r="D70" s="10"/>
      <c r="E70" s="11" t="s">
        <v>135</v>
      </c>
      <c r="F70" s="4"/>
      <c r="G70" s="26" t="s">
        <v>269</v>
      </c>
      <c r="H70" s="5"/>
      <c r="I70" s="26" t="s">
        <v>269</v>
      </c>
      <c r="J70" s="6"/>
      <c r="K70" s="26" t="s">
        <v>269</v>
      </c>
      <c r="L70" s="6"/>
      <c r="M70" s="26" t="s">
        <v>520</v>
      </c>
      <c r="N70" s="6"/>
    </row>
    <row r="71" spans="1:14" x14ac:dyDescent="0.3">
      <c r="A71" s="1"/>
      <c r="B71" s="1"/>
      <c r="C71" s="2"/>
      <c r="D71" s="10"/>
      <c r="E71" s="11" t="s">
        <v>136</v>
      </c>
      <c r="F71" s="4"/>
      <c r="G71" s="26" t="s">
        <v>269</v>
      </c>
      <c r="H71" s="5"/>
      <c r="I71" s="26" t="s">
        <v>269</v>
      </c>
      <c r="J71" s="6"/>
      <c r="K71" s="26" t="s">
        <v>269</v>
      </c>
      <c r="L71" s="6"/>
      <c r="M71" s="26" t="s">
        <v>520</v>
      </c>
      <c r="N71" s="6"/>
    </row>
    <row r="72" spans="1:14" x14ac:dyDescent="0.3">
      <c r="A72" s="1"/>
      <c r="B72" s="1"/>
      <c r="C72" s="2"/>
      <c r="D72" s="10"/>
      <c r="E72" s="11" t="s">
        <v>137</v>
      </c>
      <c r="F72" s="4"/>
      <c r="G72" s="26" t="s">
        <v>269</v>
      </c>
      <c r="H72" s="5"/>
      <c r="I72" s="26" t="s">
        <v>269</v>
      </c>
      <c r="J72" s="6"/>
      <c r="K72" s="26" t="s">
        <v>269</v>
      </c>
      <c r="L72" s="6"/>
      <c r="M72" s="26" t="s">
        <v>520</v>
      </c>
      <c r="N72" s="6"/>
    </row>
    <row r="73" spans="1:14" x14ac:dyDescent="0.3">
      <c r="A73" s="1"/>
      <c r="B73" s="1"/>
      <c r="C73" s="2"/>
      <c r="D73" s="10"/>
      <c r="E73" s="11" t="s">
        <v>138</v>
      </c>
      <c r="F73" s="4"/>
      <c r="G73" s="26" t="s">
        <v>269</v>
      </c>
      <c r="H73" s="5"/>
      <c r="I73" s="26" t="s">
        <v>269</v>
      </c>
      <c r="J73" s="6"/>
      <c r="K73" s="26" t="s">
        <v>269</v>
      </c>
      <c r="L73" s="6"/>
      <c r="M73" s="26" t="s">
        <v>520</v>
      </c>
      <c r="N73" s="6"/>
    </row>
    <row r="74" spans="1:14" x14ac:dyDescent="0.3">
      <c r="A74" s="1"/>
      <c r="B74" s="1"/>
      <c r="C74" s="2"/>
      <c r="D74" s="10"/>
      <c r="E74" s="11" t="s">
        <v>139</v>
      </c>
      <c r="F74" s="4"/>
      <c r="G74" s="26" t="s">
        <v>269</v>
      </c>
      <c r="H74" s="5"/>
      <c r="I74" s="26" t="s">
        <v>269</v>
      </c>
      <c r="J74" s="6"/>
      <c r="K74" s="26" t="s">
        <v>269</v>
      </c>
      <c r="L74" s="6"/>
      <c r="M74" s="26" t="s">
        <v>520</v>
      </c>
      <c r="N74" s="6"/>
    </row>
    <row r="75" spans="1:14" x14ac:dyDescent="0.3">
      <c r="A75" s="1"/>
      <c r="B75" s="1"/>
      <c r="C75" s="2"/>
      <c r="D75" s="10"/>
      <c r="E75" s="11" t="s">
        <v>140</v>
      </c>
      <c r="F75" s="4"/>
      <c r="G75" s="26" t="s">
        <v>269</v>
      </c>
      <c r="H75" s="5"/>
      <c r="I75" s="26" t="s">
        <v>269</v>
      </c>
      <c r="J75" s="6"/>
      <c r="K75" s="26" t="s">
        <v>269</v>
      </c>
      <c r="L75" s="6"/>
      <c r="M75" s="26" t="s">
        <v>521</v>
      </c>
      <c r="N75" s="6"/>
    </row>
    <row r="76" spans="1:14" x14ac:dyDescent="0.3">
      <c r="A76" s="1"/>
      <c r="B76" s="1"/>
      <c r="C76" s="2"/>
      <c r="D76" s="10"/>
      <c r="E76" s="11" t="s">
        <v>141</v>
      </c>
      <c r="F76" s="4"/>
      <c r="G76" s="26" t="s">
        <v>269</v>
      </c>
      <c r="H76" s="5"/>
      <c r="I76" s="26" t="s">
        <v>269</v>
      </c>
      <c r="J76" s="6"/>
      <c r="K76" s="26" t="s">
        <v>269</v>
      </c>
      <c r="L76" s="6"/>
      <c r="M76" s="26" t="s">
        <v>521</v>
      </c>
      <c r="N76" s="6"/>
    </row>
    <row r="77" spans="1:14" x14ac:dyDescent="0.3">
      <c r="A77" s="1"/>
      <c r="B77" s="1"/>
      <c r="C77" s="2"/>
      <c r="D77" s="10"/>
      <c r="E77" s="11" t="s">
        <v>142</v>
      </c>
      <c r="F77" s="4"/>
      <c r="G77" s="26" t="s">
        <v>269</v>
      </c>
      <c r="H77" s="5"/>
      <c r="I77" s="26" t="s">
        <v>269</v>
      </c>
      <c r="J77" s="6"/>
      <c r="K77" s="26" t="s">
        <v>269</v>
      </c>
      <c r="L77" s="6"/>
      <c r="M77" s="26" t="s">
        <v>521</v>
      </c>
      <c r="N77" s="6"/>
    </row>
    <row r="78" spans="1:14" x14ac:dyDescent="0.3">
      <c r="A78" s="1"/>
      <c r="B78" s="1"/>
      <c r="C78" s="2"/>
      <c r="D78" s="10"/>
      <c r="E78" s="11" t="s">
        <v>143</v>
      </c>
      <c r="F78" s="4"/>
      <c r="G78" s="26" t="s">
        <v>269</v>
      </c>
      <c r="H78" s="5"/>
      <c r="I78" s="26" t="s">
        <v>269</v>
      </c>
      <c r="J78" s="6"/>
      <c r="K78" s="26" t="s">
        <v>269</v>
      </c>
      <c r="L78" s="6"/>
      <c r="M78" s="26" t="s">
        <v>521</v>
      </c>
      <c r="N78" s="6"/>
    </row>
    <row r="79" spans="1:14" x14ac:dyDescent="0.3">
      <c r="A79" s="1"/>
      <c r="B79" s="1"/>
      <c r="C79" s="2"/>
      <c r="D79" s="10"/>
      <c r="E79" s="11" t="s">
        <v>144</v>
      </c>
      <c r="F79" s="4"/>
      <c r="G79" s="26" t="s">
        <v>59</v>
      </c>
      <c r="H79" s="5"/>
      <c r="I79" s="26" t="s">
        <v>6</v>
      </c>
      <c r="J79" s="6"/>
      <c r="K79" s="26" t="s">
        <v>6</v>
      </c>
      <c r="L79" s="6"/>
      <c r="M79" s="26" t="s">
        <v>540</v>
      </c>
      <c r="N79" s="6"/>
    </row>
    <row r="80" spans="1:14" x14ac:dyDescent="0.3">
      <c r="A80" s="1"/>
      <c r="B80" s="1"/>
      <c r="C80" s="2"/>
      <c r="D80" s="10"/>
      <c r="E80" s="11" t="s">
        <v>145</v>
      </c>
      <c r="F80" s="4"/>
      <c r="G80" s="26" t="s">
        <v>59</v>
      </c>
      <c r="H80" s="5"/>
      <c r="I80" s="26" t="s">
        <v>6</v>
      </c>
      <c r="J80" s="6"/>
      <c r="K80" s="26" t="s">
        <v>6</v>
      </c>
      <c r="L80" s="6"/>
      <c r="M80" s="26" t="s">
        <v>538</v>
      </c>
      <c r="N80" s="6"/>
    </row>
    <row r="81" spans="1:14" x14ac:dyDescent="0.3">
      <c r="A81" s="1"/>
      <c r="B81" s="1"/>
      <c r="C81" s="2"/>
      <c r="D81" s="10"/>
      <c r="E81" s="11" t="s">
        <v>146</v>
      </c>
      <c r="F81" s="4"/>
      <c r="G81" s="26" t="s">
        <v>8</v>
      </c>
      <c r="H81" s="5"/>
      <c r="I81" s="26" t="s">
        <v>6</v>
      </c>
      <c r="J81" s="6"/>
      <c r="K81" s="26" t="s">
        <v>6</v>
      </c>
      <c r="L81" s="6"/>
      <c r="M81" s="26" t="s">
        <v>8</v>
      </c>
      <c r="N81" s="6"/>
    </row>
    <row r="82" spans="1:14" x14ac:dyDescent="0.3">
      <c r="A82" s="1"/>
      <c r="B82" s="1"/>
      <c r="C82" s="2"/>
      <c r="D82" s="10"/>
      <c r="E82" s="11" t="s">
        <v>147</v>
      </c>
      <c r="F82" s="4"/>
      <c r="G82" s="26" t="s">
        <v>59</v>
      </c>
      <c r="H82" s="5"/>
      <c r="I82" s="26" t="s">
        <v>6</v>
      </c>
      <c r="J82" s="6"/>
      <c r="K82" s="26" t="s">
        <v>6</v>
      </c>
      <c r="L82" s="6"/>
      <c r="M82" s="26" t="s">
        <v>538</v>
      </c>
      <c r="N82" s="6"/>
    </row>
    <row r="83" spans="1:14" x14ac:dyDescent="0.3">
      <c r="A83" s="1"/>
      <c r="B83" s="1"/>
      <c r="C83" s="2"/>
      <c r="D83" s="10"/>
      <c r="E83" s="11" t="s">
        <v>148</v>
      </c>
      <c r="F83" s="4"/>
      <c r="G83" s="26" t="s">
        <v>8</v>
      </c>
      <c r="H83" s="5"/>
      <c r="I83" s="26" t="s">
        <v>6</v>
      </c>
      <c r="J83" s="6"/>
      <c r="K83" s="26" t="s">
        <v>6</v>
      </c>
      <c r="L83" s="6"/>
      <c r="M83" s="26" t="s">
        <v>8</v>
      </c>
      <c r="N83" s="6"/>
    </row>
    <row r="84" spans="1:14" x14ac:dyDescent="0.3">
      <c r="A84" s="1"/>
      <c r="B84" s="1"/>
      <c r="C84" s="2"/>
      <c r="D84" s="10"/>
      <c r="E84" s="11" t="s">
        <v>149</v>
      </c>
      <c r="F84" s="4"/>
      <c r="G84" s="26" t="s">
        <v>8</v>
      </c>
      <c r="H84" s="5"/>
      <c r="I84" s="26" t="s">
        <v>6</v>
      </c>
      <c r="J84" s="6"/>
      <c r="K84" s="26" t="s">
        <v>6</v>
      </c>
      <c r="L84" s="6"/>
      <c r="M84" s="26" t="s">
        <v>8</v>
      </c>
      <c r="N84" s="6"/>
    </row>
    <row r="85" spans="1:14" x14ac:dyDescent="0.3">
      <c r="A85" s="1"/>
      <c r="B85" s="1"/>
      <c r="C85" s="2"/>
      <c r="D85" s="10"/>
      <c r="E85" s="11" t="s">
        <v>150</v>
      </c>
      <c r="F85" s="4"/>
      <c r="G85" s="26" t="s">
        <v>29</v>
      </c>
      <c r="H85" s="5"/>
      <c r="I85" s="26" t="s">
        <v>6</v>
      </c>
      <c r="J85" s="6"/>
      <c r="K85" s="26" t="s">
        <v>6</v>
      </c>
      <c r="L85" s="6"/>
      <c r="M85" s="26" t="s">
        <v>538</v>
      </c>
      <c r="N85" s="6"/>
    </row>
    <row r="86" spans="1:14" x14ac:dyDescent="0.3">
      <c r="A86" s="1"/>
      <c r="B86" s="1"/>
      <c r="C86" s="2"/>
      <c r="D86" s="10"/>
      <c r="E86" s="11" t="s">
        <v>151</v>
      </c>
      <c r="F86" s="4"/>
      <c r="G86" s="26" t="s">
        <v>29</v>
      </c>
      <c r="H86" s="5"/>
      <c r="I86" s="26" t="s">
        <v>6</v>
      </c>
      <c r="J86" s="6"/>
      <c r="K86" s="26" t="s">
        <v>6</v>
      </c>
      <c r="L86" s="6"/>
      <c r="M86" s="26" t="s">
        <v>522</v>
      </c>
      <c r="N86" s="6"/>
    </row>
    <row r="87" spans="1:14" x14ac:dyDescent="0.3">
      <c r="A87" s="1"/>
      <c r="B87" s="1"/>
      <c r="C87" s="2"/>
      <c r="D87" s="10"/>
      <c r="E87" s="11" t="s">
        <v>152</v>
      </c>
      <c r="F87" s="4"/>
      <c r="G87" s="26" t="s">
        <v>59</v>
      </c>
      <c r="H87" s="5"/>
      <c r="I87" s="26" t="s">
        <v>6</v>
      </c>
      <c r="J87" s="6"/>
      <c r="K87" s="26" t="s">
        <v>6</v>
      </c>
      <c r="L87" s="6"/>
      <c r="M87" s="26" t="s">
        <v>538</v>
      </c>
      <c r="N87" s="6"/>
    </row>
    <row r="88" spans="1:14" x14ac:dyDescent="0.3">
      <c r="A88" s="1"/>
      <c r="B88" s="1"/>
      <c r="C88" s="2"/>
      <c r="D88" s="10"/>
      <c r="E88" s="11" t="s">
        <v>153</v>
      </c>
      <c r="F88" s="4"/>
      <c r="G88" s="226" t="s">
        <v>59</v>
      </c>
      <c r="H88" s="5"/>
      <c r="I88" s="26" t="s">
        <v>6</v>
      </c>
      <c r="J88" s="6"/>
      <c r="K88" s="26" t="s">
        <v>6</v>
      </c>
      <c r="L88" s="6"/>
      <c r="M88" s="26" t="s">
        <v>538</v>
      </c>
      <c r="N88" s="6"/>
    </row>
    <row r="89" spans="1:14" x14ac:dyDescent="0.3">
      <c r="A89" s="1"/>
      <c r="B89" s="1"/>
      <c r="C89" s="2"/>
      <c r="D89" s="10"/>
      <c r="E89" s="11" t="s">
        <v>154</v>
      </c>
      <c r="F89" s="4"/>
      <c r="G89" s="26" t="s">
        <v>59</v>
      </c>
      <c r="H89" s="5"/>
      <c r="I89" s="26" t="s">
        <v>579</v>
      </c>
      <c r="J89" s="6"/>
      <c r="K89" s="26" t="s">
        <v>579</v>
      </c>
      <c r="L89" s="6"/>
      <c r="M89" s="26" t="s">
        <v>540</v>
      </c>
      <c r="N89" s="6"/>
    </row>
    <row r="90" spans="1:14" x14ac:dyDescent="0.3">
      <c r="A90" s="1"/>
      <c r="B90" s="1"/>
      <c r="C90" s="2"/>
      <c r="D90" s="10"/>
      <c r="E90" s="11" t="s">
        <v>155</v>
      </c>
      <c r="F90" s="4"/>
      <c r="G90" s="26" t="s">
        <v>29</v>
      </c>
      <c r="H90" s="5"/>
      <c r="I90" s="26" t="s">
        <v>6</v>
      </c>
      <c r="J90" s="6"/>
      <c r="K90" s="26" t="s">
        <v>6</v>
      </c>
      <c r="L90" s="6"/>
      <c r="M90" s="26" t="s">
        <v>538</v>
      </c>
      <c r="N90" s="6"/>
    </row>
    <row r="91" spans="1:14" x14ac:dyDescent="0.3">
      <c r="A91" s="1"/>
      <c r="B91" s="1"/>
      <c r="C91" s="2"/>
      <c r="D91" s="10"/>
      <c r="E91" s="11" t="s">
        <v>156</v>
      </c>
      <c r="F91" s="4"/>
      <c r="G91" s="26" t="s">
        <v>8</v>
      </c>
      <c r="H91" s="5"/>
      <c r="I91" s="26" t="s">
        <v>6</v>
      </c>
      <c r="J91" s="6"/>
      <c r="K91" s="26" t="s">
        <v>6</v>
      </c>
      <c r="L91" s="6"/>
      <c r="M91" s="26" t="s">
        <v>8</v>
      </c>
      <c r="N91" s="6"/>
    </row>
    <row r="92" spans="1:14" x14ac:dyDescent="0.3">
      <c r="A92" s="1"/>
      <c r="B92" s="1"/>
      <c r="C92" s="2"/>
      <c r="D92" s="10"/>
      <c r="E92" s="11" t="s">
        <v>157</v>
      </c>
      <c r="F92" s="4"/>
      <c r="G92" s="26" t="s">
        <v>29</v>
      </c>
      <c r="H92" s="5"/>
      <c r="I92" s="26" t="s">
        <v>6</v>
      </c>
      <c r="J92" s="6"/>
      <c r="K92" s="26" t="s">
        <v>6</v>
      </c>
      <c r="L92" s="6"/>
      <c r="M92" s="26" t="s">
        <v>339</v>
      </c>
      <c r="N92" s="6"/>
    </row>
    <row r="93" spans="1:14" x14ac:dyDescent="0.3">
      <c r="A93" s="1"/>
      <c r="B93" s="1"/>
      <c r="C93" s="2"/>
      <c r="D93" s="10"/>
      <c r="E93" s="11" t="s">
        <v>158</v>
      </c>
      <c r="F93" s="4"/>
      <c r="G93" s="26" t="s">
        <v>29</v>
      </c>
      <c r="H93" s="5"/>
      <c r="I93" s="26" t="s">
        <v>6</v>
      </c>
      <c r="J93" s="6"/>
      <c r="K93" s="26" t="s">
        <v>6</v>
      </c>
      <c r="L93" s="6"/>
      <c r="M93" s="26" t="s">
        <v>339</v>
      </c>
      <c r="N93" s="6"/>
    </row>
    <row r="94" spans="1:14" x14ac:dyDescent="0.3">
      <c r="A94" s="1"/>
      <c r="B94" s="1"/>
      <c r="C94" s="2"/>
      <c r="D94" s="10"/>
      <c r="E94" s="11" t="s">
        <v>159</v>
      </c>
      <c r="F94" s="4"/>
      <c r="G94" s="26" t="s">
        <v>29</v>
      </c>
      <c r="H94" s="5"/>
      <c r="I94" s="26" t="s">
        <v>6</v>
      </c>
      <c r="J94" s="6"/>
      <c r="K94" s="26" t="s">
        <v>6</v>
      </c>
      <c r="L94" s="6"/>
      <c r="M94" s="26" t="s">
        <v>532</v>
      </c>
      <c r="N94" s="6"/>
    </row>
    <row r="95" spans="1:14" x14ac:dyDescent="0.3">
      <c r="A95" s="1"/>
      <c r="B95" s="1"/>
      <c r="C95" s="2"/>
      <c r="D95" s="10"/>
      <c r="E95" s="11" t="s">
        <v>160</v>
      </c>
      <c r="F95" s="4"/>
      <c r="G95" s="26" t="s">
        <v>59</v>
      </c>
      <c r="H95" s="5"/>
      <c r="I95" s="26" t="s">
        <v>6</v>
      </c>
      <c r="J95" s="6"/>
      <c r="K95" s="26" t="s">
        <v>6</v>
      </c>
      <c r="L95" s="6"/>
      <c r="M95" s="26" t="s">
        <v>537</v>
      </c>
      <c r="N95" s="6"/>
    </row>
    <row r="96" spans="1:14" x14ac:dyDescent="0.3">
      <c r="A96" s="1"/>
      <c r="B96" s="1"/>
      <c r="C96" s="2"/>
      <c r="D96" s="10"/>
      <c r="E96" s="11" t="s">
        <v>161</v>
      </c>
      <c r="F96" s="4"/>
      <c r="G96" s="26" t="s">
        <v>59</v>
      </c>
      <c r="H96" s="5"/>
      <c r="I96" s="26" t="s">
        <v>6</v>
      </c>
      <c r="J96" s="6"/>
      <c r="K96" s="26" t="s">
        <v>6</v>
      </c>
      <c r="L96" s="6"/>
      <c r="M96" s="26" t="s">
        <v>538</v>
      </c>
      <c r="N96" s="6"/>
    </row>
    <row r="97" spans="1:14" x14ac:dyDescent="0.3">
      <c r="A97" s="1"/>
      <c r="B97" s="1"/>
      <c r="C97" s="2"/>
      <c r="D97" s="10"/>
      <c r="E97" s="11" t="s">
        <v>162</v>
      </c>
      <c r="F97" s="4"/>
      <c r="G97" s="26" t="s">
        <v>29</v>
      </c>
      <c r="H97" s="5"/>
      <c r="I97" s="26" t="s">
        <v>6</v>
      </c>
      <c r="J97" s="6"/>
      <c r="K97" s="26" t="s">
        <v>579</v>
      </c>
      <c r="L97" s="6"/>
      <c r="M97" s="26" t="s">
        <v>38</v>
      </c>
      <c r="N97" s="6"/>
    </row>
    <row r="98" spans="1:14" x14ac:dyDescent="0.3">
      <c r="A98" s="1"/>
      <c r="B98" s="1"/>
      <c r="C98" s="2"/>
      <c r="D98" s="10"/>
      <c r="E98" s="11" t="s">
        <v>163</v>
      </c>
      <c r="F98" s="4"/>
      <c r="G98" s="26" t="s">
        <v>29</v>
      </c>
      <c r="H98" s="5"/>
      <c r="I98" s="26" t="s">
        <v>6</v>
      </c>
      <c r="J98" s="6"/>
      <c r="K98" s="26" t="s">
        <v>6</v>
      </c>
      <c r="L98" s="6"/>
      <c r="M98" s="26" t="s">
        <v>363</v>
      </c>
      <c r="N98" s="6"/>
    </row>
    <row r="99" spans="1:14" x14ac:dyDescent="0.3">
      <c r="A99" s="1"/>
      <c r="B99" s="1"/>
      <c r="C99" s="2"/>
      <c r="D99" s="10"/>
      <c r="E99" s="11" t="s">
        <v>164</v>
      </c>
      <c r="F99" s="4"/>
      <c r="G99" s="26" t="s">
        <v>29</v>
      </c>
      <c r="H99" s="5"/>
      <c r="I99" s="26" t="s">
        <v>6</v>
      </c>
      <c r="J99" s="6"/>
      <c r="K99" s="26" t="s">
        <v>6</v>
      </c>
      <c r="L99" s="6"/>
      <c r="M99" s="26" t="s">
        <v>363</v>
      </c>
      <c r="N99" s="6"/>
    </row>
    <row r="100" spans="1:14" x14ac:dyDescent="0.3">
      <c r="A100" s="1"/>
      <c r="B100" s="1"/>
      <c r="C100" s="2"/>
      <c r="D100" s="10"/>
      <c r="E100" s="11" t="s">
        <v>165</v>
      </c>
      <c r="F100" s="4"/>
      <c r="G100" s="26" t="s">
        <v>29</v>
      </c>
      <c r="H100" s="5"/>
      <c r="I100" s="26" t="s">
        <v>6</v>
      </c>
      <c r="J100" s="6"/>
      <c r="K100" s="26" t="s">
        <v>6</v>
      </c>
      <c r="L100" s="6"/>
      <c r="M100" s="26" t="s">
        <v>363</v>
      </c>
      <c r="N100" s="6"/>
    </row>
    <row r="101" spans="1:14" x14ac:dyDescent="0.3">
      <c r="A101" s="1"/>
      <c r="B101" s="1"/>
      <c r="C101" s="2"/>
      <c r="D101" s="10"/>
      <c r="E101" s="11" t="s">
        <v>166</v>
      </c>
      <c r="F101" s="4"/>
      <c r="G101" s="26" t="s">
        <v>29</v>
      </c>
      <c r="H101" s="5"/>
      <c r="I101" s="26" t="s">
        <v>6</v>
      </c>
      <c r="J101" s="6"/>
      <c r="K101" s="26" t="s">
        <v>6</v>
      </c>
      <c r="L101" s="6"/>
      <c r="M101" s="26" t="s">
        <v>523</v>
      </c>
      <c r="N101" s="6"/>
    </row>
    <row r="102" spans="1:14" x14ac:dyDescent="0.3">
      <c r="A102" s="1"/>
      <c r="B102" s="1"/>
      <c r="C102" s="2"/>
      <c r="D102" s="10"/>
      <c r="E102" s="11" t="s">
        <v>167</v>
      </c>
      <c r="F102" s="4"/>
      <c r="G102" s="26" t="s">
        <v>29</v>
      </c>
      <c r="H102" s="5"/>
      <c r="I102" s="26" t="s">
        <v>6</v>
      </c>
      <c r="J102" s="6"/>
      <c r="K102" s="26" t="s">
        <v>6</v>
      </c>
      <c r="L102" s="6"/>
      <c r="M102" s="26" t="s">
        <v>523</v>
      </c>
      <c r="N102" s="6"/>
    </row>
    <row r="103" spans="1:14" x14ac:dyDescent="0.3">
      <c r="A103" s="1"/>
      <c r="B103" s="1"/>
      <c r="C103" s="2"/>
      <c r="D103" s="10"/>
      <c r="E103" s="11" t="s">
        <v>168</v>
      </c>
      <c r="F103" s="4"/>
      <c r="G103" s="26" t="s">
        <v>29</v>
      </c>
      <c r="H103" s="5"/>
      <c r="I103" s="26" t="s">
        <v>6</v>
      </c>
      <c r="J103" s="6"/>
      <c r="K103" s="26" t="s">
        <v>6</v>
      </c>
      <c r="L103" s="6"/>
      <c r="M103" s="26" t="s">
        <v>523</v>
      </c>
      <c r="N103" s="6"/>
    </row>
    <row r="104" spans="1:14" x14ac:dyDescent="0.3">
      <c r="A104" s="1"/>
      <c r="B104" s="1"/>
      <c r="C104" s="2"/>
      <c r="D104" s="10"/>
      <c r="E104" s="11" t="s">
        <v>169</v>
      </c>
      <c r="F104" s="4"/>
      <c r="G104" s="26" t="s">
        <v>29</v>
      </c>
      <c r="H104" s="5"/>
      <c r="I104" s="26" t="s">
        <v>6</v>
      </c>
      <c r="J104" s="6"/>
      <c r="K104" s="26" t="s">
        <v>6</v>
      </c>
      <c r="L104" s="6"/>
      <c r="M104" s="26" t="s">
        <v>523</v>
      </c>
      <c r="N104" s="6"/>
    </row>
    <row r="105" spans="1:14" x14ac:dyDescent="0.3">
      <c r="A105" s="1"/>
      <c r="B105" s="1"/>
      <c r="C105" s="2"/>
      <c r="D105" s="10"/>
      <c r="E105" s="11" t="s">
        <v>170</v>
      </c>
      <c r="F105" s="4"/>
      <c r="G105" s="26" t="s">
        <v>29</v>
      </c>
      <c r="H105" s="5"/>
      <c r="I105" s="26" t="s">
        <v>6</v>
      </c>
      <c r="J105" s="6"/>
      <c r="K105" s="26" t="s">
        <v>6</v>
      </c>
      <c r="L105" s="6"/>
      <c r="M105" s="26" t="s">
        <v>541</v>
      </c>
      <c r="N105" s="6"/>
    </row>
    <row r="106" spans="1:14" x14ac:dyDescent="0.3">
      <c r="A106" s="1"/>
      <c r="B106" s="1"/>
      <c r="C106" s="2"/>
      <c r="D106" s="10"/>
      <c r="E106" s="11" t="s">
        <v>171</v>
      </c>
      <c r="F106" s="4"/>
      <c r="G106" s="26" t="s">
        <v>29</v>
      </c>
      <c r="H106" s="5"/>
      <c r="I106" s="26" t="s">
        <v>6</v>
      </c>
      <c r="J106" s="6"/>
      <c r="K106" s="26" t="s">
        <v>6</v>
      </c>
      <c r="L106" s="6"/>
      <c r="M106" s="26" t="s">
        <v>363</v>
      </c>
      <c r="N106" s="6"/>
    </row>
    <row r="107" spans="1:14" x14ac:dyDescent="0.3">
      <c r="A107" s="7"/>
      <c r="B107" s="7"/>
      <c r="C107" s="7"/>
      <c r="D107" s="7"/>
      <c r="E107" s="7" t="s">
        <v>172</v>
      </c>
      <c r="F107" s="7"/>
      <c r="G107" s="26" t="s">
        <v>29</v>
      </c>
      <c r="H107" s="5"/>
      <c r="I107" s="26" t="s">
        <v>6</v>
      </c>
      <c r="J107" s="6"/>
      <c r="K107" s="26" t="s">
        <v>6</v>
      </c>
      <c r="L107" s="6"/>
      <c r="M107" s="26" t="s">
        <v>523</v>
      </c>
      <c r="N107" s="6"/>
    </row>
    <row r="108" spans="1:14" x14ac:dyDescent="0.3">
      <c r="A108" s="7"/>
      <c r="B108" s="7"/>
      <c r="C108" s="7"/>
      <c r="D108" s="7"/>
      <c r="E108" s="4" t="s">
        <v>173</v>
      </c>
      <c r="F108" s="7"/>
      <c r="G108" s="26" t="s">
        <v>29</v>
      </c>
      <c r="H108" s="5"/>
      <c r="I108" s="26" t="s">
        <v>6</v>
      </c>
      <c r="J108" s="7"/>
      <c r="K108" s="26" t="s">
        <v>6</v>
      </c>
      <c r="L108" s="7"/>
      <c r="M108" s="26" t="s">
        <v>363</v>
      </c>
      <c r="N108" s="7"/>
    </row>
    <row r="109" spans="1:14" x14ac:dyDescent="0.3">
      <c r="A109" s="7"/>
      <c r="B109" s="7"/>
      <c r="C109" s="7"/>
      <c r="D109" s="7"/>
      <c r="E109" s="7" t="s">
        <v>174</v>
      </c>
      <c r="F109" s="7"/>
      <c r="G109" s="26" t="s">
        <v>29</v>
      </c>
      <c r="H109" s="5"/>
      <c r="I109" s="26" t="s">
        <v>6</v>
      </c>
      <c r="J109" s="7"/>
      <c r="K109" s="26" t="s">
        <v>6</v>
      </c>
      <c r="L109" s="7"/>
      <c r="M109" s="26" t="s">
        <v>363</v>
      </c>
      <c r="N109" s="7"/>
    </row>
    <row r="110" spans="1:14" x14ac:dyDescent="0.3">
      <c r="A110" s="7"/>
      <c r="B110" s="7"/>
      <c r="C110" s="7"/>
      <c r="D110" s="7"/>
      <c r="E110" s="7" t="s">
        <v>175</v>
      </c>
      <c r="F110" s="7"/>
      <c r="G110" s="26" t="s">
        <v>29</v>
      </c>
      <c r="H110" s="5"/>
      <c r="I110" s="26" t="s">
        <v>6</v>
      </c>
      <c r="J110" s="7"/>
      <c r="K110" s="26" t="s">
        <v>6</v>
      </c>
      <c r="L110" s="7"/>
      <c r="M110" s="26" t="s">
        <v>523</v>
      </c>
      <c r="N110" s="7"/>
    </row>
    <row r="111" spans="1:14" x14ac:dyDescent="0.3">
      <c r="A111" s="7"/>
      <c r="B111" s="7"/>
      <c r="C111" s="7"/>
      <c r="D111" s="7"/>
      <c r="E111" s="7" t="s">
        <v>176</v>
      </c>
      <c r="F111" s="7"/>
      <c r="G111" s="26" t="s">
        <v>29</v>
      </c>
      <c r="H111" s="5"/>
      <c r="I111" s="26" t="s">
        <v>6</v>
      </c>
      <c r="J111" s="7"/>
      <c r="K111" s="26" t="s">
        <v>6</v>
      </c>
      <c r="L111" s="7"/>
      <c r="M111" s="26" t="s">
        <v>523</v>
      </c>
      <c r="N111" s="7"/>
    </row>
    <row r="112" spans="1:14" x14ac:dyDescent="0.3">
      <c r="A112" s="7"/>
      <c r="B112" s="7"/>
      <c r="C112" s="7"/>
      <c r="D112" s="7"/>
      <c r="E112" s="7" t="s">
        <v>177</v>
      </c>
      <c r="F112" s="7"/>
      <c r="G112" s="26" t="s">
        <v>29</v>
      </c>
      <c r="H112" s="5"/>
      <c r="I112" s="26" t="s">
        <v>6</v>
      </c>
      <c r="J112" s="7"/>
      <c r="K112" s="26" t="s">
        <v>6</v>
      </c>
      <c r="L112" s="7"/>
      <c r="M112" s="26" t="s">
        <v>523</v>
      </c>
      <c r="N112" s="7"/>
    </row>
    <row r="113" spans="1:14" x14ac:dyDescent="0.3">
      <c r="A113" s="7"/>
      <c r="B113" s="7"/>
      <c r="C113" s="7"/>
      <c r="D113" s="7"/>
      <c r="E113" s="7" t="s">
        <v>178</v>
      </c>
      <c r="F113" s="7"/>
      <c r="G113" s="26" t="s">
        <v>29</v>
      </c>
      <c r="H113" s="5"/>
      <c r="I113" s="26" t="s">
        <v>6</v>
      </c>
      <c r="J113" s="7"/>
      <c r="K113" s="26" t="s">
        <v>6</v>
      </c>
      <c r="L113" s="7"/>
      <c r="M113" s="26" t="s">
        <v>523</v>
      </c>
      <c r="N113" s="7"/>
    </row>
    <row r="114" spans="1:14" x14ac:dyDescent="0.3">
      <c r="A114" s="7"/>
      <c r="B114" s="7"/>
      <c r="C114" s="7"/>
      <c r="D114" s="7"/>
      <c r="E114" s="7" t="s">
        <v>179</v>
      </c>
      <c r="F114" s="7"/>
      <c r="G114" s="26" t="s">
        <v>29</v>
      </c>
      <c r="H114" s="5"/>
      <c r="I114" s="26" t="s">
        <v>6</v>
      </c>
      <c r="J114" s="7"/>
      <c r="K114" s="26" t="s">
        <v>6</v>
      </c>
      <c r="L114" s="7"/>
      <c r="M114" s="26" t="s">
        <v>523</v>
      </c>
      <c r="N114" s="7"/>
    </row>
    <row r="115" spans="1:14" x14ac:dyDescent="0.3">
      <c r="A115" s="7"/>
      <c r="B115" s="7"/>
      <c r="C115" s="7"/>
      <c r="D115" s="7"/>
      <c r="E115" s="7" t="s">
        <v>180</v>
      </c>
      <c r="F115" s="7"/>
      <c r="G115" s="26" t="s">
        <v>29</v>
      </c>
      <c r="H115" s="5"/>
      <c r="I115" s="26" t="s">
        <v>6</v>
      </c>
      <c r="J115" s="7"/>
      <c r="K115" s="26" t="s">
        <v>6</v>
      </c>
      <c r="L115" s="7"/>
      <c r="M115" s="26" t="s">
        <v>523</v>
      </c>
      <c r="N115" s="7"/>
    </row>
    <row r="116" spans="1:14" x14ac:dyDescent="0.3">
      <c r="A116" s="7"/>
      <c r="B116" s="7"/>
      <c r="C116" s="7"/>
      <c r="D116" s="7"/>
      <c r="E116" s="7" t="s">
        <v>181</v>
      </c>
      <c r="F116" s="7"/>
      <c r="G116" s="26" t="s">
        <v>29</v>
      </c>
      <c r="H116" s="5"/>
      <c r="I116" s="26" t="s">
        <v>6</v>
      </c>
      <c r="J116" s="7"/>
      <c r="K116" s="26" t="s">
        <v>6</v>
      </c>
      <c r="L116" s="7"/>
      <c r="M116" s="26" t="s">
        <v>523</v>
      </c>
      <c r="N116" s="7"/>
    </row>
    <row r="117" spans="1:14" x14ac:dyDescent="0.3">
      <c r="A117" s="7"/>
      <c r="B117" s="7"/>
      <c r="C117" s="7"/>
      <c r="D117" s="7"/>
      <c r="E117" s="7" t="s">
        <v>182</v>
      </c>
      <c r="F117" s="7"/>
      <c r="G117" s="26" t="s">
        <v>29</v>
      </c>
      <c r="H117" s="5"/>
      <c r="I117" s="26" t="s">
        <v>6</v>
      </c>
      <c r="J117" s="7"/>
      <c r="K117" s="26" t="s">
        <v>6</v>
      </c>
      <c r="L117" s="7"/>
      <c r="M117" s="26" t="s">
        <v>363</v>
      </c>
      <c r="N117" s="7"/>
    </row>
    <row r="118" spans="1:14" x14ac:dyDescent="0.3">
      <c r="A118" s="7"/>
      <c r="B118" s="7"/>
      <c r="C118" s="7"/>
      <c r="D118" s="7"/>
      <c r="E118" s="7" t="s">
        <v>183</v>
      </c>
      <c r="F118" s="7"/>
      <c r="G118" s="26" t="s">
        <v>7</v>
      </c>
      <c r="H118" s="5"/>
      <c r="I118" s="26" t="s">
        <v>7</v>
      </c>
      <c r="J118" s="7"/>
      <c r="K118" s="26" t="s">
        <v>7</v>
      </c>
      <c r="L118" s="7"/>
      <c r="M118" s="26" t="s">
        <v>7</v>
      </c>
      <c r="N118" s="7"/>
    </row>
    <row r="119" spans="1:14" x14ac:dyDescent="0.3">
      <c r="A119" s="7"/>
      <c r="B119" s="7"/>
      <c r="C119" s="7"/>
      <c r="D119" s="7"/>
      <c r="E119" s="7" t="s">
        <v>184</v>
      </c>
      <c r="F119" s="7"/>
      <c r="G119" s="26" t="s">
        <v>7</v>
      </c>
      <c r="H119" s="5"/>
      <c r="I119" s="26" t="s">
        <v>7</v>
      </c>
      <c r="J119" s="7"/>
      <c r="K119" s="26" t="s">
        <v>7</v>
      </c>
      <c r="L119" s="7"/>
      <c r="M119" s="26" t="s">
        <v>7</v>
      </c>
      <c r="N119" s="7"/>
    </row>
    <row r="120" spans="1:14" x14ac:dyDescent="0.3">
      <c r="A120" s="7"/>
      <c r="B120" s="7"/>
      <c r="C120" s="7"/>
      <c r="D120" s="7"/>
      <c r="E120" s="7" t="s">
        <v>185</v>
      </c>
      <c r="F120" s="7"/>
      <c r="G120" s="26" t="s">
        <v>7</v>
      </c>
      <c r="H120" s="5"/>
      <c r="I120" s="26" t="s">
        <v>7</v>
      </c>
      <c r="J120" s="7"/>
      <c r="K120" s="26" t="s">
        <v>7</v>
      </c>
      <c r="L120" s="7"/>
      <c r="M120" s="26" t="s">
        <v>7</v>
      </c>
      <c r="N120" s="7"/>
    </row>
    <row r="121" spans="1:14" x14ac:dyDescent="0.3">
      <c r="A121" s="7"/>
      <c r="B121" s="7"/>
      <c r="C121" s="7"/>
      <c r="D121" s="7"/>
      <c r="E121" s="7" t="s">
        <v>186</v>
      </c>
      <c r="F121" s="7"/>
      <c r="G121" s="26" t="s">
        <v>29</v>
      </c>
      <c r="H121" s="5"/>
      <c r="I121" s="26" t="s">
        <v>6</v>
      </c>
      <c r="J121" s="7"/>
      <c r="K121" s="26" t="s">
        <v>6</v>
      </c>
      <c r="L121" s="7"/>
      <c r="M121" s="26" t="s">
        <v>522</v>
      </c>
      <c r="N121" s="7"/>
    </row>
    <row r="122" spans="1:14" x14ac:dyDescent="0.3">
      <c r="A122" s="7"/>
      <c r="B122" s="7"/>
      <c r="C122" s="7"/>
      <c r="D122" s="7"/>
      <c r="E122" s="7" t="s">
        <v>187</v>
      </c>
      <c r="F122" s="7"/>
      <c r="G122" s="26" t="s">
        <v>29</v>
      </c>
      <c r="H122" s="5"/>
      <c r="I122" s="26" t="s">
        <v>6</v>
      </c>
      <c r="J122" s="7"/>
      <c r="K122" s="26" t="s">
        <v>6</v>
      </c>
      <c r="L122" s="7"/>
      <c r="M122" s="26" t="s">
        <v>522</v>
      </c>
      <c r="N122" s="7"/>
    </row>
    <row r="123" spans="1:14" x14ac:dyDescent="0.3">
      <c r="A123" s="7"/>
      <c r="B123" s="7"/>
      <c r="C123" s="7"/>
      <c r="D123" s="7"/>
      <c r="E123" s="7" t="s">
        <v>188</v>
      </c>
      <c r="F123" s="7"/>
      <c r="G123" s="26" t="s">
        <v>29</v>
      </c>
      <c r="H123" s="5"/>
      <c r="I123" s="26" t="s">
        <v>6</v>
      </c>
      <c r="J123" s="7"/>
      <c r="K123" s="26" t="s">
        <v>6</v>
      </c>
      <c r="L123" s="7"/>
      <c r="M123" s="26" t="s">
        <v>522</v>
      </c>
      <c r="N123" s="7"/>
    </row>
    <row r="124" spans="1:14" x14ac:dyDescent="0.3">
      <c r="A124" s="7"/>
      <c r="B124" s="7"/>
      <c r="C124" s="7"/>
      <c r="D124" s="7"/>
      <c r="E124" s="7" t="s">
        <v>189</v>
      </c>
      <c r="F124" s="7"/>
      <c r="G124" s="26" t="s">
        <v>29</v>
      </c>
      <c r="H124" s="5"/>
      <c r="I124" s="26" t="s">
        <v>6</v>
      </c>
      <c r="J124" s="7"/>
      <c r="K124" s="26" t="s">
        <v>6</v>
      </c>
      <c r="L124" s="7"/>
      <c r="M124" s="26" t="s">
        <v>522</v>
      </c>
      <c r="N124" s="7"/>
    </row>
    <row r="125" spans="1:14" x14ac:dyDescent="0.3">
      <c r="A125" s="7"/>
      <c r="B125" s="7"/>
      <c r="C125" s="7"/>
      <c r="D125" s="7"/>
      <c r="E125" s="7" t="s">
        <v>190</v>
      </c>
      <c r="F125" s="7"/>
      <c r="G125" s="26" t="s">
        <v>29</v>
      </c>
      <c r="H125" s="5"/>
      <c r="I125" s="26" t="s">
        <v>6</v>
      </c>
      <c r="J125" s="7"/>
      <c r="K125" s="26" t="s">
        <v>6</v>
      </c>
      <c r="L125" s="7"/>
      <c r="M125" s="26" t="s">
        <v>522</v>
      </c>
      <c r="N125" s="7"/>
    </row>
    <row r="126" spans="1:14" x14ac:dyDescent="0.3">
      <c r="A126" s="7"/>
      <c r="B126" s="7"/>
      <c r="C126" s="7"/>
      <c r="D126" s="7"/>
      <c r="E126" s="7" t="s">
        <v>191</v>
      </c>
      <c r="F126" s="7"/>
      <c r="G126" s="26" t="s">
        <v>29</v>
      </c>
      <c r="H126" s="5"/>
      <c r="I126" s="26" t="s">
        <v>6</v>
      </c>
      <c r="J126" s="7"/>
      <c r="K126" s="26" t="s">
        <v>6</v>
      </c>
      <c r="L126" s="7"/>
      <c r="M126" s="26" t="s">
        <v>522</v>
      </c>
      <c r="N126" s="7"/>
    </row>
    <row r="127" spans="1:14" x14ac:dyDescent="0.3">
      <c r="A127" s="7"/>
      <c r="B127" s="7"/>
      <c r="C127" s="7"/>
      <c r="D127" s="7"/>
      <c r="E127" s="7" t="s">
        <v>192</v>
      </c>
      <c r="F127" s="7"/>
      <c r="G127" s="226" t="s">
        <v>8</v>
      </c>
      <c r="H127" s="5"/>
      <c r="I127" s="26" t="s">
        <v>6</v>
      </c>
      <c r="J127" s="7"/>
      <c r="K127" s="26" t="s">
        <v>6</v>
      </c>
      <c r="L127" s="7"/>
      <c r="M127" s="26" t="s">
        <v>8</v>
      </c>
      <c r="N127" s="7"/>
    </row>
    <row r="128" spans="1:14" x14ac:dyDescent="0.3">
      <c r="A128" s="7"/>
      <c r="B128" s="7"/>
      <c r="C128" s="7"/>
      <c r="D128" s="7"/>
      <c r="E128" s="7" t="s">
        <v>193</v>
      </c>
      <c r="F128" s="7"/>
      <c r="G128" s="26" t="s">
        <v>8</v>
      </c>
      <c r="H128" s="5"/>
      <c r="I128" s="26" t="s">
        <v>6</v>
      </c>
      <c r="J128" s="7"/>
      <c r="K128" s="26" t="s">
        <v>6</v>
      </c>
      <c r="L128" s="7"/>
      <c r="M128" s="26" t="s">
        <v>8</v>
      </c>
      <c r="N128" s="7"/>
    </row>
    <row r="129" spans="1:14" x14ac:dyDescent="0.3">
      <c r="A129" s="7"/>
      <c r="B129" s="7"/>
      <c r="C129" s="7"/>
      <c r="D129" s="7"/>
      <c r="E129" s="7" t="s">
        <v>194</v>
      </c>
      <c r="F129" s="7"/>
      <c r="G129" s="26" t="s">
        <v>29</v>
      </c>
      <c r="H129" s="5"/>
      <c r="I129" s="26" t="s">
        <v>6</v>
      </c>
      <c r="J129" s="7"/>
      <c r="K129" s="26" t="s">
        <v>6</v>
      </c>
      <c r="L129" s="7"/>
      <c r="M129" s="26" t="s">
        <v>542</v>
      </c>
      <c r="N129" s="7"/>
    </row>
    <row r="130" spans="1:14" x14ac:dyDescent="0.3">
      <c r="A130" s="7"/>
      <c r="B130" s="7"/>
      <c r="C130" s="7"/>
      <c r="D130" s="7"/>
      <c r="E130" s="7" t="s">
        <v>195</v>
      </c>
      <c r="F130" s="7"/>
      <c r="G130" s="226" t="s">
        <v>8</v>
      </c>
      <c r="H130" s="5"/>
      <c r="I130" s="26" t="s">
        <v>6</v>
      </c>
      <c r="J130" s="7"/>
      <c r="K130" s="26" t="s">
        <v>6</v>
      </c>
      <c r="L130" s="7"/>
      <c r="M130" s="26" t="s">
        <v>8</v>
      </c>
      <c r="N130" s="7"/>
    </row>
    <row r="131" spans="1:14" x14ac:dyDescent="0.3">
      <c r="A131" s="7"/>
      <c r="B131" s="7"/>
      <c r="C131" s="7"/>
      <c r="D131" s="7"/>
      <c r="E131" s="7" t="s">
        <v>196</v>
      </c>
      <c r="F131" s="7"/>
      <c r="G131" s="26" t="s">
        <v>29</v>
      </c>
      <c r="H131" s="5"/>
      <c r="I131" s="26" t="s">
        <v>6</v>
      </c>
      <c r="J131" s="7"/>
      <c r="K131" s="26" t="s">
        <v>6</v>
      </c>
      <c r="L131" s="7"/>
      <c r="M131" s="26" t="s">
        <v>542</v>
      </c>
      <c r="N131" s="7"/>
    </row>
    <row r="132" spans="1:14" x14ac:dyDescent="0.3">
      <c r="A132" s="7"/>
      <c r="B132" s="7"/>
      <c r="C132" s="7"/>
      <c r="D132" s="7"/>
      <c r="E132" s="7" t="s">
        <v>197</v>
      </c>
      <c r="F132" s="7"/>
      <c r="G132" s="26" t="s">
        <v>29</v>
      </c>
      <c r="H132" s="5"/>
      <c r="I132" s="26" t="s">
        <v>6</v>
      </c>
      <c r="J132" s="7"/>
      <c r="K132" s="26" t="s">
        <v>6</v>
      </c>
      <c r="L132" s="7"/>
      <c r="M132" s="26" t="s">
        <v>542</v>
      </c>
      <c r="N132" s="7"/>
    </row>
    <row r="133" spans="1:14" x14ac:dyDescent="0.3">
      <c r="A133" s="7"/>
      <c r="B133" s="7"/>
      <c r="C133" s="7"/>
      <c r="D133" s="7"/>
      <c r="E133" s="7" t="s">
        <v>198</v>
      </c>
      <c r="F133" s="7"/>
      <c r="G133" s="26" t="s">
        <v>29</v>
      </c>
      <c r="H133" s="5"/>
      <c r="I133" s="26" t="s">
        <v>6</v>
      </c>
      <c r="J133" s="7"/>
      <c r="K133" s="26" t="s">
        <v>6</v>
      </c>
      <c r="L133" s="7"/>
      <c r="M133" s="26" t="s">
        <v>542</v>
      </c>
      <c r="N133" s="7"/>
    </row>
    <row r="134" spans="1:14" x14ac:dyDescent="0.3">
      <c r="A134" s="7"/>
      <c r="B134" s="7"/>
      <c r="C134" s="7"/>
      <c r="D134" s="7"/>
      <c r="E134" s="7" t="s">
        <v>199</v>
      </c>
      <c r="F134" s="7"/>
      <c r="G134" s="26" t="s">
        <v>7</v>
      </c>
      <c r="H134" s="5"/>
      <c r="I134" s="26" t="s">
        <v>7</v>
      </c>
      <c r="J134" s="7"/>
      <c r="K134" s="26" t="s">
        <v>7</v>
      </c>
      <c r="L134" s="7"/>
      <c r="M134" s="26" t="s">
        <v>7</v>
      </c>
      <c r="N134" s="7"/>
    </row>
    <row r="135" spans="1:14" x14ac:dyDescent="0.3">
      <c r="A135" s="7"/>
      <c r="B135" s="7"/>
      <c r="C135" s="7"/>
      <c r="D135" s="7"/>
      <c r="E135" s="7" t="s">
        <v>200</v>
      </c>
      <c r="F135" s="7"/>
      <c r="G135" s="26" t="s">
        <v>7</v>
      </c>
      <c r="H135" s="5"/>
      <c r="I135" s="26" t="s">
        <v>7</v>
      </c>
      <c r="J135" s="7"/>
      <c r="K135" s="26" t="s">
        <v>7</v>
      </c>
      <c r="L135" s="7"/>
      <c r="M135" s="26" t="s">
        <v>7</v>
      </c>
      <c r="N135" s="7"/>
    </row>
    <row r="136" spans="1:14" x14ac:dyDescent="0.3">
      <c r="A136" s="7"/>
      <c r="B136" s="7"/>
      <c r="C136" s="7"/>
      <c r="D136" s="7"/>
      <c r="E136" s="7" t="s">
        <v>201</v>
      </c>
      <c r="F136" s="7"/>
      <c r="G136" s="26" t="s">
        <v>29</v>
      </c>
      <c r="H136" s="5"/>
      <c r="I136" s="26" t="s">
        <v>6</v>
      </c>
      <c r="J136" s="7"/>
      <c r="K136" s="26" t="s">
        <v>6</v>
      </c>
      <c r="L136" s="7"/>
      <c r="M136" s="26" t="s">
        <v>541</v>
      </c>
      <c r="N136" s="7"/>
    </row>
    <row r="137" spans="1:14" x14ac:dyDescent="0.3">
      <c r="A137" s="7"/>
      <c r="B137" s="7"/>
      <c r="C137" s="7"/>
      <c r="D137" s="7"/>
      <c r="E137" s="7" t="s">
        <v>202</v>
      </c>
      <c r="F137" s="7"/>
      <c r="G137" s="26" t="s">
        <v>29</v>
      </c>
      <c r="H137" s="5"/>
      <c r="I137" s="26" t="s">
        <v>6</v>
      </c>
      <c r="J137" s="7"/>
      <c r="K137" s="26" t="s">
        <v>6</v>
      </c>
      <c r="L137" s="7"/>
      <c r="M137" s="26" t="s">
        <v>541</v>
      </c>
      <c r="N137" s="7"/>
    </row>
    <row r="138" spans="1:14" x14ac:dyDescent="0.3">
      <c r="A138" s="7"/>
      <c r="B138" s="7"/>
      <c r="C138" s="7"/>
      <c r="D138" s="7"/>
      <c r="E138" s="7" t="s">
        <v>203</v>
      </c>
      <c r="F138" s="7"/>
      <c r="G138" s="26" t="s">
        <v>29</v>
      </c>
      <c r="H138" s="5"/>
      <c r="I138" s="26" t="s">
        <v>6</v>
      </c>
      <c r="J138" s="7"/>
      <c r="K138" s="26" t="s">
        <v>6</v>
      </c>
      <c r="L138" s="7"/>
      <c r="M138" s="26" t="s">
        <v>541</v>
      </c>
      <c r="N138" s="7"/>
    </row>
    <row r="139" spans="1:14" x14ac:dyDescent="0.3">
      <c r="A139" s="7"/>
      <c r="B139" s="7"/>
      <c r="C139" s="7"/>
      <c r="D139" s="7"/>
      <c r="E139" s="7" t="s">
        <v>204</v>
      </c>
      <c r="F139" s="7"/>
      <c r="G139" s="26" t="s">
        <v>29</v>
      </c>
      <c r="H139" s="5"/>
      <c r="I139" s="26" t="s">
        <v>6</v>
      </c>
      <c r="J139" s="7"/>
      <c r="K139" s="26" t="s">
        <v>6</v>
      </c>
      <c r="L139" s="7"/>
      <c r="M139" s="26" t="s">
        <v>541</v>
      </c>
      <c r="N139" s="7"/>
    </row>
    <row r="140" spans="1:14" x14ac:dyDescent="0.3">
      <c r="A140" s="7"/>
      <c r="B140" s="7"/>
      <c r="C140" s="7"/>
      <c r="D140" s="7"/>
      <c r="E140" s="7" t="s">
        <v>205</v>
      </c>
      <c r="F140" s="7"/>
      <c r="G140" s="26" t="s">
        <v>29</v>
      </c>
      <c r="H140" s="5"/>
      <c r="I140" s="26" t="s">
        <v>6</v>
      </c>
      <c r="J140" s="7"/>
      <c r="K140" s="26" t="s">
        <v>6</v>
      </c>
      <c r="L140" s="7"/>
      <c r="M140" s="26" t="s">
        <v>541</v>
      </c>
      <c r="N140" s="7"/>
    </row>
    <row r="141" spans="1:14" x14ac:dyDescent="0.3">
      <c r="A141" s="7"/>
      <c r="B141" s="7"/>
      <c r="C141" s="7"/>
      <c r="D141" s="7"/>
      <c r="E141" s="7" t="s">
        <v>206</v>
      </c>
      <c r="F141" s="7"/>
      <c r="G141" s="26" t="s">
        <v>29</v>
      </c>
      <c r="H141" s="5"/>
      <c r="I141" s="26" t="s">
        <v>6</v>
      </c>
      <c r="J141" s="7"/>
      <c r="K141" s="26" t="s">
        <v>6</v>
      </c>
      <c r="L141" s="7"/>
      <c r="M141" s="26" t="s">
        <v>541</v>
      </c>
      <c r="N141" s="7"/>
    </row>
    <row r="142" spans="1:14" x14ac:dyDescent="0.3">
      <c r="A142" s="7"/>
      <c r="B142" s="7"/>
      <c r="C142" s="7"/>
      <c r="D142" s="7"/>
      <c r="E142" s="7" t="s">
        <v>207</v>
      </c>
      <c r="F142" s="7"/>
      <c r="G142" s="26" t="s">
        <v>29</v>
      </c>
      <c r="H142" s="5"/>
      <c r="I142" s="26" t="s">
        <v>6</v>
      </c>
      <c r="J142" s="7"/>
      <c r="K142" s="26" t="s">
        <v>6</v>
      </c>
      <c r="L142" s="7"/>
      <c r="M142" s="26" t="s">
        <v>541</v>
      </c>
      <c r="N142" s="7"/>
    </row>
    <row r="143" spans="1:14" x14ac:dyDescent="0.3">
      <c r="A143" s="7"/>
      <c r="B143" s="7"/>
      <c r="C143" s="7"/>
      <c r="D143" s="7"/>
      <c r="E143" s="7" t="s">
        <v>208</v>
      </c>
      <c r="F143" s="7"/>
      <c r="G143" s="26" t="s">
        <v>29</v>
      </c>
      <c r="H143" s="5"/>
      <c r="I143" s="26" t="s">
        <v>6</v>
      </c>
      <c r="J143" s="7"/>
      <c r="K143" s="26" t="s">
        <v>6</v>
      </c>
      <c r="L143" s="7"/>
      <c r="M143" s="26" t="s">
        <v>541</v>
      </c>
      <c r="N143" s="7"/>
    </row>
    <row r="144" spans="1:14" x14ac:dyDescent="0.3">
      <c r="A144" s="7"/>
      <c r="B144" s="7"/>
      <c r="C144" s="7"/>
      <c r="D144" s="7"/>
      <c r="E144" s="7" t="s">
        <v>209</v>
      </c>
      <c r="F144" s="7"/>
      <c r="G144" s="26" t="s">
        <v>29</v>
      </c>
      <c r="H144" s="5"/>
      <c r="I144" s="26" t="s">
        <v>6</v>
      </c>
      <c r="J144" s="7"/>
      <c r="K144" s="26" t="s">
        <v>6</v>
      </c>
      <c r="L144" s="7"/>
      <c r="M144" s="26" t="s">
        <v>541</v>
      </c>
      <c r="N144" s="7"/>
    </row>
    <row r="145" spans="1:14" x14ac:dyDescent="0.3">
      <c r="A145" s="7"/>
      <c r="B145" s="7"/>
      <c r="C145" s="7"/>
      <c r="D145" s="7"/>
      <c r="E145" s="7" t="s">
        <v>210</v>
      </c>
      <c r="F145" s="7"/>
      <c r="G145" s="26" t="s">
        <v>29</v>
      </c>
      <c r="H145" s="5"/>
      <c r="I145" s="26" t="s">
        <v>6</v>
      </c>
      <c r="J145" s="7"/>
      <c r="K145" s="26" t="s">
        <v>6</v>
      </c>
      <c r="L145" s="7"/>
      <c r="M145" s="26" t="s">
        <v>392</v>
      </c>
      <c r="N145" s="109"/>
    </row>
    <row r="146" spans="1:14" x14ac:dyDescent="0.3">
      <c r="A146" s="7"/>
      <c r="B146" s="7"/>
      <c r="C146" s="7"/>
      <c r="D146" s="7"/>
      <c r="E146" s="7" t="s">
        <v>211</v>
      </c>
      <c r="F146" s="7"/>
      <c r="G146" s="26" t="s">
        <v>29</v>
      </c>
      <c r="H146" s="5"/>
      <c r="I146" s="26" t="s">
        <v>6</v>
      </c>
      <c r="J146" s="7"/>
      <c r="K146" s="26" t="s">
        <v>6</v>
      </c>
      <c r="L146" s="7"/>
      <c r="M146" s="26" t="s">
        <v>392</v>
      </c>
      <c r="N146" s="109"/>
    </row>
    <row r="147" spans="1:14" x14ac:dyDescent="0.3">
      <c r="A147" s="7"/>
      <c r="B147" s="7"/>
      <c r="C147" s="7"/>
      <c r="D147" s="7"/>
      <c r="E147" s="7" t="s">
        <v>212</v>
      </c>
      <c r="F147" s="7"/>
      <c r="G147" s="26" t="s">
        <v>29</v>
      </c>
      <c r="H147" s="5"/>
      <c r="I147" s="26" t="s">
        <v>6</v>
      </c>
      <c r="J147" s="7"/>
      <c r="K147" s="26" t="s">
        <v>6</v>
      </c>
      <c r="L147" s="7"/>
      <c r="M147" s="26" t="s">
        <v>392</v>
      </c>
      <c r="N147" s="109"/>
    </row>
    <row r="148" spans="1:14" x14ac:dyDescent="0.3">
      <c r="A148" s="7"/>
      <c r="B148" s="7"/>
      <c r="C148" s="7"/>
      <c r="D148" s="7"/>
      <c r="E148" s="7" t="s">
        <v>213</v>
      </c>
      <c r="F148" s="7"/>
      <c r="G148" s="26" t="s">
        <v>29</v>
      </c>
      <c r="H148" s="5"/>
      <c r="I148" s="26" t="s">
        <v>6</v>
      </c>
      <c r="J148" s="7"/>
      <c r="K148" s="26" t="s">
        <v>6</v>
      </c>
      <c r="L148" s="7"/>
      <c r="M148" s="26" t="s">
        <v>392</v>
      </c>
      <c r="N148" s="109"/>
    </row>
    <row r="149" spans="1:14" x14ac:dyDescent="0.3">
      <c r="A149" s="7"/>
      <c r="B149" s="7"/>
      <c r="C149" s="7"/>
      <c r="D149" s="7"/>
      <c r="E149" s="7" t="s">
        <v>214</v>
      </c>
      <c r="F149" s="7"/>
      <c r="G149" s="26" t="s">
        <v>29</v>
      </c>
      <c r="H149" s="5"/>
      <c r="I149" s="26" t="s">
        <v>6</v>
      </c>
      <c r="J149" s="7"/>
      <c r="K149" s="26" t="s">
        <v>6</v>
      </c>
      <c r="L149" s="7"/>
      <c r="M149" s="26" t="s">
        <v>392</v>
      </c>
      <c r="N149" s="109"/>
    </row>
    <row r="150" spans="1:14" x14ac:dyDescent="0.3">
      <c r="A150" s="7"/>
      <c r="B150" s="7"/>
      <c r="C150" s="7"/>
      <c r="D150" s="7"/>
      <c r="E150" s="7" t="s">
        <v>215</v>
      </c>
      <c r="F150" s="7"/>
      <c r="G150" s="26" t="s">
        <v>29</v>
      </c>
      <c r="H150" s="5"/>
      <c r="I150" s="26" t="s">
        <v>6</v>
      </c>
      <c r="J150" s="7"/>
      <c r="K150" s="26" t="s">
        <v>6</v>
      </c>
      <c r="L150" s="7"/>
      <c r="M150" s="26" t="s">
        <v>392</v>
      </c>
      <c r="N150" s="109"/>
    </row>
    <row r="151" spans="1:14" x14ac:dyDescent="0.3">
      <c r="A151" s="7"/>
      <c r="B151" s="7"/>
      <c r="C151" s="7"/>
      <c r="D151" s="7"/>
      <c r="E151" s="7" t="s">
        <v>216</v>
      </c>
      <c r="F151" s="7"/>
      <c r="G151" s="26" t="s">
        <v>29</v>
      </c>
      <c r="H151" s="5"/>
      <c r="I151" s="26" t="s">
        <v>6</v>
      </c>
      <c r="J151" s="7"/>
      <c r="K151" s="26" t="s">
        <v>6</v>
      </c>
      <c r="L151" s="7"/>
      <c r="M151" s="26" t="s">
        <v>392</v>
      </c>
      <c r="N151" s="109"/>
    </row>
    <row r="152" spans="1:14" x14ac:dyDescent="0.3">
      <c r="A152" s="7"/>
      <c r="B152" s="7"/>
      <c r="C152" s="7"/>
      <c r="D152" s="7"/>
      <c r="E152" s="7" t="s">
        <v>217</v>
      </c>
      <c r="F152" s="7"/>
      <c r="G152" s="26" t="s">
        <v>29</v>
      </c>
      <c r="H152" s="5"/>
      <c r="I152" s="26" t="s">
        <v>6</v>
      </c>
      <c r="J152" s="7"/>
      <c r="K152" s="26" t="s">
        <v>6</v>
      </c>
      <c r="L152" s="7"/>
      <c r="M152" s="26" t="s">
        <v>533</v>
      </c>
      <c r="N152" s="7"/>
    </row>
    <row r="153" spans="1:14" x14ac:dyDescent="0.3">
      <c r="A153" s="7"/>
      <c r="B153" s="7"/>
      <c r="C153" s="7"/>
      <c r="D153" s="7"/>
      <c r="E153" s="7" t="s">
        <v>218</v>
      </c>
      <c r="F153" s="7"/>
      <c r="G153" s="26" t="s">
        <v>29</v>
      </c>
      <c r="H153" s="5"/>
      <c r="I153" s="26" t="s">
        <v>6</v>
      </c>
      <c r="J153" s="7"/>
      <c r="K153" s="26" t="s">
        <v>6</v>
      </c>
      <c r="L153" s="7"/>
      <c r="M153" s="26" t="s">
        <v>533</v>
      </c>
      <c r="N153" s="7"/>
    </row>
    <row r="154" spans="1:14" x14ac:dyDescent="0.3">
      <c r="A154" s="7"/>
      <c r="B154" s="7"/>
      <c r="C154" s="7"/>
      <c r="D154" s="7"/>
      <c r="E154" s="7" t="s">
        <v>219</v>
      </c>
      <c r="F154" s="7"/>
      <c r="G154" s="26" t="s">
        <v>29</v>
      </c>
      <c r="H154" s="5"/>
      <c r="I154" s="26" t="s">
        <v>6</v>
      </c>
      <c r="J154" s="7"/>
      <c r="K154" s="26" t="s">
        <v>6</v>
      </c>
      <c r="L154" s="7"/>
      <c r="M154" s="26" t="s">
        <v>533</v>
      </c>
      <c r="N154" s="7"/>
    </row>
    <row r="155" spans="1:14" x14ac:dyDescent="0.3">
      <c r="A155" s="7"/>
      <c r="B155" s="7"/>
      <c r="C155" s="7"/>
      <c r="D155" s="7"/>
      <c r="E155" s="7" t="s">
        <v>220</v>
      </c>
      <c r="F155" s="7"/>
      <c r="G155" s="26" t="s">
        <v>29</v>
      </c>
      <c r="H155" s="5"/>
      <c r="I155" s="26" t="s">
        <v>6</v>
      </c>
      <c r="J155" s="7"/>
      <c r="K155" s="26" t="s">
        <v>6</v>
      </c>
      <c r="L155" s="7"/>
      <c r="M155" s="26" t="s">
        <v>533</v>
      </c>
      <c r="N155" s="7"/>
    </row>
    <row r="156" spans="1:14" x14ac:dyDescent="0.3">
      <c r="A156" s="7"/>
      <c r="B156" s="7"/>
      <c r="C156" s="7"/>
      <c r="D156" s="7"/>
      <c r="E156" s="7" t="s">
        <v>221</v>
      </c>
      <c r="F156" s="7"/>
      <c r="G156" s="26" t="s">
        <v>29</v>
      </c>
      <c r="H156" s="5"/>
      <c r="I156" s="26" t="s">
        <v>6</v>
      </c>
      <c r="J156" s="7"/>
      <c r="K156" s="26" t="s">
        <v>6</v>
      </c>
      <c r="L156" s="7"/>
      <c r="M156" s="26" t="s">
        <v>533</v>
      </c>
      <c r="N156" s="7"/>
    </row>
    <row r="157" spans="1:14" x14ac:dyDescent="0.3">
      <c r="A157" s="7"/>
      <c r="B157" s="7"/>
      <c r="C157" s="7"/>
      <c r="D157" s="7"/>
      <c r="E157" s="7" t="s">
        <v>222</v>
      </c>
      <c r="F157" s="7"/>
      <c r="G157" s="26" t="s">
        <v>29</v>
      </c>
      <c r="H157" s="5"/>
      <c r="I157" s="26" t="s">
        <v>6</v>
      </c>
      <c r="J157" s="7"/>
      <c r="K157" s="26" t="s">
        <v>6</v>
      </c>
      <c r="L157" s="7"/>
      <c r="M157" s="26" t="s">
        <v>533</v>
      </c>
      <c r="N157" s="7"/>
    </row>
    <row r="158" spans="1:14" x14ac:dyDescent="0.3">
      <c r="A158" s="7"/>
      <c r="B158" s="7"/>
      <c r="C158" s="7"/>
      <c r="D158" s="7"/>
      <c r="E158" s="7" t="s">
        <v>223</v>
      </c>
      <c r="F158" s="7"/>
      <c r="G158" s="26" t="s">
        <v>29</v>
      </c>
      <c r="H158" s="5"/>
      <c r="I158" s="26" t="s">
        <v>6</v>
      </c>
      <c r="J158" s="7"/>
      <c r="K158" s="26" t="s">
        <v>6</v>
      </c>
      <c r="L158" s="7"/>
      <c r="M158" s="26" t="s">
        <v>533</v>
      </c>
      <c r="N158" s="7"/>
    </row>
    <row r="159" spans="1:14" x14ac:dyDescent="0.3">
      <c r="A159" s="7"/>
      <c r="B159" s="7"/>
      <c r="C159" s="7"/>
      <c r="D159" s="7"/>
      <c r="E159" s="7" t="s">
        <v>224</v>
      </c>
      <c r="F159" s="7"/>
      <c r="G159" s="26" t="s">
        <v>29</v>
      </c>
      <c r="H159" s="5"/>
      <c r="I159" s="26" t="s">
        <v>6</v>
      </c>
      <c r="J159" s="7"/>
      <c r="K159" s="26" t="s">
        <v>6</v>
      </c>
      <c r="L159" s="7"/>
      <c r="M159" s="26" t="s">
        <v>533</v>
      </c>
      <c r="N159" s="7"/>
    </row>
    <row r="160" spans="1:14" x14ac:dyDescent="0.3">
      <c r="A160" s="7"/>
      <c r="B160" s="7"/>
      <c r="C160" s="7"/>
      <c r="D160" s="7"/>
      <c r="E160" s="7" t="s">
        <v>225</v>
      </c>
      <c r="F160" s="7"/>
      <c r="G160" s="26" t="s">
        <v>29</v>
      </c>
      <c r="H160" s="5"/>
      <c r="I160" s="26" t="s">
        <v>6</v>
      </c>
      <c r="J160" s="7"/>
      <c r="K160" s="26" t="s">
        <v>6</v>
      </c>
      <c r="L160" s="7"/>
      <c r="M160" s="26" t="s">
        <v>533</v>
      </c>
      <c r="N160" s="7"/>
    </row>
    <row r="161" spans="1:14" x14ac:dyDescent="0.3">
      <c r="A161" s="7"/>
      <c r="B161" s="7"/>
      <c r="C161" s="7"/>
      <c r="D161" s="7"/>
      <c r="E161" s="7" t="s">
        <v>226</v>
      </c>
      <c r="F161" s="7"/>
      <c r="G161" s="26" t="s">
        <v>29</v>
      </c>
      <c r="H161" s="5"/>
      <c r="I161" s="26" t="s">
        <v>6</v>
      </c>
      <c r="J161" s="7"/>
      <c r="K161" s="26" t="s">
        <v>6</v>
      </c>
      <c r="L161" s="7"/>
      <c r="M161" s="26" t="s">
        <v>533</v>
      </c>
      <c r="N161" s="7"/>
    </row>
    <row r="162" spans="1:14" x14ac:dyDescent="0.3">
      <c r="A162" s="7"/>
      <c r="B162" s="7"/>
      <c r="C162" s="7"/>
      <c r="D162" s="7"/>
      <c r="E162" s="7" t="s">
        <v>227</v>
      </c>
      <c r="F162" s="7"/>
      <c r="G162" s="26" t="s">
        <v>29</v>
      </c>
      <c r="H162" s="5"/>
      <c r="I162" s="26" t="s">
        <v>6</v>
      </c>
      <c r="J162" s="7"/>
      <c r="K162" s="26" t="s">
        <v>6</v>
      </c>
      <c r="L162" s="7"/>
      <c r="M162" s="26" t="s">
        <v>533</v>
      </c>
      <c r="N162" s="7"/>
    </row>
    <row r="163" spans="1:14" x14ac:dyDescent="0.3">
      <c r="A163" s="7"/>
      <c r="B163" s="7"/>
      <c r="C163" s="7"/>
      <c r="D163" s="7"/>
      <c r="E163" s="7" t="s">
        <v>228</v>
      </c>
      <c r="F163" s="7"/>
      <c r="G163" s="26" t="s">
        <v>29</v>
      </c>
      <c r="H163" s="5"/>
      <c r="I163" s="26" t="s">
        <v>6</v>
      </c>
      <c r="J163" s="7"/>
      <c r="K163" s="26" t="s">
        <v>6</v>
      </c>
      <c r="L163" s="7"/>
      <c r="M163" s="26" t="s">
        <v>523</v>
      </c>
      <c r="N163" s="7"/>
    </row>
    <row r="164" spans="1:14" x14ac:dyDescent="0.3">
      <c r="A164" s="7"/>
      <c r="B164" s="7"/>
      <c r="C164" s="7"/>
      <c r="D164" s="7"/>
      <c r="E164" s="7" t="s">
        <v>229</v>
      </c>
      <c r="F164" s="7"/>
      <c r="G164" s="26" t="s">
        <v>29</v>
      </c>
      <c r="H164" s="5"/>
      <c r="I164" s="26" t="s">
        <v>6</v>
      </c>
      <c r="J164" s="7"/>
      <c r="K164" s="26" t="s">
        <v>6</v>
      </c>
      <c r="L164" s="7"/>
      <c r="M164" s="26" t="s">
        <v>532</v>
      </c>
      <c r="N164" s="7"/>
    </row>
    <row r="165" spans="1:14" x14ac:dyDescent="0.3">
      <c r="A165" s="7"/>
      <c r="B165" s="7"/>
      <c r="C165" s="7"/>
      <c r="D165" s="7"/>
      <c r="E165" s="7" t="s">
        <v>230</v>
      </c>
      <c r="F165" s="7"/>
      <c r="G165" s="26" t="s">
        <v>29</v>
      </c>
      <c r="H165" s="5"/>
      <c r="I165" s="26" t="s">
        <v>6</v>
      </c>
      <c r="J165" s="7"/>
      <c r="K165" s="26" t="s">
        <v>6</v>
      </c>
      <c r="L165" s="7"/>
      <c r="M165" s="26" t="s">
        <v>532</v>
      </c>
      <c r="N165" s="7"/>
    </row>
    <row r="166" spans="1:14" x14ac:dyDescent="0.3">
      <c r="A166" s="7"/>
      <c r="B166" s="7"/>
      <c r="C166" s="7"/>
      <c r="D166" s="7"/>
      <c r="E166" s="7" t="s">
        <v>231</v>
      </c>
      <c r="F166" s="7"/>
      <c r="G166" s="26" t="s">
        <v>29</v>
      </c>
      <c r="H166" s="5"/>
      <c r="I166" s="26" t="s">
        <v>6</v>
      </c>
      <c r="J166" s="7"/>
      <c r="K166" s="26" t="s">
        <v>6</v>
      </c>
      <c r="L166" s="7"/>
      <c r="M166" s="26" t="s">
        <v>532</v>
      </c>
      <c r="N166" s="7"/>
    </row>
    <row r="167" spans="1:14" x14ac:dyDescent="0.3">
      <c r="A167" s="7"/>
      <c r="B167" s="7"/>
      <c r="C167" s="7"/>
      <c r="D167" s="7"/>
      <c r="E167" s="7" t="s">
        <v>232</v>
      </c>
      <c r="F167" s="7"/>
      <c r="G167" s="26" t="s">
        <v>29</v>
      </c>
      <c r="H167" s="5"/>
      <c r="I167" s="26" t="s">
        <v>6</v>
      </c>
      <c r="J167" s="7"/>
      <c r="K167" s="26" t="s">
        <v>6</v>
      </c>
      <c r="L167" s="7"/>
      <c r="M167" s="26" t="s">
        <v>532</v>
      </c>
      <c r="N167" s="7"/>
    </row>
    <row r="168" spans="1:14" x14ac:dyDescent="0.3">
      <c r="A168" s="7"/>
      <c r="B168" s="7"/>
      <c r="C168" s="7"/>
      <c r="D168" s="7"/>
      <c r="E168" s="7" t="s">
        <v>233</v>
      </c>
      <c r="F168" s="7"/>
      <c r="G168" s="26" t="s">
        <v>29</v>
      </c>
      <c r="H168" s="5"/>
      <c r="I168" s="26" t="s">
        <v>6</v>
      </c>
      <c r="J168" s="7"/>
      <c r="K168" s="26" t="s">
        <v>6</v>
      </c>
      <c r="L168" s="7"/>
      <c r="M168" s="26" t="s">
        <v>532</v>
      </c>
      <c r="N168" s="7"/>
    </row>
    <row r="169" spans="1:14" x14ac:dyDescent="0.3">
      <c r="A169" s="7"/>
      <c r="B169" s="7"/>
      <c r="C169" s="7"/>
      <c r="D169" s="7"/>
      <c r="E169" s="7" t="s">
        <v>234</v>
      </c>
      <c r="F169" s="7"/>
      <c r="G169" s="26" t="s">
        <v>29</v>
      </c>
      <c r="H169" s="5"/>
      <c r="I169" s="26" t="s">
        <v>6</v>
      </c>
      <c r="J169" s="7"/>
      <c r="K169" s="26" t="s">
        <v>6</v>
      </c>
      <c r="L169" s="7"/>
      <c r="M169" s="26" t="s">
        <v>532</v>
      </c>
      <c r="N169" s="7"/>
    </row>
    <row r="170" spans="1:14" x14ac:dyDescent="0.3">
      <c r="A170" s="7"/>
      <c r="B170" s="7"/>
      <c r="C170" s="7"/>
      <c r="D170" s="7"/>
      <c r="E170" s="7" t="s">
        <v>235</v>
      </c>
      <c r="F170" s="7"/>
      <c r="G170" s="26" t="s">
        <v>29</v>
      </c>
      <c r="H170" s="5"/>
      <c r="I170" s="26" t="s">
        <v>6</v>
      </c>
      <c r="J170" s="7"/>
      <c r="K170" s="26" t="s">
        <v>6</v>
      </c>
      <c r="L170" s="7"/>
      <c r="M170" s="26" t="s">
        <v>532</v>
      </c>
      <c r="N170" s="7"/>
    </row>
    <row r="171" spans="1:14" x14ac:dyDescent="0.3">
      <c r="A171" s="7"/>
      <c r="B171" s="7"/>
      <c r="C171" s="7"/>
      <c r="D171" s="7"/>
      <c r="E171" s="7" t="s">
        <v>236</v>
      </c>
      <c r="F171" s="7"/>
      <c r="G171" s="26" t="s">
        <v>29</v>
      </c>
      <c r="H171" s="5"/>
      <c r="I171" s="26" t="s">
        <v>6</v>
      </c>
      <c r="J171" s="7"/>
      <c r="K171" s="26" t="s">
        <v>6</v>
      </c>
      <c r="L171" s="7"/>
      <c r="M171" s="26" t="s">
        <v>532</v>
      </c>
      <c r="N171" s="7"/>
    </row>
    <row r="172" spans="1:14" x14ac:dyDescent="0.3">
      <c r="A172" s="7"/>
      <c r="B172" s="7"/>
      <c r="C172" s="7"/>
      <c r="D172" s="7"/>
      <c r="E172" s="7" t="s">
        <v>544</v>
      </c>
      <c r="F172" s="7"/>
      <c r="G172" s="26" t="s">
        <v>29</v>
      </c>
      <c r="H172" s="5"/>
      <c r="I172" s="26" t="s">
        <v>6</v>
      </c>
      <c r="J172" s="7"/>
      <c r="K172" s="26" t="s">
        <v>6</v>
      </c>
      <c r="L172" s="7"/>
      <c r="M172" s="26" t="s">
        <v>532</v>
      </c>
      <c r="N172" s="7"/>
    </row>
    <row r="173" spans="1:14" x14ac:dyDescent="0.3">
      <c r="A173" s="7"/>
      <c r="B173" s="7"/>
      <c r="C173" s="7"/>
      <c r="D173" s="7"/>
      <c r="E173" s="7" t="s">
        <v>237</v>
      </c>
      <c r="F173" s="7"/>
      <c r="G173" s="26" t="s">
        <v>29</v>
      </c>
      <c r="H173" s="5"/>
      <c r="I173" s="26" t="s">
        <v>6</v>
      </c>
      <c r="J173" s="7"/>
      <c r="K173" s="26" t="s">
        <v>6</v>
      </c>
      <c r="L173" s="7"/>
      <c r="M173" s="26" t="s">
        <v>532</v>
      </c>
      <c r="N173" s="7"/>
    </row>
    <row r="174" spans="1:14" x14ac:dyDescent="0.3">
      <c r="A174" s="7"/>
      <c r="B174" s="7"/>
      <c r="C174" s="7"/>
      <c r="D174" s="7"/>
      <c r="E174" s="7" t="s">
        <v>238</v>
      </c>
      <c r="F174" s="7"/>
      <c r="G174" s="26" t="s">
        <v>29</v>
      </c>
      <c r="H174" s="5"/>
      <c r="I174" s="26" t="s">
        <v>6</v>
      </c>
      <c r="J174" s="7"/>
      <c r="K174" s="26" t="s">
        <v>6</v>
      </c>
      <c r="L174" s="7"/>
      <c r="M174" s="26" t="s">
        <v>532</v>
      </c>
      <c r="N174" s="7"/>
    </row>
    <row r="175" spans="1:14" x14ac:dyDescent="0.3">
      <c r="A175" s="7"/>
      <c r="B175" s="7"/>
      <c r="C175" s="7"/>
      <c r="D175" s="7"/>
      <c r="E175" s="7" t="s">
        <v>239</v>
      </c>
      <c r="F175" s="7"/>
      <c r="G175" s="26" t="s">
        <v>29</v>
      </c>
      <c r="H175" s="5"/>
      <c r="I175" s="26" t="s">
        <v>6</v>
      </c>
      <c r="J175" s="7"/>
      <c r="K175" s="26" t="s">
        <v>6</v>
      </c>
      <c r="L175" s="7"/>
      <c r="M175" s="26" t="s">
        <v>532</v>
      </c>
      <c r="N175" s="7"/>
    </row>
    <row r="176" spans="1:14" x14ac:dyDescent="0.3">
      <c r="A176" s="7"/>
      <c r="B176" s="7"/>
      <c r="C176" s="7"/>
      <c r="D176" s="7"/>
      <c r="E176" s="7" t="s">
        <v>240</v>
      </c>
      <c r="F176" s="7"/>
      <c r="G176" s="26" t="s">
        <v>29</v>
      </c>
      <c r="H176" s="5"/>
      <c r="I176" s="26" t="s">
        <v>6</v>
      </c>
      <c r="J176" s="7"/>
      <c r="K176" s="26" t="s">
        <v>6</v>
      </c>
      <c r="L176" s="7"/>
      <c r="M176" s="26" t="s">
        <v>532</v>
      </c>
      <c r="N176" s="7"/>
    </row>
    <row r="177" spans="1:14" x14ac:dyDescent="0.3">
      <c r="A177" s="7"/>
      <c r="B177" s="7"/>
      <c r="C177" s="7"/>
      <c r="D177" s="7"/>
      <c r="E177" s="7" t="s">
        <v>241</v>
      </c>
      <c r="F177" s="7"/>
      <c r="G177" s="26" t="s">
        <v>29</v>
      </c>
      <c r="H177" s="5"/>
      <c r="I177" s="26" t="s">
        <v>6</v>
      </c>
      <c r="J177" s="7"/>
      <c r="K177" s="26" t="s">
        <v>6</v>
      </c>
      <c r="L177" s="7"/>
      <c r="M177" s="26" t="s">
        <v>532</v>
      </c>
      <c r="N177" s="7"/>
    </row>
    <row r="178" spans="1:14" x14ac:dyDescent="0.3">
      <c r="A178" s="7"/>
      <c r="B178" s="7"/>
      <c r="C178" s="7"/>
      <c r="D178" s="7"/>
      <c r="E178" s="7" t="s">
        <v>242</v>
      </c>
      <c r="F178" s="7"/>
      <c r="G178" s="26" t="s">
        <v>29</v>
      </c>
      <c r="H178" s="5"/>
      <c r="I178" s="26" t="s">
        <v>6</v>
      </c>
      <c r="J178" s="7"/>
      <c r="K178" s="26" t="s">
        <v>6</v>
      </c>
      <c r="L178" s="7"/>
      <c r="M178" s="26" t="s">
        <v>532</v>
      </c>
      <c r="N178" s="7"/>
    </row>
    <row r="179" spans="1:14" x14ac:dyDescent="0.3">
      <c r="A179" s="7"/>
      <c r="B179" s="7"/>
      <c r="C179" s="7"/>
      <c r="D179" s="7"/>
      <c r="E179" s="7" t="s">
        <v>243</v>
      </c>
      <c r="F179" s="7"/>
      <c r="G179" s="26" t="s">
        <v>29</v>
      </c>
      <c r="H179" s="5"/>
      <c r="I179" s="26" t="s">
        <v>6</v>
      </c>
      <c r="J179" s="7"/>
      <c r="K179" s="26" t="s">
        <v>6</v>
      </c>
      <c r="L179" s="7"/>
      <c r="M179" s="26" t="s">
        <v>532</v>
      </c>
      <c r="N179" s="7"/>
    </row>
    <row r="180" spans="1:14" x14ac:dyDescent="0.3">
      <c r="A180" s="7"/>
      <c r="B180" s="7"/>
      <c r="C180" s="7"/>
      <c r="D180" s="7"/>
      <c r="E180" s="7" t="s">
        <v>244</v>
      </c>
      <c r="F180" s="7"/>
      <c r="G180" s="26" t="s">
        <v>29</v>
      </c>
      <c r="H180" s="5"/>
      <c r="I180" s="26" t="s">
        <v>6</v>
      </c>
      <c r="J180" s="7"/>
      <c r="K180" s="26" t="s">
        <v>6</v>
      </c>
      <c r="L180" s="7"/>
      <c r="M180" s="26" t="s">
        <v>532</v>
      </c>
      <c r="N180" s="7"/>
    </row>
    <row r="181" spans="1:14" x14ac:dyDescent="0.3">
      <c r="A181" s="7"/>
      <c r="B181" s="7"/>
      <c r="C181" s="7"/>
      <c r="D181" s="7"/>
      <c r="E181" s="7" t="s">
        <v>245</v>
      </c>
      <c r="F181" s="7"/>
      <c r="G181" s="26" t="s">
        <v>269</v>
      </c>
      <c r="H181" s="5"/>
      <c r="I181" s="26" t="s">
        <v>269</v>
      </c>
      <c r="J181" s="7"/>
      <c r="K181" s="26" t="s">
        <v>269</v>
      </c>
      <c r="L181" s="7"/>
      <c r="M181" s="26" t="s">
        <v>520</v>
      </c>
      <c r="N181" s="7"/>
    </row>
    <row r="182" spans="1:14" x14ac:dyDescent="0.3">
      <c r="A182" s="7"/>
      <c r="B182" s="7"/>
      <c r="C182" s="7"/>
      <c r="D182" s="7"/>
      <c r="E182" s="7" t="s">
        <v>246</v>
      </c>
      <c r="F182" s="7"/>
      <c r="G182" s="26" t="s">
        <v>269</v>
      </c>
      <c r="H182" s="5"/>
      <c r="I182" s="26" t="s">
        <v>269</v>
      </c>
      <c r="J182" s="7"/>
      <c r="K182" s="26" t="s">
        <v>269</v>
      </c>
      <c r="L182" s="7"/>
      <c r="M182" s="26" t="s">
        <v>520</v>
      </c>
      <c r="N182" s="7"/>
    </row>
    <row r="183" spans="1:14" x14ac:dyDescent="0.3">
      <c r="A183" s="7"/>
      <c r="B183" s="7"/>
      <c r="C183" s="7"/>
      <c r="D183" s="7"/>
      <c r="E183" s="7" t="s">
        <v>247</v>
      </c>
      <c r="F183" s="7"/>
      <c r="G183" s="26" t="s">
        <v>269</v>
      </c>
      <c r="H183" s="5"/>
      <c r="I183" s="26" t="s">
        <v>269</v>
      </c>
      <c r="J183" s="7"/>
      <c r="K183" s="26" t="s">
        <v>269</v>
      </c>
      <c r="L183" s="7"/>
      <c r="M183" s="26" t="s">
        <v>520</v>
      </c>
      <c r="N183" s="7"/>
    </row>
    <row r="184" spans="1:14" x14ac:dyDescent="0.3">
      <c r="A184" s="7"/>
      <c r="B184" s="7"/>
      <c r="C184" s="7"/>
      <c r="D184" s="7"/>
      <c r="E184" s="7" t="s">
        <v>248</v>
      </c>
      <c r="F184" s="7"/>
      <c r="G184" s="26" t="s">
        <v>269</v>
      </c>
      <c r="H184" s="5"/>
      <c r="I184" s="26" t="s">
        <v>269</v>
      </c>
      <c r="J184" s="7"/>
      <c r="K184" s="26" t="s">
        <v>269</v>
      </c>
      <c r="L184" s="7"/>
      <c r="M184" s="26" t="s">
        <v>521</v>
      </c>
      <c r="N184" s="7"/>
    </row>
    <row r="185" spans="1:14" x14ac:dyDescent="0.3">
      <c r="A185" s="7"/>
      <c r="B185" s="7"/>
      <c r="C185" s="7"/>
      <c r="D185" s="7"/>
      <c r="E185" s="7" t="s">
        <v>249</v>
      </c>
      <c r="F185" s="7"/>
      <c r="G185" s="26" t="s">
        <v>269</v>
      </c>
      <c r="H185" s="5"/>
      <c r="I185" s="26" t="s">
        <v>269</v>
      </c>
      <c r="J185" s="7"/>
      <c r="K185" s="26" t="s">
        <v>269</v>
      </c>
      <c r="L185" s="7"/>
      <c r="M185" s="26" t="s">
        <v>521</v>
      </c>
      <c r="N185" s="7"/>
    </row>
    <row r="186" spans="1:14" x14ac:dyDescent="0.3">
      <c r="A186" s="7"/>
      <c r="B186" s="7"/>
      <c r="C186" s="7"/>
      <c r="D186" s="7"/>
      <c r="E186" s="7" t="s">
        <v>250</v>
      </c>
      <c r="F186" s="7"/>
      <c r="G186" s="26" t="s">
        <v>59</v>
      </c>
      <c r="H186" s="5"/>
      <c r="I186" s="26" t="s">
        <v>579</v>
      </c>
      <c r="J186" s="7"/>
      <c r="K186" s="26" t="s">
        <v>579</v>
      </c>
      <c r="L186" s="7"/>
      <c r="M186" s="26" t="s">
        <v>520</v>
      </c>
      <c r="N186" s="7"/>
    </row>
    <row r="187" spans="1:14" x14ac:dyDescent="0.3">
      <c r="A187" s="7"/>
      <c r="B187" s="7"/>
      <c r="C187" s="7"/>
      <c r="D187" s="7"/>
      <c r="E187" s="7" t="s">
        <v>251</v>
      </c>
      <c r="F187" s="7"/>
      <c r="G187" s="26" t="s">
        <v>269</v>
      </c>
      <c r="H187" s="5"/>
      <c r="I187" s="26" t="s">
        <v>269</v>
      </c>
      <c r="J187" s="7"/>
      <c r="K187" s="26" t="s">
        <v>269</v>
      </c>
      <c r="L187" s="7"/>
      <c r="M187" s="26" t="s">
        <v>521</v>
      </c>
      <c r="N187" s="7"/>
    </row>
    <row r="188" spans="1:14" x14ac:dyDescent="0.3">
      <c r="A188" s="7"/>
      <c r="B188" s="7"/>
      <c r="C188" s="7"/>
      <c r="D188" s="7"/>
      <c r="E188" s="7" t="s">
        <v>252</v>
      </c>
      <c r="F188" s="7"/>
      <c r="G188" s="26" t="s">
        <v>269</v>
      </c>
      <c r="H188" s="5"/>
      <c r="I188" s="26" t="s">
        <v>269</v>
      </c>
      <c r="J188" s="7"/>
      <c r="K188" s="26" t="s">
        <v>269</v>
      </c>
      <c r="L188" s="7"/>
      <c r="M188" s="26" t="s">
        <v>521</v>
      </c>
      <c r="N188" s="7"/>
    </row>
    <row r="189" spans="1:14" x14ac:dyDescent="0.3">
      <c r="A189" s="7"/>
      <c r="B189" s="7"/>
      <c r="C189" s="7"/>
      <c r="D189" s="7"/>
      <c r="E189" s="7" t="s">
        <v>253</v>
      </c>
      <c r="F189" s="7"/>
      <c r="G189" s="26" t="s">
        <v>269</v>
      </c>
      <c r="H189" s="5"/>
      <c r="I189" s="26" t="s">
        <v>269</v>
      </c>
      <c r="J189" s="7"/>
      <c r="K189" s="26" t="s">
        <v>269</v>
      </c>
      <c r="L189" s="7"/>
      <c r="M189" s="26" t="s">
        <v>521</v>
      </c>
      <c r="N189" s="7"/>
    </row>
    <row r="190" spans="1:14" x14ac:dyDescent="0.3">
      <c r="A190" s="7"/>
      <c r="B190" s="7"/>
      <c r="C190" s="7"/>
      <c r="D190" s="7"/>
      <c r="E190" s="7" t="s">
        <v>254</v>
      </c>
      <c r="F190" s="7"/>
      <c r="G190" s="26" t="s">
        <v>269</v>
      </c>
      <c r="H190" s="5"/>
      <c r="I190" s="26" t="s">
        <v>269</v>
      </c>
      <c r="J190" s="7"/>
      <c r="K190" s="26" t="s">
        <v>269</v>
      </c>
      <c r="L190" s="7"/>
      <c r="M190" s="26" t="s">
        <v>521</v>
      </c>
      <c r="N190" s="7"/>
    </row>
    <row r="191" spans="1:14" x14ac:dyDescent="0.3">
      <c r="A191" s="7"/>
      <c r="B191" s="7"/>
      <c r="C191" s="7"/>
      <c r="D191" s="7"/>
      <c r="E191" s="7" t="s">
        <v>255</v>
      </c>
      <c r="F191" s="7"/>
      <c r="G191" s="26" t="s">
        <v>269</v>
      </c>
      <c r="H191" s="5"/>
      <c r="I191" s="26" t="s">
        <v>269</v>
      </c>
      <c r="J191" s="7"/>
      <c r="K191" s="26" t="s">
        <v>269</v>
      </c>
      <c r="L191" s="7"/>
      <c r="M191" s="26" t="s">
        <v>521</v>
      </c>
      <c r="N191" s="7"/>
    </row>
    <row r="192" spans="1:14" x14ac:dyDescent="0.3">
      <c r="A192" s="7"/>
      <c r="B192" s="7"/>
      <c r="C192" s="7"/>
      <c r="D192" s="7"/>
      <c r="E192" s="7" t="s">
        <v>256</v>
      </c>
      <c r="F192" s="7"/>
      <c r="G192" s="26" t="s">
        <v>269</v>
      </c>
      <c r="H192" s="5"/>
      <c r="I192" s="26" t="s">
        <v>269</v>
      </c>
      <c r="J192" s="7"/>
      <c r="K192" s="26" t="s">
        <v>269</v>
      </c>
      <c r="L192" s="7"/>
      <c r="M192" s="26" t="s">
        <v>520</v>
      </c>
      <c r="N192" s="7"/>
    </row>
    <row r="193" spans="1:14" x14ac:dyDescent="0.3">
      <c r="A193" s="7"/>
      <c r="B193" s="7"/>
      <c r="C193" s="7"/>
      <c r="D193" s="7"/>
      <c r="E193" s="7" t="s">
        <v>257</v>
      </c>
      <c r="F193" s="7"/>
      <c r="G193" s="26" t="s">
        <v>269</v>
      </c>
      <c r="H193" s="5"/>
      <c r="I193" s="26" t="s">
        <v>269</v>
      </c>
      <c r="J193" s="7"/>
      <c r="K193" s="26" t="s">
        <v>269</v>
      </c>
      <c r="L193" s="7"/>
      <c r="M193" s="26" t="s">
        <v>520</v>
      </c>
      <c r="N193" s="7"/>
    </row>
    <row r="194" spans="1:14" x14ac:dyDescent="0.3">
      <c r="A194" s="7"/>
      <c r="B194" s="7"/>
      <c r="C194" s="7"/>
      <c r="D194" s="7"/>
      <c r="E194" s="7" t="s">
        <v>258</v>
      </c>
      <c r="F194" s="7"/>
      <c r="G194" s="26" t="s">
        <v>269</v>
      </c>
      <c r="H194" s="5"/>
      <c r="I194" s="26" t="s">
        <v>269</v>
      </c>
      <c r="J194" s="7"/>
      <c r="K194" s="26" t="s">
        <v>269</v>
      </c>
      <c r="L194" s="7"/>
      <c r="M194" s="26" t="s">
        <v>520</v>
      </c>
      <c r="N194" s="7"/>
    </row>
    <row r="195" spans="1:14" x14ac:dyDescent="0.3">
      <c r="A195" s="7"/>
      <c r="B195" s="7"/>
      <c r="C195" s="7"/>
      <c r="D195" s="7"/>
      <c r="E195" s="7" t="s">
        <v>259</v>
      </c>
      <c r="F195" s="7"/>
      <c r="G195" s="26" t="s">
        <v>269</v>
      </c>
      <c r="H195" s="5"/>
      <c r="I195" s="26" t="s">
        <v>269</v>
      </c>
      <c r="J195" s="7"/>
      <c r="K195" s="26" t="s">
        <v>269</v>
      </c>
      <c r="L195" s="7"/>
      <c r="M195" s="26" t="s">
        <v>520</v>
      </c>
      <c r="N195" s="7"/>
    </row>
    <row r="196" spans="1:14" x14ac:dyDescent="0.3">
      <c r="A196" s="7"/>
      <c r="B196" s="7"/>
      <c r="C196" s="7"/>
      <c r="D196" s="7"/>
      <c r="E196" s="7" t="s">
        <v>260</v>
      </c>
      <c r="F196" s="7"/>
      <c r="G196" s="26" t="s">
        <v>29</v>
      </c>
      <c r="H196" s="5"/>
      <c r="I196" s="26" t="s">
        <v>6</v>
      </c>
      <c r="J196" s="7"/>
      <c r="K196" s="26" t="s">
        <v>6</v>
      </c>
      <c r="L196" s="7"/>
      <c r="M196" s="26" t="s">
        <v>538</v>
      </c>
      <c r="N196" s="7"/>
    </row>
    <row r="197" spans="1:14" x14ac:dyDescent="0.3">
      <c r="A197" s="7"/>
      <c r="B197" s="7"/>
      <c r="C197" s="7"/>
      <c r="D197" s="7"/>
      <c r="E197" s="7" t="s">
        <v>261</v>
      </c>
      <c r="F197" s="7"/>
      <c r="G197" s="26" t="s">
        <v>269</v>
      </c>
      <c r="H197" s="5"/>
      <c r="I197" s="26" t="s">
        <v>269</v>
      </c>
      <c r="J197" s="7"/>
      <c r="K197" s="26" t="s">
        <v>269</v>
      </c>
      <c r="L197" s="7"/>
      <c r="M197" s="26" t="s">
        <v>520</v>
      </c>
      <c r="N197" s="7"/>
    </row>
    <row r="198" spans="1:14" x14ac:dyDescent="0.3">
      <c r="A198" s="7"/>
      <c r="B198" s="7"/>
      <c r="C198" s="7"/>
      <c r="D198" s="7"/>
      <c r="E198" s="7" t="s">
        <v>262</v>
      </c>
      <c r="F198" s="7"/>
      <c r="G198" s="26" t="s">
        <v>269</v>
      </c>
      <c r="H198" s="5"/>
      <c r="I198" s="26" t="s">
        <v>269</v>
      </c>
      <c r="J198" s="7"/>
      <c r="K198" s="26" t="s">
        <v>269</v>
      </c>
      <c r="L198" s="7"/>
      <c r="M198" s="26" t="s">
        <v>520</v>
      </c>
      <c r="N198" s="7"/>
    </row>
    <row r="199" spans="1:14" x14ac:dyDescent="0.3">
      <c r="A199" s="7"/>
      <c r="B199" s="7"/>
      <c r="C199" s="7"/>
      <c r="D199" s="7"/>
      <c r="E199" s="7" t="s">
        <v>263</v>
      </c>
      <c r="F199" s="7"/>
      <c r="G199" s="26" t="s">
        <v>269</v>
      </c>
      <c r="H199" s="5"/>
      <c r="I199" s="26" t="s">
        <v>269</v>
      </c>
      <c r="J199" s="7"/>
      <c r="K199" s="26" t="s">
        <v>269</v>
      </c>
      <c r="L199" s="7"/>
      <c r="M199" s="26" t="s">
        <v>520</v>
      </c>
      <c r="N199" s="7"/>
    </row>
    <row r="200" spans="1:14" x14ac:dyDescent="0.3">
      <c r="A200" s="7"/>
      <c r="B200" s="7"/>
      <c r="C200" s="7"/>
      <c r="D200" s="7"/>
      <c r="E200" s="7" t="s">
        <v>264</v>
      </c>
      <c r="F200" s="7"/>
      <c r="G200" s="26" t="s">
        <v>269</v>
      </c>
      <c r="H200" s="5"/>
      <c r="I200" s="26" t="s">
        <v>269</v>
      </c>
      <c r="J200" s="7"/>
      <c r="K200" s="26" t="s">
        <v>269</v>
      </c>
      <c r="L200" s="7"/>
      <c r="M200" s="26" t="s">
        <v>520</v>
      </c>
      <c r="N200" s="7"/>
    </row>
    <row r="201" spans="1:14" x14ac:dyDescent="0.3">
      <c r="A201" s="7"/>
      <c r="B201" s="7"/>
      <c r="C201" s="7"/>
      <c r="D201" s="7"/>
      <c r="E201" s="7" t="s">
        <v>265</v>
      </c>
      <c r="F201" s="7"/>
      <c r="G201" s="26" t="s">
        <v>30</v>
      </c>
      <c r="H201" s="5"/>
      <c r="I201" s="26" t="s">
        <v>6</v>
      </c>
      <c r="J201" s="7"/>
      <c r="K201" s="26" t="s">
        <v>30</v>
      </c>
      <c r="L201" s="7"/>
      <c r="M201" s="26" t="s">
        <v>520</v>
      </c>
      <c r="N201" s="7"/>
    </row>
    <row r="202" spans="1:14" x14ac:dyDescent="0.3">
      <c r="A202" s="7"/>
      <c r="B202" s="7"/>
      <c r="C202" s="7"/>
      <c r="D202" s="7"/>
      <c r="E202" s="7" t="s">
        <v>266</v>
      </c>
      <c r="F202" s="7"/>
      <c r="G202" s="26" t="s">
        <v>269</v>
      </c>
      <c r="H202" s="5"/>
      <c r="I202" s="26" t="s">
        <v>269</v>
      </c>
      <c r="J202" s="7"/>
      <c r="K202" s="26" t="s">
        <v>269</v>
      </c>
      <c r="L202" s="7"/>
      <c r="M202" s="26" t="s">
        <v>520</v>
      </c>
      <c r="N202" s="7"/>
    </row>
    <row r="203" spans="1:14" x14ac:dyDescent="0.3">
      <c r="A203" s="7"/>
      <c r="B203" s="7"/>
      <c r="C203" s="7"/>
      <c r="D203" s="7"/>
      <c r="E203" s="7" t="s">
        <v>267</v>
      </c>
      <c r="F203" s="7"/>
      <c r="G203" s="26" t="s">
        <v>29</v>
      </c>
      <c r="H203" s="5"/>
      <c r="I203" s="26" t="s">
        <v>6</v>
      </c>
      <c r="J203" s="7"/>
      <c r="K203" s="26" t="s">
        <v>6</v>
      </c>
      <c r="L203" s="7"/>
      <c r="M203" s="26" t="s">
        <v>38</v>
      </c>
      <c r="N203" s="7"/>
    </row>
    <row r="204" spans="1:14" x14ac:dyDescent="0.3">
      <c r="A204" s="7"/>
      <c r="B204" s="7"/>
      <c r="C204" s="7"/>
      <c r="D204" s="7"/>
      <c r="E204" s="7" t="s">
        <v>268</v>
      </c>
      <c r="F204" s="7"/>
      <c r="G204" s="26" t="s">
        <v>29</v>
      </c>
      <c r="H204" s="5"/>
      <c r="I204" s="26" t="s">
        <v>6</v>
      </c>
      <c r="J204" s="7"/>
      <c r="K204" s="26" t="s">
        <v>6</v>
      </c>
      <c r="L204" s="7"/>
      <c r="M204" s="26" t="s">
        <v>538</v>
      </c>
      <c r="N204" s="7"/>
    </row>
    <row r="205" spans="1:14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x14ac:dyDescent="0.3">
      <c r="A206" s="7"/>
      <c r="B206" s="7"/>
      <c r="C206" s="7"/>
      <c r="D206" s="7"/>
      <c r="E206" s="9" t="s">
        <v>9</v>
      </c>
      <c r="F206" s="7"/>
      <c r="G206" s="7"/>
      <c r="H206" s="7"/>
      <c r="I206" s="7"/>
      <c r="J206" s="7"/>
      <c r="K206" s="7"/>
      <c r="L206" s="7"/>
      <c r="M206" s="7"/>
      <c r="N206" s="7"/>
    </row>
    <row r="207" spans="1:14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x14ac:dyDescent="0.3">
      <c r="A208" s="7"/>
      <c r="B208" s="7"/>
      <c r="C208" s="7"/>
      <c r="D208" s="7"/>
      <c r="E208" s="7">
        <v>70810</v>
      </c>
      <c r="F208" s="7"/>
      <c r="G208" s="7" t="s">
        <v>472</v>
      </c>
      <c r="H208" s="7"/>
      <c r="I208" s="26" t="s">
        <v>10</v>
      </c>
      <c r="J208" s="7"/>
      <c r="K208" s="26" t="s">
        <v>19</v>
      </c>
      <c r="L208" s="7"/>
      <c r="M208" s="7"/>
      <c r="N208" s="7"/>
    </row>
    <row r="209" spans="1:14" x14ac:dyDescent="0.3">
      <c r="A209" s="7"/>
      <c r="B209" s="7"/>
      <c r="C209" s="7"/>
      <c r="D209" s="7"/>
      <c r="E209" s="7">
        <v>70815</v>
      </c>
      <c r="F209" s="7"/>
      <c r="G209" s="7" t="s">
        <v>451</v>
      </c>
      <c r="H209" s="7"/>
      <c r="I209" s="26" t="s">
        <v>10</v>
      </c>
      <c r="J209" s="7"/>
      <c r="K209" s="26" t="s">
        <v>19</v>
      </c>
      <c r="L209" s="7"/>
      <c r="M209" s="7"/>
      <c r="N209" s="7"/>
    </row>
    <row r="210" spans="1:14" x14ac:dyDescent="0.3">
      <c r="A210" s="7"/>
      <c r="B210" s="7"/>
      <c r="C210" s="7"/>
      <c r="D210" s="7"/>
      <c r="E210" s="7">
        <v>71000</v>
      </c>
      <c r="F210" s="7"/>
      <c r="G210" s="7" t="s">
        <v>457</v>
      </c>
      <c r="H210" s="7"/>
      <c r="I210" s="26" t="s">
        <v>12</v>
      </c>
      <c r="J210" s="7"/>
      <c r="K210" s="26" t="s">
        <v>19</v>
      </c>
      <c r="L210" s="7"/>
      <c r="M210" s="7"/>
      <c r="N210" s="7"/>
    </row>
    <row r="211" spans="1:14" x14ac:dyDescent="0.3">
      <c r="A211" s="7"/>
      <c r="B211" s="7"/>
      <c r="C211" s="7"/>
      <c r="D211" s="7"/>
      <c r="E211" s="7">
        <v>71005</v>
      </c>
      <c r="F211" s="7"/>
      <c r="G211" s="7" t="s">
        <v>461</v>
      </c>
      <c r="H211" s="7"/>
      <c r="I211" s="26" t="s">
        <v>10</v>
      </c>
      <c r="J211" s="7"/>
      <c r="K211" s="26" t="s">
        <v>19</v>
      </c>
      <c r="L211" s="7"/>
      <c r="M211" s="7"/>
      <c r="N211" s="7"/>
    </row>
    <row r="212" spans="1:14" x14ac:dyDescent="0.3">
      <c r="A212" s="7"/>
      <c r="B212" s="7"/>
      <c r="C212" s="7"/>
      <c r="D212" s="7"/>
      <c r="E212" s="7">
        <v>71006</v>
      </c>
      <c r="F212" s="7"/>
      <c r="G212" s="7" t="s">
        <v>468</v>
      </c>
      <c r="H212" s="7"/>
      <c r="I212" s="26" t="s">
        <v>10</v>
      </c>
      <c r="J212" s="7"/>
      <c r="K212" s="26" t="s">
        <v>19</v>
      </c>
      <c r="L212" s="7"/>
      <c r="M212" s="7"/>
      <c r="N212" s="7"/>
    </row>
    <row r="213" spans="1:14" x14ac:dyDescent="0.3">
      <c r="A213" s="7"/>
      <c r="B213" s="7"/>
      <c r="C213" s="7"/>
      <c r="D213" s="7"/>
      <c r="E213" s="7">
        <v>71010</v>
      </c>
      <c r="F213" s="7"/>
      <c r="G213" s="7" t="s">
        <v>487</v>
      </c>
      <c r="H213" s="7"/>
      <c r="I213" s="26" t="s">
        <v>12</v>
      </c>
      <c r="J213" s="7"/>
      <c r="K213" s="26" t="s">
        <v>19</v>
      </c>
      <c r="L213" s="7"/>
      <c r="M213" s="7"/>
      <c r="N213" s="7"/>
    </row>
    <row r="214" spans="1:14" x14ac:dyDescent="0.3">
      <c r="A214" s="7"/>
      <c r="B214" s="7"/>
      <c r="C214" s="7"/>
      <c r="D214" s="7"/>
      <c r="E214" s="7">
        <v>71015</v>
      </c>
      <c r="F214" s="7"/>
      <c r="G214" s="7" t="s">
        <v>463</v>
      </c>
      <c r="H214" s="7"/>
      <c r="I214" s="26" t="s">
        <v>10</v>
      </c>
      <c r="J214" s="7"/>
      <c r="K214" s="26" t="s">
        <v>19</v>
      </c>
      <c r="L214" s="7"/>
      <c r="M214" s="7"/>
      <c r="N214" s="7"/>
    </row>
    <row r="215" spans="1:14" x14ac:dyDescent="0.3">
      <c r="A215" s="7"/>
      <c r="B215" s="7"/>
      <c r="C215" s="7"/>
      <c r="D215" s="7"/>
      <c r="E215" s="7">
        <v>71045</v>
      </c>
      <c r="F215" s="7"/>
      <c r="G215" s="7" t="s">
        <v>469</v>
      </c>
      <c r="H215" s="7"/>
      <c r="I215" s="26" t="s">
        <v>10</v>
      </c>
      <c r="J215" s="7"/>
      <c r="K215" s="26" t="s">
        <v>19</v>
      </c>
      <c r="L215" s="7"/>
      <c r="M215" s="7"/>
      <c r="N215" s="7"/>
    </row>
    <row r="216" spans="1:14" x14ac:dyDescent="0.3">
      <c r="A216" s="7"/>
      <c r="B216" s="7"/>
      <c r="C216" s="7"/>
      <c r="D216" s="7"/>
      <c r="E216" s="7">
        <v>71210</v>
      </c>
      <c r="F216" s="7"/>
      <c r="G216" s="7" t="s">
        <v>488</v>
      </c>
      <c r="H216" s="7"/>
      <c r="I216" s="26" t="s">
        <v>12</v>
      </c>
      <c r="J216" s="7"/>
      <c r="K216" s="26" t="s">
        <v>19</v>
      </c>
      <c r="L216" s="7"/>
      <c r="M216" s="7"/>
      <c r="N216" s="7"/>
    </row>
    <row r="217" spans="1:14" x14ac:dyDescent="0.3">
      <c r="A217" s="7"/>
      <c r="B217" s="7"/>
      <c r="C217" s="7"/>
      <c r="D217" s="7"/>
      <c r="E217" s="7">
        <v>72200</v>
      </c>
      <c r="F217" s="7"/>
      <c r="G217" s="7" t="s">
        <v>489</v>
      </c>
      <c r="H217" s="7"/>
      <c r="I217" s="26" t="s">
        <v>12</v>
      </c>
      <c r="J217" s="7"/>
      <c r="K217" s="26" t="s">
        <v>19</v>
      </c>
      <c r="L217" s="7"/>
      <c r="M217" s="7"/>
      <c r="N217" s="7"/>
    </row>
    <row r="218" spans="1:14" x14ac:dyDescent="0.3">
      <c r="A218" s="7"/>
      <c r="B218" s="7"/>
      <c r="C218" s="7"/>
      <c r="D218" s="7"/>
      <c r="E218" s="7">
        <v>72651</v>
      </c>
      <c r="F218" s="7"/>
      <c r="G218" s="7" t="s">
        <v>490</v>
      </c>
      <c r="H218" s="7"/>
      <c r="I218" s="26" t="s">
        <v>12</v>
      </c>
      <c r="J218" s="7"/>
      <c r="K218" s="26" t="s">
        <v>19</v>
      </c>
      <c r="L218" s="7"/>
      <c r="M218" s="7"/>
      <c r="N218" s="7"/>
    </row>
    <row r="219" spans="1:14" x14ac:dyDescent="0.3">
      <c r="A219" s="7"/>
      <c r="B219" s="7"/>
      <c r="C219" s="7"/>
      <c r="D219" s="7"/>
      <c r="E219" s="7">
        <v>72910</v>
      </c>
      <c r="F219" s="7"/>
      <c r="G219" s="7" t="s">
        <v>491</v>
      </c>
      <c r="H219" s="7"/>
      <c r="I219" s="26" t="s">
        <v>12</v>
      </c>
      <c r="J219" s="7"/>
      <c r="K219" s="26" t="s">
        <v>19</v>
      </c>
      <c r="L219" s="7"/>
      <c r="M219" s="7"/>
      <c r="N219" s="7"/>
    </row>
    <row r="220" spans="1:14" x14ac:dyDescent="0.3">
      <c r="A220" s="7"/>
      <c r="B220" s="7"/>
      <c r="C220" s="7"/>
      <c r="D220" s="7"/>
      <c r="E220" s="7">
        <v>72951</v>
      </c>
      <c r="F220" s="7"/>
      <c r="G220" s="7" t="s">
        <v>492</v>
      </c>
      <c r="H220" s="7"/>
      <c r="I220" s="26" t="s">
        <v>12</v>
      </c>
      <c r="J220" s="7"/>
      <c r="K220" s="26" t="s">
        <v>19</v>
      </c>
      <c r="L220" s="7"/>
      <c r="M220" s="7"/>
      <c r="N220" s="7"/>
    </row>
    <row r="221" spans="1:14" x14ac:dyDescent="0.3">
      <c r="A221" s="7"/>
      <c r="B221" s="7"/>
      <c r="C221" s="7"/>
      <c r="D221" s="7"/>
      <c r="E221" s="7">
        <v>72971</v>
      </c>
      <c r="F221" s="7"/>
      <c r="G221" s="7" t="s">
        <v>493</v>
      </c>
      <c r="H221" s="7"/>
      <c r="I221" s="26" t="s">
        <v>12</v>
      </c>
      <c r="J221" s="7"/>
      <c r="K221" s="26" t="s">
        <v>19</v>
      </c>
      <c r="L221" s="7"/>
      <c r="M221" s="7"/>
      <c r="N221" s="7"/>
    </row>
    <row r="222" spans="1:14" x14ac:dyDescent="0.3">
      <c r="A222" s="7"/>
      <c r="B222" s="7"/>
      <c r="C222" s="7"/>
      <c r="D222" s="7"/>
      <c r="E222" s="7">
        <v>72972</v>
      </c>
      <c r="F222" s="7"/>
      <c r="G222" s="7" t="s">
        <v>494</v>
      </c>
      <c r="H222" s="7"/>
      <c r="I222" s="26" t="s">
        <v>12</v>
      </c>
      <c r="J222" s="7"/>
      <c r="K222" s="26" t="s">
        <v>19</v>
      </c>
      <c r="L222" s="7"/>
      <c r="M222" s="7"/>
      <c r="N222" s="7"/>
    </row>
    <row r="223" spans="1:14" x14ac:dyDescent="0.3">
      <c r="A223" s="7"/>
      <c r="B223" s="7"/>
      <c r="C223" s="7"/>
      <c r="D223" s="7"/>
      <c r="E223" s="7">
        <v>74000</v>
      </c>
      <c r="F223" s="7"/>
      <c r="G223" s="7" t="s">
        <v>495</v>
      </c>
      <c r="H223" s="7"/>
      <c r="I223" s="26" t="s">
        <v>12</v>
      </c>
      <c r="J223" s="7"/>
      <c r="K223" s="26" t="s">
        <v>19</v>
      </c>
      <c r="L223" s="7"/>
      <c r="M223" s="7"/>
      <c r="N223" s="7"/>
    </row>
    <row r="224" spans="1:14" x14ac:dyDescent="0.3">
      <c r="A224" s="7"/>
      <c r="B224" s="7"/>
      <c r="C224" s="7"/>
      <c r="D224" s="7"/>
      <c r="E224" s="7">
        <v>74025</v>
      </c>
      <c r="F224" s="7"/>
      <c r="G224" s="7" t="s">
        <v>496</v>
      </c>
      <c r="H224" s="7"/>
      <c r="I224" s="26" t="s">
        <v>12</v>
      </c>
      <c r="J224" s="7"/>
      <c r="K224" s="26" t="s">
        <v>19</v>
      </c>
      <c r="L224" s="7"/>
      <c r="M224" s="7"/>
      <c r="N224" s="7"/>
    </row>
    <row r="225" spans="1:14" x14ac:dyDescent="0.3">
      <c r="A225" s="7"/>
      <c r="B225" s="7"/>
      <c r="C225" s="7"/>
      <c r="D225" s="7"/>
      <c r="E225" s="7">
        <v>74034</v>
      </c>
      <c r="F225" s="7"/>
      <c r="G225" s="7" t="s">
        <v>497</v>
      </c>
      <c r="H225" s="7"/>
      <c r="I225" s="26" t="s">
        <v>12</v>
      </c>
      <c r="J225" s="7"/>
      <c r="K225" s="26" t="s">
        <v>19</v>
      </c>
      <c r="L225" s="7"/>
      <c r="M225" s="7"/>
      <c r="N225" s="7"/>
    </row>
    <row r="226" spans="1:14" x14ac:dyDescent="0.3">
      <c r="A226" s="7"/>
      <c r="B226" s="7"/>
      <c r="C226" s="7"/>
      <c r="D226" s="7"/>
      <c r="E226" s="7">
        <v>74050</v>
      </c>
      <c r="F226" s="7"/>
      <c r="G226" s="7" t="s">
        <v>498</v>
      </c>
      <c r="H226" s="7"/>
      <c r="I226" s="26" t="s">
        <v>12</v>
      </c>
      <c r="J226" s="7"/>
      <c r="K226" s="26" t="s">
        <v>19</v>
      </c>
      <c r="L226" s="7"/>
      <c r="M226" s="7"/>
      <c r="N226" s="7"/>
    </row>
    <row r="227" spans="1:14" x14ac:dyDescent="0.3">
      <c r="A227" s="7"/>
      <c r="B227" s="7"/>
      <c r="C227" s="7"/>
      <c r="D227" s="7"/>
      <c r="E227" s="7">
        <v>74055</v>
      </c>
      <c r="F227" s="7"/>
      <c r="G227" s="7" t="s">
        <v>499</v>
      </c>
      <c r="H227" s="7"/>
      <c r="I227" s="26" t="s">
        <v>12</v>
      </c>
      <c r="J227" s="7"/>
      <c r="K227" s="26" t="s">
        <v>19</v>
      </c>
      <c r="L227" s="7"/>
      <c r="M227" s="7"/>
      <c r="N227" s="7"/>
    </row>
    <row r="228" spans="1:14" x14ac:dyDescent="0.3">
      <c r="A228" s="7"/>
      <c r="B228" s="7"/>
      <c r="C228" s="7"/>
      <c r="D228" s="7"/>
      <c r="E228" s="7">
        <v>74060</v>
      </c>
      <c r="F228" s="7"/>
      <c r="G228" s="7" t="s">
        <v>500</v>
      </c>
      <c r="H228" s="7"/>
      <c r="I228" s="26" t="s">
        <v>12</v>
      </c>
      <c r="J228" s="7"/>
      <c r="K228" s="26" t="s">
        <v>19</v>
      </c>
      <c r="L228" s="7"/>
      <c r="M228" s="7"/>
      <c r="N228" s="7"/>
    </row>
    <row r="229" spans="1:14" x14ac:dyDescent="0.3">
      <c r="A229" s="7"/>
      <c r="B229" s="7"/>
      <c r="C229" s="7"/>
      <c r="D229" s="7"/>
      <c r="E229" s="7">
        <v>74065</v>
      </c>
      <c r="F229" s="7"/>
      <c r="G229" s="7" t="s">
        <v>501</v>
      </c>
      <c r="H229" s="7"/>
      <c r="I229" s="26" t="s">
        <v>12</v>
      </c>
      <c r="J229" s="7"/>
      <c r="K229" s="26" t="s">
        <v>19</v>
      </c>
      <c r="L229" s="7"/>
      <c r="M229" s="7"/>
      <c r="N229" s="7"/>
    </row>
    <row r="230" spans="1:14" x14ac:dyDescent="0.3">
      <c r="A230" s="7"/>
      <c r="B230" s="7"/>
      <c r="C230" s="7"/>
      <c r="D230" s="7"/>
      <c r="E230" s="7">
        <v>74070</v>
      </c>
      <c r="F230" s="7"/>
      <c r="G230" s="7" t="s">
        <v>502</v>
      </c>
      <c r="H230" s="7"/>
      <c r="I230" s="26" t="s">
        <v>12</v>
      </c>
      <c r="J230" s="7"/>
      <c r="K230" s="26" t="s">
        <v>19</v>
      </c>
      <c r="L230" s="7"/>
      <c r="M230" s="7"/>
      <c r="N230" s="7"/>
    </row>
    <row r="231" spans="1:14" x14ac:dyDescent="0.3">
      <c r="A231" s="7"/>
      <c r="B231" s="7"/>
      <c r="C231" s="7"/>
      <c r="D231" s="7"/>
      <c r="E231" s="7">
        <v>74080</v>
      </c>
      <c r="F231" s="7"/>
      <c r="G231" s="7" t="s">
        <v>503</v>
      </c>
      <c r="H231" s="7"/>
      <c r="I231" s="26" t="s">
        <v>12</v>
      </c>
      <c r="J231" s="7"/>
      <c r="K231" s="26" t="s">
        <v>19</v>
      </c>
      <c r="L231" s="7"/>
      <c r="M231" s="7"/>
      <c r="N231" s="7"/>
    </row>
    <row r="232" spans="1:14" x14ac:dyDescent="0.3">
      <c r="A232" s="7"/>
      <c r="B232" s="7"/>
      <c r="C232" s="7"/>
      <c r="D232" s="7"/>
      <c r="E232" s="7">
        <v>74130</v>
      </c>
      <c r="F232" s="7"/>
      <c r="G232" s="7" t="s">
        <v>504</v>
      </c>
      <c r="H232" s="7"/>
      <c r="I232" s="26" t="s">
        <v>12</v>
      </c>
      <c r="J232" s="7"/>
      <c r="K232" s="26" t="s">
        <v>19</v>
      </c>
      <c r="L232" s="7"/>
      <c r="M232" s="7"/>
      <c r="N232" s="7"/>
    </row>
    <row r="233" spans="1:14" x14ac:dyDescent="0.3">
      <c r="A233" s="7"/>
      <c r="B233" s="7"/>
      <c r="C233" s="7"/>
      <c r="D233" s="7"/>
      <c r="E233" s="7">
        <v>74131</v>
      </c>
      <c r="F233" s="7"/>
      <c r="G233" s="7" t="s">
        <v>505</v>
      </c>
      <c r="H233" s="7"/>
      <c r="I233" s="26" t="s">
        <v>12</v>
      </c>
      <c r="J233" s="7"/>
      <c r="K233" s="26" t="s">
        <v>19</v>
      </c>
      <c r="L233" s="7"/>
      <c r="M233" s="7"/>
      <c r="N233" s="7"/>
    </row>
    <row r="234" spans="1:14" x14ac:dyDescent="0.3">
      <c r="A234" s="7"/>
      <c r="B234" s="7"/>
      <c r="C234" s="7"/>
      <c r="D234" s="7"/>
      <c r="E234" s="7">
        <v>74202</v>
      </c>
      <c r="F234" s="7"/>
      <c r="G234" s="7" t="s">
        <v>506</v>
      </c>
      <c r="H234" s="7"/>
      <c r="I234" s="26" t="s">
        <v>12</v>
      </c>
      <c r="J234" s="7"/>
      <c r="K234" s="26" t="s">
        <v>19</v>
      </c>
      <c r="L234" s="7"/>
      <c r="M234" s="7"/>
      <c r="N234" s="7"/>
    </row>
    <row r="235" spans="1:14" x14ac:dyDescent="0.3">
      <c r="A235" s="7"/>
      <c r="B235" s="7"/>
      <c r="C235" s="7"/>
      <c r="D235" s="7"/>
      <c r="E235" s="7">
        <v>74400</v>
      </c>
      <c r="F235" s="7"/>
      <c r="G235" s="7" t="s">
        <v>507</v>
      </c>
      <c r="H235" s="7"/>
      <c r="I235" s="26" t="s">
        <v>12</v>
      </c>
      <c r="J235" s="7"/>
      <c r="K235" s="26" t="s">
        <v>19</v>
      </c>
      <c r="L235" s="7"/>
      <c r="M235" s="7"/>
      <c r="N235" s="7"/>
    </row>
    <row r="236" spans="1:14" x14ac:dyDescent="0.3">
      <c r="A236" s="7"/>
      <c r="B236" s="7"/>
      <c r="C236" s="7"/>
      <c r="D236" s="7"/>
      <c r="E236" s="7">
        <v>80000</v>
      </c>
      <c r="F236" s="7"/>
      <c r="G236" s="7" t="s">
        <v>453</v>
      </c>
      <c r="H236" s="7"/>
      <c r="I236" s="26" t="s">
        <v>508</v>
      </c>
      <c r="J236" s="7"/>
      <c r="K236" s="26" t="s">
        <v>21</v>
      </c>
      <c r="L236" s="7"/>
      <c r="M236" s="7"/>
      <c r="N236" s="7"/>
    </row>
    <row r="237" spans="1:14" s="7" customFormat="1" x14ac:dyDescent="0.3"/>
    <row r="238" spans="1:14" s="20" customFormat="1" x14ac:dyDescent="0.3">
      <c r="A238" s="21" t="s">
        <v>4</v>
      </c>
      <c r="B238" s="21"/>
      <c r="C238" s="14"/>
      <c r="D238" s="23"/>
      <c r="E238" s="24"/>
      <c r="F238" s="24"/>
      <c r="G238" s="24"/>
      <c r="H238" s="25"/>
      <c r="I238" s="19"/>
      <c r="J238" s="19"/>
      <c r="K238" s="24"/>
      <c r="L238" s="19"/>
      <c r="M238" s="24"/>
      <c r="N238" s="19"/>
    </row>
    <row r="239" spans="1:14" s="7" customFormat="1" x14ac:dyDescent="0.3"/>
    <row r="240" spans="1:14" s="7" customFormat="1" x14ac:dyDescent="0.3"/>
    <row r="241" s="7" customFormat="1" hidden="1" x14ac:dyDescent="0.3"/>
    <row r="242" s="7" customFormat="1" hidden="1" x14ac:dyDescent="0.3"/>
    <row r="243" s="7" customFormat="1" hidden="1" x14ac:dyDescent="0.3"/>
    <row r="244" s="7" customFormat="1" hidden="1" x14ac:dyDescent="0.3"/>
  </sheetData>
  <autoFilter ref="E10:M20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CC"/>
  </sheetPr>
  <dimension ref="A1:BC3303"/>
  <sheetViews>
    <sheetView zoomScale="40" zoomScaleNormal="40" workbookViewId="0">
      <pane ySplit="7" topLeftCell="A8" activePane="bottomLeft" state="frozen"/>
      <selection activeCell="R66" sqref="R66"/>
      <selection pane="bottomLeft" activeCell="I36" sqref="I36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10.765625" bestFit="1" customWidth="1"/>
    <col min="6" max="6" width="27.4609375" bestFit="1" customWidth="1"/>
    <col min="7" max="7" width="6.84375" bestFit="1" customWidth="1"/>
    <col min="8" max="8" width="17.765625" bestFit="1" customWidth="1"/>
    <col min="9" max="9" width="14.23046875" bestFit="1" customWidth="1"/>
    <col min="10" max="10" width="10.3828125" customWidth="1"/>
    <col min="11" max="11" width="18.15234375" style="7" bestFit="1" customWidth="1"/>
    <col min="12" max="12" width="21.61328125" style="7" bestFit="1" customWidth="1"/>
    <col min="13" max="15" width="11.3828125" style="7" bestFit="1" customWidth="1"/>
    <col min="16" max="16" width="10.3828125" style="7" customWidth="1"/>
    <col min="17" max="17" width="10.765625" bestFit="1" customWidth="1"/>
    <col min="18" max="18" width="27.4609375" bestFit="1" customWidth="1"/>
    <col min="19" max="19" width="6.84375" bestFit="1" customWidth="1"/>
    <col min="20" max="20" width="17.765625" bestFit="1" customWidth="1"/>
    <col min="21" max="21" width="14.23046875" bestFit="1" customWidth="1"/>
    <col min="22" max="22" width="10.3828125" customWidth="1"/>
    <col min="23" max="23" width="18.15234375" style="7" bestFit="1" customWidth="1"/>
    <col min="24" max="24" width="21.61328125" style="7" bestFit="1" customWidth="1"/>
    <col min="25" max="27" width="11.3828125" style="7" bestFit="1" customWidth="1"/>
    <col min="28" max="28" width="10.3828125" style="7" customWidth="1"/>
    <col min="29" max="29" width="10.765625" bestFit="1" customWidth="1"/>
    <col min="30" max="30" width="27.4609375" bestFit="1" customWidth="1"/>
    <col min="31" max="31" width="6.84375" bestFit="1" customWidth="1"/>
    <col min="32" max="32" width="17.765625" bestFit="1" customWidth="1"/>
    <col min="33" max="33" width="14.23046875" bestFit="1" customWidth="1"/>
    <col min="34" max="34" width="10.3828125" style="7" customWidth="1"/>
    <col min="35" max="35" width="18.15234375" style="7" bestFit="1" customWidth="1"/>
    <col min="36" max="36" width="21.61328125" style="7" bestFit="1" customWidth="1"/>
    <col min="37" max="39" width="11.3828125" style="7" bestFit="1" customWidth="1"/>
    <col min="40" max="40" width="10.3828125" style="7" customWidth="1"/>
    <col min="41" max="41" width="10.765625" bestFit="1" customWidth="1"/>
    <col min="42" max="42" width="27.4609375" bestFit="1" customWidth="1"/>
    <col min="43" max="43" width="6.84375" bestFit="1" customWidth="1"/>
    <col min="44" max="44" width="17.765625" bestFit="1" customWidth="1"/>
    <col min="45" max="45" width="14.23046875" bestFit="1" customWidth="1"/>
    <col min="46" max="46" width="10.3828125" style="7" customWidth="1"/>
    <col min="47" max="47" width="18.15234375" style="7" bestFit="1" customWidth="1"/>
    <col min="48" max="48" width="21.61328125" style="7" bestFit="1" customWidth="1"/>
    <col min="49" max="51" width="11.3828125" style="7" bestFit="1" customWidth="1"/>
    <col min="52" max="53" width="10.3828125" style="7" customWidth="1"/>
    <col min="54" max="55" width="0" hidden="1" customWidth="1"/>
    <col min="56" max="16384" width="9" hidden="1"/>
  </cols>
  <sheetData>
    <row r="1" spans="1:53" x14ac:dyDescent="0.3">
      <c r="A1" s="13" t="str">
        <f>Control!$G$9</f>
        <v>UE Consolidated Capex</v>
      </c>
      <c r="B1" s="13"/>
      <c r="C1" s="14"/>
      <c r="D1" s="15"/>
      <c r="E1" s="16"/>
      <c r="F1" s="16"/>
      <c r="G1" s="17"/>
      <c r="H1" s="18"/>
      <c r="I1" s="19"/>
      <c r="J1" s="19"/>
      <c r="K1" s="19"/>
      <c r="L1" s="19"/>
      <c r="M1" s="19"/>
      <c r="N1" s="19"/>
      <c r="O1" s="19"/>
      <c r="P1" s="19"/>
      <c r="Q1" s="16"/>
      <c r="R1" s="16"/>
      <c r="S1" s="17"/>
      <c r="T1" s="18"/>
      <c r="U1" s="19"/>
      <c r="V1" s="19"/>
      <c r="W1" s="19"/>
      <c r="X1" s="19"/>
      <c r="Y1" s="19"/>
      <c r="Z1" s="19"/>
      <c r="AA1" s="19"/>
      <c r="AB1" s="19"/>
      <c r="AC1" s="16"/>
      <c r="AD1" s="16"/>
      <c r="AE1" s="17"/>
      <c r="AF1" s="18"/>
      <c r="AG1" s="19"/>
      <c r="AH1" s="19"/>
      <c r="AI1" s="19"/>
      <c r="AJ1" s="19"/>
      <c r="AK1" s="19"/>
      <c r="AL1" s="19"/>
      <c r="AM1" s="19"/>
      <c r="AN1" s="19"/>
      <c r="AO1" s="16"/>
      <c r="AP1" s="16"/>
      <c r="AQ1" s="17"/>
      <c r="AR1" s="18"/>
      <c r="AS1" s="19"/>
      <c r="AT1" s="19"/>
      <c r="AU1" s="19"/>
      <c r="AV1" s="19"/>
      <c r="AW1" s="19"/>
      <c r="AX1" s="19"/>
      <c r="AY1" s="19"/>
      <c r="AZ1" s="19"/>
      <c r="BA1" s="19"/>
    </row>
    <row r="2" spans="1:53" x14ac:dyDescent="0.3">
      <c r="A2" s="21" t="str">
        <f ca="1" xml:space="preserve"> "Sheet: " &amp; RIGHT(CELL("filename", $A$1), LEN(CELL("filename", $A$1)) - SEARCH("]", CELL("filename", $A$1)))</f>
        <v>Sheet: Input|Historical Data</v>
      </c>
      <c r="B2" s="21"/>
      <c r="C2" s="14"/>
      <c r="D2" s="15"/>
      <c r="E2" s="16"/>
      <c r="F2" s="16"/>
      <c r="G2" s="16"/>
      <c r="H2" s="22"/>
      <c r="I2" s="19"/>
      <c r="J2" s="19"/>
      <c r="K2" s="19"/>
      <c r="L2" s="19"/>
      <c r="M2" s="19"/>
      <c r="N2" s="19"/>
      <c r="O2" s="19"/>
      <c r="P2" s="19"/>
      <c r="Q2" s="16"/>
      <c r="R2" s="16"/>
      <c r="S2" s="16"/>
      <c r="T2" s="22"/>
      <c r="U2" s="19"/>
      <c r="V2" s="19"/>
      <c r="W2" s="19"/>
      <c r="X2" s="19"/>
      <c r="Y2" s="19"/>
      <c r="Z2" s="19"/>
      <c r="AA2" s="19"/>
      <c r="AB2" s="19"/>
      <c r="AC2" s="16"/>
      <c r="AD2" s="16"/>
      <c r="AE2" s="16"/>
      <c r="AF2" s="22"/>
      <c r="AG2" s="19"/>
      <c r="AH2" s="19"/>
      <c r="AI2" s="19"/>
      <c r="AJ2" s="19"/>
      <c r="AK2" s="19"/>
      <c r="AL2" s="19"/>
      <c r="AM2" s="19"/>
      <c r="AN2" s="19"/>
      <c r="AO2" s="16"/>
      <c r="AP2" s="16"/>
      <c r="AQ2" s="16"/>
      <c r="AR2" s="22"/>
      <c r="AS2" s="19"/>
      <c r="AT2" s="19"/>
      <c r="AU2" s="19"/>
      <c r="AV2" s="19"/>
      <c r="AW2" s="19"/>
      <c r="AX2" s="19"/>
      <c r="AY2" s="19"/>
      <c r="AZ2" s="19"/>
      <c r="BA2" s="19"/>
    </row>
    <row r="3" spans="1:53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9"/>
      <c r="K3" s="19"/>
      <c r="L3" s="19"/>
      <c r="M3" s="19"/>
      <c r="N3" s="19"/>
      <c r="O3" s="19"/>
      <c r="P3" s="19"/>
      <c r="Q3" s="15"/>
      <c r="R3" s="15"/>
      <c r="S3" s="15"/>
      <c r="T3" s="15"/>
      <c r="U3" s="15"/>
      <c r="V3" s="19"/>
      <c r="W3" s="19"/>
      <c r="X3" s="19"/>
      <c r="Y3" s="19"/>
      <c r="Z3" s="19"/>
      <c r="AA3" s="19"/>
      <c r="AB3" s="19"/>
      <c r="AC3" s="15"/>
      <c r="AD3" s="15"/>
      <c r="AE3" s="15"/>
      <c r="AF3" s="15"/>
      <c r="AG3" s="15"/>
      <c r="AH3" s="19"/>
      <c r="AI3" s="19"/>
      <c r="AJ3" s="19"/>
      <c r="AK3" s="19"/>
      <c r="AL3" s="19"/>
      <c r="AM3" s="19"/>
      <c r="AN3" s="19"/>
      <c r="AO3" s="15"/>
      <c r="AP3" s="15"/>
      <c r="AQ3" s="15"/>
      <c r="AR3" s="15"/>
      <c r="AS3" s="15"/>
      <c r="AT3" s="19"/>
      <c r="AU3" s="19"/>
      <c r="AV3" s="19"/>
      <c r="AW3" s="19"/>
      <c r="AX3" s="19"/>
      <c r="AY3" s="19"/>
      <c r="AZ3" s="19"/>
      <c r="BA3" s="19"/>
    </row>
    <row r="4" spans="1:53" x14ac:dyDescent="0.3">
      <c r="A4" s="21"/>
      <c r="B4" s="21"/>
      <c r="C4" s="14"/>
      <c r="D4" s="15"/>
      <c r="E4" s="16"/>
      <c r="F4" s="16"/>
      <c r="G4" s="16"/>
      <c r="H4" s="22"/>
      <c r="I4" s="19"/>
      <c r="J4" s="19"/>
      <c r="K4" s="318">
        <v>2015</v>
      </c>
      <c r="L4" s="319"/>
      <c r="M4" s="319"/>
      <c r="N4" s="319"/>
      <c r="O4" s="320"/>
      <c r="P4" s="19"/>
      <c r="Q4" s="16"/>
      <c r="R4" s="16"/>
      <c r="S4" s="16"/>
      <c r="T4" s="22"/>
      <c r="U4" s="19"/>
      <c r="V4" s="19"/>
      <c r="W4" s="318">
        <v>2016</v>
      </c>
      <c r="X4" s="319"/>
      <c r="Y4" s="319"/>
      <c r="Z4" s="319"/>
      <c r="AA4" s="320"/>
      <c r="AB4" s="19"/>
      <c r="AC4" s="16"/>
      <c r="AD4" s="16"/>
      <c r="AE4" s="16"/>
      <c r="AF4" s="22"/>
      <c r="AG4" s="19"/>
      <c r="AH4" s="19"/>
      <c r="AI4" s="318">
        <v>2017</v>
      </c>
      <c r="AJ4" s="319"/>
      <c r="AK4" s="319"/>
      <c r="AL4" s="319"/>
      <c r="AM4" s="320"/>
      <c r="AN4" s="19"/>
      <c r="AO4" s="16"/>
      <c r="AP4" s="16"/>
      <c r="AQ4" s="16"/>
      <c r="AR4" s="22"/>
      <c r="AS4" s="19"/>
      <c r="AT4" s="19"/>
      <c r="AU4" s="318">
        <v>2018</v>
      </c>
      <c r="AV4" s="319"/>
      <c r="AW4" s="319"/>
      <c r="AX4" s="319"/>
      <c r="AY4" s="320"/>
      <c r="AZ4" s="19"/>
      <c r="BA4" s="19"/>
    </row>
    <row r="5" spans="1:53" x14ac:dyDescent="0.3">
      <c r="A5" s="21"/>
      <c r="B5" s="21"/>
      <c r="C5" s="21"/>
      <c r="D5" s="21"/>
      <c r="E5" s="31" t="s">
        <v>14</v>
      </c>
      <c r="F5" s="28"/>
      <c r="G5" s="29" t="s">
        <v>15</v>
      </c>
      <c r="H5" s="28"/>
      <c r="I5" s="30">
        <v>2015</v>
      </c>
      <c r="J5" s="21"/>
      <c r="K5" s="37" t="s">
        <v>22</v>
      </c>
      <c r="L5" s="37" t="s">
        <v>23</v>
      </c>
      <c r="M5" s="37" t="s">
        <v>24</v>
      </c>
      <c r="N5" s="42" t="s">
        <v>26</v>
      </c>
      <c r="O5" s="42" t="s">
        <v>33</v>
      </c>
      <c r="P5" s="16"/>
      <c r="Q5" s="31" t="s">
        <v>14</v>
      </c>
      <c r="R5" s="28"/>
      <c r="S5" s="29" t="s">
        <v>15</v>
      </c>
      <c r="T5" s="28"/>
      <c r="U5" s="30">
        <v>2016</v>
      </c>
      <c r="V5" s="21"/>
      <c r="W5" s="37" t="s">
        <v>22</v>
      </c>
      <c r="X5" s="37" t="s">
        <v>23</v>
      </c>
      <c r="Y5" s="37" t="s">
        <v>24</v>
      </c>
      <c r="Z5" s="42" t="s">
        <v>26</v>
      </c>
      <c r="AA5" s="42" t="s">
        <v>33</v>
      </c>
      <c r="AB5" s="16"/>
      <c r="AC5" s="31" t="s">
        <v>14</v>
      </c>
      <c r="AD5" s="28"/>
      <c r="AE5" s="29" t="s">
        <v>15</v>
      </c>
      <c r="AF5" s="28"/>
      <c r="AG5" s="30">
        <v>2017</v>
      </c>
      <c r="AH5" s="21"/>
      <c r="AI5" s="37" t="s">
        <v>22</v>
      </c>
      <c r="AJ5" s="37" t="s">
        <v>23</v>
      </c>
      <c r="AK5" s="37" t="s">
        <v>24</v>
      </c>
      <c r="AL5" s="42" t="s">
        <v>26</v>
      </c>
      <c r="AM5" s="42" t="s">
        <v>33</v>
      </c>
      <c r="AN5" s="16"/>
      <c r="AO5" s="31" t="s">
        <v>14</v>
      </c>
      <c r="AP5" s="28"/>
      <c r="AQ5" s="29" t="s">
        <v>15</v>
      </c>
      <c r="AR5" s="28"/>
      <c r="AS5" s="30">
        <v>2018</v>
      </c>
      <c r="AT5" s="21"/>
      <c r="AU5" s="37" t="s">
        <v>22</v>
      </c>
      <c r="AV5" s="37" t="s">
        <v>23</v>
      </c>
      <c r="AW5" s="37" t="s">
        <v>24</v>
      </c>
      <c r="AX5" s="42" t="s">
        <v>26</v>
      </c>
      <c r="AY5" s="42" t="s">
        <v>33</v>
      </c>
      <c r="AZ5" s="16"/>
      <c r="BA5" s="16"/>
    </row>
    <row r="6" spans="1:53" x14ac:dyDescent="0.3">
      <c r="A6" s="1"/>
      <c r="B6" s="1"/>
      <c r="C6" s="2"/>
      <c r="D6" s="3"/>
      <c r="E6" s="4"/>
      <c r="F6" s="4"/>
      <c r="G6" s="4"/>
      <c r="H6" s="5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5"/>
      <c r="U6" s="6"/>
      <c r="V6" s="6"/>
      <c r="W6" s="6"/>
      <c r="X6" s="6"/>
      <c r="Y6" s="6"/>
      <c r="Z6" s="6"/>
      <c r="AA6" s="6"/>
      <c r="AB6" s="6"/>
      <c r="AC6" s="4"/>
      <c r="AD6" s="4"/>
      <c r="AE6" s="4"/>
      <c r="AF6" s="5"/>
      <c r="AG6" s="6"/>
      <c r="AH6" s="6"/>
      <c r="AI6" s="6"/>
      <c r="AJ6" s="6"/>
      <c r="AK6" s="6"/>
      <c r="AL6" s="6"/>
      <c r="AM6" s="6"/>
      <c r="AN6" s="6"/>
      <c r="AO6" s="4"/>
      <c r="AP6" s="4"/>
      <c r="AQ6" s="4"/>
      <c r="AR6" s="5"/>
      <c r="AS6" s="6"/>
      <c r="AT6" s="6"/>
      <c r="AU6" s="6"/>
      <c r="AV6" s="6"/>
      <c r="AW6" s="6"/>
      <c r="AX6" s="6"/>
      <c r="AY6" s="6"/>
      <c r="AZ6" s="6"/>
      <c r="BA6" s="6"/>
    </row>
    <row r="7" spans="1:53" x14ac:dyDescent="0.3">
      <c r="A7" s="21" t="s">
        <v>13</v>
      </c>
      <c r="B7" s="21"/>
      <c r="C7" s="14"/>
      <c r="D7" s="23"/>
      <c r="E7" s="24"/>
      <c r="F7" s="24"/>
      <c r="G7" s="24"/>
      <c r="H7" s="25"/>
      <c r="I7" s="34" t="s">
        <v>18</v>
      </c>
      <c r="J7" s="19"/>
      <c r="K7" s="19"/>
      <c r="L7" s="19"/>
      <c r="M7" s="19"/>
      <c r="N7" s="19"/>
      <c r="O7" s="19"/>
      <c r="P7" s="19"/>
      <c r="Q7" s="24"/>
      <c r="R7" s="24"/>
      <c r="S7" s="24"/>
      <c r="T7" s="25"/>
      <c r="U7" s="34" t="s">
        <v>18</v>
      </c>
      <c r="V7" s="19"/>
      <c r="W7" s="19"/>
      <c r="X7" s="19"/>
      <c r="Y7" s="19"/>
      <c r="Z7" s="19"/>
      <c r="AA7" s="19"/>
      <c r="AB7" s="19"/>
      <c r="AC7" s="24"/>
      <c r="AD7" s="24"/>
      <c r="AE7" s="24"/>
      <c r="AF7" s="25"/>
      <c r="AG7" s="19"/>
      <c r="AH7" s="19"/>
      <c r="AI7" s="19"/>
      <c r="AJ7" s="19"/>
      <c r="AK7" s="19"/>
      <c r="AL7" s="19"/>
      <c r="AM7" s="19"/>
      <c r="AN7" s="19"/>
      <c r="AO7" s="24"/>
      <c r="AP7" s="24"/>
      <c r="AQ7" s="24"/>
      <c r="AR7" s="25"/>
      <c r="AS7" s="19"/>
      <c r="AT7" s="19"/>
      <c r="AU7" s="19"/>
      <c r="AV7" s="19"/>
      <c r="AW7" s="19"/>
      <c r="AX7" s="19"/>
      <c r="AY7" s="19"/>
      <c r="AZ7" s="19"/>
      <c r="BA7" s="19"/>
    </row>
    <row r="8" spans="1:53" x14ac:dyDescent="0.3">
      <c r="A8" s="7"/>
      <c r="B8" s="7"/>
      <c r="C8" s="7"/>
      <c r="D8" s="7"/>
      <c r="E8" s="7"/>
      <c r="F8" s="7"/>
      <c r="G8" s="7"/>
      <c r="H8" s="7"/>
      <c r="I8" s="7"/>
      <c r="J8" s="7"/>
      <c r="Q8" s="7"/>
      <c r="R8" s="7"/>
      <c r="S8" s="7"/>
      <c r="T8" s="7"/>
      <c r="U8" s="7"/>
      <c r="V8" s="7"/>
      <c r="AC8" s="7"/>
      <c r="AD8" s="7"/>
      <c r="AE8" s="7"/>
      <c r="AF8" s="7"/>
      <c r="AG8" s="7"/>
      <c r="AO8" s="7"/>
      <c r="AP8" s="7"/>
      <c r="AQ8" s="7"/>
      <c r="AR8" s="7"/>
      <c r="AS8" s="7"/>
    </row>
    <row r="9" spans="1:53" x14ac:dyDescent="0.3">
      <c r="A9" s="7"/>
      <c r="B9" s="7"/>
      <c r="C9" s="7"/>
      <c r="D9" s="7"/>
      <c r="E9" s="32" t="s">
        <v>262</v>
      </c>
      <c r="F9" s="32"/>
      <c r="G9" s="32">
        <v>72300</v>
      </c>
      <c r="H9" s="32" t="s">
        <v>450</v>
      </c>
      <c r="I9" s="33">
        <v>-1796.5160000000001</v>
      </c>
      <c r="J9" s="170"/>
      <c r="K9" s="7" t="str">
        <f>VLOOKUP($E9,Mapping!$E$11:$I$204,3,0)</f>
        <v>ACS</v>
      </c>
      <c r="L9" s="7" t="str">
        <f>IFERROR(VLOOKUP($G9,Mapping!$E$208:$K$236,5,0),"Contracts")</f>
        <v>Contracts</v>
      </c>
      <c r="M9" s="7" t="str">
        <f>IFERROR(VLOOKUP($G9,Mapping!$E$208:$K$236,7,0),"ENDirect")</f>
        <v>ENDirect</v>
      </c>
      <c r="N9" s="7" t="str">
        <f>IFERROR(HLOOKUP(L9,'Calc|Weightings'!$U$5:$W$5,1,0),"Excl")</f>
        <v>Contracts</v>
      </c>
      <c r="O9" s="7" t="str">
        <f>VLOOKUP(E9,Mapping!$E$11:$I$204,5,0)</f>
        <v>ACS</v>
      </c>
      <c r="Q9" s="32" t="s">
        <v>262</v>
      </c>
      <c r="R9" s="32"/>
      <c r="S9" s="32">
        <v>72300</v>
      </c>
      <c r="T9" s="32" t="s">
        <v>450</v>
      </c>
      <c r="U9" s="33">
        <v>-149.77699999999999</v>
      </c>
      <c r="V9" s="7"/>
      <c r="W9" s="7" t="str">
        <f>VLOOKUP($Q9,Mapping!$E$11:$I$204,3,0)</f>
        <v>ACS</v>
      </c>
      <c r="X9" s="7" t="str">
        <f>IFERROR(VLOOKUP($S9,Mapping!$E$208:$K$236,5,0),"Contracts")</f>
        <v>Contracts</v>
      </c>
      <c r="Y9" s="7" t="str">
        <f>IFERROR(VLOOKUP($S9,Mapping!$E$208:$K$236,7,0),"ENDirect")</f>
        <v>ENDirect</v>
      </c>
      <c r="Z9" s="7" t="str">
        <f>IFERROR(HLOOKUP(X9,'Calc|Weightings'!$U$5:$W$5,1,0),"Excl")</f>
        <v>Contracts</v>
      </c>
      <c r="AA9" s="7" t="str">
        <f>VLOOKUP(Q9,Mapping!$E$11:$I$204,5,0)</f>
        <v>ACS</v>
      </c>
      <c r="AC9" s="35" t="s">
        <v>147</v>
      </c>
      <c r="AD9" s="35"/>
      <c r="AE9" s="35">
        <v>70815</v>
      </c>
      <c r="AF9" s="35" t="s">
        <v>451</v>
      </c>
      <c r="AG9" s="36">
        <v>164.53100000000001</v>
      </c>
      <c r="AI9" s="7" t="str">
        <f>VLOOKUP($AC9,Mapping!$E$11:$I$204,3,0)</f>
        <v>Augmentation</v>
      </c>
      <c r="AJ9" s="7" t="str">
        <f>IFERROR(VLOOKUP($AE9,Mapping!$E$208:$K$236,5,0),"Contracts")</f>
        <v>Materials</v>
      </c>
      <c r="AK9" s="7" t="str">
        <f>IFERROR(VLOOKUP($AE9,Mapping!$E$208:$K$236,7,0),"ENDirect")</f>
        <v>ENDirect</v>
      </c>
      <c r="AL9" s="7" t="str">
        <f>IFERROR(HLOOKUP(AJ9,'Calc|Weightings'!$U$5:$W$5,1,0),"Excl")</f>
        <v>Materials</v>
      </c>
      <c r="AM9" s="7" t="str">
        <f>VLOOKUP(AC9,Mapping!$E$11:$I$204,5,0)</f>
        <v>SCS</v>
      </c>
      <c r="AO9" s="35" t="s">
        <v>546</v>
      </c>
      <c r="AP9" s="35"/>
      <c r="AQ9" s="35">
        <v>71000</v>
      </c>
      <c r="AR9" s="35" t="s">
        <v>457</v>
      </c>
      <c r="AS9" s="121">
        <v>103.84048</v>
      </c>
      <c r="AU9" s="7" t="str">
        <f>VLOOKUP($AO9,Mapping!$E$11:$I$204,3,0)</f>
        <v>Connections</v>
      </c>
      <c r="AV9" s="7" t="str">
        <f>IFERROR(VLOOKUP($AQ9,Mapping!$E$208:$K$236,5,0),"Contracts")</f>
        <v>Labour</v>
      </c>
      <c r="AW9" s="7" t="str">
        <f>IFERROR(VLOOKUP($AQ9,Mapping!$E$208:$K$236,7,0),"ENDirect")</f>
        <v>ENDirect</v>
      </c>
      <c r="AX9" s="7" t="str">
        <f>IFERROR(HLOOKUP(AV9,'Calc|Weightings'!$U$5:$W$5,1,0),"Excl")</f>
        <v>Labour</v>
      </c>
      <c r="AY9" s="7" t="str">
        <f>VLOOKUP(AO9,Mapping!$E$11:$I$204,5,0)</f>
        <v>SCS</v>
      </c>
    </row>
    <row r="10" spans="1:53" x14ac:dyDescent="0.3">
      <c r="A10" s="7"/>
      <c r="B10" s="7"/>
      <c r="C10" s="7"/>
      <c r="D10" s="7"/>
      <c r="E10" s="32" t="s">
        <v>263</v>
      </c>
      <c r="F10" s="32"/>
      <c r="G10" s="32">
        <v>72300</v>
      </c>
      <c r="H10" s="32" t="s">
        <v>450</v>
      </c>
      <c r="I10" s="33">
        <v>2370.7139999999999</v>
      </c>
      <c r="J10" s="170"/>
      <c r="K10" s="7" t="str">
        <f>VLOOKUP($E10,Mapping!$E$11:$I$204,3,0)</f>
        <v>ACS</v>
      </c>
      <c r="L10" s="7" t="str">
        <f>IFERROR(VLOOKUP($G10,Mapping!$E$208:$K$236,5,0),"Contracts")</f>
        <v>Contracts</v>
      </c>
      <c r="M10" s="7" t="str">
        <f>IFERROR(VLOOKUP($G10,Mapping!$E$208:$K$236,7,0),"ENDirect")</f>
        <v>ENDirect</v>
      </c>
      <c r="N10" s="7" t="str">
        <f>IFERROR(HLOOKUP(L10,'Calc|Weightings'!$U$5:$W$5,1,0),"Excl")</f>
        <v>Contracts</v>
      </c>
      <c r="O10" s="7" t="str">
        <f>VLOOKUP(E10,Mapping!$E$11:$I$204,5,0)</f>
        <v>ACS</v>
      </c>
      <c r="Q10" s="32" t="s">
        <v>263</v>
      </c>
      <c r="R10" s="32"/>
      <c r="S10" s="32">
        <v>72300</v>
      </c>
      <c r="T10" s="32" t="s">
        <v>450</v>
      </c>
      <c r="U10" s="33">
        <v>817.9</v>
      </c>
      <c r="V10" s="7"/>
      <c r="W10" s="7" t="str">
        <f>VLOOKUP($Q10,Mapping!$E$11:$I$204,3,0)</f>
        <v>ACS</v>
      </c>
      <c r="X10" s="7" t="str">
        <f>IFERROR(VLOOKUP($S10,Mapping!$E$208:$K$236,5,0),"Contracts")</f>
        <v>Contracts</v>
      </c>
      <c r="Y10" s="7" t="str">
        <f>IFERROR(VLOOKUP($S10,Mapping!$E$208:$K$236,7,0),"ENDirect")</f>
        <v>ENDirect</v>
      </c>
      <c r="Z10" s="7" t="str">
        <f>IFERROR(HLOOKUP(X10,'Calc|Weightings'!$U$5:$W$5,1,0),"Excl")</f>
        <v>Contracts</v>
      </c>
      <c r="AA10" s="7" t="str">
        <f>VLOOKUP(Q10,Mapping!$E$11:$I$204,5,0)</f>
        <v>ACS</v>
      </c>
      <c r="AC10" s="35" t="s">
        <v>170</v>
      </c>
      <c r="AD10" s="35"/>
      <c r="AE10" s="35">
        <v>71030</v>
      </c>
      <c r="AF10" s="35" t="s">
        <v>464</v>
      </c>
      <c r="AG10" s="36">
        <v>-2693.9927317187799</v>
      </c>
      <c r="AI10" s="7" t="str">
        <f>VLOOKUP($AC10,Mapping!$E$11:$I$204,3,0)</f>
        <v>Replacement</v>
      </c>
      <c r="AJ10" s="7" t="str">
        <f>IFERROR(VLOOKUP($AE10,Mapping!$E$208:$K$236,5,0),"Contracts")</f>
        <v>Contracts</v>
      </c>
      <c r="AK10" s="7" t="str">
        <f>IFERROR(VLOOKUP($AE10,Mapping!$E$208:$K$236,7,0),"ENDirect")</f>
        <v>ENDirect</v>
      </c>
      <c r="AL10" s="7" t="str">
        <f>IFERROR(HLOOKUP(AJ10,'Calc|Weightings'!$U$5:$W$5,1,0),"Excl")</f>
        <v>Contracts</v>
      </c>
      <c r="AM10" s="7" t="str">
        <f>VLOOKUP(AC10,Mapping!$E$11:$I$204,5,0)</f>
        <v>SCS</v>
      </c>
      <c r="AO10" s="35" t="s">
        <v>546</v>
      </c>
      <c r="AP10" s="35"/>
      <c r="AQ10" s="35">
        <v>71005</v>
      </c>
      <c r="AR10" s="35" t="s">
        <v>461</v>
      </c>
      <c r="AS10" s="121">
        <v>10.40959</v>
      </c>
      <c r="AU10" s="7" t="str">
        <f>VLOOKUP($AO10,Mapping!$E$11:$I$204,3,0)</f>
        <v>Connections</v>
      </c>
      <c r="AV10" s="7" t="str">
        <f>IFERROR(VLOOKUP($AQ10,Mapping!$E$208:$K$236,5,0),"Contracts")</f>
        <v>Materials</v>
      </c>
      <c r="AW10" s="7" t="str">
        <f>IFERROR(VLOOKUP($AQ10,Mapping!$E$208:$K$236,7,0),"ENDirect")</f>
        <v>ENDirect</v>
      </c>
      <c r="AX10" s="7" t="str">
        <f>IFERROR(HLOOKUP(AV10,'Calc|Weightings'!$U$5:$W$5,1,0),"Excl")</f>
        <v>Materials</v>
      </c>
      <c r="AY10" s="7" t="str">
        <f>VLOOKUP(AO10,Mapping!$E$11:$I$204,5,0)</f>
        <v>SCS</v>
      </c>
    </row>
    <row r="11" spans="1:53" x14ac:dyDescent="0.3">
      <c r="A11" s="7"/>
      <c r="B11" s="7"/>
      <c r="C11" s="7"/>
      <c r="D11" s="7"/>
      <c r="E11" s="32" t="s">
        <v>127</v>
      </c>
      <c r="F11" s="32"/>
      <c r="G11" s="32">
        <v>70815</v>
      </c>
      <c r="H11" s="32" t="s">
        <v>451</v>
      </c>
      <c r="I11" s="33">
        <v>3775.0709999999999</v>
      </c>
      <c r="J11" s="170"/>
      <c r="K11" s="7" t="str">
        <f>VLOOKUP($E11,Mapping!$E$11:$I$204,3,0)</f>
        <v>Non-network general assets - Other</v>
      </c>
      <c r="L11" s="7" t="str">
        <f>IFERROR(VLOOKUP($G11,Mapping!$E$208:$K$236,5,0),"Contracts")</f>
        <v>Materials</v>
      </c>
      <c r="M11" s="7" t="str">
        <f>IFERROR(VLOOKUP($G11,Mapping!$E$208:$K$236,7,0),"ENDirect")</f>
        <v>ENDirect</v>
      </c>
      <c r="N11" s="7" t="str">
        <f>IFERROR(HLOOKUP(L11,'Calc|Weightings'!$U$5:$W$5,1,0),"Excl")</f>
        <v>Materials</v>
      </c>
      <c r="O11" s="7" t="str">
        <f>VLOOKUP(E11,Mapping!$E$11:$I$204,5,0)</f>
        <v>SCS</v>
      </c>
      <c r="Q11" s="32" t="s">
        <v>264</v>
      </c>
      <c r="R11" s="32"/>
      <c r="S11" s="32">
        <v>72340</v>
      </c>
      <c r="T11" s="32" t="s">
        <v>452</v>
      </c>
      <c r="U11" s="33">
        <v>250.239</v>
      </c>
      <c r="V11" s="7"/>
      <c r="W11" s="7" t="str">
        <f>VLOOKUP($Q11,Mapping!$E$11:$I$204,3,0)</f>
        <v>ACS</v>
      </c>
      <c r="X11" s="7" t="str">
        <f>IFERROR(VLOOKUP($S11,Mapping!$E$208:$K$236,5,0),"Contracts")</f>
        <v>Contracts</v>
      </c>
      <c r="Y11" s="7" t="str">
        <f>IFERROR(VLOOKUP($S11,Mapping!$E$208:$K$236,7,0),"ENDirect")</f>
        <v>ENDirect</v>
      </c>
      <c r="Z11" s="7" t="str">
        <f>IFERROR(HLOOKUP(X11,'Calc|Weightings'!$U$5:$W$5,1,0),"Excl")</f>
        <v>Contracts</v>
      </c>
      <c r="AA11" s="7" t="str">
        <f>VLOOKUP(Q11,Mapping!$E$11:$I$204,5,0)</f>
        <v>ACS</v>
      </c>
      <c r="AC11" s="35" t="s">
        <v>210</v>
      </c>
      <c r="AD11" s="35"/>
      <c r="AE11" s="35">
        <v>71000</v>
      </c>
      <c r="AF11" s="35" t="s">
        <v>457</v>
      </c>
      <c r="AG11" s="36">
        <v>1521.0409999999999</v>
      </c>
      <c r="AI11" s="7" t="str">
        <f>VLOOKUP($AC11,Mapping!$E$11:$I$204,3,0)</f>
        <v>Replacement</v>
      </c>
      <c r="AJ11" s="7" t="str">
        <f>IFERROR(VLOOKUP($AE11,Mapping!$E$208:$K$236,5,0),"Contracts")</f>
        <v>Labour</v>
      </c>
      <c r="AK11" s="7" t="str">
        <f>IFERROR(VLOOKUP($AE11,Mapping!$E$208:$K$236,7,0),"ENDirect")</f>
        <v>ENDirect</v>
      </c>
      <c r="AL11" s="7" t="str">
        <f>IFERROR(HLOOKUP(AJ11,'Calc|Weightings'!$U$5:$W$5,1,0),"Excl")</f>
        <v>Labour</v>
      </c>
      <c r="AM11" s="7" t="str">
        <f>VLOOKUP(AC11,Mapping!$E$11:$I$204,5,0)</f>
        <v>SCS</v>
      </c>
      <c r="AO11" s="35" t="s">
        <v>546</v>
      </c>
      <c r="AP11" s="35"/>
      <c r="AQ11" s="35">
        <v>71006</v>
      </c>
      <c r="AR11" s="35" t="s">
        <v>468</v>
      </c>
      <c r="AS11" s="121">
        <v>93.866</v>
      </c>
      <c r="AU11" s="7" t="str">
        <f>VLOOKUP($AO11,Mapping!$E$11:$I$204,3,0)</f>
        <v>Connections</v>
      </c>
      <c r="AV11" s="7" t="str">
        <f>IFERROR(VLOOKUP($AQ11,Mapping!$E$208:$K$236,5,0),"Contracts")</f>
        <v>Materials</v>
      </c>
      <c r="AW11" s="7" t="str">
        <f>IFERROR(VLOOKUP($AQ11,Mapping!$E$208:$K$236,7,0),"ENDirect")</f>
        <v>ENDirect</v>
      </c>
      <c r="AX11" s="7" t="str">
        <f>IFERROR(HLOOKUP(AV11,'Calc|Weightings'!$U$5:$W$5,1,0),"Excl")</f>
        <v>Materials</v>
      </c>
      <c r="AY11" s="7" t="str">
        <f>VLOOKUP(AO11,Mapping!$E$11:$I$204,5,0)</f>
        <v>SCS</v>
      </c>
    </row>
    <row r="12" spans="1:53" x14ac:dyDescent="0.3">
      <c r="A12" s="7"/>
      <c r="B12" s="7"/>
      <c r="C12" s="7"/>
      <c r="D12" s="7"/>
      <c r="E12" s="32" t="s">
        <v>264</v>
      </c>
      <c r="F12" s="32"/>
      <c r="G12" s="32">
        <v>70815</v>
      </c>
      <c r="H12" s="32" t="s">
        <v>451</v>
      </c>
      <c r="I12" s="33">
        <v>0</v>
      </c>
      <c r="J12" s="170"/>
      <c r="K12" s="7" t="str">
        <f>VLOOKUP($E12,Mapping!$E$11:$I$204,3,0)</f>
        <v>ACS</v>
      </c>
      <c r="L12" s="7" t="str">
        <f>IFERROR(VLOOKUP($G12,Mapping!$E$208:$K$236,5,0),"Contracts")</f>
        <v>Materials</v>
      </c>
      <c r="M12" s="7" t="str">
        <f>IFERROR(VLOOKUP($G12,Mapping!$E$208:$K$236,7,0),"ENDirect")</f>
        <v>ENDirect</v>
      </c>
      <c r="N12" s="7" t="str">
        <f>IFERROR(HLOOKUP(L12,'Calc|Weightings'!$U$5:$W$5,1,0),"Excl")</f>
        <v>Materials</v>
      </c>
      <c r="O12" s="7" t="str">
        <f>VLOOKUP(E12,Mapping!$E$11:$I$204,5,0)</f>
        <v>ACS</v>
      </c>
      <c r="Q12" s="32" t="s">
        <v>127</v>
      </c>
      <c r="R12" s="32"/>
      <c r="S12" s="32">
        <v>72300</v>
      </c>
      <c r="T12" s="32" t="s">
        <v>450</v>
      </c>
      <c r="U12" s="33">
        <v>138.517</v>
      </c>
      <c r="V12" s="7"/>
      <c r="W12" s="7" t="str">
        <f>VLOOKUP($Q12,Mapping!$E$11:$I$204,3,0)</f>
        <v>Non-network general assets - Other</v>
      </c>
      <c r="X12" s="7" t="str">
        <f>IFERROR(VLOOKUP($S12,Mapping!$E$208:$K$236,5,0),"Contracts")</f>
        <v>Contracts</v>
      </c>
      <c r="Y12" s="7" t="str">
        <f>IFERROR(VLOOKUP($S12,Mapping!$E$208:$K$236,7,0),"ENDirect")</f>
        <v>ENDirect</v>
      </c>
      <c r="Z12" s="7" t="str">
        <f>IFERROR(HLOOKUP(X12,'Calc|Weightings'!$U$5:$W$5,1,0),"Excl")</f>
        <v>Contracts</v>
      </c>
      <c r="AA12" s="7" t="str">
        <f>VLOOKUP(Q12,Mapping!$E$11:$I$204,5,0)</f>
        <v>SCS</v>
      </c>
      <c r="AC12" s="35" t="s">
        <v>210</v>
      </c>
      <c r="AD12" s="35"/>
      <c r="AE12" s="35">
        <v>71005</v>
      </c>
      <c r="AF12" s="35" t="s">
        <v>461</v>
      </c>
      <c r="AG12" s="36">
        <v>298.37099999999998</v>
      </c>
      <c r="AI12" s="7" t="str">
        <f>VLOOKUP($AC12,Mapping!$E$11:$I$204,3,0)</f>
        <v>Replacement</v>
      </c>
      <c r="AJ12" s="7" t="str">
        <f>IFERROR(VLOOKUP($AE12,Mapping!$E$208:$K$236,5,0),"Contracts")</f>
        <v>Materials</v>
      </c>
      <c r="AK12" s="7" t="str">
        <f>IFERROR(VLOOKUP($AE12,Mapping!$E$208:$K$236,7,0),"ENDirect")</f>
        <v>ENDirect</v>
      </c>
      <c r="AL12" s="7" t="str">
        <f>IFERROR(HLOOKUP(AJ12,'Calc|Weightings'!$U$5:$W$5,1,0),"Excl")</f>
        <v>Materials</v>
      </c>
      <c r="AM12" s="7" t="str">
        <f>VLOOKUP(AC12,Mapping!$E$11:$I$204,5,0)</f>
        <v>SCS</v>
      </c>
      <c r="AO12" s="35" t="s">
        <v>546</v>
      </c>
      <c r="AP12" s="35"/>
      <c r="AQ12" s="35">
        <v>71010</v>
      </c>
      <c r="AR12" s="35" t="s">
        <v>487</v>
      </c>
      <c r="AS12" s="121">
        <v>60.85807999999998</v>
      </c>
      <c r="AU12" s="7" t="str">
        <f>VLOOKUP($AO12,Mapping!$E$11:$I$204,3,0)</f>
        <v>Connections</v>
      </c>
      <c r="AV12" s="7" t="str">
        <f>IFERROR(VLOOKUP($AQ12,Mapping!$E$208:$K$236,5,0),"Contracts")</f>
        <v>Labour</v>
      </c>
      <c r="AW12" s="7" t="str">
        <f>IFERROR(VLOOKUP($AQ12,Mapping!$E$208:$K$236,7,0),"ENDirect")</f>
        <v>ENDirect</v>
      </c>
      <c r="AX12" s="7" t="str">
        <f>IFERROR(HLOOKUP(AV12,'Calc|Weightings'!$U$5:$W$5,1,0),"Excl")</f>
        <v>Labour</v>
      </c>
      <c r="AY12" s="7" t="str">
        <f>VLOOKUP(AO12,Mapping!$E$11:$I$204,5,0)</f>
        <v>SCS</v>
      </c>
    </row>
    <row r="13" spans="1:53" x14ac:dyDescent="0.3">
      <c r="A13" s="7"/>
      <c r="B13" s="7"/>
      <c r="C13" s="7"/>
      <c r="D13" s="7"/>
      <c r="E13" s="32" t="s">
        <v>264</v>
      </c>
      <c r="F13" s="32"/>
      <c r="G13" s="32">
        <v>72300</v>
      </c>
      <c r="H13" s="32" t="s">
        <v>450</v>
      </c>
      <c r="I13" s="33">
        <v>420.36399999999998</v>
      </c>
      <c r="J13" s="170"/>
      <c r="K13" s="7" t="str">
        <f>VLOOKUP($E13,Mapping!$E$11:$I$204,3,0)</f>
        <v>ACS</v>
      </c>
      <c r="L13" s="7" t="str">
        <f>IFERROR(VLOOKUP($G13,Mapping!$E$208:$K$236,5,0),"Contracts")</f>
        <v>Contracts</v>
      </c>
      <c r="M13" s="7" t="str">
        <f>IFERROR(VLOOKUP($G13,Mapping!$E$208:$K$236,7,0),"ENDirect")</f>
        <v>ENDirect</v>
      </c>
      <c r="N13" s="7" t="str">
        <f>IFERROR(HLOOKUP(L13,'Calc|Weightings'!$U$5:$W$5,1,0),"Excl")</f>
        <v>Contracts</v>
      </c>
      <c r="O13" s="7" t="str">
        <f>VLOOKUP(E13,Mapping!$E$11:$I$204,5,0)</f>
        <v>ACS</v>
      </c>
      <c r="Q13" s="32" t="s">
        <v>127</v>
      </c>
      <c r="R13" s="32"/>
      <c r="S13" s="32">
        <v>70815</v>
      </c>
      <c r="T13" s="32" t="s">
        <v>451</v>
      </c>
      <c r="U13" s="33">
        <v>3871.9639999999999</v>
      </c>
      <c r="V13" s="7"/>
      <c r="W13" s="7" t="str">
        <f>VLOOKUP($Q13,Mapping!$E$11:$I$204,3,0)</f>
        <v>Non-network general assets - Other</v>
      </c>
      <c r="X13" s="7" t="str">
        <f>IFERROR(VLOOKUP($S13,Mapping!$E$208:$K$236,5,0),"Contracts")</f>
        <v>Materials</v>
      </c>
      <c r="Y13" s="7" t="str">
        <f>IFERROR(VLOOKUP($S13,Mapping!$E$208:$K$236,7,0),"ENDirect")</f>
        <v>ENDirect</v>
      </c>
      <c r="Z13" s="7" t="str">
        <f>IFERROR(HLOOKUP(X13,'Calc|Weightings'!$U$5:$W$5,1,0),"Excl")</f>
        <v>Materials</v>
      </c>
      <c r="AA13" s="7" t="str">
        <f>VLOOKUP(Q13,Mapping!$E$11:$I$204,5,0)</f>
        <v>SCS</v>
      </c>
      <c r="AC13" s="35" t="s">
        <v>210</v>
      </c>
      <c r="AD13" s="35"/>
      <c r="AE13" s="35">
        <v>71010</v>
      </c>
      <c r="AF13" s="35" t="s">
        <v>462</v>
      </c>
      <c r="AG13" s="36">
        <f>2147.883+237</f>
        <v>2384.8829999999998</v>
      </c>
      <c r="AI13" s="7" t="str">
        <f>VLOOKUP($AC13,Mapping!$E$11:$I$204,3,0)</f>
        <v>Replacement</v>
      </c>
      <c r="AJ13" s="7" t="str">
        <f>IFERROR(VLOOKUP($AE13,Mapping!$E$208:$K$236,5,0),"Contracts")</f>
        <v>Labour</v>
      </c>
      <c r="AK13" s="7" t="str">
        <f>IFERROR(VLOOKUP($AE13,Mapping!$E$208:$K$236,7,0),"ENDirect")</f>
        <v>ENDirect</v>
      </c>
      <c r="AL13" s="7" t="str">
        <f>IFERROR(HLOOKUP(AJ13,'Calc|Weightings'!$U$5:$W$5,1,0),"Excl")</f>
        <v>Labour</v>
      </c>
      <c r="AM13" s="7" t="str">
        <f>VLOOKUP(AC13,Mapping!$E$11:$I$204,5,0)</f>
        <v>SCS</v>
      </c>
      <c r="AO13" s="35" t="s">
        <v>546</v>
      </c>
      <c r="AP13" s="35"/>
      <c r="AQ13" s="35">
        <v>71015</v>
      </c>
      <c r="AR13" s="35" t="s">
        <v>585</v>
      </c>
      <c r="AS13" s="121">
        <v>9.9089299999999998</v>
      </c>
      <c r="AU13" s="7" t="str">
        <f>VLOOKUP($AO13,Mapping!$E$11:$I$204,3,0)</f>
        <v>Connections</v>
      </c>
      <c r="AV13" s="7" t="str">
        <f>IFERROR(VLOOKUP($AQ13,Mapping!$E$208:$K$236,5,0),"Contracts")</f>
        <v>Materials</v>
      </c>
      <c r="AW13" s="7" t="str">
        <f>IFERROR(VLOOKUP($AQ13,Mapping!$E$208:$K$236,7,0),"ENDirect")</f>
        <v>ENDirect</v>
      </c>
      <c r="AX13" s="7" t="str">
        <f>IFERROR(HLOOKUP(AV13,'Calc|Weightings'!$U$5:$W$5,1,0),"Excl")</f>
        <v>Materials</v>
      </c>
      <c r="AY13" s="7" t="str">
        <f>VLOOKUP(AO13,Mapping!$E$11:$I$204,5,0)</f>
        <v>SCS</v>
      </c>
    </row>
    <row r="14" spans="1:53" x14ac:dyDescent="0.3">
      <c r="A14" s="7"/>
      <c r="B14" s="7"/>
      <c r="C14" s="7"/>
      <c r="D14" s="7"/>
      <c r="E14" s="32" t="s">
        <v>264</v>
      </c>
      <c r="F14" s="32"/>
      <c r="G14" s="32">
        <v>72340</v>
      </c>
      <c r="H14" s="32" t="s">
        <v>452</v>
      </c>
      <c r="I14" s="33">
        <v>152.524</v>
      </c>
      <c r="J14" s="170"/>
      <c r="K14" s="7" t="str">
        <f>VLOOKUP($E14,Mapping!$E$11:$I$204,3,0)</f>
        <v>ACS</v>
      </c>
      <c r="L14" s="7" t="str">
        <f>IFERROR(VLOOKUP($G14,Mapping!$E$208:$K$236,5,0),"Contracts")</f>
        <v>Contracts</v>
      </c>
      <c r="M14" s="7" t="str">
        <f>IFERROR(VLOOKUP($G14,Mapping!$E$208:$K$236,7,0),"ENDirect")</f>
        <v>ENDirect</v>
      </c>
      <c r="N14" s="7" t="str">
        <f>IFERROR(HLOOKUP(L14,'Calc|Weightings'!$U$5:$W$5,1,0),"Excl")</f>
        <v>Contracts</v>
      </c>
      <c r="O14" s="7" t="str">
        <f>VLOOKUP(E14,Mapping!$E$11:$I$204,5,0)</f>
        <v>ACS</v>
      </c>
      <c r="Q14" s="32" t="s">
        <v>127</v>
      </c>
      <c r="R14" s="32"/>
      <c r="S14" s="32">
        <v>70810</v>
      </c>
      <c r="T14" s="32" t="s">
        <v>472</v>
      </c>
      <c r="U14" s="33">
        <v>0</v>
      </c>
      <c r="V14" s="7"/>
      <c r="W14" s="7" t="str">
        <f>VLOOKUP($Q14,Mapping!$E$11:$I$204,3,0)</f>
        <v>Non-network general assets - Other</v>
      </c>
      <c r="X14" s="7" t="str">
        <f>IFERROR(VLOOKUP($S14,Mapping!$E$208:$K$236,5,0),"Contracts")</f>
        <v>Materials</v>
      </c>
      <c r="Y14" s="7" t="str">
        <f>IFERROR(VLOOKUP($S14,Mapping!$E$208:$K$236,7,0),"ENDirect")</f>
        <v>ENDirect</v>
      </c>
      <c r="Z14" s="7" t="str">
        <f>IFERROR(HLOOKUP(X14,'Calc|Weightings'!$U$5:$W$5,1,0),"Excl")</f>
        <v>Materials</v>
      </c>
      <c r="AA14" s="7" t="str">
        <f>VLOOKUP(Q14,Mapping!$E$11:$I$204,5,0)</f>
        <v>SCS</v>
      </c>
      <c r="AC14" s="35" t="s">
        <v>210</v>
      </c>
      <c r="AD14" s="35"/>
      <c r="AE14" s="35">
        <v>71015</v>
      </c>
      <c r="AF14" s="35" t="s">
        <v>463</v>
      </c>
      <c r="AG14" s="36">
        <v>187.64699999999999</v>
      </c>
      <c r="AI14" s="7" t="str">
        <f>VLOOKUP($AC14,Mapping!$E$11:$I$204,3,0)</f>
        <v>Replacement</v>
      </c>
      <c r="AJ14" s="7" t="str">
        <f>IFERROR(VLOOKUP($AE14,Mapping!$E$208:$K$236,5,0),"Contracts")</f>
        <v>Materials</v>
      </c>
      <c r="AK14" s="7" t="str">
        <f>IFERROR(VLOOKUP($AE14,Mapping!$E$208:$K$236,7,0),"ENDirect")</f>
        <v>ENDirect</v>
      </c>
      <c r="AL14" s="7" t="str">
        <f>IFERROR(HLOOKUP(AJ14,'Calc|Weightings'!$U$5:$W$5,1,0),"Excl")</f>
        <v>Materials</v>
      </c>
      <c r="AM14" s="7" t="str">
        <f>VLOOKUP(AC14,Mapping!$E$11:$I$204,5,0)</f>
        <v>SCS</v>
      </c>
      <c r="AO14" s="35" t="s">
        <v>546</v>
      </c>
      <c r="AP14" s="35"/>
      <c r="AQ14" s="35">
        <v>71030</v>
      </c>
      <c r="AR14" s="35" t="s">
        <v>464</v>
      </c>
      <c r="AS14" s="121">
        <v>15.780359999999995</v>
      </c>
      <c r="AU14" s="7" t="str">
        <f>VLOOKUP($AO14,Mapping!$E$11:$I$204,3,0)</f>
        <v>Connections</v>
      </c>
      <c r="AV14" s="7" t="str">
        <f>IFERROR(VLOOKUP($AQ14,Mapping!$E$208:$K$236,5,0),"Contracts")</f>
        <v>Contracts</v>
      </c>
      <c r="AW14" s="7" t="str">
        <f>IFERROR(VLOOKUP($AQ14,Mapping!$E$208:$K$236,7,0),"ENDirect")</f>
        <v>ENDirect</v>
      </c>
      <c r="AX14" s="7" t="str">
        <f>IFERROR(HLOOKUP(AV14,'Calc|Weightings'!$U$5:$W$5,1,0),"Excl")</f>
        <v>Contracts</v>
      </c>
      <c r="AY14" s="7" t="str">
        <f>VLOOKUP(AO14,Mapping!$E$11:$I$204,5,0)</f>
        <v>SCS</v>
      </c>
    </row>
    <row r="15" spans="1:53" x14ac:dyDescent="0.3">
      <c r="A15" s="7"/>
      <c r="B15" s="7"/>
      <c r="C15" s="7"/>
      <c r="D15" s="7"/>
      <c r="E15" s="32" t="s">
        <v>127</v>
      </c>
      <c r="F15" s="32"/>
      <c r="G15" s="32">
        <v>72300</v>
      </c>
      <c r="H15" s="32" t="s">
        <v>450</v>
      </c>
      <c r="I15" s="33">
        <v>844.41800000000001</v>
      </c>
      <c r="J15" s="170"/>
      <c r="K15" s="7" t="str">
        <f>VLOOKUP($E15,Mapping!$E$11:$I$204,3,0)</f>
        <v>Non-network general assets - Other</v>
      </c>
      <c r="L15" s="7" t="str">
        <f>IFERROR(VLOOKUP($G15,Mapping!$E$208:$K$236,5,0),"Contracts")</f>
        <v>Contracts</v>
      </c>
      <c r="M15" s="7" t="str">
        <f>IFERROR(VLOOKUP($G15,Mapping!$E$208:$K$236,7,0),"ENDirect")</f>
        <v>ENDirect</v>
      </c>
      <c r="N15" s="7" t="str">
        <f>IFERROR(HLOOKUP(L15,'Calc|Weightings'!$U$5:$W$5,1,0),"Excl")</f>
        <v>Contracts</v>
      </c>
      <c r="O15" s="7" t="str">
        <f>VLOOKUP(E15,Mapping!$E$11:$I$204,5,0)</f>
        <v>SCS</v>
      </c>
      <c r="Q15" s="32" t="s">
        <v>127</v>
      </c>
      <c r="R15" s="32"/>
      <c r="S15" s="32">
        <v>72340</v>
      </c>
      <c r="T15" s="32" t="s">
        <v>452</v>
      </c>
      <c r="U15" s="33">
        <v>21.312999999999999</v>
      </c>
      <c r="V15" s="7"/>
      <c r="W15" s="7" t="str">
        <f>VLOOKUP($Q15,Mapping!$E$11:$I$204,3,0)</f>
        <v>Non-network general assets - Other</v>
      </c>
      <c r="X15" s="7" t="str">
        <f>IFERROR(VLOOKUP($S15,Mapping!$E$208:$K$236,5,0),"Contracts")</f>
        <v>Contracts</v>
      </c>
      <c r="Y15" s="7" t="str">
        <f>IFERROR(VLOOKUP($S15,Mapping!$E$208:$K$236,7,0),"ENDirect")</f>
        <v>ENDirect</v>
      </c>
      <c r="Z15" s="7" t="str">
        <f>IFERROR(HLOOKUP(X15,'Calc|Weightings'!$U$5:$W$5,1,0),"Excl")</f>
        <v>Contracts</v>
      </c>
      <c r="AA15" s="7" t="str">
        <f>VLOOKUP(Q15,Mapping!$E$11:$I$204,5,0)</f>
        <v>SCS</v>
      </c>
      <c r="AC15" s="35" t="s">
        <v>210</v>
      </c>
      <c r="AD15" s="35"/>
      <c r="AE15" s="35">
        <v>71030</v>
      </c>
      <c r="AF15" s="35" t="s">
        <v>464</v>
      </c>
      <c r="AG15" s="36">
        <v>272.50799999999998</v>
      </c>
      <c r="AI15" s="7" t="str">
        <f>VLOOKUP($AC15,Mapping!$E$11:$I$204,3,0)</f>
        <v>Replacement</v>
      </c>
      <c r="AJ15" s="7" t="str">
        <f>IFERROR(VLOOKUP($AE15,Mapping!$E$208:$K$236,5,0),"Contracts")</f>
        <v>Contracts</v>
      </c>
      <c r="AK15" s="7" t="str">
        <f>IFERROR(VLOOKUP($AE15,Mapping!$E$208:$K$236,7,0),"ENDirect")</f>
        <v>ENDirect</v>
      </c>
      <c r="AL15" s="7" t="str">
        <f>IFERROR(HLOOKUP(AJ15,'Calc|Weightings'!$U$5:$W$5,1,0),"Excl")</f>
        <v>Contracts</v>
      </c>
      <c r="AM15" s="7" t="str">
        <f>VLOOKUP(AC15,Mapping!$E$11:$I$204,5,0)</f>
        <v>SCS</v>
      </c>
      <c r="AO15" s="35" t="s">
        <v>546</v>
      </c>
      <c r="AP15" s="35"/>
      <c r="AQ15" s="35">
        <v>71055</v>
      </c>
      <c r="AR15" s="35" t="s">
        <v>465</v>
      </c>
      <c r="AS15" s="121">
        <v>40.417000000000002</v>
      </c>
      <c r="AU15" s="7" t="str">
        <f>VLOOKUP($AO15,Mapping!$E$11:$I$204,3,0)</f>
        <v>Connections</v>
      </c>
      <c r="AV15" s="7" t="str">
        <f>IFERROR(VLOOKUP($AQ15,Mapping!$E$208:$K$236,5,0),"Contracts")</f>
        <v>Contracts</v>
      </c>
      <c r="AW15" s="7" t="str">
        <f>IFERROR(VLOOKUP($AQ15,Mapping!$E$208:$K$236,7,0),"ENDirect")</f>
        <v>ENDirect</v>
      </c>
      <c r="AX15" s="7" t="str">
        <f>IFERROR(HLOOKUP(AV15,'Calc|Weightings'!$U$5:$W$5,1,0),"Excl")</f>
        <v>Contracts</v>
      </c>
      <c r="AY15" s="7" t="str">
        <f>VLOOKUP(AO15,Mapping!$E$11:$I$204,5,0)</f>
        <v>SCS</v>
      </c>
    </row>
    <row r="16" spans="1:53" x14ac:dyDescent="0.3">
      <c r="A16" s="7"/>
      <c r="B16" s="7"/>
      <c r="C16" s="7"/>
      <c r="D16" s="7"/>
      <c r="E16" s="32" t="s">
        <v>262</v>
      </c>
      <c r="F16" s="32"/>
      <c r="G16" s="32">
        <v>72340</v>
      </c>
      <c r="H16" s="32" t="s">
        <v>452</v>
      </c>
      <c r="I16" s="33">
        <v>106.908</v>
      </c>
      <c r="J16" s="170"/>
      <c r="K16" s="7" t="str">
        <f>VLOOKUP($E16,Mapping!$E$11:$I$204,3,0)</f>
        <v>ACS</v>
      </c>
      <c r="L16" s="7" t="str">
        <f>IFERROR(VLOOKUP($G16,Mapping!$E$208:$K$236,5,0),"Contracts")</f>
        <v>Contracts</v>
      </c>
      <c r="M16" s="7" t="str">
        <f>IFERROR(VLOOKUP($G16,Mapping!$E$208:$K$236,7,0),"ENDirect")</f>
        <v>ENDirect</v>
      </c>
      <c r="N16" s="7" t="str">
        <f>IFERROR(HLOOKUP(L16,'Calc|Weightings'!$U$5:$W$5,1,0),"Excl")</f>
        <v>Contracts</v>
      </c>
      <c r="O16" s="7" t="str">
        <f>VLOOKUP(E16,Mapping!$E$11:$I$204,5,0)</f>
        <v>ACS</v>
      </c>
      <c r="Q16" s="32" t="s">
        <v>127</v>
      </c>
      <c r="R16" s="32"/>
      <c r="S16" s="32">
        <v>71000</v>
      </c>
      <c r="T16" s="32" t="s">
        <v>457</v>
      </c>
      <c r="U16" s="33">
        <v>48.301000000000002</v>
      </c>
      <c r="V16" s="7"/>
      <c r="W16" s="7" t="str">
        <f>VLOOKUP($Q16,Mapping!$E$11:$I$204,3,0)</f>
        <v>Non-network general assets - Other</v>
      </c>
      <c r="X16" s="7" t="str">
        <f>IFERROR(VLOOKUP($S16,Mapping!$E$208:$K$236,5,0),"Contracts")</f>
        <v>Labour</v>
      </c>
      <c r="Y16" s="7" t="str">
        <f>IFERROR(VLOOKUP($S16,Mapping!$E$208:$K$236,7,0),"ENDirect")</f>
        <v>ENDirect</v>
      </c>
      <c r="Z16" s="7" t="str">
        <f>IFERROR(HLOOKUP(X16,'Calc|Weightings'!$U$5:$W$5,1,0),"Excl")</f>
        <v>Labour</v>
      </c>
      <c r="AA16" s="7" t="str">
        <f>VLOOKUP(Q16,Mapping!$E$11:$I$204,5,0)</f>
        <v>SCS</v>
      </c>
      <c r="AC16" s="35" t="s">
        <v>210</v>
      </c>
      <c r="AD16" s="35"/>
      <c r="AE16" s="35">
        <v>71055</v>
      </c>
      <c r="AF16" s="35" t="s">
        <v>465</v>
      </c>
      <c r="AG16" s="36">
        <v>475.43700000000001</v>
      </c>
      <c r="AI16" s="7" t="str">
        <f>VLOOKUP($AC16,Mapping!$E$11:$I$204,3,0)</f>
        <v>Replacement</v>
      </c>
      <c r="AJ16" s="7" t="str">
        <f>IFERROR(VLOOKUP($AE16,Mapping!$E$208:$K$236,5,0),"Contracts")</f>
        <v>Contracts</v>
      </c>
      <c r="AK16" s="7" t="str">
        <f>IFERROR(VLOOKUP($AE16,Mapping!$E$208:$K$236,7,0),"ENDirect")</f>
        <v>ENDirect</v>
      </c>
      <c r="AL16" s="7" t="str">
        <f>IFERROR(HLOOKUP(AJ16,'Calc|Weightings'!$U$5:$W$5,1,0),"Excl")</f>
        <v>Contracts</v>
      </c>
      <c r="AM16" s="7" t="str">
        <f>VLOOKUP(AC16,Mapping!$E$11:$I$204,5,0)</f>
        <v>SCS</v>
      </c>
      <c r="AO16" s="35" t="s">
        <v>546</v>
      </c>
      <c r="AP16" s="35"/>
      <c r="AQ16" s="35">
        <v>71070</v>
      </c>
      <c r="AR16" s="35" t="s">
        <v>586</v>
      </c>
      <c r="AS16" s="121">
        <v>2066.3696600000007</v>
      </c>
      <c r="AU16" s="7" t="str">
        <f>VLOOKUP($AO16,Mapping!$E$11:$I$204,3,0)</f>
        <v>Connections</v>
      </c>
      <c r="AV16" s="7" t="str">
        <f>IFERROR(VLOOKUP($AQ16,Mapping!$E$208:$K$236,5,0),"Contracts")</f>
        <v>Contracts</v>
      </c>
      <c r="AW16" s="7" t="str">
        <f>IFERROR(VLOOKUP($AQ16,Mapping!$E$208:$K$236,7,0),"ENDirect")</f>
        <v>ENDirect</v>
      </c>
      <c r="AX16" s="7" t="str">
        <f>IFERROR(HLOOKUP(AV16,'Calc|Weightings'!$U$5:$W$5,1,0),"Excl")</f>
        <v>Contracts</v>
      </c>
      <c r="AY16" s="7" t="str">
        <f>VLOOKUP(AO16,Mapping!$E$11:$I$204,5,0)</f>
        <v>SCS</v>
      </c>
    </row>
    <row r="17" spans="1:51" x14ac:dyDescent="0.3">
      <c r="A17" s="7"/>
      <c r="B17" s="7"/>
      <c r="C17" s="7"/>
      <c r="D17" s="7"/>
      <c r="E17" s="32" t="s">
        <v>262</v>
      </c>
      <c r="F17" s="32"/>
      <c r="G17" s="32">
        <v>70815</v>
      </c>
      <c r="H17" s="32" t="s">
        <v>451</v>
      </c>
      <c r="I17" s="33">
        <v>489.87099999999998</v>
      </c>
      <c r="J17" s="170"/>
      <c r="K17" s="7" t="str">
        <f>VLOOKUP($E17,Mapping!$E$11:$I$204,3,0)</f>
        <v>ACS</v>
      </c>
      <c r="L17" s="7" t="str">
        <f>IFERROR(VLOOKUP($G17,Mapping!$E$208:$K$236,5,0),"Contracts")</f>
        <v>Materials</v>
      </c>
      <c r="M17" s="7" t="str">
        <f>IFERROR(VLOOKUP($G17,Mapping!$E$208:$K$236,7,0),"ENDirect")</f>
        <v>ENDirect</v>
      </c>
      <c r="N17" s="7" t="str">
        <f>IFERROR(HLOOKUP(L17,'Calc|Weightings'!$U$5:$W$5,1,0),"Excl")</f>
        <v>Materials</v>
      </c>
      <c r="O17" s="7" t="str">
        <f>VLOOKUP(E17,Mapping!$E$11:$I$204,5,0)</f>
        <v>ACS</v>
      </c>
      <c r="Q17" s="32" t="s">
        <v>127</v>
      </c>
      <c r="R17" s="32"/>
      <c r="S17" s="32">
        <v>71005</v>
      </c>
      <c r="T17" s="32" t="s">
        <v>461</v>
      </c>
      <c r="U17" s="33">
        <v>6.7000000000000004E-2</v>
      </c>
      <c r="V17" s="7"/>
      <c r="W17" s="7" t="str">
        <f>VLOOKUP($Q17,Mapping!$E$11:$I$204,3,0)</f>
        <v>Non-network general assets - Other</v>
      </c>
      <c r="X17" s="7" t="str">
        <f>IFERROR(VLOOKUP($S17,Mapping!$E$208:$K$236,5,0),"Contracts")</f>
        <v>Materials</v>
      </c>
      <c r="Y17" s="7" t="str">
        <f>IFERROR(VLOOKUP($S17,Mapping!$E$208:$K$236,7,0),"ENDirect")</f>
        <v>ENDirect</v>
      </c>
      <c r="Z17" s="7" t="str">
        <f>IFERROR(HLOOKUP(X17,'Calc|Weightings'!$U$5:$W$5,1,0),"Excl")</f>
        <v>Materials</v>
      </c>
      <c r="AA17" s="7" t="str">
        <f>VLOOKUP(Q17,Mapping!$E$11:$I$204,5,0)</f>
        <v>SCS</v>
      </c>
      <c r="AC17" s="35" t="s">
        <v>262</v>
      </c>
      <c r="AD17" s="35"/>
      <c r="AE17" s="35">
        <v>72300</v>
      </c>
      <c r="AF17" s="35" t="s">
        <v>450</v>
      </c>
      <c r="AG17" s="36">
        <v>64.516999999999996</v>
      </c>
      <c r="AI17" s="7" t="str">
        <f>VLOOKUP($AC17,Mapping!$E$11:$I$204,3,0)</f>
        <v>ACS</v>
      </c>
      <c r="AJ17" s="7" t="str">
        <f>IFERROR(VLOOKUP($AE17,Mapping!$E$208:$K$236,5,0),"Contracts")</f>
        <v>Contracts</v>
      </c>
      <c r="AK17" s="7" t="str">
        <f>IFERROR(VLOOKUP($AE17,Mapping!$E$208:$K$236,7,0),"ENDirect")</f>
        <v>ENDirect</v>
      </c>
      <c r="AL17" s="7" t="str">
        <f>IFERROR(HLOOKUP(AJ17,'Calc|Weightings'!$U$5:$W$5,1,0),"Excl")</f>
        <v>Contracts</v>
      </c>
      <c r="AM17" s="7" t="str">
        <f>VLOOKUP(AC17,Mapping!$E$11:$I$204,5,0)</f>
        <v>ACS</v>
      </c>
      <c r="AO17" s="35" t="s">
        <v>546</v>
      </c>
      <c r="AP17" s="35"/>
      <c r="AQ17" s="35">
        <v>71075</v>
      </c>
      <c r="AR17" s="35" t="s">
        <v>587</v>
      </c>
      <c r="AS17" s="121">
        <v>234.94826000000003</v>
      </c>
      <c r="AU17" s="7" t="str">
        <f>VLOOKUP($AO17,Mapping!$E$11:$I$204,3,0)</f>
        <v>Connections</v>
      </c>
      <c r="AV17" s="7" t="str">
        <f>IFERROR(VLOOKUP($AQ17,Mapping!$E$208:$K$236,5,0),"Contracts")</f>
        <v>Contracts</v>
      </c>
      <c r="AW17" s="7" t="str">
        <f>IFERROR(VLOOKUP($AQ17,Mapping!$E$208:$K$236,7,0),"ENDirect")</f>
        <v>ENDirect</v>
      </c>
      <c r="AX17" s="7" t="str">
        <f>IFERROR(HLOOKUP(AV17,'Calc|Weightings'!$U$5:$W$5,1,0),"Excl")</f>
        <v>Contracts</v>
      </c>
      <c r="AY17" s="7" t="str">
        <f>VLOOKUP(AO17,Mapping!$E$11:$I$204,5,0)</f>
        <v>SCS</v>
      </c>
    </row>
    <row r="18" spans="1:51" x14ac:dyDescent="0.3">
      <c r="A18" s="7"/>
      <c r="B18" s="7"/>
      <c r="C18" s="7"/>
      <c r="D18" s="7"/>
      <c r="E18" s="32" t="s">
        <v>263</v>
      </c>
      <c r="F18" s="32"/>
      <c r="G18" s="32">
        <v>72340</v>
      </c>
      <c r="H18" s="32" t="s">
        <v>452</v>
      </c>
      <c r="I18" s="33">
        <v>14.657999999999999</v>
      </c>
      <c r="J18" s="170"/>
      <c r="K18" s="7" t="str">
        <f>VLOOKUP($E18,Mapping!$E$11:$I$204,3,0)</f>
        <v>ACS</v>
      </c>
      <c r="L18" s="7" t="str">
        <f>IFERROR(VLOOKUP($G18,Mapping!$E$208:$K$236,5,0),"Contracts")</f>
        <v>Contracts</v>
      </c>
      <c r="M18" s="7" t="str">
        <f>IFERROR(VLOOKUP($G18,Mapping!$E$208:$K$236,7,0),"ENDirect")</f>
        <v>ENDirect</v>
      </c>
      <c r="N18" s="7" t="str">
        <f>IFERROR(HLOOKUP(L18,'Calc|Weightings'!$U$5:$W$5,1,0),"Excl")</f>
        <v>Contracts</v>
      </c>
      <c r="O18" s="7" t="str">
        <f>VLOOKUP(E18,Mapping!$E$11:$I$204,5,0)</f>
        <v>ACS</v>
      </c>
      <c r="Q18" s="32" t="s">
        <v>127</v>
      </c>
      <c r="R18" s="32"/>
      <c r="S18" s="32">
        <v>71015</v>
      </c>
      <c r="T18" s="32" t="s">
        <v>463</v>
      </c>
      <c r="U18" s="33">
        <v>4.2530000000000001</v>
      </c>
      <c r="V18" s="7"/>
      <c r="W18" s="7" t="str">
        <f>VLOOKUP($Q18,Mapping!$E$11:$I$204,3,0)</f>
        <v>Non-network general assets - Other</v>
      </c>
      <c r="X18" s="7" t="str">
        <f>IFERROR(VLOOKUP($S18,Mapping!$E$208:$K$236,5,0),"Contracts")</f>
        <v>Materials</v>
      </c>
      <c r="Y18" s="7" t="str">
        <f>IFERROR(VLOOKUP($S18,Mapping!$E$208:$K$236,7,0),"ENDirect")</f>
        <v>ENDirect</v>
      </c>
      <c r="Z18" s="7" t="str">
        <f>IFERROR(HLOOKUP(X18,'Calc|Weightings'!$U$5:$W$5,1,0),"Excl")</f>
        <v>Materials</v>
      </c>
      <c r="AA18" s="7" t="str">
        <f>VLOOKUP(Q18,Mapping!$E$11:$I$204,5,0)</f>
        <v>SCS</v>
      </c>
      <c r="AC18" s="35" t="s">
        <v>263</v>
      </c>
      <c r="AD18" s="35"/>
      <c r="AE18" s="35">
        <v>72300</v>
      </c>
      <c r="AF18" s="35" t="s">
        <v>450</v>
      </c>
      <c r="AG18" s="36">
        <v>244.81700000000001</v>
      </c>
      <c r="AI18" s="7" t="str">
        <f>VLOOKUP($AC18,Mapping!$E$11:$I$204,3,0)</f>
        <v>ACS</v>
      </c>
      <c r="AJ18" s="7" t="str">
        <f>IFERROR(VLOOKUP($AE18,Mapping!$E$208:$K$236,5,0),"Contracts")</f>
        <v>Contracts</v>
      </c>
      <c r="AK18" s="7" t="str">
        <f>IFERROR(VLOOKUP($AE18,Mapping!$E$208:$K$236,7,0),"ENDirect")</f>
        <v>ENDirect</v>
      </c>
      <c r="AL18" s="7" t="str">
        <f>IFERROR(HLOOKUP(AJ18,'Calc|Weightings'!$U$5:$W$5,1,0),"Excl")</f>
        <v>Contracts</v>
      </c>
      <c r="AM18" s="7" t="str">
        <f>VLOOKUP(AC18,Mapping!$E$11:$I$204,5,0)</f>
        <v>ACS</v>
      </c>
      <c r="AO18" s="35" t="s">
        <v>546</v>
      </c>
      <c r="AP18" s="35"/>
      <c r="AQ18" s="35">
        <v>72345</v>
      </c>
      <c r="AR18" s="35" t="s">
        <v>588</v>
      </c>
      <c r="AS18" s="121">
        <v>538.02099999999996</v>
      </c>
      <c r="AU18" s="7" t="str">
        <f>VLOOKUP($AO18,Mapping!$E$11:$I$204,3,0)</f>
        <v>Connections</v>
      </c>
      <c r="AV18" s="7" t="str">
        <f>IFERROR(VLOOKUP($AQ18,Mapping!$E$208:$K$236,5,0),"Contracts")</f>
        <v>Contracts</v>
      </c>
      <c r="AW18" s="7" t="str">
        <f>IFERROR(VLOOKUP($AQ18,Mapping!$E$208:$K$236,7,0),"ENDirect")</f>
        <v>ENDirect</v>
      </c>
      <c r="AX18" s="7" t="str">
        <f>IFERROR(HLOOKUP(AV18,'Calc|Weightings'!$U$5:$W$5,1,0),"Excl")</f>
        <v>Contracts</v>
      </c>
      <c r="AY18" s="7" t="str">
        <f>VLOOKUP(AO18,Mapping!$E$11:$I$204,5,0)</f>
        <v>SCS</v>
      </c>
    </row>
    <row r="19" spans="1:51" x14ac:dyDescent="0.3">
      <c r="A19" s="7"/>
      <c r="B19" s="7"/>
      <c r="C19" s="7"/>
      <c r="D19" s="7"/>
      <c r="E19" s="32" t="s">
        <v>127</v>
      </c>
      <c r="F19" s="32"/>
      <c r="G19" s="32">
        <v>72340</v>
      </c>
      <c r="H19" s="32" t="s">
        <v>452</v>
      </c>
      <c r="I19" s="33">
        <v>896.17499999999995</v>
      </c>
      <c r="J19" s="170"/>
      <c r="K19" s="7" t="str">
        <f>VLOOKUP($E19,Mapping!$E$11:$I$204,3,0)</f>
        <v>Non-network general assets - Other</v>
      </c>
      <c r="L19" s="7" t="str">
        <f>IFERROR(VLOOKUP($G19,Mapping!$E$208:$K$236,5,0),"Contracts")</f>
        <v>Contracts</v>
      </c>
      <c r="M19" s="7" t="str">
        <f>IFERROR(VLOOKUP($G19,Mapping!$E$208:$K$236,7,0),"ENDirect")</f>
        <v>ENDirect</v>
      </c>
      <c r="N19" s="7" t="str">
        <f>IFERROR(HLOOKUP(L19,'Calc|Weightings'!$U$5:$W$5,1,0),"Excl")</f>
        <v>Contracts</v>
      </c>
      <c r="O19" s="7" t="str">
        <f>VLOOKUP(E19,Mapping!$E$11:$I$204,5,0)</f>
        <v>SCS</v>
      </c>
      <c r="Q19" s="32" t="s">
        <v>127</v>
      </c>
      <c r="R19" s="32"/>
      <c r="S19" s="32">
        <v>71030</v>
      </c>
      <c r="T19" s="32" t="s">
        <v>464</v>
      </c>
      <c r="U19" s="33">
        <v>6.7610000000000001</v>
      </c>
      <c r="V19" s="7"/>
      <c r="W19" s="7" t="str">
        <f>VLOOKUP($Q19,Mapping!$E$11:$I$204,3,0)</f>
        <v>Non-network general assets - Other</v>
      </c>
      <c r="X19" s="7" t="str">
        <f>IFERROR(VLOOKUP($S19,Mapping!$E$208:$K$236,5,0),"Contracts")</f>
        <v>Contracts</v>
      </c>
      <c r="Y19" s="7" t="str">
        <f>IFERROR(VLOOKUP($S19,Mapping!$E$208:$K$236,7,0),"ENDirect")</f>
        <v>ENDirect</v>
      </c>
      <c r="Z19" s="7" t="str">
        <f>IFERROR(HLOOKUP(X19,'Calc|Weightings'!$U$5:$W$5,1,0),"Excl")</f>
        <v>Contracts</v>
      </c>
      <c r="AA19" s="7" t="str">
        <f>VLOOKUP(Q19,Mapping!$E$11:$I$204,5,0)</f>
        <v>SCS</v>
      </c>
      <c r="AC19" s="35" t="s">
        <v>264</v>
      </c>
      <c r="AD19" s="35"/>
      <c r="AE19" s="35">
        <v>70815</v>
      </c>
      <c r="AF19" s="35" t="s">
        <v>451</v>
      </c>
      <c r="AG19" s="36">
        <v>112.244</v>
      </c>
      <c r="AI19" s="7" t="str">
        <f>VLOOKUP($AC19,Mapping!$E$11:$I$204,3,0)</f>
        <v>ACS</v>
      </c>
      <c r="AJ19" s="7" t="str">
        <f>IFERROR(VLOOKUP($AE19,Mapping!$E$208:$K$236,5,0),"Contracts")</f>
        <v>Materials</v>
      </c>
      <c r="AK19" s="7" t="str">
        <f>IFERROR(VLOOKUP($AE19,Mapping!$E$208:$K$236,7,0),"ENDirect")</f>
        <v>ENDirect</v>
      </c>
      <c r="AL19" s="7" t="str">
        <f>IFERROR(HLOOKUP(AJ19,'Calc|Weightings'!$U$5:$W$5,1,0),"Excl")</f>
        <v>Materials</v>
      </c>
      <c r="AM19" s="7" t="str">
        <f>VLOOKUP(AC19,Mapping!$E$11:$I$204,5,0)</f>
        <v>ACS</v>
      </c>
      <c r="AO19" s="35" t="s">
        <v>546</v>
      </c>
      <c r="AP19" s="35"/>
      <c r="AQ19" s="35">
        <v>80000</v>
      </c>
      <c r="AR19" s="35" t="s">
        <v>589</v>
      </c>
      <c r="AS19" s="121">
        <v>463.04329999999987</v>
      </c>
      <c r="AU19" s="7" t="str">
        <f>VLOOKUP($AO19,Mapping!$E$11:$I$204,3,0)</f>
        <v>Connections</v>
      </c>
      <c r="AV19" s="7" t="str">
        <f>IFERROR(VLOOKUP($AQ19,Mapping!$E$208:$K$236,5,0),"Contracts")</f>
        <v>Overhead</v>
      </c>
      <c r="AW19" s="7" t="str">
        <f>IFERROR(VLOOKUP($AQ19,Mapping!$E$208:$K$236,7,0),"ENDirect")</f>
        <v>OH</v>
      </c>
      <c r="AX19" s="7" t="str">
        <f>IFERROR(HLOOKUP(AV19,'Calc|Weightings'!$U$5:$W$5,1,0),"Excl")</f>
        <v>Excl</v>
      </c>
      <c r="AY19" s="7" t="str">
        <f>VLOOKUP(AO19,Mapping!$E$11:$I$204,5,0)</f>
        <v>SCS</v>
      </c>
    </row>
    <row r="20" spans="1:51" x14ac:dyDescent="0.3">
      <c r="A20" s="7"/>
      <c r="B20" s="7"/>
      <c r="C20" s="7"/>
      <c r="D20" s="7"/>
      <c r="E20" s="32" t="s">
        <v>265</v>
      </c>
      <c r="F20" s="32"/>
      <c r="G20" s="32">
        <v>70815</v>
      </c>
      <c r="H20" s="32" t="s">
        <v>451</v>
      </c>
      <c r="I20" s="33">
        <v>27743.151000000002</v>
      </c>
      <c r="J20" s="170"/>
      <c r="K20" s="7" t="str">
        <f>VLOOKUP($E20,Mapping!$E$11:$I$204,3,0)</f>
        <v>Non-network general assets - IT</v>
      </c>
      <c r="L20" s="7" t="str">
        <f>IFERROR(VLOOKUP($G20,Mapping!$E$208:$K$236,5,0),"Contracts")</f>
        <v>Materials</v>
      </c>
      <c r="M20" s="7" t="str">
        <f>IFERROR(VLOOKUP($G20,Mapping!$E$208:$K$236,7,0),"ENDirect")</f>
        <v>ENDirect</v>
      </c>
      <c r="N20" s="7" t="str">
        <f>IFERROR(HLOOKUP(L20,'Calc|Weightings'!$U$5:$W$5,1,0),"Excl")</f>
        <v>Materials</v>
      </c>
      <c r="O20" s="7" t="str">
        <f>VLOOKUP(E20,Mapping!$E$11:$I$204,5,0)</f>
        <v>SCS</v>
      </c>
      <c r="Q20" s="32" t="s">
        <v>127</v>
      </c>
      <c r="R20" s="32"/>
      <c r="S20" s="32">
        <v>71055</v>
      </c>
      <c r="T20" s="32" t="s">
        <v>465</v>
      </c>
      <c r="U20" s="33">
        <v>17.218</v>
      </c>
      <c r="V20" s="7"/>
      <c r="W20" s="7" t="str">
        <f>VLOOKUP($Q20,Mapping!$E$11:$I$204,3,0)</f>
        <v>Non-network general assets - Other</v>
      </c>
      <c r="X20" s="7" t="str">
        <f>IFERROR(VLOOKUP($S20,Mapping!$E$208:$K$236,5,0),"Contracts")</f>
        <v>Contracts</v>
      </c>
      <c r="Y20" s="7" t="str">
        <f>IFERROR(VLOOKUP($S20,Mapping!$E$208:$K$236,7,0),"ENDirect")</f>
        <v>ENDirect</v>
      </c>
      <c r="Z20" s="7" t="str">
        <f>IFERROR(HLOOKUP(X20,'Calc|Weightings'!$U$5:$W$5,1,0),"Excl")</f>
        <v>Contracts</v>
      </c>
      <c r="AA20" s="7" t="str">
        <f>VLOOKUP(Q20,Mapping!$E$11:$I$204,5,0)</f>
        <v>SCS</v>
      </c>
      <c r="AC20" s="35" t="s">
        <v>264</v>
      </c>
      <c r="AD20" s="35"/>
      <c r="AE20" s="35">
        <v>72340</v>
      </c>
      <c r="AF20" s="35" t="s">
        <v>452</v>
      </c>
      <c r="AG20" s="36">
        <v>441.86099999999999</v>
      </c>
      <c r="AI20" s="7" t="str">
        <f>VLOOKUP($AC20,Mapping!$E$11:$I$204,3,0)</f>
        <v>ACS</v>
      </c>
      <c r="AJ20" s="7" t="str">
        <f>IFERROR(VLOOKUP($AE20,Mapping!$E$208:$K$236,5,0),"Contracts")</f>
        <v>Contracts</v>
      </c>
      <c r="AK20" s="7" t="str">
        <f>IFERROR(VLOOKUP($AE20,Mapping!$E$208:$K$236,7,0),"ENDirect")</f>
        <v>ENDirect</v>
      </c>
      <c r="AL20" s="7" t="str">
        <f>IFERROR(HLOOKUP(AJ20,'Calc|Weightings'!$U$5:$W$5,1,0),"Excl")</f>
        <v>Contracts</v>
      </c>
      <c r="AM20" s="7" t="str">
        <f>VLOOKUP(AC20,Mapping!$E$11:$I$204,5,0)</f>
        <v>ACS</v>
      </c>
      <c r="AO20" s="35" t="s">
        <v>547</v>
      </c>
      <c r="AP20" s="35"/>
      <c r="AQ20" s="35">
        <v>71000</v>
      </c>
      <c r="AR20" s="35" t="s">
        <v>457</v>
      </c>
      <c r="AS20" s="121">
        <v>-0.2906200000000026</v>
      </c>
      <c r="AU20" s="7" t="str">
        <f>VLOOKUP($AO20,Mapping!$E$11:$I$204,3,0)</f>
        <v>Connections</v>
      </c>
      <c r="AV20" s="7" t="str">
        <f>IFERROR(VLOOKUP($AQ20,Mapping!$E$208:$K$236,5,0),"Contracts")</f>
        <v>Labour</v>
      </c>
      <c r="AW20" s="7" t="str">
        <f>IFERROR(VLOOKUP($AQ20,Mapping!$E$208:$K$236,7,0),"ENDirect")</f>
        <v>ENDirect</v>
      </c>
      <c r="AX20" s="7" t="str">
        <f>IFERROR(HLOOKUP(AV20,'Calc|Weightings'!$U$5:$W$5,1,0),"Excl")</f>
        <v>Labour</v>
      </c>
      <c r="AY20" s="7" t="str">
        <f>VLOOKUP(AO20,Mapping!$E$11:$I$204,5,0)</f>
        <v>SCS</v>
      </c>
    </row>
    <row r="21" spans="1:51" x14ac:dyDescent="0.3">
      <c r="A21" s="7"/>
      <c r="B21" s="7"/>
      <c r="C21" s="7"/>
      <c r="D21" s="7"/>
      <c r="E21" s="32" t="s">
        <v>265</v>
      </c>
      <c r="F21" s="32"/>
      <c r="G21" s="32">
        <v>80000</v>
      </c>
      <c r="H21" s="32" t="s">
        <v>453</v>
      </c>
      <c r="I21" s="33">
        <v>1013.777</v>
      </c>
      <c r="J21" s="170"/>
      <c r="K21" s="7" t="str">
        <f>VLOOKUP($E21,Mapping!$E$11:$I$204,3,0)</f>
        <v>Non-network general assets - IT</v>
      </c>
      <c r="L21" s="7" t="str">
        <f>IFERROR(VLOOKUP($G21,Mapping!$E$208:$K$236,5,0),"Contracts")</f>
        <v>Overhead</v>
      </c>
      <c r="M21" s="7" t="str">
        <f>IFERROR(VLOOKUP($G21,Mapping!$E$208:$K$236,7,0),"ENDirect")</f>
        <v>OH</v>
      </c>
      <c r="N21" s="7" t="str">
        <f>IFERROR(HLOOKUP(L21,'Calc|Weightings'!$U$5:$W$5,1,0),"Excl")</f>
        <v>Excl</v>
      </c>
      <c r="O21" s="7" t="str">
        <f>VLOOKUP(E21,Mapping!$E$11:$I$204,5,0)</f>
        <v>SCS</v>
      </c>
      <c r="Q21" s="32" t="s">
        <v>265</v>
      </c>
      <c r="R21" s="32"/>
      <c r="S21" s="32">
        <v>70815</v>
      </c>
      <c r="T21" s="32" t="s">
        <v>451</v>
      </c>
      <c r="U21" s="33">
        <v>23240.782999999999</v>
      </c>
      <c r="V21" s="7"/>
      <c r="W21" s="7" t="str">
        <f>VLOOKUP($Q21,Mapping!$E$11:$I$204,3,0)</f>
        <v>Non-network general assets - IT</v>
      </c>
      <c r="X21" s="7" t="str">
        <f>IFERROR(VLOOKUP($S21,Mapping!$E$208:$K$236,5,0),"Contracts")</f>
        <v>Materials</v>
      </c>
      <c r="Y21" s="7" t="str">
        <f>IFERROR(VLOOKUP($S21,Mapping!$E$208:$K$236,7,0),"ENDirect")</f>
        <v>ENDirect</v>
      </c>
      <c r="Z21" s="7" t="str">
        <f>IFERROR(HLOOKUP(X21,'Calc|Weightings'!$U$5:$W$5,1,0),"Excl")</f>
        <v>Materials</v>
      </c>
      <c r="AA21" s="7" t="str">
        <f>VLOOKUP(Q21,Mapping!$E$11:$I$204,5,0)</f>
        <v>SCS</v>
      </c>
      <c r="AC21" s="35" t="s">
        <v>127</v>
      </c>
      <c r="AD21" s="35"/>
      <c r="AE21" s="35">
        <v>70815</v>
      </c>
      <c r="AF21" s="35" t="s">
        <v>451</v>
      </c>
      <c r="AG21" s="36">
        <v>-149.30199999999999</v>
      </c>
      <c r="AI21" s="7" t="str">
        <f>VLOOKUP($AC21,Mapping!$E$11:$I$204,3,0)</f>
        <v>Non-network general assets - Other</v>
      </c>
      <c r="AJ21" s="7" t="str">
        <f>IFERROR(VLOOKUP($AE21,Mapping!$E$208:$K$236,5,0),"Contracts")</f>
        <v>Materials</v>
      </c>
      <c r="AK21" s="7" t="str">
        <f>IFERROR(VLOOKUP($AE21,Mapping!$E$208:$K$236,7,0),"ENDirect")</f>
        <v>ENDirect</v>
      </c>
      <c r="AL21" s="7" t="str">
        <f>IFERROR(HLOOKUP(AJ21,'Calc|Weightings'!$U$5:$W$5,1,0),"Excl")</f>
        <v>Materials</v>
      </c>
      <c r="AM21" s="7" t="str">
        <f>VLOOKUP(AC21,Mapping!$E$11:$I$204,5,0)</f>
        <v>SCS</v>
      </c>
      <c r="AO21" s="35" t="s">
        <v>547</v>
      </c>
      <c r="AP21" s="35"/>
      <c r="AQ21" s="35">
        <v>71005</v>
      </c>
      <c r="AR21" s="35" t="s">
        <v>461</v>
      </c>
      <c r="AS21" s="121">
        <v>0.30915000000000148</v>
      </c>
      <c r="AU21" s="7" t="str">
        <f>VLOOKUP($AO21,Mapping!$E$11:$I$204,3,0)</f>
        <v>Connections</v>
      </c>
      <c r="AV21" s="7" t="str">
        <f>IFERROR(VLOOKUP($AQ21,Mapping!$E$208:$K$236,5,0),"Contracts")</f>
        <v>Materials</v>
      </c>
      <c r="AW21" s="7" t="str">
        <f>IFERROR(VLOOKUP($AQ21,Mapping!$E$208:$K$236,7,0),"ENDirect")</f>
        <v>ENDirect</v>
      </c>
      <c r="AX21" s="7" t="str">
        <f>IFERROR(HLOOKUP(AV21,'Calc|Weightings'!$U$5:$W$5,1,0),"Excl")</f>
        <v>Materials</v>
      </c>
      <c r="AY21" s="7" t="str">
        <f>VLOOKUP(AO21,Mapping!$E$11:$I$204,5,0)</f>
        <v>SCS</v>
      </c>
    </row>
    <row r="22" spans="1:51" x14ac:dyDescent="0.3">
      <c r="A22" s="7"/>
      <c r="B22" s="7"/>
      <c r="C22" s="7"/>
      <c r="D22" s="7"/>
      <c r="E22" s="32" t="s">
        <v>265</v>
      </c>
      <c r="F22" s="32"/>
      <c r="G22" s="32">
        <v>74000</v>
      </c>
      <c r="H22" s="32" t="s">
        <v>454</v>
      </c>
      <c r="I22" s="33">
        <v>0</v>
      </c>
      <c r="J22" s="170"/>
      <c r="K22" s="7" t="str">
        <f>VLOOKUP($E22,Mapping!$E$11:$I$204,3,0)</f>
        <v>Non-network general assets - IT</v>
      </c>
      <c r="L22" s="7" t="str">
        <f>IFERROR(VLOOKUP($G22,Mapping!$E$208:$K$236,5,0),"Contracts")</f>
        <v>Labour</v>
      </c>
      <c r="M22" s="7" t="str">
        <f>IFERROR(VLOOKUP($G22,Mapping!$E$208:$K$236,7,0),"ENDirect")</f>
        <v>ENDirect</v>
      </c>
      <c r="N22" s="7" t="str">
        <f>IFERROR(HLOOKUP(L22,'Calc|Weightings'!$U$5:$W$5,1,0),"Excl")</f>
        <v>Labour</v>
      </c>
      <c r="O22" s="7" t="str">
        <f>VLOOKUP(E22,Mapping!$E$11:$I$204,5,0)</f>
        <v>SCS</v>
      </c>
      <c r="Q22" s="32" t="s">
        <v>265</v>
      </c>
      <c r="R22" s="32"/>
      <c r="S22" s="32">
        <v>80000</v>
      </c>
      <c r="T22" s="32" t="s">
        <v>453</v>
      </c>
      <c r="U22" s="33">
        <v>1685.575</v>
      </c>
      <c r="V22" s="7"/>
      <c r="W22" s="7" t="str">
        <f>VLOOKUP($Q22,Mapping!$E$11:$I$204,3,0)</f>
        <v>Non-network general assets - IT</v>
      </c>
      <c r="X22" s="7" t="str">
        <f>IFERROR(VLOOKUP($S22,Mapping!$E$208:$K$236,5,0),"Contracts")</f>
        <v>Overhead</v>
      </c>
      <c r="Y22" s="7" t="str">
        <f>IFERROR(VLOOKUP($S22,Mapping!$E$208:$K$236,7,0),"ENDirect")</f>
        <v>OH</v>
      </c>
      <c r="Z22" s="7" t="str">
        <f>IFERROR(HLOOKUP(X22,'Calc|Weightings'!$U$5:$W$5,1,0),"Excl")</f>
        <v>Excl</v>
      </c>
      <c r="AA22" s="7" t="str">
        <f>VLOOKUP(Q22,Mapping!$E$11:$I$204,5,0)</f>
        <v>SCS</v>
      </c>
      <c r="AC22" s="35" t="s">
        <v>127</v>
      </c>
      <c r="AD22" s="35"/>
      <c r="AE22" s="35">
        <v>71000</v>
      </c>
      <c r="AF22" s="35" t="s">
        <v>457</v>
      </c>
      <c r="AG22" s="36">
        <v>298.59199999999998</v>
      </c>
      <c r="AI22" s="7" t="str">
        <f>VLOOKUP($AC22,Mapping!$E$11:$I$204,3,0)</f>
        <v>Non-network general assets - Other</v>
      </c>
      <c r="AJ22" s="7" t="str">
        <f>IFERROR(VLOOKUP($AE22,Mapping!$E$208:$K$236,5,0),"Contracts")</f>
        <v>Labour</v>
      </c>
      <c r="AK22" s="7" t="str">
        <f>IFERROR(VLOOKUP($AE22,Mapping!$E$208:$K$236,7,0),"ENDirect")</f>
        <v>ENDirect</v>
      </c>
      <c r="AL22" s="7" t="str">
        <f>IFERROR(HLOOKUP(AJ22,'Calc|Weightings'!$U$5:$W$5,1,0),"Excl")</f>
        <v>Labour</v>
      </c>
      <c r="AM22" s="7" t="str">
        <f>VLOOKUP(AC22,Mapping!$E$11:$I$204,5,0)</f>
        <v>SCS</v>
      </c>
      <c r="AO22" s="35" t="s">
        <v>547</v>
      </c>
      <c r="AP22" s="35"/>
      <c r="AQ22" s="35">
        <v>71006</v>
      </c>
      <c r="AR22" s="35" t="s">
        <v>468</v>
      </c>
      <c r="AS22" s="121">
        <v>55.350999999999999</v>
      </c>
      <c r="AU22" s="7" t="str">
        <f>VLOOKUP($AO22,Mapping!$E$11:$I$204,3,0)</f>
        <v>Connections</v>
      </c>
      <c r="AV22" s="7" t="str">
        <f>IFERROR(VLOOKUP($AQ22,Mapping!$E$208:$K$236,5,0),"Contracts")</f>
        <v>Materials</v>
      </c>
      <c r="AW22" s="7" t="str">
        <f>IFERROR(VLOOKUP($AQ22,Mapping!$E$208:$K$236,7,0),"ENDirect")</f>
        <v>ENDirect</v>
      </c>
      <c r="AX22" s="7" t="str">
        <f>IFERROR(HLOOKUP(AV22,'Calc|Weightings'!$U$5:$W$5,1,0),"Excl")</f>
        <v>Materials</v>
      </c>
      <c r="AY22" s="7" t="str">
        <f>VLOOKUP(AO22,Mapping!$E$11:$I$204,5,0)</f>
        <v>SCS</v>
      </c>
    </row>
    <row r="23" spans="1:51" x14ac:dyDescent="0.3">
      <c r="A23" s="7"/>
      <c r="B23" s="7"/>
      <c r="C23" s="7"/>
      <c r="D23" s="7"/>
      <c r="E23" s="32" t="s">
        <v>265</v>
      </c>
      <c r="F23" s="32"/>
      <c r="G23" s="32">
        <v>72200</v>
      </c>
      <c r="H23" s="32" t="s">
        <v>455</v>
      </c>
      <c r="I23" s="33">
        <v>0</v>
      </c>
      <c r="J23" s="170"/>
      <c r="K23" s="7" t="str">
        <f>VLOOKUP($E23,Mapping!$E$11:$I$204,3,0)</f>
        <v>Non-network general assets - IT</v>
      </c>
      <c r="L23" s="7" t="str">
        <f>IFERROR(VLOOKUP($G23,Mapping!$E$208:$K$236,5,0),"Contracts")</f>
        <v>Labour</v>
      </c>
      <c r="M23" s="7" t="str">
        <f>IFERROR(VLOOKUP($G23,Mapping!$E$208:$K$236,7,0),"ENDirect")</f>
        <v>ENDirect</v>
      </c>
      <c r="N23" s="7" t="str">
        <f>IFERROR(HLOOKUP(L23,'Calc|Weightings'!$U$5:$W$5,1,0),"Excl")</f>
        <v>Labour</v>
      </c>
      <c r="O23" s="7" t="str">
        <f>VLOOKUP(E23,Mapping!$E$11:$I$204,5,0)</f>
        <v>SCS</v>
      </c>
      <c r="Q23" s="32" t="s">
        <v>265</v>
      </c>
      <c r="R23" s="32"/>
      <c r="S23" s="32">
        <v>74000</v>
      </c>
      <c r="T23" s="32" t="s">
        <v>454</v>
      </c>
      <c r="U23" s="33">
        <v>0</v>
      </c>
      <c r="V23" s="7"/>
      <c r="W23" s="7" t="str">
        <f>VLOOKUP($Q23,Mapping!$E$11:$I$204,3,0)</f>
        <v>Non-network general assets - IT</v>
      </c>
      <c r="X23" s="7" t="str">
        <f>IFERROR(VLOOKUP($S23,Mapping!$E$208:$K$236,5,0),"Contracts")</f>
        <v>Labour</v>
      </c>
      <c r="Y23" s="7" t="str">
        <f>IFERROR(VLOOKUP($S23,Mapping!$E$208:$K$236,7,0),"ENDirect")</f>
        <v>ENDirect</v>
      </c>
      <c r="Z23" s="7" t="str">
        <f>IFERROR(HLOOKUP(X23,'Calc|Weightings'!$U$5:$W$5,1,0),"Excl")</f>
        <v>Labour</v>
      </c>
      <c r="AA23" s="7" t="str">
        <f>VLOOKUP(Q23,Mapping!$E$11:$I$204,5,0)</f>
        <v>SCS</v>
      </c>
      <c r="AC23" s="35" t="s">
        <v>127</v>
      </c>
      <c r="AD23" s="35"/>
      <c r="AE23" s="35">
        <v>71010</v>
      </c>
      <c r="AF23" s="35" t="s">
        <v>462</v>
      </c>
      <c r="AG23" s="36">
        <v>104.649</v>
      </c>
      <c r="AI23" s="7" t="str">
        <f>VLOOKUP($AC23,Mapping!$E$11:$I$204,3,0)</f>
        <v>Non-network general assets - Other</v>
      </c>
      <c r="AJ23" s="7" t="str">
        <f>IFERROR(VLOOKUP($AE23,Mapping!$E$208:$K$236,5,0),"Contracts")</f>
        <v>Labour</v>
      </c>
      <c r="AK23" s="7" t="str">
        <f>IFERROR(VLOOKUP($AE23,Mapping!$E$208:$K$236,7,0),"ENDirect")</f>
        <v>ENDirect</v>
      </c>
      <c r="AL23" s="7" t="str">
        <f>IFERROR(HLOOKUP(AJ23,'Calc|Weightings'!$U$5:$W$5,1,0),"Excl")</f>
        <v>Labour</v>
      </c>
      <c r="AM23" s="7" t="str">
        <f>VLOOKUP(AC23,Mapping!$E$11:$I$204,5,0)</f>
        <v>SCS</v>
      </c>
      <c r="AO23" s="35" t="s">
        <v>547</v>
      </c>
      <c r="AP23" s="35"/>
      <c r="AQ23" s="35">
        <v>71010</v>
      </c>
      <c r="AR23" s="35" t="s">
        <v>487</v>
      </c>
      <c r="AS23" s="121">
        <v>4.8370000000002619E-2</v>
      </c>
      <c r="AU23" s="7" t="str">
        <f>VLOOKUP($AO23,Mapping!$E$11:$I$204,3,0)</f>
        <v>Connections</v>
      </c>
      <c r="AV23" s="7" t="str">
        <f>IFERROR(VLOOKUP($AQ23,Mapping!$E$208:$K$236,5,0),"Contracts")</f>
        <v>Labour</v>
      </c>
      <c r="AW23" s="7" t="str">
        <f>IFERROR(VLOOKUP($AQ23,Mapping!$E$208:$K$236,7,0),"ENDirect")</f>
        <v>ENDirect</v>
      </c>
      <c r="AX23" s="7" t="str">
        <f>IFERROR(HLOOKUP(AV23,'Calc|Weightings'!$U$5:$W$5,1,0),"Excl")</f>
        <v>Labour</v>
      </c>
      <c r="AY23" s="7" t="str">
        <f>VLOOKUP(AO23,Mapping!$E$11:$I$204,5,0)</f>
        <v>SCS</v>
      </c>
    </row>
    <row r="24" spans="1:51" x14ac:dyDescent="0.3">
      <c r="A24" s="7"/>
      <c r="B24" s="7"/>
      <c r="C24" s="7"/>
      <c r="D24" s="7"/>
      <c r="E24" s="32" t="s">
        <v>265</v>
      </c>
      <c r="F24" s="32"/>
      <c r="G24" s="32">
        <v>72965</v>
      </c>
      <c r="H24" s="32" t="s">
        <v>456</v>
      </c>
      <c r="I24" s="33">
        <v>0</v>
      </c>
      <c r="J24" s="170"/>
      <c r="K24" s="7" t="str">
        <f>VLOOKUP($E24,Mapping!$E$11:$I$204,3,0)</f>
        <v>Non-network general assets - IT</v>
      </c>
      <c r="L24" s="7" t="str">
        <f>IFERROR(VLOOKUP($G24,Mapping!$E$208:$K$236,5,0),"Contracts")</f>
        <v>Contracts</v>
      </c>
      <c r="M24" s="7" t="str">
        <f>IFERROR(VLOOKUP($G24,Mapping!$E$208:$K$236,7,0),"ENDirect")</f>
        <v>ENDirect</v>
      </c>
      <c r="N24" s="7" t="str">
        <f>IFERROR(HLOOKUP(L24,'Calc|Weightings'!$U$5:$W$5,1,0),"Excl")</f>
        <v>Contracts</v>
      </c>
      <c r="O24" s="7" t="str">
        <f>VLOOKUP(E24,Mapping!$E$11:$I$204,5,0)</f>
        <v>SCS</v>
      </c>
      <c r="Q24" s="32" t="s">
        <v>265</v>
      </c>
      <c r="R24" s="32"/>
      <c r="S24" s="32">
        <v>74099</v>
      </c>
      <c r="T24" s="32" t="s">
        <v>473</v>
      </c>
      <c r="U24" s="33">
        <v>0</v>
      </c>
      <c r="V24" s="7"/>
      <c r="W24" s="7" t="str">
        <f>VLOOKUP($Q24,Mapping!$E$11:$I$204,3,0)</f>
        <v>Non-network general assets - IT</v>
      </c>
      <c r="X24" s="7" t="str">
        <f>IFERROR(VLOOKUP($S24,Mapping!$E$208:$K$236,5,0),"Contracts")</f>
        <v>Contracts</v>
      </c>
      <c r="Y24" s="7" t="str">
        <f>IFERROR(VLOOKUP($S24,Mapping!$E$208:$K$236,7,0),"ENDirect")</f>
        <v>ENDirect</v>
      </c>
      <c r="Z24" s="7" t="str">
        <f>IFERROR(HLOOKUP(X24,'Calc|Weightings'!$U$5:$W$5,1,0),"Excl")</f>
        <v>Contracts</v>
      </c>
      <c r="AA24" s="7" t="str">
        <f>VLOOKUP(Q24,Mapping!$E$11:$I$204,5,0)</f>
        <v>SCS</v>
      </c>
      <c r="AC24" s="35" t="s">
        <v>127</v>
      </c>
      <c r="AD24" s="35"/>
      <c r="AE24" s="35">
        <v>71015</v>
      </c>
      <c r="AF24" s="35" t="s">
        <v>463</v>
      </c>
      <c r="AG24" s="36">
        <v>68.551000000000002</v>
      </c>
      <c r="AI24" s="7" t="str">
        <f>VLOOKUP($AC24,Mapping!$E$11:$I$204,3,0)</f>
        <v>Non-network general assets - Other</v>
      </c>
      <c r="AJ24" s="7" t="str">
        <f>IFERROR(VLOOKUP($AE24,Mapping!$E$208:$K$236,5,0),"Contracts")</f>
        <v>Materials</v>
      </c>
      <c r="AK24" s="7" t="str">
        <f>IFERROR(VLOOKUP($AE24,Mapping!$E$208:$K$236,7,0),"ENDirect")</f>
        <v>ENDirect</v>
      </c>
      <c r="AL24" s="7" t="str">
        <f>IFERROR(HLOOKUP(AJ24,'Calc|Weightings'!$U$5:$W$5,1,0),"Excl")</f>
        <v>Materials</v>
      </c>
      <c r="AM24" s="7" t="str">
        <f>VLOOKUP(AC24,Mapping!$E$11:$I$204,5,0)</f>
        <v>SCS</v>
      </c>
      <c r="AO24" s="35" t="s">
        <v>547</v>
      </c>
      <c r="AP24" s="35"/>
      <c r="AQ24" s="35">
        <v>71030</v>
      </c>
      <c r="AR24" s="35" t="s">
        <v>464</v>
      </c>
      <c r="AS24" s="121">
        <v>5.2500000000000003E-3</v>
      </c>
      <c r="AU24" s="7" t="str">
        <f>VLOOKUP($AO24,Mapping!$E$11:$I$204,3,0)</f>
        <v>Connections</v>
      </c>
      <c r="AV24" s="7" t="str">
        <f>IFERROR(VLOOKUP($AQ24,Mapping!$E$208:$K$236,5,0),"Contracts")</f>
        <v>Contracts</v>
      </c>
      <c r="AW24" s="7" t="str">
        <f>IFERROR(VLOOKUP($AQ24,Mapping!$E$208:$K$236,7,0),"ENDirect")</f>
        <v>ENDirect</v>
      </c>
      <c r="AX24" s="7" t="str">
        <f>IFERROR(HLOOKUP(AV24,'Calc|Weightings'!$U$5:$W$5,1,0),"Excl")</f>
        <v>Contracts</v>
      </c>
      <c r="AY24" s="7" t="str">
        <f>VLOOKUP(AO24,Mapping!$E$11:$I$204,5,0)</f>
        <v>SCS</v>
      </c>
    </row>
    <row r="25" spans="1:51" x14ac:dyDescent="0.3">
      <c r="A25" s="7"/>
      <c r="B25" s="7"/>
      <c r="C25" s="7"/>
      <c r="D25" s="7"/>
      <c r="E25" s="32" t="s">
        <v>265</v>
      </c>
      <c r="F25" s="32"/>
      <c r="G25" s="32">
        <v>71000</v>
      </c>
      <c r="H25" s="32" t="s">
        <v>457</v>
      </c>
      <c r="I25" s="33">
        <v>5.673</v>
      </c>
      <c r="J25" s="170"/>
      <c r="K25" s="7" t="str">
        <f>VLOOKUP($E25,Mapping!$E$11:$I$204,3,0)</f>
        <v>Non-network general assets - IT</v>
      </c>
      <c r="L25" s="7" t="str">
        <f>IFERROR(VLOOKUP($G25,Mapping!$E$208:$K$236,5,0),"Contracts")</f>
        <v>Labour</v>
      </c>
      <c r="M25" s="7" t="str">
        <f>IFERROR(VLOOKUP($G25,Mapping!$E$208:$K$236,7,0),"ENDirect")</f>
        <v>ENDirect</v>
      </c>
      <c r="N25" s="7" t="str">
        <f>IFERROR(HLOOKUP(L25,'Calc|Weightings'!$U$5:$W$5,1,0),"Excl")</f>
        <v>Labour</v>
      </c>
      <c r="O25" s="7" t="str">
        <f>VLOOKUP(E25,Mapping!$E$11:$I$204,5,0)</f>
        <v>SCS</v>
      </c>
      <c r="Q25" s="32" t="s">
        <v>265</v>
      </c>
      <c r="R25" s="32"/>
      <c r="S25" s="32">
        <v>71000</v>
      </c>
      <c r="T25" s="32" t="s">
        <v>457</v>
      </c>
      <c r="U25" s="33">
        <v>-0.32200000000000001</v>
      </c>
      <c r="V25" s="7"/>
      <c r="W25" s="7" t="str">
        <f>VLOOKUP($Q25,Mapping!$E$11:$I$204,3,0)</f>
        <v>Non-network general assets - IT</v>
      </c>
      <c r="X25" s="7" t="str">
        <f>IFERROR(VLOOKUP($S25,Mapping!$E$208:$K$236,5,0),"Contracts")</f>
        <v>Labour</v>
      </c>
      <c r="Y25" s="7" t="str">
        <f>IFERROR(VLOOKUP($S25,Mapping!$E$208:$K$236,7,0),"ENDirect")</f>
        <v>ENDirect</v>
      </c>
      <c r="Z25" s="7" t="str">
        <f>IFERROR(HLOOKUP(X25,'Calc|Weightings'!$U$5:$W$5,1,0),"Excl")</f>
        <v>Labour</v>
      </c>
      <c r="AA25" s="7" t="str">
        <f>VLOOKUP(Q25,Mapping!$E$11:$I$204,5,0)</f>
        <v>SCS</v>
      </c>
      <c r="AC25" s="35" t="s">
        <v>127</v>
      </c>
      <c r="AD25" s="35"/>
      <c r="AE25" s="35">
        <v>71030</v>
      </c>
      <c r="AF25" s="35" t="s">
        <v>464</v>
      </c>
      <c r="AG25" s="36">
        <v>29.602</v>
      </c>
      <c r="AI25" s="7" t="str">
        <f>VLOOKUP($AC25,Mapping!$E$11:$I$204,3,0)</f>
        <v>Non-network general assets - Other</v>
      </c>
      <c r="AJ25" s="7" t="str">
        <f>IFERROR(VLOOKUP($AE25,Mapping!$E$208:$K$236,5,0),"Contracts")</f>
        <v>Contracts</v>
      </c>
      <c r="AK25" s="7" t="str">
        <f>IFERROR(VLOOKUP($AE25,Mapping!$E$208:$K$236,7,0),"ENDirect")</f>
        <v>ENDirect</v>
      </c>
      <c r="AL25" s="7" t="str">
        <f>IFERROR(HLOOKUP(AJ25,'Calc|Weightings'!$U$5:$W$5,1,0),"Excl")</f>
        <v>Contracts</v>
      </c>
      <c r="AM25" s="7" t="str">
        <f>VLOOKUP(AC25,Mapping!$E$11:$I$204,5,0)</f>
        <v>SCS</v>
      </c>
      <c r="AO25" s="35" t="s">
        <v>547</v>
      </c>
      <c r="AP25" s="35"/>
      <c r="AQ25" s="35">
        <v>71055</v>
      </c>
      <c r="AR25" s="35" t="s">
        <v>465</v>
      </c>
      <c r="AS25" s="121">
        <v>8.3700000000026201E-3</v>
      </c>
      <c r="AU25" s="7" t="str">
        <f>VLOOKUP($AO25,Mapping!$E$11:$I$204,3,0)</f>
        <v>Connections</v>
      </c>
      <c r="AV25" s="7" t="str">
        <f>IFERROR(VLOOKUP($AQ25,Mapping!$E$208:$K$236,5,0),"Contracts")</f>
        <v>Contracts</v>
      </c>
      <c r="AW25" s="7" t="str">
        <f>IFERROR(VLOOKUP($AQ25,Mapping!$E$208:$K$236,7,0),"ENDirect")</f>
        <v>ENDirect</v>
      </c>
      <c r="AX25" s="7" t="str">
        <f>IFERROR(HLOOKUP(AV25,'Calc|Weightings'!$U$5:$W$5,1,0),"Excl")</f>
        <v>Contracts</v>
      </c>
      <c r="AY25" s="7" t="str">
        <f>VLOOKUP(AO25,Mapping!$E$11:$I$204,5,0)</f>
        <v>SCS</v>
      </c>
    </row>
    <row r="26" spans="1:51" x14ac:dyDescent="0.3">
      <c r="A26" s="7"/>
      <c r="B26" s="7"/>
      <c r="C26" s="7"/>
      <c r="D26" s="7"/>
      <c r="E26" s="32" t="s">
        <v>265</v>
      </c>
      <c r="F26" s="32"/>
      <c r="G26" s="32">
        <v>72940</v>
      </c>
      <c r="H26" s="32" t="s">
        <v>458</v>
      </c>
      <c r="I26" s="33">
        <v>0</v>
      </c>
      <c r="J26" s="170"/>
      <c r="K26" s="7" t="str">
        <f>VLOOKUP($E26,Mapping!$E$11:$I$204,3,0)</f>
        <v>Non-network general assets - IT</v>
      </c>
      <c r="L26" s="7" t="str">
        <f>IFERROR(VLOOKUP($G26,Mapping!$E$208:$K$236,5,0),"Contracts")</f>
        <v>Contracts</v>
      </c>
      <c r="M26" s="7" t="str">
        <f>IFERROR(VLOOKUP($G26,Mapping!$E$208:$K$236,7,0),"ENDirect")</f>
        <v>ENDirect</v>
      </c>
      <c r="N26" s="7" t="str">
        <f>IFERROR(HLOOKUP(L26,'Calc|Weightings'!$U$5:$W$5,1,0),"Excl")</f>
        <v>Contracts</v>
      </c>
      <c r="O26" s="7" t="str">
        <f>VLOOKUP(E26,Mapping!$E$11:$I$204,5,0)</f>
        <v>SCS</v>
      </c>
      <c r="Q26" s="32" t="s">
        <v>265</v>
      </c>
      <c r="R26" s="32"/>
      <c r="S26" s="32">
        <v>71015</v>
      </c>
      <c r="T26" s="32" t="s">
        <v>463</v>
      </c>
      <c r="U26" s="33">
        <v>0.71199999999999997</v>
      </c>
      <c r="V26" s="7"/>
      <c r="W26" s="7" t="str">
        <f>VLOOKUP($Q26,Mapping!$E$11:$I$204,3,0)</f>
        <v>Non-network general assets - IT</v>
      </c>
      <c r="X26" s="7" t="str">
        <f>IFERROR(VLOOKUP($S26,Mapping!$E$208:$K$236,5,0),"Contracts")</f>
        <v>Materials</v>
      </c>
      <c r="Y26" s="7" t="str">
        <f>IFERROR(VLOOKUP($S26,Mapping!$E$208:$K$236,7,0),"ENDirect")</f>
        <v>ENDirect</v>
      </c>
      <c r="Z26" s="7" t="str">
        <f>IFERROR(HLOOKUP(X26,'Calc|Weightings'!$U$5:$W$5,1,0),"Excl")</f>
        <v>Materials</v>
      </c>
      <c r="AA26" s="7" t="str">
        <f>VLOOKUP(Q26,Mapping!$E$11:$I$204,5,0)</f>
        <v>SCS</v>
      </c>
      <c r="AC26" s="35" t="s">
        <v>127</v>
      </c>
      <c r="AD26" s="35"/>
      <c r="AE26" s="35">
        <v>71055</v>
      </c>
      <c r="AF26" s="35" t="s">
        <v>465</v>
      </c>
      <c r="AG26" s="36">
        <v>51.154000000000003</v>
      </c>
      <c r="AI26" s="7" t="str">
        <f>VLOOKUP($AC26,Mapping!$E$11:$I$204,3,0)</f>
        <v>Non-network general assets - Other</v>
      </c>
      <c r="AJ26" s="7" t="str">
        <f>IFERROR(VLOOKUP($AE26,Mapping!$E$208:$K$236,5,0),"Contracts")</f>
        <v>Contracts</v>
      </c>
      <c r="AK26" s="7" t="str">
        <f>IFERROR(VLOOKUP($AE26,Mapping!$E$208:$K$236,7,0),"ENDirect")</f>
        <v>ENDirect</v>
      </c>
      <c r="AL26" s="7" t="str">
        <f>IFERROR(HLOOKUP(AJ26,'Calc|Weightings'!$U$5:$W$5,1,0),"Excl")</f>
        <v>Contracts</v>
      </c>
      <c r="AM26" s="7" t="str">
        <f>VLOOKUP(AC26,Mapping!$E$11:$I$204,5,0)</f>
        <v>SCS</v>
      </c>
      <c r="AO26" s="35" t="s">
        <v>547</v>
      </c>
      <c r="AP26" s="35"/>
      <c r="AQ26" s="35">
        <v>71070</v>
      </c>
      <c r="AR26" s="35" t="s">
        <v>586</v>
      </c>
      <c r="AS26" s="121">
        <v>55.47513</v>
      </c>
      <c r="AU26" s="7" t="str">
        <f>VLOOKUP($AO26,Mapping!$E$11:$I$204,3,0)</f>
        <v>Connections</v>
      </c>
      <c r="AV26" s="7" t="str">
        <f>IFERROR(VLOOKUP($AQ26,Mapping!$E$208:$K$236,5,0),"Contracts")</f>
        <v>Contracts</v>
      </c>
      <c r="AW26" s="7" t="str">
        <f>IFERROR(VLOOKUP($AQ26,Mapping!$E$208:$K$236,7,0),"ENDirect")</f>
        <v>ENDirect</v>
      </c>
      <c r="AX26" s="7" t="str">
        <f>IFERROR(HLOOKUP(AV26,'Calc|Weightings'!$U$5:$W$5,1,0),"Excl")</f>
        <v>Contracts</v>
      </c>
      <c r="AY26" s="7" t="str">
        <f>VLOOKUP(AO26,Mapping!$E$11:$I$204,5,0)</f>
        <v>SCS</v>
      </c>
    </row>
    <row r="27" spans="1:51" x14ac:dyDescent="0.3">
      <c r="A27" s="7"/>
      <c r="B27" s="7"/>
      <c r="C27" s="7"/>
      <c r="D27" s="7"/>
      <c r="E27" s="32" t="s">
        <v>122</v>
      </c>
      <c r="F27" s="32"/>
      <c r="G27" s="32">
        <v>71020</v>
      </c>
      <c r="H27" s="32" t="s">
        <v>459</v>
      </c>
      <c r="I27" s="33">
        <v>-296.10599999999999</v>
      </c>
      <c r="J27" s="170"/>
      <c r="K27" s="7" t="str">
        <f>VLOOKUP($E27,Mapping!$E$11:$I$204,3,0)</f>
        <v>Augmentation</v>
      </c>
      <c r="L27" s="7" t="str">
        <f>IFERROR(VLOOKUP($G27,Mapping!$E$208:$K$236,5,0),"Contracts")</f>
        <v>Contracts</v>
      </c>
      <c r="M27" s="7" t="str">
        <f>IFERROR(VLOOKUP($G27,Mapping!$E$208:$K$236,7,0),"ENDirect")</f>
        <v>ENDirect</v>
      </c>
      <c r="N27" s="7" t="str">
        <f>IFERROR(HLOOKUP(L27,'Calc|Weightings'!$U$5:$W$5,1,0),"Excl")</f>
        <v>Contracts</v>
      </c>
      <c r="O27" s="7" t="str">
        <f>VLOOKUP(E27,Mapping!$E$11:$I$204,5,0)</f>
        <v>SCS</v>
      </c>
      <c r="Q27" s="32" t="s">
        <v>265</v>
      </c>
      <c r="R27" s="32"/>
      <c r="S27" s="32">
        <v>71030</v>
      </c>
      <c r="T27" s="32" t="s">
        <v>464</v>
      </c>
      <c r="U27" s="33">
        <v>0.53</v>
      </c>
      <c r="V27" s="7"/>
      <c r="W27" s="7" t="str">
        <f>VLOOKUP($Q27,Mapping!$E$11:$I$204,3,0)</f>
        <v>Non-network general assets - IT</v>
      </c>
      <c r="X27" s="7" t="str">
        <f>IFERROR(VLOOKUP($S27,Mapping!$E$208:$K$236,5,0),"Contracts")</f>
        <v>Contracts</v>
      </c>
      <c r="Y27" s="7" t="str">
        <f>IFERROR(VLOOKUP($S27,Mapping!$E$208:$K$236,7,0),"ENDirect")</f>
        <v>ENDirect</v>
      </c>
      <c r="Z27" s="7" t="str">
        <f>IFERROR(HLOOKUP(X27,'Calc|Weightings'!$U$5:$W$5,1,0),"Excl")</f>
        <v>Contracts</v>
      </c>
      <c r="AA27" s="7" t="str">
        <f>VLOOKUP(Q27,Mapping!$E$11:$I$204,5,0)</f>
        <v>SCS</v>
      </c>
      <c r="AC27" s="35" t="s">
        <v>127</v>
      </c>
      <c r="AD27" s="35"/>
      <c r="AE27" s="35">
        <v>80000</v>
      </c>
      <c r="AF27" s="35" t="s">
        <v>453</v>
      </c>
      <c r="AG27" s="36">
        <v>73.126999999999995</v>
      </c>
      <c r="AI27" s="7" t="str">
        <f>VLOOKUP($AC27,Mapping!$E$11:$I$204,3,0)</f>
        <v>Non-network general assets - Other</v>
      </c>
      <c r="AJ27" s="7" t="str">
        <f>IFERROR(VLOOKUP($AE27,Mapping!$E$208:$K$236,5,0),"Contracts")</f>
        <v>Overhead</v>
      </c>
      <c r="AK27" s="7" t="str">
        <f>IFERROR(VLOOKUP($AE27,Mapping!$E$208:$K$236,7,0),"ENDirect")</f>
        <v>OH</v>
      </c>
      <c r="AL27" s="7" t="str">
        <f>IFERROR(HLOOKUP(AJ27,'Calc|Weightings'!$U$5:$W$5,1,0),"Excl")</f>
        <v>Excl</v>
      </c>
      <c r="AM27" s="7" t="str">
        <f>VLOOKUP(AC27,Mapping!$E$11:$I$204,5,0)</f>
        <v>SCS</v>
      </c>
      <c r="AO27" s="35" t="s">
        <v>547</v>
      </c>
      <c r="AP27" s="35"/>
      <c r="AQ27" s="35">
        <v>71075</v>
      </c>
      <c r="AR27" s="35" t="s">
        <v>587</v>
      </c>
      <c r="AS27" s="121">
        <v>6.2353999999999994</v>
      </c>
      <c r="AU27" s="7" t="str">
        <f>VLOOKUP($AO27,Mapping!$E$11:$I$204,3,0)</f>
        <v>Connections</v>
      </c>
      <c r="AV27" s="7" t="str">
        <f>IFERROR(VLOOKUP($AQ27,Mapping!$E$208:$K$236,5,0),"Contracts")</f>
        <v>Contracts</v>
      </c>
      <c r="AW27" s="7" t="str">
        <f>IFERROR(VLOOKUP($AQ27,Mapping!$E$208:$K$236,7,0),"ENDirect")</f>
        <v>ENDirect</v>
      </c>
      <c r="AX27" s="7" t="str">
        <f>IFERROR(HLOOKUP(AV27,'Calc|Weightings'!$U$5:$W$5,1,0),"Excl")</f>
        <v>Contracts</v>
      </c>
      <c r="AY27" s="7" t="str">
        <f>VLOOKUP(AO27,Mapping!$E$11:$I$204,5,0)</f>
        <v>SCS</v>
      </c>
    </row>
    <row r="28" spans="1:51" x14ac:dyDescent="0.3">
      <c r="A28" s="7"/>
      <c r="B28" s="7"/>
      <c r="C28" s="7"/>
      <c r="D28" s="7"/>
      <c r="E28" s="32" t="s">
        <v>147</v>
      </c>
      <c r="F28" s="32"/>
      <c r="G28" s="32">
        <v>71020</v>
      </c>
      <c r="H28" s="32" t="s">
        <v>459</v>
      </c>
      <c r="I28" s="33">
        <v>-15.789</v>
      </c>
      <c r="J28" s="170"/>
      <c r="K28" s="7" t="str">
        <f>VLOOKUP($E28,Mapping!$E$11:$I$204,3,0)</f>
        <v>Augmentation</v>
      </c>
      <c r="L28" s="7" t="str">
        <f>IFERROR(VLOOKUP($G28,Mapping!$E$208:$K$236,5,0),"Contracts")</f>
        <v>Contracts</v>
      </c>
      <c r="M28" s="7" t="str">
        <f>IFERROR(VLOOKUP($G28,Mapping!$E$208:$K$236,7,0),"ENDirect")</f>
        <v>ENDirect</v>
      </c>
      <c r="N28" s="7" t="str">
        <f>IFERROR(HLOOKUP(L28,'Calc|Weightings'!$U$5:$W$5,1,0),"Excl")</f>
        <v>Contracts</v>
      </c>
      <c r="O28" s="7" t="str">
        <f>VLOOKUP(E28,Mapping!$E$11:$I$204,5,0)</f>
        <v>SCS</v>
      </c>
      <c r="Q28" s="32" t="s">
        <v>265</v>
      </c>
      <c r="R28" s="32"/>
      <c r="S28" s="32">
        <v>71055</v>
      </c>
      <c r="T28" s="32" t="s">
        <v>465</v>
      </c>
      <c r="U28" s="33">
        <v>1.508</v>
      </c>
      <c r="V28" s="7"/>
      <c r="W28" s="7" t="str">
        <f>VLOOKUP($Q28,Mapping!$E$11:$I$204,3,0)</f>
        <v>Non-network general assets - IT</v>
      </c>
      <c r="X28" s="7" t="str">
        <f>IFERROR(VLOOKUP($S28,Mapping!$E$208:$K$236,5,0),"Contracts")</f>
        <v>Contracts</v>
      </c>
      <c r="Y28" s="7" t="str">
        <f>IFERROR(VLOOKUP($S28,Mapping!$E$208:$K$236,7,0),"ENDirect")</f>
        <v>ENDirect</v>
      </c>
      <c r="Z28" s="7" t="str">
        <f>IFERROR(HLOOKUP(X28,'Calc|Weightings'!$U$5:$W$5,1,0),"Excl")</f>
        <v>Contracts</v>
      </c>
      <c r="AA28" s="7" t="str">
        <f>VLOOKUP(Q28,Mapping!$E$11:$I$204,5,0)</f>
        <v>SCS</v>
      </c>
      <c r="AC28" s="35" t="s">
        <v>265</v>
      </c>
      <c r="AD28" s="35"/>
      <c r="AE28" s="35">
        <v>70815</v>
      </c>
      <c r="AF28" s="35" t="s">
        <v>451</v>
      </c>
      <c r="AG28" s="36">
        <v>25690.696</v>
      </c>
      <c r="AI28" s="7" t="str">
        <f>VLOOKUP($AC28,Mapping!$E$11:$I$204,3,0)</f>
        <v>Non-network general assets - IT</v>
      </c>
      <c r="AJ28" s="7" t="str">
        <f>IFERROR(VLOOKUP($AE28,Mapping!$E$208:$K$236,5,0),"Contracts")</f>
        <v>Materials</v>
      </c>
      <c r="AK28" s="7" t="str">
        <f>IFERROR(VLOOKUP($AE28,Mapping!$E$208:$K$236,7,0),"ENDirect")</f>
        <v>ENDirect</v>
      </c>
      <c r="AL28" s="7" t="str">
        <f>IFERROR(HLOOKUP(AJ28,'Calc|Weightings'!$U$5:$W$5,1,0),"Excl")</f>
        <v>Materials</v>
      </c>
      <c r="AM28" s="7" t="str">
        <f>VLOOKUP(AC28,Mapping!$E$11:$I$204,5,0)</f>
        <v>SCS</v>
      </c>
      <c r="AO28" s="35" t="s">
        <v>547</v>
      </c>
      <c r="AP28" s="35"/>
      <c r="AQ28" s="35">
        <v>80000</v>
      </c>
      <c r="AR28" s="35" t="s">
        <v>589</v>
      </c>
      <c r="AS28" s="121">
        <v>16.561889999999998</v>
      </c>
      <c r="AU28" s="7" t="str">
        <f>VLOOKUP($AO28,Mapping!$E$11:$I$204,3,0)</f>
        <v>Connections</v>
      </c>
      <c r="AV28" s="7" t="str">
        <f>IFERROR(VLOOKUP($AQ28,Mapping!$E$208:$K$236,5,0),"Contracts")</f>
        <v>Overhead</v>
      </c>
      <c r="AW28" s="7" t="str">
        <f>IFERROR(VLOOKUP($AQ28,Mapping!$E$208:$K$236,7,0),"ENDirect")</f>
        <v>OH</v>
      </c>
      <c r="AX28" s="7" t="str">
        <f>IFERROR(HLOOKUP(AV28,'Calc|Weightings'!$U$5:$W$5,1,0),"Excl")</f>
        <v>Excl</v>
      </c>
      <c r="AY28" s="7" t="str">
        <f>VLOOKUP(AO28,Mapping!$E$11:$I$204,5,0)</f>
        <v>SCS</v>
      </c>
    </row>
    <row r="29" spans="1:51" x14ac:dyDescent="0.3">
      <c r="A29" s="7"/>
      <c r="B29" s="7"/>
      <c r="C29" s="7"/>
      <c r="D29" s="7"/>
      <c r="E29" s="32" t="s">
        <v>125</v>
      </c>
      <c r="F29" s="32"/>
      <c r="G29" s="32">
        <v>71020</v>
      </c>
      <c r="H29" s="32" t="s">
        <v>459</v>
      </c>
      <c r="I29" s="33">
        <v>-15.952</v>
      </c>
      <c r="J29" s="170"/>
      <c r="K29" s="7" t="str">
        <f>VLOOKUP($E29,Mapping!$E$11:$I$204,3,0)</f>
        <v>Augmentation</v>
      </c>
      <c r="L29" s="7" t="str">
        <f>IFERROR(VLOOKUP($G29,Mapping!$E$208:$K$236,5,0),"Contracts")</f>
        <v>Contracts</v>
      </c>
      <c r="M29" s="7" t="str">
        <f>IFERROR(VLOOKUP($G29,Mapping!$E$208:$K$236,7,0),"ENDirect")</f>
        <v>ENDirect</v>
      </c>
      <c r="N29" s="7" t="str">
        <f>IFERROR(HLOOKUP(L29,'Calc|Weightings'!$U$5:$W$5,1,0),"Excl")</f>
        <v>Contracts</v>
      </c>
      <c r="O29" s="7" t="str">
        <f>VLOOKUP(E29,Mapping!$E$11:$I$204,5,0)</f>
        <v>SCS</v>
      </c>
      <c r="Q29" s="32" t="s">
        <v>265</v>
      </c>
      <c r="R29" s="32"/>
      <c r="S29" s="32">
        <v>72956</v>
      </c>
      <c r="T29" s="32" t="s">
        <v>475</v>
      </c>
      <c r="U29" s="33">
        <v>0</v>
      </c>
      <c r="V29" s="7"/>
      <c r="W29" s="7" t="str">
        <f>VLOOKUP($Q29,Mapping!$E$11:$I$204,3,0)</f>
        <v>Non-network general assets - IT</v>
      </c>
      <c r="X29" s="7" t="str">
        <f>IFERROR(VLOOKUP($S29,Mapping!$E$208:$K$236,5,0),"Contracts")</f>
        <v>Contracts</v>
      </c>
      <c r="Y29" s="7" t="str">
        <f>IFERROR(VLOOKUP($S29,Mapping!$E$208:$K$236,7,0),"ENDirect")</f>
        <v>ENDirect</v>
      </c>
      <c r="Z29" s="7" t="str">
        <f>IFERROR(HLOOKUP(X29,'Calc|Weightings'!$U$5:$W$5,1,0),"Excl")</f>
        <v>Contracts</v>
      </c>
      <c r="AA29" s="7" t="str">
        <f>VLOOKUP(Q29,Mapping!$E$11:$I$204,5,0)</f>
        <v>SCS</v>
      </c>
      <c r="AC29" s="35" t="s">
        <v>265</v>
      </c>
      <c r="AD29" s="35"/>
      <c r="AE29" s="35">
        <v>74000</v>
      </c>
      <c r="AF29" s="35" t="s">
        <v>454</v>
      </c>
      <c r="AG29" s="36">
        <v>0</v>
      </c>
      <c r="AI29" s="7" t="str">
        <f>VLOOKUP($AC29,Mapping!$E$11:$I$204,3,0)</f>
        <v>Non-network general assets - IT</v>
      </c>
      <c r="AJ29" s="7" t="str">
        <f>IFERROR(VLOOKUP($AE29,Mapping!$E$208:$K$236,5,0),"Contracts")</f>
        <v>Labour</v>
      </c>
      <c r="AK29" s="7" t="str">
        <f>IFERROR(VLOOKUP($AE29,Mapping!$E$208:$K$236,7,0),"ENDirect")</f>
        <v>ENDirect</v>
      </c>
      <c r="AL29" s="7" t="str">
        <f>IFERROR(HLOOKUP(AJ29,'Calc|Weightings'!$U$5:$W$5,1,0),"Excl")</f>
        <v>Labour</v>
      </c>
      <c r="AM29" s="7" t="str">
        <f>VLOOKUP(AC29,Mapping!$E$11:$I$204,5,0)</f>
        <v>SCS</v>
      </c>
      <c r="AO29" s="35" t="s">
        <v>548</v>
      </c>
      <c r="AP29" s="35"/>
      <c r="AQ29" s="35">
        <v>71000</v>
      </c>
      <c r="AR29" s="35" t="s">
        <v>457</v>
      </c>
      <c r="AS29" s="121">
        <v>31.127980000000026</v>
      </c>
      <c r="AU29" s="7" t="str">
        <f>VLOOKUP($AO29,Mapping!$E$11:$I$204,3,0)</f>
        <v>Connections</v>
      </c>
      <c r="AV29" s="7" t="str">
        <f>IFERROR(VLOOKUP($AQ29,Mapping!$E$208:$K$236,5,0),"Contracts")</f>
        <v>Labour</v>
      </c>
      <c r="AW29" s="7" t="str">
        <f>IFERROR(VLOOKUP($AQ29,Mapping!$E$208:$K$236,7,0),"ENDirect")</f>
        <v>ENDirect</v>
      </c>
      <c r="AX29" s="7" t="str">
        <f>IFERROR(HLOOKUP(AV29,'Calc|Weightings'!$U$5:$W$5,1,0),"Excl")</f>
        <v>Labour</v>
      </c>
      <c r="AY29" s="7" t="str">
        <f>VLOOKUP(AO29,Mapping!$E$11:$I$204,5,0)</f>
        <v>SCS</v>
      </c>
    </row>
    <row r="30" spans="1:51" x14ac:dyDescent="0.3">
      <c r="A30" s="7"/>
      <c r="B30" s="7"/>
      <c r="C30" s="7"/>
      <c r="D30" s="7"/>
      <c r="E30" s="32" t="s">
        <v>125</v>
      </c>
      <c r="F30" s="32"/>
      <c r="G30" s="32">
        <v>71040</v>
      </c>
      <c r="H30" s="32" t="s">
        <v>460</v>
      </c>
      <c r="I30" s="33">
        <v>-2.87</v>
      </c>
      <c r="J30" s="170"/>
      <c r="K30" s="7" t="str">
        <f>VLOOKUP($E30,Mapping!$E$11:$I$204,3,0)</f>
        <v>Augmentation</v>
      </c>
      <c r="L30" s="7" t="str">
        <f>IFERROR(VLOOKUP($G30,Mapping!$E$208:$K$236,5,0),"Contracts")</f>
        <v>Contracts</v>
      </c>
      <c r="M30" s="7" t="str">
        <f>IFERROR(VLOOKUP($G30,Mapping!$E$208:$K$236,7,0),"ENDirect")</f>
        <v>ENDirect</v>
      </c>
      <c r="N30" s="7" t="str">
        <f>IFERROR(HLOOKUP(L30,'Calc|Weightings'!$U$5:$W$5,1,0),"Excl")</f>
        <v>Contracts</v>
      </c>
      <c r="O30" s="7" t="str">
        <f>VLOOKUP(E30,Mapping!$E$11:$I$204,5,0)</f>
        <v>SCS</v>
      </c>
      <c r="Q30" s="32" t="s">
        <v>265</v>
      </c>
      <c r="R30" s="32"/>
      <c r="S30" s="32">
        <v>72965</v>
      </c>
      <c r="T30" s="32" t="s">
        <v>456</v>
      </c>
      <c r="U30" s="33">
        <v>0</v>
      </c>
      <c r="V30" s="7"/>
      <c r="W30" s="7" t="str">
        <f>VLOOKUP($Q30,Mapping!$E$11:$I$204,3,0)</f>
        <v>Non-network general assets - IT</v>
      </c>
      <c r="X30" s="7" t="str">
        <f>IFERROR(VLOOKUP($S30,Mapping!$E$208:$K$236,5,0),"Contracts")</f>
        <v>Contracts</v>
      </c>
      <c r="Y30" s="7" t="str">
        <f>IFERROR(VLOOKUP($S30,Mapping!$E$208:$K$236,7,0),"ENDirect")</f>
        <v>ENDirect</v>
      </c>
      <c r="Z30" s="7" t="str">
        <f>IFERROR(HLOOKUP(X30,'Calc|Weightings'!$U$5:$W$5,1,0),"Excl")</f>
        <v>Contracts</v>
      </c>
      <c r="AA30" s="7" t="str">
        <f>VLOOKUP(Q30,Mapping!$E$11:$I$204,5,0)</f>
        <v>SCS</v>
      </c>
      <c r="AC30" s="35" t="s">
        <v>265</v>
      </c>
      <c r="AD30" s="35"/>
      <c r="AE30" s="35">
        <v>74099</v>
      </c>
      <c r="AF30" s="35" t="s">
        <v>473</v>
      </c>
      <c r="AG30" s="36">
        <v>0</v>
      </c>
      <c r="AI30" s="7" t="str">
        <f>VLOOKUP($AC30,Mapping!$E$11:$I$204,3,0)</f>
        <v>Non-network general assets - IT</v>
      </c>
      <c r="AJ30" s="7" t="str">
        <f>IFERROR(VLOOKUP($AE30,Mapping!$E$208:$K$236,5,0),"Contracts")</f>
        <v>Contracts</v>
      </c>
      <c r="AK30" s="7" t="str">
        <f>IFERROR(VLOOKUP($AE30,Mapping!$E$208:$K$236,7,0),"ENDirect")</f>
        <v>ENDirect</v>
      </c>
      <c r="AL30" s="7" t="str">
        <f>IFERROR(HLOOKUP(AJ30,'Calc|Weightings'!$U$5:$W$5,1,0),"Excl")</f>
        <v>Contracts</v>
      </c>
      <c r="AM30" s="7" t="str">
        <f>VLOOKUP(AC30,Mapping!$E$11:$I$204,5,0)</f>
        <v>SCS</v>
      </c>
      <c r="AO30" s="35" t="s">
        <v>548</v>
      </c>
      <c r="AP30" s="35"/>
      <c r="AQ30" s="35">
        <v>71005</v>
      </c>
      <c r="AR30" s="35" t="s">
        <v>461</v>
      </c>
      <c r="AS30" s="121">
        <v>4.0806000000000022</v>
      </c>
      <c r="AU30" s="7" t="str">
        <f>VLOOKUP($AO30,Mapping!$E$11:$I$204,3,0)</f>
        <v>Connections</v>
      </c>
      <c r="AV30" s="7" t="str">
        <f>IFERROR(VLOOKUP($AQ30,Mapping!$E$208:$K$236,5,0),"Contracts")</f>
        <v>Materials</v>
      </c>
      <c r="AW30" s="7" t="str">
        <f>IFERROR(VLOOKUP($AQ30,Mapping!$E$208:$K$236,7,0),"ENDirect")</f>
        <v>ENDirect</v>
      </c>
      <c r="AX30" s="7" t="str">
        <f>IFERROR(HLOOKUP(AV30,'Calc|Weightings'!$U$5:$W$5,1,0),"Excl")</f>
        <v>Materials</v>
      </c>
      <c r="AY30" s="7" t="str">
        <f>VLOOKUP(AO30,Mapping!$E$11:$I$204,5,0)</f>
        <v>SCS</v>
      </c>
    </row>
    <row r="31" spans="1:51" x14ac:dyDescent="0.3">
      <c r="A31" s="7"/>
      <c r="B31" s="7"/>
      <c r="C31" s="7"/>
      <c r="D31" s="7"/>
      <c r="E31" s="32" t="s">
        <v>125</v>
      </c>
      <c r="F31" s="32"/>
      <c r="G31" s="32">
        <v>70815</v>
      </c>
      <c r="H31" s="32" t="s">
        <v>451</v>
      </c>
      <c r="I31" s="33">
        <v>100.51</v>
      </c>
      <c r="J31" s="170"/>
      <c r="K31" s="7" t="str">
        <f>VLOOKUP($E31,Mapping!$E$11:$I$204,3,0)</f>
        <v>Augmentation</v>
      </c>
      <c r="L31" s="7" t="str">
        <f>IFERROR(VLOOKUP($G31,Mapping!$E$208:$K$236,5,0),"Contracts")</f>
        <v>Materials</v>
      </c>
      <c r="M31" s="7" t="str">
        <f>IFERROR(VLOOKUP($G31,Mapping!$E$208:$K$236,7,0),"ENDirect")</f>
        <v>ENDirect</v>
      </c>
      <c r="N31" s="7" t="str">
        <f>IFERROR(HLOOKUP(L31,'Calc|Weightings'!$U$5:$W$5,1,0),"Excl")</f>
        <v>Materials</v>
      </c>
      <c r="O31" s="7" t="str">
        <f>VLOOKUP(E31,Mapping!$E$11:$I$204,5,0)</f>
        <v>SCS</v>
      </c>
      <c r="Q31" s="32" t="s">
        <v>265</v>
      </c>
      <c r="R31" s="32"/>
      <c r="S31" s="32">
        <v>73684</v>
      </c>
      <c r="T31" s="32" t="s">
        <v>476</v>
      </c>
      <c r="U31" s="33">
        <v>0</v>
      </c>
      <c r="V31" s="7"/>
      <c r="W31" s="7" t="str">
        <f>VLOOKUP($Q31,Mapping!$E$11:$I$204,3,0)</f>
        <v>Non-network general assets - IT</v>
      </c>
      <c r="X31" s="7" t="str">
        <f>IFERROR(VLOOKUP($S31,Mapping!$E$208:$K$236,5,0),"Contracts")</f>
        <v>Contracts</v>
      </c>
      <c r="Y31" s="7" t="str">
        <f>IFERROR(VLOOKUP($S31,Mapping!$E$208:$K$236,7,0),"ENDirect")</f>
        <v>ENDirect</v>
      </c>
      <c r="Z31" s="7" t="str">
        <f>IFERROR(HLOOKUP(X31,'Calc|Weightings'!$U$5:$W$5,1,0),"Excl")</f>
        <v>Contracts</v>
      </c>
      <c r="AA31" s="7" t="str">
        <f>VLOOKUP(Q31,Mapping!$E$11:$I$204,5,0)</f>
        <v>SCS</v>
      </c>
      <c r="AC31" s="35" t="s">
        <v>265</v>
      </c>
      <c r="AD31" s="35"/>
      <c r="AE31" s="35">
        <v>80000</v>
      </c>
      <c r="AF31" s="35" t="s">
        <v>453</v>
      </c>
      <c r="AG31" s="36">
        <v>830.81799999999998</v>
      </c>
      <c r="AI31" s="7" t="str">
        <f>VLOOKUP($AC31,Mapping!$E$11:$I$204,3,0)</f>
        <v>Non-network general assets - IT</v>
      </c>
      <c r="AJ31" s="7" t="str">
        <f>IFERROR(VLOOKUP($AE31,Mapping!$E$208:$K$236,5,0),"Contracts")</f>
        <v>Overhead</v>
      </c>
      <c r="AK31" s="7" t="str">
        <f>IFERROR(VLOOKUP($AE31,Mapping!$E$208:$K$236,7,0),"ENDirect")</f>
        <v>OH</v>
      </c>
      <c r="AL31" s="7" t="str">
        <f>IFERROR(HLOOKUP(AJ31,'Calc|Weightings'!$U$5:$W$5,1,0),"Excl")</f>
        <v>Excl</v>
      </c>
      <c r="AM31" s="7" t="str">
        <f>VLOOKUP(AC31,Mapping!$E$11:$I$204,5,0)</f>
        <v>SCS</v>
      </c>
      <c r="AO31" s="35" t="s">
        <v>548</v>
      </c>
      <c r="AP31" s="35"/>
      <c r="AQ31" s="35">
        <v>71010</v>
      </c>
      <c r="AR31" s="35" t="s">
        <v>487</v>
      </c>
      <c r="AS31" s="121">
        <v>7.7803199999999997</v>
      </c>
      <c r="AU31" s="7" t="str">
        <f>VLOOKUP($AO31,Mapping!$E$11:$I$204,3,0)</f>
        <v>Connections</v>
      </c>
      <c r="AV31" s="7" t="str">
        <f>IFERROR(VLOOKUP($AQ31,Mapping!$E$208:$K$236,5,0),"Contracts")</f>
        <v>Labour</v>
      </c>
      <c r="AW31" s="7" t="str">
        <f>IFERROR(VLOOKUP($AQ31,Mapping!$E$208:$K$236,7,0),"ENDirect")</f>
        <v>ENDirect</v>
      </c>
      <c r="AX31" s="7" t="str">
        <f>IFERROR(HLOOKUP(AV31,'Calc|Weightings'!$U$5:$W$5,1,0),"Excl")</f>
        <v>Labour</v>
      </c>
      <c r="AY31" s="7" t="str">
        <f>VLOOKUP(AO31,Mapping!$E$11:$I$204,5,0)</f>
        <v>SCS</v>
      </c>
    </row>
    <row r="32" spans="1:51" x14ac:dyDescent="0.3">
      <c r="A32" s="7"/>
      <c r="B32" s="7"/>
      <c r="C32" s="7"/>
      <c r="D32" s="7"/>
      <c r="E32" s="32" t="s">
        <v>125</v>
      </c>
      <c r="F32" s="32"/>
      <c r="G32" s="32">
        <v>71000</v>
      </c>
      <c r="H32" s="32" t="s">
        <v>457</v>
      </c>
      <c r="I32" s="33">
        <v>1644.203</v>
      </c>
      <c r="J32" s="170"/>
      <c r="K32" s="7" t="str">
        <f>VLOOKUP($E32,Mapping!$E$11:$I$204,3,0)</f>
        <v>Augmentation</v>
      </c>
      <c r="L32" s="7" t="str">
        <f>IFERROR(VLOOKUP($G32,Mapping!$E$208:$K$236,5,0),"Contracts")</f>
        <v>Labour</v>
      </c>
      <c r="M32" s="7" t="str">
        <f>IFERROR(VLOOKUP($G32,Mapping!$E$208:$K$236,7,0),"ENDirect")</f>
        <v>ENDirect</v>
      </c>
      <c r="N32" s="7" t="str">
        <f>IFERROR(HLOOKUP(L32,'Calc|Weightings'!$U$5:$W$5,1,0),"Excl")</f>
        <v>Labour</v>
      </c>
      <c r="O32" s="7" t="str">
        <f>VLOOKUP(E32,Mapping!$E$11:$I$204,5,0)</f>
        <v>SCS</v>
      </c>
      <c r="Q32" s="32" t="s">
        <v>265</v>
      </c>
      <c r="R32" s="32"/>
      <c r="S32" s="32">
        <v>73686</v>
      </c>
      <c r="T32" s="32" t="s">
        <v>477</v>
      </c>
      <c r="U32" s="33">
        <v>0</v>
      </c>
      <c r="V32" s="7"/>
      <c r="W32" s="7" t="str">
        <f>VLOOKUP($Q32,Mapping!$E$11:$I$204,3,0)</f>
        <v>Non-network general assets - IT</v>
      </c>
      <c r="X32" s="7" t="str">
        <f>IFERROR(VLOOKUP($S32,Mapping!$E$208:$K$236,5,0),"Contracts")</f>
        <v>Contracts</v>
      </c>
      <c r="Y32" s="7" t="str">
        <f>IFERROR(VLOOKUP($S32,Mapping!$E$208:$K$236,7,0),"ENDirect")</f>
        <v>ENDirect</v>
      </c>
      <c r="Z32" s="7" t="str">
        <f>IFERROR(HLOOKUP(X32,'Calc|Weightings'!$U$5:$W$5,1,0),"Excl")</f>
        <v>Contracts</v>
      </c>
      <c r="AA32" s="7" t="str">
        <f>VLOOKUP(Q32,Mapping!$E$11:$I$204,5,0)</f>
        <v>SCS</v>
      </c>
      <c r="AC32" s="35" t="s">
        <v>265</v>
      </c>
      <c r="AD32" s="35"/>
      <c r="AE32" s="35">
        <v>74202</v>
      </c>
      <c r="AF32" s="35" t="s">
        <v>474</v>
      </c>
      <c r="AG32" s="36">
        <v>0</v>
      </c>
      <c r="AI32" s="7" t="str">
        <f>VLOOKUP($AC32,Mapping!$E$11:$I$204,3,0)</f>
        <v>Non-network general assets - IT</v>
      </c>
      <c r="AJ32" s="7" t="str">
        <f>IFERROR(VLOOKUP($AE32,Mapping!$E$208:$K$236,5,0),"Contracts")</f>
        <v>Labour</v>
      </c>
      <c r="AK32" s="7" t="str">
        <f>IFERROR(VLOOKUP($AE32,Mapping!$E$208:$K$236,7,0),"ENDirect")</f>
        <v>ENDirect</v>
      </c>
      <c r="AL32" s="7" t="str">
        <f>IFERROR(HLOOKUP(AJ32,'Calc|Weightings'!$U$5:$W$5,1,0),"Excl")</f>
        <v>Labour</v>
      </c>
      <c r="AM32" s="7" t="str">
        <f>VLOOKUP(AC32,Mapping!$E$11:$I$204,5,0)</f>
        <v>SCS</v>
      </c>
      <c r="AO32" s="35" t="s">
        <v>548</v>
      </c>
      <c r="AP32" s="35"/>
      <c r="AQ32" s="35">
        <v>71015</v>
      </c>
      <c r="AR32" s="35" t="s">
        <v>585</v>
      </c>
      <c r="AS32" s="121">
        <v>4.6899400000000009</v>
      </c>
      <c r="AU32" s="7" t="str">
        <f>VLOOKUP($AO32,Mapping!$E$11:$I$204,3,0)</f>
        <v>Connections</v>
      </c>
      <c r="AV32" s="7" t="str">
        <f>IFERROR(VLOOKUP($AQ32,Mapping!$E$208:$K$236,5,0),"Contracts")</f>
        <v>Materials</v>
      </c>
      <c r="AW32" s="7" t="str">
        <f>IFERROR(VLOOKUP($AQ32,Mapping!$E$208:$K$236,7,0),"ENDirect")</f>
        <v>ENDirect</v>
      </c>
      <c r="AX32" s="7" t="str">
        <f>IFERROR(HLOOKUP(AV32,'Calc|Weightings'!$U$5:$W$5,1,0),"Excl")</f>
        <v>Materials</v>
      </c>
      <c r="AY32" s="7" t="str">
        <f>VLOOKUP(AO32,Mapping!$E$11:$I$204,5,0)</f>
        <v>SCS</v>
      </c>
    </row>
    <row r="33" spans="1:51" x14ac:dyDescent="0.3">
      <c r="A33" s="7"/>
      <c r="B33" s="7"/>
      <c r="C33" s="7"/>
      <c r="D33" s="7"/>
      <c r="E33" s="32" t="s">
        <v>125</v>
      </c>
      <c r="F33" s="32"/>
      <c r="G33" s="32">
        <v>71005</v>
      </c>
      <c r="H33" s="32" t="s">
        <v>461</v>
      </c>
      <c r="I33" s="33">
        <v>1097.605</v>
      </c>
      <c r="J33" s="170"/>
      <c r="K33" s="7" t="str">
        <f>VLOOKUP($E33,Mapping!$E$11:$I$204,3,0)</f>
        <v>Augmentation</v>
      </c>
      <c r="L33" s="7" t="str">
        <f>IFERROR(VLOOKUP($G33,Mapping!$E$208:$K$236,5,0),"Contracts")</f>
        <v>Materials</v>
      </c>
      <c r="M33" s="7" t="str">
        <f>IFERROR(VLOOKUP($G33,Mapping!$E$208:$K$236,7,0),"ENDirect")</f>
        <v>ENDirect</v>
      </c>
      <c r="N33" s="7" t="str">
        <f>IFERROR(HLOOKUP(L33,'Calc|Weightings'!$U$5:$W$5,1,0),"Excl")</f>
        <v>Materials</v>
      </c>
      <c r="O33" s="7" t="str">
        <f>VLOOKUP(E33,Mapping!$E$11:$I$204,5,0)</f>
        <v>SCS</v>
      </c>
      <c r="Q33" s="32" t="s">
        <v>122</v>
      </c>
      <c r="R33" s="32"/>
      <c r="S33" s="32">
        <v>70815</v>
      </c>
      <c r="T33" s="32" t="s">
        <v>451</v>
      </c>
      <c r="U33" s="33">
        <v>-311.815</v>
      </c>
      <c r="V33" s="7"/>
      <c r="W33" s="7" t="str">
        <f>VLOOKUP($Q33,Mapping!$E$11:$I$204,3,0)</f>
        <v>Augmentation</v>
      </c>
      <c r="X33" s="7" t="str">
        <f>IFERROR(VLOOKUP($S33,Mapping!$E$208:$K$236,5,0),"Contracts")</f>
        <v>Materials</v>
      </c>
      <c r="Y33" s="7" t="str">
        <f>IFERROR(VLOOKUP($S33,Mapping!$E$208:$K$236,7,0),"ENDirect")</f>
        <v>ENDirect</v>
      </c>
      <c r="Z33" s="7" t="str">
        <f>IFERROR(HLOOKUP(X33,'Calc|Weightings'!$U$5:$W$5,1,0),"Excl")</f>
        <v>Materials</v>
      </c>
      <c r="AA33" s="7" t="str">
        <f>VLOOKUP(Q33,Mapping!$E$11:$I$204,5,0)</f>
        <v>SCS</v>
      </c>
      <c r="AC33" s="35" t="s">
        <v>125</v>
      </c>
      <c r="AD33" s="35"/>
      <c r="AE33" s="35">
        <v>70815</v>
      </c>
      <c r="AF33" s="35" t="s">
        <v>451</v>
      </c>
      <c r="AG33" s="36">
        <v>808.66200000000003</v>
      </c>
      <c r="AI33" s="7" t="str">
        <f>VLOOKUP($AC33,Mapping!$E$11:$I$204,3,0)</f>
        <v>Augmentation</v>
      </c>
      <c r="AJ33" s="7" t="str">
        <f>IFERROR(VLOOKUP($AE33,Mapping!$E$208:$K$236,5,0),"Contracts")</f>
        <v>Materials</v>
      </c>
      <c r="AK33" s="7" t="str">
        <f>IFERROR(VLOOKUP($AE33,Mapping!$E$208:$K$236,7,0),"ENDirect")</f>
        <v>ENDirect</v>
      </c>
      <c r="AL33" s="7" t="str">
        <f>IFERROR(HLOOKUP(AJ33,'Calc|Weightings'!$U$5:$W$5,1,0),"Excl")</f>
        <v>Materials</v>
      </c>
      <c r="AM33" s="7" t="str">
        <f>VLOOKUP(AC33,Mapping!$E$11:$I$204,5,0)</f>
        <v>SCS</v>
      </c>
      <c r="AO33" s="35" t="s">
        <v>548</v>
      </c>
      <c r="AP33" s="35"/>
      <c r="AQ33" s="35">
        <v>71030</v>
      </c>
      <c r="AR33" s="35" t="s">
        <v>464</v>
      </c>
      <c r="AS33" s="121">
        <v>3.7776600000000014</v>
      </c>
      <c r="AU33" s="7" t="str">
        <f>VLOOKUP($AO33,Mapping!$E$11:$I$204,3,0)</f>
        <v>Connections</v>
      </c>
      <c r="AV33" s="7" t="str">
        <f>IFERROR(VLOOKUP($AQ33,Mapping!$E$208:$K$236,5,0),"Contracts")</f>
        <v>Contracts</v>
      </c>
      <c r="AW33" s="7" t="str">
        <f>IFERROR(VLOOKUP($AQ33,Mapping!$E$208:$K$236,7,0),"ENDirect")</f>
        <v>ENDirect</v>
      </c>
      <c r="AX33" s="7" t="str">
        <f>IFERROR(HLOOKUP(AV33,'Calc|Weightings'!$U$5:$W$5,1,0),"Excl")</f>
        <v>Contracts</v>
      </c>
      <c r="AY33" s="7" t="str">
        <f>VLOOKUP(AO33,Mapping!$E$11:$I$204,5,0)</f>
        <v>SCS</v>
      </c>
    </row>
    <row r="34" spans="1:51" x14ac:dyDescent="0.3">
      <c r="A34" s="7"/>
      <c r="B34" s="7"/>
      <c r="C34" s="7"/>
      <c r="D34" s="7"/>
      <c r="E34" s="32" t="s">
        <v>125</v>
      </c>
      <c r="F34" s="32"/>
      <c r="G34" s="32">
        <v>71010</v>
      </c>
      <c r="H34" s="32" t="s">
        <v>462</v>
      </c>
      <c r="I34" s="33">
        <v>2116.0120000000002</v>
      </c>
      <c r="J34" s="170"/>
      <c r="K34" s="7" t="str">
        <f>VLOOKUP($E34,Mapping!$E$11:$I$204,3,0)</f>
        <v>Augmentation</v>
      </c>
      <c r="L34" s="7" t="str">
        <f>IFERROR(VLOOKUP($G34,Mapping!$E$208:$K$236,5,0),"Contracts")</f>
        <v>Labour</v>
      </c>
      <c r="M34" s="7" t="str">
        <f>IFERROR(VLOOKUP($G34,Mapping!$E$208:$K$236,7,0),"ENDirect")</f>
        <v>ENDirect</v>
      </c>
      <c r="N34" s="7" t="str">
        <f>IFERROR(HLOOKUP(L34,'Calc|Weightings'!$U$5:$W$5,1,0),"Excl")</f>
        <v>Labour</v>
      </c>
      <c r="O34" s="7" t="str">
        <f>VLOOKUP(E34,Mapping!$E$11:$I$204,5,0)</f>
        <v>SCS</v>
      </c>
      <c r="Q34" s="32" t="s">
        <v>122</v>
      </c>
      <c r="R34" s="32"/>
      <c r="S34" s="32">
        <v>71000</v>
      </c>
      <c r="T34" s="32" t="s">
        <v>457</v>
      </c>
      <c r="U34" s="33">
        <v>730.39400000000001</v>
      </c>
      <c r="V34" s="7"/>
      <c r="W34" s="7" t="str">
        <f>VLOOKUP($Q34,Mapping!$E$11:$I$204,3,0)</f>
        <v>Augmentation</v>
      </c>
      <c r="X34" s="7" t="str">
        <f>IFERROR(VLOOKUP($S34,Mapping!$E$208:$K$236,5,0),"Contracts")</f>
        <v>Labour</v>
      </c>
      <c r="Y34" s="7" t="str">
        <f>IFERROR(VLOOKUP($S34,Mapping!$E$208:$K$236,7,0),"ENDirect")</f>
        <v>ENDirect</v>
      </c>
      <c r="Z34" s="7" t="str">
        <f>IFERROR(HLOOKUP(X34,'Calc|Weightings'!$U$5:$W$5,1,0),"Excl")</f>
        <v>Labour</v>
      </c>
      <c r="AA34" s="7" t="str">
        <f>VLOOKUP(Q34,Mapping!$E$11:$I$204,5,0)</f>
        <v>SCS</v>
      </c>
      <c r="AC34" s="35" t="s">
        <v>125</v>
      </c>
      <c r="AD34" s="35"/>
      <c r="AE34" s="35">
        <v>72360</v>
      </c>
      <c r="AF34" s="35" t="s">
        <v>480</v>
      </c>
      <c r="AG34" s="36">
        <v>0</v>
      </c>
      <c r="AI34" s="7" t="str">
        <f>VLOOKUP($AC34,Mapping!$E$11:$I$204,3,0)</f>
        <v>Augmentation</v>
      </c>
      <c r="AJ34" s="7" t="str">
        <f>IFERROR(VLOOKUP($AE34,Mapping!$E$208:$K$236,5,0),"Contracts")</f>
        <v>Contracts</v>
      </c>
      <c r="AK34" s="7" t="str">
        <f>IFERROR(VLOOKUP($AE34,Mapping!$E$208:$K$236,7,0),"ENDirect")</f>
        <v>ENDirect</v>
      </c>
      <c r="AL34" s="7" t="str">
        <f>IFERROR(HLOOKUP(AJ34,'Calc|Weightings'!$U$5:$W$5,1,0),"Excl")</f>
        <v>Contracts</v>
      </c>
      <c r="AM34" s="7" t="str">
        <f>VLOOKUP(AC34,Mapping!$E$11:$I$204,5,0)</f>
        <v>SCS</v>
      </c>
      <c r="AO34" s="35" t="s">
        <v>548</v>
      </c>
      <c r="AP34" s="35"/>
      <c r="AQ34" s="35">
        <v>71040</v>
      </c>
      <c r="AR34" s="35" t="s">
        <v>460</v>
      </c>
      <c r="AS34" s="121">
        <v>1.7489999999999999E-2</v>
      </c>
      <c r="AU34" s="7" t="str">
        <f>VLOOKUP($AO34,Mapping!$E$11:$I$204,3,0)</f>
        <v>Connections</v>
      </c>
      <c r="AV34" s="7" t="str">
        <f>IFERROR(VLOOKUP($AQ34,Mapping!$E$208:$K$236,5,0),"Contracts")</f>
        <v>Contracts</v>
      </c>
      <c r="AW34" s="7" t="str">
        <f>IFERROR(VLOOKUP($AQ34,Mapping!$E$208:$K$236,7,0),"ENDirect")</f>
        <v>ENDirect</v>
      </c>
      <c r="AX34" s="7" t="str">
        <f>IFERROR(HLOOKUP(AV34,'Calc|Weightings'!$U$5:$W$5,1,0),"Excl")</f>
        <v>Contracts</v>
      </c>
      <c r="AY34" s="7" t="str">
        <f>VLOOKUP(AO34,Mapping!$E$11:$I$204,5,0)</f>
        <v>SCS</v>
      </c>
    </row>
    <row r="35" spans="1:51" x14ac:dyDescent="0.3">
      <c r="A35" s="7"/>
      <c r="B35" s="7"/>
      <c r="C35" s="7"/>
      <c r="D35" s="7"/>
      <c r="E35" s="32" t="s">
        <v>125</v>
      </c>
      <c r="F35" s="32"/>
      <c r="G35" s="32">
        <v>71015</v>
      </c>
      <c r="H35" s="32" t="s">
        <v>463</v>
      </c>
      <c r="I35" s="33">
        <v>314.245</v>
      </c>
      <c r="J35" s="170"/>
      <c r="K35" s="7" t="str">
        <f>VLOOKUP($E35,Mapping!$E$11:$I$204,3,0)</f>
        <v>Augmentation</v>
      </c>
      <c r="L35" s="7" t="str">
        <f>IFERROR(VLOOKUP($G35,Mapping!$E$208:$K$236,5,0),"Contracts")</f>
        <v>Materials</v>
      </c>
      <c r="M35" s="7" t="str">
        <f>IFERROR(VLOOKUP($G35,Mapping!$E$208:$K$236,7,0),"ENDirect")</f>
        <v>ENDirect</v>
      </c>
      <c r="N35" s="7" t="str">
        <f>IFERROR(HLOOKUP(L35,'Calc|Weightings'!$U$5:$W$5,1,0),"Excl")</f>
        <v>Materials</v>
      </c>
      <c r="O35" s="7" t="str">
        <f>VLOOKUP(E35,Mapping!$E$11:$I$204,5,0)</f>
        <v>SCS</v>
      </c>
      <c r="Q35" s="32" t="s">
        <v>122</v>
      </c>
      <c r="R35" s="32"/>
      <c r="S35" s="32">
        <v>71010</v>
      </c>
      <c r="T35" s="32" t="s">
        <v>462</v>
      </c>
      <c r="U35" s="33">
        <v>1045.396</v>
      </c>
      <c r="V35" s="7"/>
      <c r="W35" s="7" t="str">
        <f>VLOOKUP($Q35,Mapping!$E$11:$I$204,3,0)</f>
        <v>Augmentation</v>
      </c>
      <c r="X35" s="7" t="str">
        <f>IFERROR(VLOOKUP($S35,Mapping!$E$208:$K$236,5,0),"Contracts")</f>
        <v>Labour</v>
      </c>
      <c r="Y35" s="7" t="str">
        <f>IFERROR(VLOOKUP($S35,Mapping!$E$208:$K$236,7,0),"ENDirect")</f>
        <v>ENDirect</v>
      </c>
      <c r="Z35" s="7" t="str">
        <f>IFERROR(HLOOKUP(X35,'Calc|Weightings'!$U$5:$W$5,1,0),"Excl")</f>
        <v>Labour</v>
      </c>
      <c r="AA35" s="7" t="str">
        <f>VLOOKUP(Q35,Mapping!$E$11:$I$204,5,0)</f>
        <v>SCS</v>
      </c>
      <c r="AC35" s="35" t="s">
        <v>125</v>
      </c>
      <c r="AD35" s="35"/>
      <c r="AE35" s="35">
        <v>71010</v>
      </c>
      <c r="AF35" s="35" t="s">
        <v>462</v>
      </c>
      <c r="AG35" s="36">
        <v>99.486999999999995</v>
      </c>
      <c r="AI35" s="7" t="str">
        <f>VLOOKUP($AC35,Mapping!$E$11:$I$204,3,0)</f>
        <v>Augmentation</v>
      </c>
      <c r="AJ35" s="7" t="str">
        <f>IFERROR(VLOOKUP($AE35,Mapping!$E$208:$K$236,5,0),"Contracts")</f>
        <v>Labour</v>
      </c>
      <c r="AK35" s="7" t="str">
        <f>IFERROR(VLOOKUP($AE35,Mapping!$E$208:$K$236,7,0),"ENDirect")</f>
        <v>ENDirect</v>
      </c>
      <c r="AL35" s="7" t="str">
        <f>IFERROR(HLOOKUP(AJ35,'Calc|Weightings'!$U$5:$W$5,1,0),"Excl")</f>
        <v>Labour</v>
      </c>
      <c r="AM35" s="7" t="str">
        <f>VLOOKUP(AC35,Mapping!$E$11:$I$204,5,0)</f>
        <v>SCS</v>
      </c>
      <c r="AO35" s="35" t="s">
        <v>548</v>
      </c>
      <c r="AP35" s="35"/>
      <c r="AQ35" s="35">
        <v>71055</v>
      </c>
      <c r="AR35" s="35" t="s">
        <v>465</v>
      </c>
      <c r="AS35" s="121">
        <v>6.3301300000000031</v>
      </c>
      <c r="AU35" s="7" t="str">
        <f>VLOOKUP($AO35,Mapping!$E$11:$I$204,3,0)</f>
        <v>Connections</v>
      </c>
      <c r="AV35" s="7" t="str">
        <f>IFERROR(VLOOKUP($AQ35,Mapping!$E$208:$K$236,5,0),"Contracts")</f>
        <v>Contracts</v>
      </c>
      <c r="AW35" s="7" t="str">
        <f>IFERROR(VLOOKUP($AQ35,Mapping!$E$208:$K$236,7,0),"ENDirect")</f>
        <v>ENDirect</v>
      </c>
      <c r="AX35" s="7" t="str">
        <f>IFERROR(HLOOKUP(AV35,'Calc|Weightings'!$U$5:$W$5,1,0),"Excl")</f>
        <v>Contracts</v>
      </c>
      <c r="AY35" s="7" t="str">
        <f>VLOOKUP(AO35,Mapping!$E$11:$I$204,5,0)</f>
        <v>SCS</v>
      </c>
    </row>
    <row r="36" spans="1:51" x14ac:dyDescent="0.3">
      <c r="A36" s="7"/>
      <c r="B36" s="7"/>
      <c r="C36" s="7"/>
      <c r="D36" s="7"/>
      <c r="E36" s="32" t="s">
        <v>125</v>
      </c>
      <c r="F36" s="32"/>
      <c r="G36" s="32">
        <v>71030</v>
      </c>
      <c r="H36" s="32" t="s">
        <v>464</v>
      </c>
      <c r="I36" s="33">
        <v>420.52800000000002</v>
      </c>
      <c r="J36" s="170"/>
      <c r="K36" s="7" t="str">
        <f>VLOOKUP($E36,Mapping!$E$11:$I$204,3,0)</f>
        <v>Augmentation</v>
      </c>
      <c r="L36" s="7" t="str">
        <f>IFERROR(VLOOKUP($G36,Mapping!$E$208:$K$236,5,0),"Contracts")</f>
        <v>Contracts</v>
      </c>
      <c r="M36" s="7" t="str">
        <f>IFERROR(VLOOKUP($G36,Mapping!$E$208:$K$236,7,0),"ENDirect")</f>
        <v>ENDirect</v>
      </c>
      <c r="N36" s="7" t="str">
        <f>IFERROR(HLOOKUP(L36,'Calc|Weightings'!$U$5:$W$5,1,0),"Excl")</f>
        <v>Contracts</v>
      </c>
      <c r="O36" s="7" t="str">
        <f>VLOOKUP(E36,Mapping!$E$11:$I$204,5,0)</f>
        <v>SCS</v>
      </c>
      <c r="Q36" s="32" t="s">
        <v>122</v>
      </c>
      <c r="R36" s="32"/>
      <c r="S36" s="32">
        <v>71025</v>
      </c>
      <c r="T36" s="32" t="s">
        <v>478</v>
      </c>
      <c r="U36" s="33">
        <v>-2.0099999999999998</v>
      </c>
      <c r="V36" s="7"/>
      <c r="W36" s="7" t="str">
        <f>VLOOKUP($Q36,Mapping!$E$11:$I$204,3,0)</f>
        <v>Augmentation</v>
      </c>
      <c r="X36" s="7" t="str">
        <f>IFERROR(VLOOKUP($S36,Mapping!$E$208:$K$236,5,0),"Contracts")</f>
        <v>Contracts</v>
      </c>
      <c r="Y36" s="7" t="str">
        <f>IFERROR(VLOOKUP($S36,Mapping!$E$208:$K$236,7,0),"ENDirect")</f>
        <v>ENDirect</v>
      </c>
      <c r="Z36" s="7" t="str">
        <f>IFERROR(HLOOKUP(X36,'Calc|Weightings'!$U$5:$W$5,1,0),"Excl")</f>
        <v>Contracts</v>
      </c>
      <c r="AA36" s="7" t="str">
        <f>VLOOKUP(Q36,Mapping!$E$11:$I$204,5,0)</f>
        <v>SCS</v>
      </c>
      <c r="AC36" s="35" t="s">
        <v>125</v>
      </c>
      <c r="AD36" s="35"/>
      <c r="AE36" s="35">
        <v>71030</v>
      </c>
      <c r="AF36" s="35" t="s">
        <v>464</v>
      </c>
      <c r="AG36" s="36">
        <v>15.972</v>
      </c>
      <c r="AI36" s="7" t="str">
        <f>VLOOKUP($AC36,Mapping!$E$11:$I$204,3,0)</f>
        <v>Augmentation</v>
      </c>
      <c r="AJ36" s="7" t="str">
        <f>IFERROR(VLOOKUP($AE36,Mapping!$E$208:$K$236,5,0),"Contracts")</f>
        <v>Contracts</v>
      </c>
      <c r="AK36" s="7" t="str">
        <f>IFERROR(VLOOKUP($AE36,Mapping!$E$208:$K$236,7,0),"ENDirect")</f>
        <v>ENDirect</v>
      </c>
      <c r="AL36" s="7" t="str">
        <f>IFERROR(HLOOKUP(AJ36,'Calc|Weightings'!$U$5:$W$5,1,0),"Excl")</f>
        <v>Contracts</v>
      </c>
      <c r="AM36" s="7" t="str">
        <f>VLOOKUP(AC36,Mapping!$E$11:$I$204,5,0)</f>
        <v>SCS</v>
      </c>
      <c r="AO36" s="35" t="s">
        <v>548</v>
      </c>
      <c r="AP36" s="35"/>
      <c r="AQ36" s="35">
        <v>71070</v>
      </c>
      <c r="AR36" s="35" t="s">
        <v>586</v>
      </c>
      <c r="AS36" s="121">
        <v>743.99550999999997</v>
      </c>
      <c r="AU36" s="7" t="str">
        <f>VLOOKUP($AO36,Mapping!$E$11:$I$204,3,0)</f>
        <v>Connections</v>
      </c>
      <c r="AV36" s="7" t="str">
        <f>IFERROR(VLOOKUP($AQ36,Mapping!$E$208:$K$236,5,0),"Contracts")</f>
        <v>Contracts</v>
      </c>
      <c r="AW36" s="7" t="str">
        <f>IFERROR(VLOOKUP($AQ36,Mapping!$E$208:$K$236,7,0),"ENDirect")</f>
        <v>ENDirect</v>
      </c>
      <c r="AX36" s="7" t="str">
        <f>IFERROR(HLOOKUP(AV36,'Calc|Weightings'!$U$5:$W$5,1,0),"Excl")</f>
        <v>Contracts</v>
      </c>
      <c r="AY36" s="7" t="str">
        <f>VLOOKUP(AO36,Mapping!$E$11:$I$204,5,0)</f>
        <v>SCS</v>
      </c>
    </row>
    <row r="37" spans="1:51" x14ac:dyDescent="0.3">
      <c r="A37" s="7"/>
      <c r="B37" s="7"/>
      <c r="C37" s="7"/>
      <c r="D37" s="7"/>
      <c r="E37" s="32" t="s">
        <v>125</v>
      </c>
      <c r="F37" s="32"/>
      <c r="G37" s="32">
        <v>71055</v>
      </c>
      <c r="H37" s="32" t="s">
        <v>465</v>
      </c>
      <c r="I37" s="33">
        <v>812.428</v>
      </c>
      <c r="J37" s="170"/>
      <c r="K37" s="7" t="str">
        <f>VLOOKUP($E37,Mapping!$E$11:$I$204,3,0)</f>
        <v>Augmentation</v>
      </c>
      <c r="L37" s="7" t="str">
        <f>IFERROR(VLOOKUP($G37,Mapping!$E$208:$K$236,5,0),"Contracts")</f>
        <v>Contracts</v>
      </c>
      <c r="M37" s="7" t="str">
        <f>IFERROR(VLOOKUP($G37,Mapping!$E$208:$K$236,7,0),"ENDirect")</f>
        <v>ENDirect</v>
      </c>
      <c r="N37" s="7" t="str">
        <f>IFERROR(HLOOKUP(L37,'Calc|Weightings'!$U$5:$W$5,1,0),"Excl")</f>
        <v>Contracts</v>
      </c>
      <c r="O37" s="7" t="str">
        <f>VLOOKUP(E37,Mapping!$E$11:$I$204,5,0)</f>
        <v>SCS</v>
      </c>
      <c r="Q37" s="32" t="s">
        <v>122</v>
      </c>
      <c r="R37" s="32"/>
      <c r="S37" s="32">
        <v>71030</v>
      </c>
      <c r="T37" s="32" t="s">
        <v>464</v>
      </c>
      <c r="U37" s="33">
        <v>207.20500000000001</v>
      </c>
      <c r="V37" s="7"/>
      <c r="W37" s="7" t="str">
        <f>VLOOKUP($Q37,Mapping!$E$11:$I$204,3,0)</f>
        <v>Augmentation</v>
      </c>
      <c r="X37" s="7" t="str">
        <f>IFERROR(VLOOKUP($S37,Mapping!$E$208:$K$236,5,0),"Contracts")</f>
        <v>Contracts</v>
      </c>
      <c r="Y37" s="7" t="str">
        <f>IFERROR(VLOOKUP($S37,Mapping!$E$208:$K$236,7,0),"ENDirect")</f>
        <v>ENDirect</v>
      </c>
      <c r="Z37" s="7" t="str">
        <f>IFERROR(HLOOKUP(X37,'Calc|Weightings'!$U$5:$W$5,1,0),"Excl")</f>
        <v>Contracts</v>
      </c>
      <c r="AA37" s="7" t="str">
        <f>VLOOKUP(Q37,Mapping!$E$11:$I$204,5,0)</f>
        <v>SCS</v>
      </c>
      <c r="AC37" s="35" t="s">
        <v>125</v>
      </c>
      <c r="AD37" s="35"/>
      <c r="AE37" s="35">
        <v>71040</v>
      </c>
      <c r="AF37" s="35" t="s">
        <v>460</v>
      </c>
      <c r="AG37" s="36">
        <v>-1.0999999999999999E-2</v>
      </c>
      <c r="AI37" s="7" t="str">
        <f>VLOOKUP($AC37,Mapping!$E$11:$I$204,3,0)</f>
        <v>Augmentation</v>
      </c>
      <c r="AJ37" s="7" t="str">
        <f>IFERROR(VLOOKUP($AE37,Mapping!$E$208:$K$236,5,0),"Contracts")</f>
        <v>Contracts</v>
      </c>
      <c r="AK37" s="7" t="str">
        <f>IFERROR(VLOOKUP($AE37,Mapping!$E$208:$K$236,7,0),"ENDirect")</f>
        <v>ENDirect</v>
      </c>
      <c r="AL37" s="7" t="str">
        <f>IFERROR(HLOOKUP(AJ37,'Calc|Weightings'!$U$5:$W$5,1,0),"Excl")</f>
        <v>Contracts</v>
      </c>
      <c r="AM37" s="7" t="str">
        <f>VLOOKUP(AC37,Mapping!$E$11:$I$204,5,0)</f>
        <v>SCS</v>
      </c>
      <c r="AO37" s="35" t="s">
        <v>548</v>
      </c>
      <c r="AP37" s="35"/>
      <c r="AQ37" s="35">
        <v>71075</v>
      </c>
      <c r="AR37" s="35" t="s">
        <v>587</v>
      </c>
      <c r="AS37" s="121">
        <v>66.823970000000003</v>
      </c>
      <c r="AU37" s="7" t="str">
        <f>VLOOKUP($AO37,Mapping!$E$11:$I$204,3,0)</f>
        <v>Connections</v>
      </c>
      <c r="AV37" s="7" t="str">
        <f>IFERROR(VLOOKUP($AQ37,Mapping!$E$208:$K$236,5,0),"Contracts")</f>
        <v>Contracts</v>
      </c>
      <c r="AW37" s="7" t="str">
        <f>IFERROR(VLOOKUP($AQ37,Mapping!$E$208:$K$236,7,0),"ENDirect")</f>
        <v>ENDirect</v>
      </c>
      <c r="AX37" s="7" t="str">
        <f>IFERROR(HLOOKUP(AV37,'Calc|Weightings'!$U$5:$W$5,1,0),"Excl")</f>
        <v>Contracts</v>
      </c>
      <c r="AY37" s="7" t="str">
        <f>VLOOKUP(AO37,Mapping!$E$11:$I$204,5,0)</f>
        <v>SCS</v>
      </c>
    </row>
    <row r="38" spans="1:51" x14ac:dyDescent="0.3">
      <c r="A38" s="7"/>
      <c r="B38" s="7"/>
      <c r="C38" s="7"/>
      <c r="D38" s="7"/>
      <c r="E38" s="32" t="s">
        <v>125</v>
      </c>
      <c r="F38" s="32"/>
      <c r="G38" s="32">
        <v>80000</v>
      </c>
      <c r="H38" s="32" t="s">
        <v>453</v>
      </c>
      <c r="I38" s="33">
        <v>690.47799999999995</v>
      </c>
      <c r="J38" s="170"/>
      <c r="K38" s="7" t="str">
        <f>VLOOKUP($E38,Mapping!$E$11:$I$204,3,0)</f>
        <v>Augmentation</v>
      </c>
      <c r="L38" s="7" t="str">
        <f>IFERROR(VLOOKUP($G38,Mapping!$E$208:$K$236,5,0),"Contracts")</f>
        <v>Overhead</v>
      </c>
      <c r="M38" s="7" t="str">
        <f>IFERROR(VLOOKUP($G38,Mapping!$E$208:$K$236,7,0),"ENDirect")</f>
        <v>OH</v>
      </c>
      <c r="N38" s="7" t="str">
        <f>IFERROR(HLOOKUP(L38,'Calc|Weightings'!$U$5:$W$5,1,0),"Excl")</f>
        <v>Excl</v>
      </c>
      <c r="O38" s="7" t="str">
        <f>VLOOKUP(E38,Mapping!$E$11:$I$204,5,0)</f>
        <v>SCS</v>
      </c>
      <c r="Q38" s="32" t="s">
        <v>122</v>
      </c>
      <c r="R38" s="32"/>
      <c r="S38" s="32">
        <v>71040</v>
      </c>
      <c r="T38" s="32" t="s">
        <v>460</v>
      </c>
      <c r="U38" s="33">
        <v>59.869</v>
      </c>
      <c r="V38" s="7"/>
      <c r="W38" s="7" t="str">
        <f>VLOOKUP($Q38,Mapping!$E$11:$I$204,3,0)</f>
        <v>Augmentation</v>
      </c>
      <c r="X38" s="7" t="str">
        <f>IFERROR(VLOOKUP($S38,Mapping!$E$208:$K$236,5,0),"Contracts")</f>
        <v>Contracts</v>
      </c>
      <c r="Y38" s="7" t="str">
        <f>IFERROR(VLOOKUP($S38,Mapping!$E$208:$K$236,7,0),"ENDirect")</f>
        <v>ENDirect</v>
      </c>
      <c r="Z38" s="7" t="str">
        <f>IFERROR(HLOOKUP(X38,'Calc|Weightings'!$U$5:$W$5,1,0),"Excl")</f>
        <v>Contracts</v>
      </c>
      <c r="AA38" s="7" t="str">
        <f>VLOOKUP(Q38,Mapping!$E$11:$I$204,5,0)</f>
        <v>SCS</v>
      </c>
      <c r="AC38" s="35" t="s">
        <v>125</v>
      </c>
      <c r="AD38" s="35"/>
      <c r="AE38" s="35">
        <v>71055</v>
      </c>
      <c r="AF38" s="35" t="s">
        <v>465</v>
      </c>
      <c r="AG38" s="36">
        <v>13.926</v>
      </c>
      <c r="AI38" s="7" t="str">
        <f>VLOOKUP($AC38,Mapping!$E$11:$I$204,3,0)</f>
        <v>Augmentation</v>
      </c>
      <c r="AJ38" s="7" t="str">
        <f>IFERROR(VLOOKUP($AE38,Mapping!$E$208:$K$236,5,0),"Contracts")</f>
        <v>Contracts</v>
      </c>
      <c r="AK38" s="7" t="str">
        <f>IFERROR(VLOOKUP($AE38,Mapping!$E$208:$K$236,7,0),"ENDirect")</f>
        <v>ENDirect</v>
      </c>
      <c r="AL38" s="7" t="str">
        <f>IFERROR(HLOOKUP(AJ38,'Calc|Weightings'!$U$5:$W$5,1,0),"Excl")</f>
        <v>Contracts</v>
      </c>
      <c r="AM38" s="7" t="str">
        <f>VLOOKUP(AC38,Mapping!$E$11:$I$204,5,0)</f>
        <v>SCS</v>
      </c>
      <c r="AO38" s="35" t="s">
        <v>548</v>
      </c>
      <c r="AP38" s="35"/>
      <c r="AQ38" s="35">
        <v>72345</v>
      </c>
      <c r="AR38" s="35" t="s">
        <v>588</v>
      </c>
      <c r="AS38" s="121">
        <v>526.98599999999999</v>
      </c>
      <c r="AU38" s="7" t="str">
        <f>VLOOKUP($AO38,Mapping!$E$11:$I$204,3,0)</f>
        <v>Connections</v>
      </c>
      <c r="AV38" s="7" t="str">
        <f>IFERROR(VLOOKUP($AQ38,Mapping!$E$208:$K$236,5,0),"Contracts")</f>
        <v>Contracts</v>
      </c>
      <c r="AW38" s="7" t="str">
        <f>IFERROR(VLOOKUP($AQ38,Mapping!$E$208:$K$236,7,0),"ENDirect")</f>
        <v>ENDirect</v>
      </c>
      <c r="AX38" s="7" t="str">
        <f>IFERROR(HLOOKUP(AV38,'Calc|Weightings'!$U$5:$W$5,1,0),"Excl")</f>
        <v>Contracts</v>
      </c>
      <c r="AY38" s="7" t="str">
        <f>VLOOKUP(AO38,Mapping!$E$11:$I$204,5,0)</f>
        <v>SCS</v>
      </c>
    </row>
    <row r="39" spans="1:51" x14ac:dyDescent="0.3">
      <c r="A39" s="7"/>
      <c r="B39" s="7"/>
      <c r="C39" s="7"/>
      <c r="D39" s="7"/>
      <c r="E39" s="32" t="s">
        <v>122</v>
      </c>
      <c r="F39" s="32"/>
      <c r="G39" s="32">
        <v>70815</v>
      </c>
      <c r="H39" s="32" t="s">
        <v>451</v>
      </c>
      <c r="I39" s="33">
        <v>14.747</v>
      </c>
      <c r="J39" s="170"/>
      <c r="K39" s="7" t="str">
        <f>VLOOKUP($E39,Mapping!$E$11:$I$204,3,0)</f>
        <v>Augmentation</v>
      </c>
      <c r="L39" s="7" t="str">
        <f>IFERROR(VLOOKUP($G39,Mapping!$E$208:$K$236,5,0),"Contracts")</f>
        <v>Materials</v>
      </c>
      <c r="M39" s="7" t="str">
        <f>IFERROR(VLOOKUP($G39,Mapping!$E$208:$K$236,7,0),"ENDirect")</f>
        <v>ENDirect</v>
      </c>
      <c r="N39" s="7" t="str">
        <f>IFERROR(HLOOKUP(L39,'Calc|Weightings'!$U$5:$W$5,1,0),"Excl")</f>
        <v>Materials</v>
      </c>
      <c r="O39" s="7" t="str">
        <f>VLOOKUP(E39,Mapping!$E$11:$I$204,5,0)</f>
        <v>SCS</v>
      </c>
      <c r="Q39" s="32" t="s">
        <v>122</v>
      </c>
      <c r="R39" s="32"/>
      <c r="S39" s="32">
        <v>71055</v>
      </c>
      <c r="T39" s="32" t="s">
        <v>465</v>
      </c>
      <c r="U39" s="33">
        <v>518.91800000000001</v>
      </c>
      <c r="V39" s="7"/>
      <c r="W39" s="7" t="str">
        <f>VLOOKUP($Q39,Mapping!$E$11:$I$204,3,0)</f>
        <v>Augmentation</v>
      </c>
      <c r="X39" s="7" t="str">
        <f>IFERROR(VLOOKUP($S39,Mapping!$E$208:$K$236,5,0),"Contracts")</f>
        <v>Contracts</v>
      </c>
      <c r="Y39" s="7" t="str">
        <f>IFERROR(VLOOKUP($S39,Mapping!$E$208:$K$236,7,0),"ENDirect")</f>
        <v>ENDirect</v>
      </c>
      <c r="Z39" s="7" t="str">
        <f>IFERROR(HLOOKUP(X39,'Calc|Weightings'!$U$5:$W$5,1,0),"Excl")</f>
        <v>Contracts</v>
      </c>
      <c r="AA39" s="7" t="str">
        <f>VLOOKUP(Q39,Mapping!$E$11:$I$204,5,0)</f>
        <v>SCS</v>
      </c>
      <c r="AC39" s="35" t="s">
        <v>125</v>
      </c>
      <c r="AD39" s="35"/>
      <c r="AE39" s="35">
        <v>80000</v>
      </c>
      <c r="AF39" s="35" t="s">
        <v>453</v>
      </c>
      <c r="AG39" s="36">
        <v>37.152000000000001</v>
      </c>
      <c r="AI39" s="7" t="str">
        <f>VLOOKUP($AC39,Mapping!$E$11:$I$204,3,0)</f>
        <v>Augmentation</v>
      </c>
      <c r="AJ39" s="7" t="str">
        <f>IFERROR(VLOOKUP($AE39,Mapping!$E$208:$K$236,5,0),"Contracts")</f>
        <v>Overhead</v>
      </c>
      <c r="AK39" s="7" t="str">
        <f>IFERROR(VLOOKUP($AE39,Mapping!$E$208:$K$236,7,0),"ENDirect")</f>
        <v>OH</v>
      </c>
      <c r="AL39" s="7" t="str">
        <f>IFERROR(HLOOKUP(AJ39,'Calc|Weightings'!$U$5:$W$5,1,0),"Excl")</f>
        <v>Excl</v>
      </c>
      <c r="AM39" s="7" t="str">
        <f>VLOOKUP(AC39,Mapping!$E$11:$I$204,5,0)</f>
        <v>SCS</v>
      </c>
      <c r="AO39" s="35" t="s">
        <v>548</v>
      </c>
      <c r="AP39" s="35"/>
      <c r="AQ39" s="35">
        <v>80000</v>
      </c>
      <c r="AR39" s="35" t="s">
        <v>589</v>
      </c>
      <c r="AS39" s="121">
        <v>154.74889999999999</v>
      </c>
      <c r="AU39" s="7" t="str">
        <f>VLOOKUP($AO39,Mapping!$E$11:$I$204,3,0)</f>
        <v>Connections</v>
      </c>
      <c r="AV39" s="7" t="str">
        <f>IFERROR(VLOOKUP($AQ39,Mapping!$E$208:$K$236,5,0),"Contracts")</f>
        <v>Overhead</v>
      </c>
      <c r="AW39" s="7" t="str">
        <f>IFERROR(VLOOKUP($AQ39,Mapping!$E$208:$K$236,7,0),"ENDirect")</f>
        <v>OH</v>
      </c>
      <c r="AX39" s="7" t="str">
        <f>IFERROR(HLOOKUP(AV39,'Calc|Weightings'!$U$5:$W$5,1,0),"Excl")</f>
        <v>Excl</v>
      </c>
      <c r="AY39" s="7" t="str">
        <f>VLOOKUP(AO39,Mapping!$E$11:$I$204,5,0)</f>
        <v>SCS</v>
      </c>
    </row>
    <row r="40" spans="1:51" x14ac:dyDescent="0.3">
      <c r="A40" s="7"/>
      <c r="B40" s="7"/>
      <c r="C40" s="7"/>
      <c r="D40" s="7"/>
      <c r="E40" s="32" t="s">
        <v>122</v>
      </c>
      <c r="F40" s="32"/>
      <c r="G40" s="32">
        <v>71000</v>
      </c>
      <c r="H40" s="32" t="s">
        <v>457</v>
      </c>
      <c r="I40" s="33">
        <v>428.76499999999999</v>
      </c>
      <c r="J40" s="170"/>
      <c r="K40" s="7" t="str">
        <f>VLOOKUP($E40,Mapping!$E$11:$I$204,3,0)</f>
        <v>Augmentation</v>
      </c>
      <c r="L40" s="7" t="str">
        <f>IFERROR(VLOOKUP($G40,Mapping!$E$208:$K$236,5,0),"Contracts")</f>
        <v>Labour</v>
      </c>
      <c r="M40" s="7" t="str">
        <f>IFERROR(VLOOKUP($G40,Mapping!$E$208:$K$236,7,0),"ENDirect")</f>
        <v>ENDirect</v>
      </c>
      <c r="N40" s="7" t="str">
        <f>IFERROR(HLOOKUP(L40,'Calc|Weightings'!$U$5:$W$5,1,0),"Excl")</f>
        <v>Labour</v>
      </c>
      <c r="O40" s="7" t="str">
        <f>VLOOKUP(E40,Mapping!$E$11:$I$204,5,0)</f>
        <v>SCS</v>
      </c>
      <c r="Q40" s="32" t="s">
        <v>122</v>
      </c>
      <c r="R40" s="32"/>
      <c r="S40" s="32">
        <v>71060</v>
      </c>
      <c r="T40" s="32" t="s">
        <v>479</v>
      </c>
      <c r="U40" s="33">
        <v>-2.6480000000000001</v>
      </c>
      <c r="V40" s="7"/>
      <c r="W40" s="7" t="str">
        <f>VLOOKUP($Q40,Mapping!$E$11:$I$204,3,0)</f>
        <v>Augmentation</v>
      </c>
      <c r="X40" s="7" t="str">
        <f>IFERROR(VLOOKUP($S40,Mapping!$E$208:$K$236,5,0),"Contracts")</f>
        <v>Contracts</v>
      </c>
      <c r="Y40" s="7" t="str">
        <f>IFERROR(VLOOKUP($S40,Mapping!$E$208:$K$236,7,0),"ENDirect")</f>
        <v>ENDirect</v>
      </c>
      <c r="Z40" s="7" t="str">
        <f>IFERROR(HLOOKUP(X40,'Calc|Weightings'!$U$5:$W$5,1,0),"Excl")</f>
        <v>Contracts</v>
      </c>
      <c r="AA40" s="7" t="str">
        <f>VLOOKUP(Q40,Mapping!$E$11:$I$204,5,0)</f>
        <v>SCS</v>
      </c>
      <c r="AC40" s="35" t="s">
        <v>147</v>
      </c>
      <c r="AD40" s="35"/>
      <c r="AE40" s="35">
        <v>71005</v>
      </c>
      <c r="AF40" s="35" t="s">
        <v>461</v>
      </c>
      <c r="AG40" s="36">
        <v>202.178</v>
      </c>
      <c r="AI40" s="7" t="str">
        <f>VLOOKUP($AC40,Mapping!$E$11:$I$204,3,0)</f>
        <v>Augmentation</v>
      </c>
      <c r="AJ40" s="7" t="str">
        <f>IFERROR(VLOOKUP($AE40,Mapping!$E$208:$K$236,5,0),"Contracts")</f>
        <v>Materials</v>
      </c>
      <c r="AK40" s="7" t="str">
        <f>IFERROR(VLOOKUP($AE40,Mapping!$E$208:$K$236,7,0),"ENDirect")</f>
        <v>ENDirect</v>
      </c>
      <c r="AL40" s="7" t="str">
        <f>IFERROR(HLOOKUP(AJ40,'Calc|Weightings'!$U$5:$W$5,1,0),"Excl")</f>
        <v>Materials</v>
      </c>
      <c r="AM40" s="7" t="str">
        <f>VLOOKUP(AC40,Mapping!$E$11:$I$204,5,0)</f>
        <v>SCS</v>
      </c>
      <c r="AO40" s="35" t="s">
        <v>549</v>
      </c>
      <c r="AP40" s="35"/>
      <c r="AQ40" s="35">
        <v>71000</v>
      </c>
      <c r="AR40" s="35" t="s">
        <v>457</v>
      </c>
      <c r="AS40" s="121">
        <v>154.31799000000001</v>
      </c>
      <c r="AU40" s="7" t="str">
        <f>VLOOKUP($AO40,Mapping!$E$11:$I$204,3,0)</f>
        <v>Connections</v>
      </c>
      <c r="AV40" s="7" t="str">
        <f>IFERROR(VLOOKUP($AQ40,Mapping!$E$208:$K$236,5,0),"Contracts")</f>
        <v>Labour</v>
      </c>
      <c r="AW40" s="7" t="str">
        <f>IFERROR(VLOOKUP($AQ40,Mapping!$E$208:$K$236,7,0),"ENDirect")</f>
        <v>ENDirect</v>
      </c>
      <c r="AX40" s="7" t="str">
        <f>IFERROR(HLOOKUP(AV40,'Calc|Weightings'!$U$5:$W$5,1,0),"Excl")</f>
        <v>Labour</v>
      </c>
      <c r="AY40" s="7" t="str">
        <f>VLOOKUP(AO40,Mapping!$E$11:$I$204,5,0)</f>
        <v>SCS</v>
      </c>
    </row>
    <row r="41" spans="1:51" x14ac:dyDescent="0.3">
      <c r="A41" s="7"/>
      <c r="B41" s="7"/>
      <c r="C41" s="7"/>
      <c r="D41" s="7"/>
      <c r="E41" s="32" t="s">
        <v>122</v>
      </c>
      <c r="F41" s="32"/>
      <c r="G41" s="32">
        <v>71005</v>
      </c>
      <c r="H41" s="32" t="s">
        <v>461</v>
      </c>
      <c r="I41" s="33">
        <v>66.349999999999994</v>
      </c>
      <c r="J41" s="170"/>
      <c r="K41" s="7" t="str">
        <f>VLOOKUP($E41,Mapping!$E$11:$I$204,3,0)</f>
        <v>Augmentation</v>
      </c>
      <c r="L41" s="7" t="str">
        <f>IFERROR(VLOOKUP($G41,Mapping!$E$208:$K$236,5,0),"Contracts")</f>
        <v>Materials</v>
      </c>
      <c r="M41" s="7" t="str">
        <f>IFERROR(VLOOKUP($G41,Mapping!$E$208:$K$236,7,0),"ENDirect")</f>
        <v>ENDirect</v>
      </c>
      <c r="N41" s="7" t="str">
        <f>IFERROR(HLOOKUP(L41,'Calc|Weightings'!$U$5:$W$5,1,0),"Excl")</f>
        <v>Materials</v>
      </c>
      <c r="O41" s="7" t="str">
        <f>VLOOKUP(E41,Mapping!$E$11:$I$204,5,0)</f>
        <v>SCS</v>
      </c>
      <c r="Q41" s="32" t="s">
        <v>122</v>
      </c>
      <c r="R41" s="32"/>
      <c r="S41" s="32">
        <v>80000</v>
      </c>
      <c r="T41" s="32" t="s">
        <v>453</v>
      </c>
      <c r="U41" s="33">
        <v>350.08</v>
      </c>
      <c r="V41" s="7"/>
      <c r="W41" s="7" t="str">
        <f>VLOOKUP($Q41,Mapping!$E$11:$I$204,3,0)</f>
        <v>Augmentation</v>
      </c>
      <c r="X41" s="7" t="str">
        <f>IFERROR(VLOOKUP($S41,Mapping!$E$208:$K$236,5,0),"Contracts")</f>
        <v>Overhead</v>
      </c>
      <c r="Y41" s="7" t="str">
        <f>IFERROR(VLOOKUP($S41,Mapping!$E$208:$K$236,7,0),"ENDirect")</f>
        <v>OH</v>
      </c>
      <c r="Z41" s="7" t="str">
        <f>IFERROR(HLOOKUP(X41,'Calc|Weightings'!$U$5:$W$5,1,0),"Excl")</f>
        <v>Excl</v>
      </c>
      <c r="AA41" s="7" t="str">
        <f>VLOOKUP(Q41,Mapping!$E$11:$I$204,5,0)</f>
        <v>SCS</v>
      </c>
      <c r="AC41" s="35" t="s">
        <v>147</v>
      </c>
      <c r="AD41" s="35"/>
      <c r="AE41" s="35">
        <v>71030</v>
      </c>
      <c r="AF41" s="35" t="s">
        <v>464</v>
      </c>
      <c r="AG41" s="36">
        <v>109.93300000000001</v>
      </c>
      <c r="AI41" s="7" t="str">
        <f>VLOOKUP($AC41,Mapping!$E$11:$I$204,3,0)</f>
        <v>Augmentation</v>
      </c>
      <c r="AJ41" s="7" t="str">
        <f>IFERROR(VLOOKUP($AE41,Mapping!$E$208:$K$236,5,0),"Contracts")</f>
        <v>Contracts</v>
      </c>
      <c r="AK41" s="7" t="str">
        <f>IFERROR(VLOOKUP($AE41,Mapping!$E$208:$K$236,7,0),"ENDirect")</f>
        <v>ENDirect</v>
      </c>
      <c r="AL41" s="7" t="str">
        <f>IFERROR(HLOOKUP(AJ41,'Calc|Weightings'!$U$5:$W$5,1,0),"Excl")</f>
        <v>Contracts</v>
      </c>
      <c r="AM41" s="7" t="str">
        <f>VLOOKUP(AC41,Mapping!$E$11:$I$204,5,0)</f>
        <v>SCS</v>
      </c>
      <c r="AO41" s="35" t="s">
        <v>549</v>
      </c>
      <c r="AP41" s="35"/>
      <c r="AQ41" s="35">
        <v>71005</v>
      </c>
      <c r="AR41" s="35" t="s">
        <v>461</v>
      </c>
      <c r="AS41" s="121">
        <v>47.391390000000008</v>
      </c>
      <c r="AU41" s="7" t="str">
        <f>VLOOKUP($AO41,Mapping!$E$11:$I$204,3,0)</f>
        <v>Connections</v>
      </c>
      <c r="AV41" s="7" t="str">
        <f>IFERROR(VLOOKUP($AQ41,Mapping!$E$208:$K$236,5,0),"Contracts")</f>
        <v>Materials</v>
      </c>
      <c r="AW41" s="7" t="str">
        <f>IFERROR(VLOOKUP($AQ41,Mapping!$E$208:$K$236,7,0),"ENDirect")</f>
        <v>ENDirect</v>
      </c>
      <c r="AX41" s="7" t="str">
        <f>IFERROR(HLOOKUP(AV41,'Calc|Weightings'!$U$5:$W$5,1,0),"Excl")</f>
        <v>Materials</v>
      </c>
      <c r="AY41" s="7" t="str">
        <f>VLOOKUP(AO41,Mapping!$E$11:$I$204,5,0)</f>
        <v>SCS</v>
      </c>
    </row>
    <row r="42" spans="1:51" x14ac:dyDescent="0.3">
      <c r="A42" s="7"/>
      <c r="B42" s="7"/>
      <c r="C42" s="7"/>
      <c r="D42" s="7"/>
      <c r="E42" s="32" t="s">
        <v>122</v>
      </c>
      <c r="F42" s="32"/>
      <c r="G42" s="32">
        <v>71010</v>
      </c>
      <c r="H42" s="32" t="s">
        <v>462</v>
      </c>
      <c r="I42" s="33">
        <v>506.40899999999999</v>
      </c>
      <c r="J42" s="170"/>
      <c r="K42" s="7" t="str">
        <f>VLOOKUP($E42,Mapping!$E$11:$I$204,3,0)</f>
        <v>Augmentation</v>
      </c>
      <c r="L42" s="7" t="str">
        <f>IFERROR(VLOOKUP($G42,Mapping!$E$208:$K$236,5,0),"Contracts")</f>
        <v>Labour</v>
      </c>
      <c r="M42" s="7" t="str">
        <f>IFERROR(VLOOKUP($G42,Mapping!$E$208:$K$236,7,0),"ENDirect")</f>
        <v>ENDirect</v>
      </c>
      <c r="N42" s="7" t="str">
        <f>IFERROR(HLOOKUP(L42,'Calc|Weightings'!$U$5:$W$5,1,0),"Excl")</f>
        <v>Labour</v>
      </c>
      <c r="O42" s="7" t="str">
        <f>VLOOKUP(E42,Mapping!$E$11:$I$204,5,0)</f>
        <v>SCS</v>
      </c>
      <c r="Q42" s="32" t="s">
        <v>125</v>
      </c>
      <c r="R42" s="32"/>
      <c r="S42" s="32">
        <v>70815</v>
      </c>
      <c r="T42" s="32" t="s">
        <v>451</v>
      </c>
      <c r="U42" s="33">
        <v>-245.04400000000001</v>
      </c>
      <c r="V42" s="7"/>
      <c r="W42" s="7" t="str">
        <f>VLOOKUP($Q42,Mapping!$E$11:$I$204,3,0)</f>
        <v>Augmentation</v>
      </c>
      <c r="X42" s="7" t="str">
        <f>IFERROR(VLOOKUP($S42,Mapping!$E$208:$K$236,5,0),"Contracts")</f>
        <v>Materials</v>
      </c>
      <c r="Y42" s="7" t="str">
        <f>IFERROR(VLOOKUP($S42,Mapping!$E$208:$K$236,7,0),"ENDirect")</f>
        <v>ENDirect</v>
      </c>
      <c r="Z42" s="7" t="str">
        <f>IFERROR(HLOOKUP(X42,'Calc|Weightings'!$U$5:$W$5,1,0),"Excl")</f>
        <v>Materials</v>
      </c>
      <c r="AA42" s="7" t="str">
        <f>VLOOKUP(Q42,Mapping!$E$11:$I$204,5,0)</f>
        <v>SCS</v>
      </c>
      <c r="AC42" s="35" t="s">
        <v>147</v>
      </c>
      <c r="AD42" s="35"/>
      <c r="AE42" s="35">
        <v>71055</v>
      </c>
      <c r="AF42" s="35" t="s">
        <v>465</v>
      </c>
      <c r="AG42" s="36">
        <v>87.763999999999996</v>
      </c>
      <c r="AI42" s="7" t="str">
        <f>VLOOKUP($AC42,Mapping!$E$11:$I$204,3,0)</f>
        <v>Augmentation</v>
      </c>
      <c r="AJ42" s="7" t="str">
        <f>IFERROR(VLOOKUP($AE42,Mapping!$E$208:$K$236,5,0),"Contracts")</f>
        <v>Contracts</v>
      </c>
      <c r="AK42" s="7" t="str">
        <f>IFERROR(VLOOKUP($AE42,Mapping!$E$208:$K$236,7,0),"ENDirect")</f>
        <v>ENDirect</v>
      </c>
      <c r="AL42" s="7" t="str">
        <f>IFERROR(HLOOKUP(AJ42,'Calc|Weightings'!$U$5:$W$5,1,0),"Excl")</f>
        <v>Contracts</v>
      </c>
      <c r="AM42" s="7" t="str">
        <f>VLOOKUP(AC42,Mapping!$E$11:$I$204,5,0)</f>
        <v>SCS</v>
      </c>
      <c r="AO42" s="35" t="s">
        <v>549</v>
      </c>
      <c r="AP42" s="35"/>
      <c r="AQ42" s="35">
        <v>71006</v>
      </c>
      <c r="AR42" s="35" t="s">
        <v>468</v>
      </c>
      <c r="AS42" s="121">
        <v>566.94000000000005</v>
      </c>
      <c r="AU42" s="7" t="str">
        <f>VLOOKUP($AO42,Mapping!$E$11:$I$204,3,0)</f>
        <v>Connections</v>
      </c>
      <c r="AV42" s="7" t="str">
        <f>IFERROR(VLOOKUP($AQ42,Mapping!$E$208:$K$236,5,0),"Contracts")</f>
        <v>Materials</v>
      </c>
      <c r="AW42" s="7" t="str">
        <f>IFERROR(VLOOKUP($AQ42,Mapping!$E$208:$K$236,7,0),"ENDirect")</f>
        <v>ENDirect</v>
      </c>
      <c r="AX42" s="7" t="str">
        <f>IFERROR(HLOOKUP(AV42,'Calc|Weightings'!$U$5:$W$5,1,0),"Excl")</f>
        <v>Materials</v>
      </c>
      <c r="AY42" s="7" t="str">
        <f>VLOOKUP(AO42,Mapping!$E$11:$I$204,5,0)</f>
        <v>SCS</v>
      </c>
    </row>
    <row r="43" spans="1:51" x14ac:dyDescent="0.3">
      <c r="A43" s="7"/>
      <c r="B43" s="7"/>
      <c r="C43" s="7"/>
      <c r="D43" s="7"/>
      <c r="E43" s="32" t="s">
        <v>122</v>
      </c>
      <c r="F43" s="32"/>
      <c r="G43" s="32">
        <v>71015</v>
      </c>
      <c r="H43" s="32" t="s">
        <v>463</v>
      </c>
      <c r="I43" s="33">
        <v>44.171999999999997</v>
      </c>
      <c r="J43" s="170"/>
      <c r="K43" s="7" t="str">
        <f>VLOOKUP($E43,Mapping!$E$11:$I$204,3,0)</f>
        <v>Augmentation</v>
      </c>
      <c r="L43" s="7" t="str">
        <f>IFERROR(VLOOKUP($G43,Mapping!$E$208:$K$236,5,0),"Contracts")</f>
        <v>Materials</v>
      </c>
      <c r="M43" s="7" t="str">
        <f>IFERROR(VLOOKUP($G43,Mapping!$E$208:$K$236,7,0),"ENDirect")</f>
        <v>ENDirect</v>
      </c>
      <c r="N43" s="7" t="str">
        <f>IFERROR(HLOOKUP(L43,'Calc|Weightings'!$U$5:$W$5,1,0),"Excl")</f>
        <v>Materials</v>
      </c>
      <c r="O43" s="7" t="str">
        <f>VLOOKUP(E43,Mapping!$E$11:$I$204,5,0)</f>
        <v>SCS</v>
      </c>
      <c r="Q43" s="32" t="s">
        <v>125</v>
      </c>
      <c r="R43" s="32"/>
      <c r="S43" s="32">
        <v>72360</v>
      </c>
      <c r="T43" s="32" t="s">
        <v>480</v>
      </c>
      <c r="U43" s="33">
        <v>0</v>
      </c>
      <c r="V43" s="7"/>
      <c r="W43" s="7" t="str">
        <f>VLOOKUP($Q43,Mapping!$E$11:$I$204,3,0)</f>
        <v>Augmentation</v>
      </c>
      <c r="X43" s="7" t="str">
        <f>IFERROR(VLOOKUP($S43,Mapping!$E$208:$K$236,5,0),"Contracts")</f>
        <v>Contracts</v>
      </c>
      <c r="Y43" s="7" t="str">
        <f>IFERROR(VLOOKUP($S43,Mapping!$E$208:$K$236,7,0),"ENDirect")</f>
        <v>ENDirect</v>
      </c>
      <c r="Z43" s="7" t="str">
        <f>IFERROR(HLOOKUP(X43,'Calc|Weightings'!$U$5:$W$5,1,0),"Excl")</f>
        <v>Contracts</v>
      </c>
      <c r="AA43" s="7" t="str">
        <f>VLOOKUP(Q43,Mapping!$E$11:$I$204,5,0)</f>
        <v>SCS</v>
      </c>
      <c r="AC43" s="35" t="s">
        <v>147</v>
      </c>
      <c r="AD43" s="35"/>
      <c r="AE43" s="35">
        <v>72360</v>
      </c>
      <c r="AF43" s="35" t="s">
        <v>480</v>
      </c>
      <c r="AG43" s="36">
        <v>0</v>
      </c>
      <c r="AI43" s="7" t="str">
        <f>VLOOKUP($AC43,Mapping!$E$11:$I$204,3,0)</f>
        <v>Augmentation</v>
      </c>
      <c r="AJ43" s="7" t="str">
        <f>IFERROR(VLOOKUP($AE43,Mapping!$E$208:$K$236,5,0),"Contracts")</f>
        <v>Contracts</v>
      </c>
      <c r="AK43" s="7" t="str">
        <f>IFERROR(VLOOKUP($AE43,Mapping!$E$208:$K$236,7,0),"ENDirect")</f>
        <v>ENDirect</v>
      </c>
      <c r="AL43" s="7" t="str">
        <f>IFERROR(HLOOKUP(AJ43,'Calc|Weightings'!$U$5:$W$5,1,0),"Excl")</f>
        <v>Contracts</v>
      </c>
      <c r="AM43" s="7" t="str">
        <f>VLOOKUP(AC43,Mapping!$E$11:$I$204,5,0)</f>
        <v>SCS</v>
      </c>
      <c r="AO43" s="35" t="s">
        <v>549</v>
      </c>
      <c r="AP43" s="35"/>
      <c r="AQ43" s="35">
        <v>71010</v>
      </c>
      <c r="AR43" s="35" t="s">
        <v>487</v>
      </c>
      <c r="AS43" s="121">
        <v>53.972189999999998</v>
      </c>
      <c r="AU43" s="7" t="str">
        <f>VLOOKUP($AO43,Mapping!$E$11:$I$204,3,0)</f>
        <v>Connections</v>
      </c>
      <c r="AV43" s="7" t="str">
        <f>IFERROR(VLOOKUP($AQ43,Mapping!$E$208:$K$236,5,0),"Contracts")</f>
        <v>Labour</v>
      </c>
      <c r="AW43" s="7" t="str">
        <f>IFERROR(VLOOKUP($AQ43,Mapping!$E$208:$K$236,7,0),"ENDirect")</f>
        <v>ENDirect</v>
      </c>
      <c r="AX43" s="7" t="str">
        <f>IFERROR(HLOOKUP(AV43,'Calc|Weightings'!$U$5:$W$5,1,0),"Excl")</f>
        <v>Labour</v>
      </c>
      <c r="AY43" s="7" t="str">
        <f>VLOOKUP(AO43,Mapping!$E$11:$I$204,5,0)</f>
        <v>SCS</v>
      </c>
    </row>
    <row r="44" spans="1:51" x14ac:dyDescent="0.3">
      <c r="A44" s="7"/>
      <c r="B44" s="7"/>
      <c r="C44" s="7"/>
      <c r="D44" s="7"/>
      <c r="E44" s="32" t="s">
        <v>122</v>
      </c>
      <c r="F44" s="32"/>
      <c r="G44" s="32">
        <v>71030</v>
      </c>
      <c r="H44" s="32" t="s">
        <v>464</v>
      </c>
      <c r="I44" s="33">
        <v>62.335999999999999</v>
      </c>
      <c r="J44" s="170"/>
      <c r="K44" s="7" t="str">
        <f>VLOOKUP($E44,Mapping!$E$11:$I$204,3,0)</f>
        <v>Augmentation</v>
      </c>
      <c r="L44" s="7" t="str">
        <f>IFERROR(VLOOKUP($G44,Mapping!$E$208:$K$236,5,0),"Contracts")</f>
        <v>Contracts</v>
      </c>
      <c r="M44" s="7" t="str">
        <f>IFERROR(VLOOKUP($G44,Mapping!$E$208:$K$236,7,0),"ENDirect")</f>
        <v>ENDirect</v>
      </c>
      <c r="N44" s="7" t="str">
        <f>IFERROR(HLOOKUP(L44,'Calc|Weightings'!$U$5:$W$5,1,0),"Excl")</f>
        <v>Contracts</v>
      </c>
      <c r="O44" s="7" t="str">
        <f>VLOOKUP(E44,Mapping!$E$11:$I$204,5,0)</f>
        <v>SCS</v>
      </c>
      <c r="Q44" s="32" t="s">
        <v>125</v>
      </c>
      <c r="R44" s="32"/>
      <c r="S44" s="32">
        <v>71000</v>
      </c>
      <c r="T44" s="32" t="s">
        <v>457</v>
      </c>
      <c r="U44" s="33">
        <v>697.30700000000002</v>
      </c>
      <c r="V44" s="7"/>
      <c r="W44" s="7" t="str">
        <f>VLOOKUP($Q44,Mapping!$E$11:$I$204,3,0)</f>
        <v>Augmentation</v>
      </c>
      <c r="X44" s="7" t="str">
        <f>IFERROR(VLOOKUP($S44,Mapping!$E$208:$K$236,5,0),"Contracts")</f>
        <v>Labour</v>
      </c>
      <c r="Y44" s="7" t="str">
        <f>IFERROR(VLOOKUP($S44,Mapping!$E$208:$K$236,7,0),"ENDirect")</f>
        <v>ENDirect</v>
      </c>
      <c r="Z44" s="7" t="str">
        <f>IFERROR(HLOOKUP(X44,'Calc|Weightings'!$U$5:$W$5,1,0),"Excl")</f>
        <v>Labour</v>
      </c>
      <c r="AA44" s="7" t="str">
        <f>VLOOKUP(Q44,Mapping!$E$11:$I$204,5,0)</f>
        <v>SCS</v>
      </c>
      <c r="AC44" s="35" t="s">
        <v>147</v>
      </c>
      <c r="AD44" s="35"/>
      <c r="AE44" s="35">
        <v>80000</v>
      </c>
      <c r="AF44" s="35" t="s">
        <v>453</v>
      </c>
      <c r="AG44" s="36">
        <v>220.261</v>
      </c>
      <c r="AI44" s="7" t="str">
        <f>VLOOKUP($AC44,Mapping!$E$11:$I$204,3,0)</f>
        <v>Augmentation</v>
      </c>
      <c r="AJ44" s="7" t="str">
        <f>IFERROR(VLOOKUP($AE44,Mapping!$E$208:$K$236,5,0),"Contracts")</f>
        <v>Overhead</v>
      </c>
      <c r="AK44" s="7" t="str">
        <f>IFERROR(VLOOKUP($AE44,Mapping!$E$208:$K$236,7,0),"ENDirect")</f>
        <v>OH</v>
      </c>
      <c r="AL44" s="7" t="str">
        <f>IFERROR(HLOOKUP(AJ44,'Calc|Weightings'!$U$5:$W$5,1,0),"Excl")</f>
        <v>Excl</v>
      </c>
      <c r="AM44" s="7" t="str">
        <f>VLOOKUP(AC44,Mapping!$E$11:$I$204,5,0)</f>
        <v>SCS</v>
      </c>
      <c r="AO44" s="35" t="s">
        <v>549</v>
      </c>
      <c r="AP44" s="35"/>
      <c r="AQ44" s="35">
        <v>71015</v>
      </c>
      <c r="AR44" s="35" t="s">
        <v>585</v>
      </c>
      <c r="AS44" s="121">
        <v>13.565309999999997</v>
      </c>
      <c r="AU44" s="7" t="str">
        <f>VLOOKUP($AO44,Mapping!$E$11:$I$204,3,0)</f>
        <v>Connections</v>
      </c>
      <c r="AV44" s="7" t="str">
        <f>IFERROR(VLOOKUP($AQ44,Mapping!$E$208:$K$236,5,0),"Contracts")</f>
        <v>Materials</v>
      </c>
      <c r="AW44" s="7" t="str">
        <f>IFERROR(VLOOKUP($AQ44,Mapping!$E$208:$K$236,7,0),"ENDirect")</f>
        <v>ENDirect</v>
      </c>
      <c r="AX44" s="7" t="str">
        <f>IFERROR(HLOOKUP(AV44,'Calc|Weightings'!$U$5:$W$5,1,0),"Excl")</f>
        <v>Materials</v>
      </c>
      <c r="AY44" s="7" t="str">
        <f>VLOOKUP(AO44,Mapping!$E$11:$I$204,5,0)</f>
        <v>SCS</v>
      </c>
    </row>
    <row r="45" spans="1:51" x14ac:dyDescent="0.3">
      <c r="A45" s="7"/>
      <c r="B45" s="7"/>
      <c r="C45" s="7"/>
      <c r="D45" s="7"/>
      <c r="E45" s="32" t="s">
        <v>122</v>
      </c>
      <c r="F45" s="32"/>
      <c r="G45" s="32">
        <v>71055</v>
      </c>
      <c r="H45" s="32" t="s">
        <v>465</v>
      </c>
      <c r="I45" s="33">
        <v>151.006</v>
      </c>
      <c r="J45" s="170"/>
      <c r="K45" s="7" t="str">
        <f>VLOOKUP($E45,Mapping!$E$11:$I$204,3,0)</f>
        <v>Augmentation</v>
      </c>
      <c r="L45" s="7" t="str">
        <f>IFERROR(VLOOKUP($G45,Mapping!$E$208:$K$236,5,0),"Contracts")</f>
        <v>Contracts</v>
      </c>
      <c r="M45" s="7" t="str">
        <f>IFERROR(VLOOKUP($G45,Mapping!$E$208:$K$236,7,0),"ENDirect")</f>
        <v>ENDirect</v>
      </c>
      <c r="N45" s="7" t="str">
        <f>IFERROR(HLOOKUP(L45,'Calc|Weightings'!$U$5:$W$5,1,0),"Excl")</f>
        <v>Contracts</v>
      </c>
      <c r="O45" s="7" t="str">
        <f>VLOOKUP(E45,Mapping!$E$11:$I$204,5,0)</f>
        <v>SCS</v>
      </c>
      <c r="Q45" s="32" t="s">
        <v>125</v>
      </c>
      <c r="R45" s="32"/>
      <c r="S45" s="32">
        <v>71010</v>
      </c>
      <c r="T45" s="32" t="s">
        <v>462</v>
      </c>
      <c r="U45" s="33">
        <v>269.84899999999999</v>
      </c>
      <c r="V45" s="7"/>
      <c r="W45" s="7" t="str">
        <f>VLOOKUP($Q45,Mapping!$E$11:$I$204,3,0)</f>
        <v>Augmentation</v>
      </c>
      <c r="X45" s="7" t="str">
        <f>IFERROR(VLOOKUP($S45,Mapping!$E$208:$K$236,5,0),"Contracts")</f>
        <v>Labour</v>
      </c>
      <c r="Y45" s="7" t="str">
        <f>IFERROR(VLOOKUP($S45,Mapping!$E$208:$K$236,7,0),"ENDirect")</f>
        <v>ENDirect</v>
      </c>
      <c r="Z45" s="7" t="str">
        <f>IFERROR(HLOOKUP(X45,'Calc|Weightings'!$U$5:$W$5,1,0),"Excl")</f>
        <v>Labour</v>
      </c>
      <c r="AA45" s="7" t="str">
        <f>VLOOKUP(Q45,Mapping!$E$11:$I$204,5,0)</f>
        <v>SCS</v>
      </c>
      <c r="AC45" s="35" t="s">
        <v>550</v>
      </c>
      <c r="AD45" s="35"/>
      <c r="AE45" s="35">
        <v>71000</v>
      </c>
      <c r="AF45" s="35" t="s">
        <v>457</v>
      </c>
      <c r="AG45" s="36">
        <v>2122.59</v>
      </c>
      <c r="AI45" s="7" t="str">
        <f>VLOOKUP($AC45,Mapping!$E$11:$I$204,3,0)</f>
        <v>Connections</v>
      </c>
      <c r="AJ45" s="7" t="str">
        <f>IFERROR(VLOOKUP($AE45,Mapping!$E$208:$K$236,5,0),"Contracts")</f>
        <v>Labour</v>
      </c>
      <c r="AK45" s="7" t="str">
        <f>IFERROR(VLOOKUP($AE45,Mapping!$E$208:$K$236,7,0),"ENDirect")</f>
        <v>ENDirect</v>
      </c>
      <c r="AL45" s="7" t="str">
        <f>IFERROR(HLOOKUP(AJ45,'Calc|Weightings'!$U$5:$W$5,1,0),"Excl")</f>
        <v>Labour</v>
      </c>
      <c r="AM45" s="7" t="str">
        <f>VLOOKUP(AC45,Mapping!$E$11:$I$204,5,0)</f>
        <v>SCS</v>
      </c>
      <c r="AO45" s="35" t="s">
        <v>549</v>
      </c>
      <c r="AP45" s="35"/>
      <c r="AQ45" s="35">
        <v>71030</v>
      </c>
      <c r="AR45" s="35" t="s">
        <v>464</v>
      </c>
      <c r="AS45" s="121">
        <v>23.477929999999994</v>
      </c>
      <c r="AU45" s="7" t="str">
        <f>VLOOKUP($AO45,Mapping!$E$11:$I$204,3,0)</f>
        <v>Connections</v>
      </c>
      <c r="AV45" s="7" t="str">
        <f>IFERROR(VLOOKUP($AQ45,Mapping!$E$208:$K$236,5,0),"Contracts")</f>
        <v>Contracts</v>
      </c>
      <c r="AW45" s="7" t="str">
        <f>IFERROR(VLOOKUP($AQ45,Mapping!$E$208:$K$236,7,0),"ENDirect")</f>
        <v>ENDirect</v>
      </c>
      <c r="AX45" s="7" t="str">
        <f>IFERROR(HLOOKUP(AV45,'Calc|Weightings'!$U$5:$W$5,1,0),"Excl")</f>
        <v>Contracts</v>
      </c>
      <c r="AY45" s="7" t="str">
        <f>VLOOKUP(AO45,Mapping!$E$11:$I$204,5,0)</f>
        <v>SCS</v>
      </c>
    </row>
    <row r="46" spans="1:51" x14ac:dyDescent="0.3">
      <c r="A46" s="7"/>
      <c r="B46" s="7"/>
      <c r="C46" s="7"/>
      <c r="D46" s="7"/>
      <c r="E46" s="32" t="s">
        <v>122</v>
      </c>
      <c r="F46" s="32"/>
      <c r="G46" s="32">
        <v>80000</v>
      </c>
      <c r="H46" s="32" t="s">
        <v>453</v>
      </c>
      <c r="I46" s="33">
        <v>124.038</v>
      </c>
      <c r="J46" s="170"/>
      <c r="K46" s="7" t="str">
        <f>VLOOKUP($E46,Mapping!$E$11:$I$204,3,0)</f>
        <v>Augmentation</v>
      </c>
      <c r="L46" s="7" t="str">
        <f>IFERROR(VLOOKUP($G46,Mapping!$E$208:$K$236,5,0),"Contracts")</f>
        <v>Overhead</v>
      </c>
      <c r="M46" s="7" t="str">
        <f>IFERROR(VLOOKUP($G46,Mapping!$E$208:$K$236,7,0),"ENDirect")</f>
        <v>OH</v>
      </c>
      <c r="N46" s="7" t="str">
        <f>IFERROR(HLOOKUP(L46,'Calc|Weightings'!$U$5:$W$5,1,0),"Excl")</f>
        <v>Excl</v>
      </c>
      <c r="O46" s="7" t="str">
        <f>VLOOKUP(E46,Mapping!$E$11:$I$204,5,0)</f>
        <v>SCS</v>
      </c>
      <c r="Q46" s="32" t="s">
        <v>125</v>
      </c>
      <c r="R46" s="32"/>
      <c r="S46" s="32">
        <v>71025</v>
      </c>
      <c r="T46" s="32" t="s">
        <v>478</v>
      </c>
      <c r="U46" s="33">
        <v>-2.3E-2</v>
      </c>
      <c r="V46" s="7"/>
      <c r="W46" s="7" t="str">
        <f>VLOOKUP($Q46,Mapping!$E$11:$I$204,3,0)</f>
        <v>Augmentation</v>
      </c>
      <c r="X46" s="7" t="str">
        <f>IFERROR(VLOOKUP($S46,Mapping!$E$208:$K$236,5,0),"Contracts")</f>
        <v>Contracts</v>
      </c>
      <c r="Y46" s="7" t="str">
        <f>IFERROR(VLOOKUP($S46,Mapping!$E$208:$K$236,7,0),"ENDirect")</f>
        <v>ENDirect</v>
      </c>
      <c r="Z46" s="7" t="str">
        <f>IFERROR(HLOOKUP(X46,'Calc|Weightings'!$U$5:$W$5,1,0),"Excl")</f>
        <v>Contracts</v>
      </c>
      <c r="AA46" s="7" t="str">
        <f>VLOOKUP(Q46,Mapping!$E$11:$I$204,5,0)</f>
        <v>SCS</v>
      </c>
      <c r="AC46" s="35" t="s">
        <v>550</v>
      </c>
      <c r="AD46" s="35"/>
      <c r="AE46" s="35">
        <v>71030</v>
      </c>
      <c r="AF46" s="35" t="s">
        <v>464</v>
      </c>
      <c r="AG46" s="36">
        <v>393.952</v>
      </c>
      <c r="AI46" s="7" t="str">
        <f>VLOOKUP($AC46,Mapping!$E$11:$I$204,3,0)</f>
        <v>Connections</v>
      </c>
      <c r="AJ46" s="7" t="str">
        <f>IFERROR(VLOOKUP($AE46,Mapping!$E$208:$K$236,5,0),"Contracts")</f>
        <v>Contracts</v>
      </c>
      <c r="AK46" s="7" t="str">
        <f>IFERROR(VLOOKUP($AE46,Mapping!$E$208:$K$236,7,0),"ENDirect")</f>
        <v>ENDirect</v>
      </c>
      <c r="AL46" s="7" t="str">
        <f>IFERROR(HLOOKUP(AJ46,'Calc|Weightings'!$U$5:$W$5,1,0),"Excl")</f>
        <v>Contracts</v>
      </c>
      <c r="AM46" s="7" t="str">
        <f>VLOOKUP(AC46,Mapping!$E$11:$I$204,5,0)</f>
        <v>SCS</v>
      </c>
      <c r="AO46" s="35" t="s">
        <v>549</v>
      </c>
      <c r="AP46" s="35"/>
      <c r="AQ46" s="35">
        <v>71055</v>
      </c>
      <c r="AR46" s="35" t="s">
        <v>465</v>
      </c>
      <c r="AS46" s="121">
        <v>66.150419999999997</v>
      </c>
      <c r="AU46" s="7" t="str">
        <f>VLOOKUP($AO46,Mapping!$E$11:$I$204,3,0)</f>
        <v>Connections</v>
      </c>
      <c r="AV46" s="7" t="str">
        <f>IFERROR(VLOOKUP($AQ46,Mapping!$E$208:$K$236,5,0),"Contracts")</f>
        <v>Contracts</v>
      </c>
      <c r="AW46" s="7" t="str">
        <f>IFERROR(VLOOKUP($AQ46,Mapping!$E$208:$K$236,7,0),"ENDirect")</f>
        <v>ENDirect</v>
      </c>
      <c r="AX46" s="7" t="str">
        <f>IFERROR(HLOOKUP(AV46,'Calc|Weightings'!$U$5:$W$5,1,0),"Excl")</f>
        <v>Contracts</v>
      </c>
      <c r="AY46" s="7" t="str">
        <f>VLOOKUP(AO46,Mapping!$E$11:$I$204,5,0)</f>
        <v>SCS</v>
      </c>
    </row>
    <row r="47" spans="1:51" x14ac:dyDescent="0.3">
      <c r="A47" s="7"/>
      <c r="B47" s="7"/>
      <c r="C47" s="7"/>
      <c r="D47" s="7"/>
      <c r="E47" s="32" t="s">
        <v>268</v>
      </c>
      <c r="F47" s="32"/>
      <c r="G47" s="32">
        <v>70815</v>
      </c>
      <c r="H47" s="32" t="s">
        <v>451</v>
      </c>
      <c r="I47" s="33">
        <v>111.012</v>
      </c>
      <c r="J47" s="170"/>
      <c r="K47" s="7" t="str">
        <f>VLOOKUP($E47,Mapping!$E$11:$I$204,3,0)</f>
        <v>Replacement</v>
      </c>
      <c r="L47" s="7" t="str">
        <f>IFERROR(VLOOKUP($G47,Mapping!$E$208:$K$236,5,0),"Contracts")</f>
        <v>Materials</v>
      </c>
      <c r="M47" s="7" t="str">
        <f>IFERROR(VLOOKUP($G47,Mapping!$E$208:$K$236,7,0),"ENDirect")</f>
        <v>ENDirect</v>
      </c>
      <c r="N47" s="7" t="str">
        <f>IFERROR(HLOOKUP(L47,'Calc|Weightings'!$U$5:$W$5,1,0),"Excl")</f>
        <v>Materials</v>
      </c>
      <c r="O47" s="7" t="str">
        <f>VLOOKUP(E47,Mapping!$E$11:$I$204,5,0)</f>
        <v>SCS</v>
      </c>
      <c r="Q47" s="32" t="s">
        <v>125</v>
      </c>
      <c r="R47" s="32"/>
      <c r="S47" s="32">
        <v>71030</v>
      </c>
      <c r="T47" s="32" t="s">
        <v>464</v>
      </c>
      <c r="U47" s="33">
        <v>104.849</v>
      </c>
      <c r="V47" s="7"/>
      <c r="W47" s="7" t="str">
        <f>VLOOKUP($Q47,Mapping!$E$11:$I$204,3,0)</f>
        <v>Augmentation</v>
      </c>
      <c r="X47" s="7" t="str">
        <f>IFERROR(VLOOKUP($S47,Mapping!$E$208:$K$236,5,0),"Contracts")</f>
        <v>Contracts</v>
      </c>
      <c r="Y47" s="7" t="str">
        <f>IFERROR(VLOOKUP($S47,Mapping!$E$208:$K$236,7,0),"ENDirect")</f>
        <v>ENDirect</v>
      </c>
      <c r="Z47" s="7" t="str">
        <f>IFERROR(HLOOKUP(X47,'Calc|Weightings'!$U$5:$W$5,1,0),"Excl")</f>
        <v>Contracts</v>
      </c>
      <c r="AA47" s="7" t="str">
        <f>VLOOKUP(Q47,Mapping!$E$11:$I$204,5,0)</f>
        <v>SCS</v>
      </c>
      <c r="AC47" s="35" t="s">
        <v>550</v>
      </c>
      <c r="AD47" s="35"/>
      <c r="AE47" s="35">
        <v>71055</v>
      </c>
      <c r="AF47" s="35" t="s">
        <v>465</v>
      </c>
      <c r="AG47" s="36">
        <v>841.33600000000001</v>
      </c>
      <c r="AI47" s="7" t="str">
        <f>VLOOKUP($AC47,Mapping!$E$11:$I$204,3,0)</f>
        <v>Connections</v>
      </c>
      <c r="AJ47" s="7" t="str">
        <f>IFERROR(VLOOKUP($AE47,Mapping!$E$208:$K$236,5,0),"Contracts")</f>
        <v>Contracts</v>
      </c>
      <c r="AK47" s="7" t="str">
        <f>IFERROR(VLOOKUP($AE47,Mapping!$E$208:$K$236,7,0),"ENDirect")</f>
        <v>ENDirect</v>
      </c>
      <c r="AL47" s="7" t="str">
        <f>IFERROR(HLOOKUP(AJ47,'Calc|Weightings'!$U$5:$W$5,1,0),"Excl")</f>
        <v>Contracts</v>
      </c>
      <c r="AM47" s="7" t="str">
        <f>VLOOKUP(AC47,Mapping!$E$11:$I$204,5,0)</f>
        <v>SCS</v>
      </c>
      <c r="AO47" s="35" t="s">
        <v>549</v>
      </c>
      <c r="AP47" s="35"/>
      <c r="AQ47" s="35">
        <v>71070</v>
      </c>
      <c r="AR47" s="35" t="s">
        <v>586</v>
      </c>
      <c r="AS47" s="121">
        <v>2273.8426300000015</v>
      </c>
      <c r="AU47" s="7" t="str">
        <f>VLOOKUP($AO47,Mapping!$E$11:$I$204,3,0)</f>
        <v>Connections</v>
      </c>
      <c r="AV47" s="7" t="str">
        <f>IFERROR(VLOOKUP($AQ47,Mapping!$E$208:$K$236,5,0),"Contracts")</f>
        <v>Contracts</v>
      </c>
      <c r="AW47" s="7" t="str">
        <f>IFERROR(VLOOKUP($AQ47,Mapping!$E$208:$K$236,7,0),"ENDirect")</f>
        <v>ENDirect</v>
      </c>
      <c r="AX47" s="7" t="str">
        <f>IFERROR(HLOOKUP(AV47,'Calc|Weightings'!$U$5:$W$5,1,0),"Excl")</f>
        <v>Contracts</v>
      </c>
      <c r="AY47" s="7" t="str">
        <f>VLOOKUP(AO47,Mapping!$E$11:$I$204,5,0)</f>
        <v>SCS</v>
      </c>
    </row>
    <row r="48" spans="1:51" x14ac:dyDescent="0.3">
      <c r="A48" s="7"/>
      <c r="B48" s="7"/>
      <c r="C48" s="7"/>
      <c r="D48" s="7"/>
      <c r="E48" s="32" t="s">
        <v>268</v>
      </c>
      <c r="F48" s="32"/>
      <c r="G48" s="32">
        <v>71000</v>
      </c>
      <c r="H48" s="32" t="s">
        <v>457</v>
      </c>
      <c r="I48" s="33">
        <v>777.43799999999999</v>
      </c>
      <c r="J48" s="170"/>
      <c r="K48" s="7" t="str">
        <f>VLOOKUP($E48,Mapping!$E$11:$I$204,3,0)</f>
        <v>Replacement</v>
      </c>
      <c r="L48" s="7" t="str">
        <f>IFERROR(VLOOKUP($G48,Mapping!$E$208:$K$236,5,0),"Contracts")</f>
        <v>Labour</v>
      </c>
      <c r="M48" s="7" t="str">
        <f>IFERROR(VLOOKUP($G48,Mapping!$E$208:$K$236,7,0),"ENDirect")</f>
        <v>ENDirect</v>
      </c>
      <c r="N48" s="7" t="str">
        <f>IFERROR(HLOOKUP(L48,'Calc|Weightings'!$U$5:$W$5,1,0),"Excl")</f>
        <v>Labour</v>
      </c>
      <c r="O48" s="7" t="str">
        <f>VLOOKUP(E48,Mapping!$E$11:$I$204,5,0)</f>
        <v>SCS</v>
      </c>
      <c r="Q48" s="32" t="s">
        <v>125</v>
      </c>
      <c r="R48" s="32"/>
      <c r="S48" s="32">
        <v>71040</v>
      </c>
      <c r="T48" s="32" t="s">
        <v>460</v>
      </c>
      <c r="U48" s="33">
        <v>0.108</v>
      </c>
      <c r="V48" s="7"/>
      <c r="W48" s="7" t="str">
        <f>VLOOKUP($Q48,Mapping!$E$11:$I$204,3,0)</f>
        <v>Augmentation</v>
      </c>
      <c r="X48" s="7" t="str">
        <f>IFERROR(VLOOKUP($S48,Mapping!$E$208:$K$236,5,0),"Contracts")</f>
        <v>Contracts</v>
      </c>
      <c r="Y48" s="7" t="str">
        <f>IFERROR(VLOOKUP($S48,Mapping!$E$208:$K$236,7,0),"ENDirect")</f>
        <v>ENDirect</v>
      </c>
      <c r="Z48" s="7" t="str">
        <f>IFERROR(HLOOKUP(X48,'Calc|Weightings'!$U$5:$W$5,1,0),"Excl")</f>
        <v>Contracts</v>
      </c>
      <c r="AA48" s="7" t="str">
        <f>VLOOKUP(Q48,Mapping!$E$11:$I$204,5,0)</f>
        <v>SCS</v>
      </c>
      <c r="AC48" s="35" t="s">
        <v>550</v>
      </c>
      <c r="AD48" s="35"/>
      <c r="AE48" s="35">
        <v>80000</v>
      </c>
      <c r="AF48" s="35" t="s">
        <v>453</v>
      </c>
      <c r="AG48" s="36">
        <v>1027.3520000000001</v>
      </c>
      <c r="AI48" s="7" t="str">
        <f>VLOOKUP($AC48,Mapping!$E$11:$I$204,3,0)</f>
        <v>Connections</v>
      </c>
      <c r="AJ48" s="7" t="str">
        <f>IFERROR(VLOOKUP($AE48,Mapping!$E$208:$K$236,5,0),"Contracts")</f>
        <v>Overhead</v>
      </c>
      <c r="AK48" s="7" t="str">
        <f>IFERROR(VLOOKUP($AE48,Mapping!$E$208:$K$236,7,0),"ENDirect")</f>
        <v>OH</v>
      </c>
      <c r="AL48" s="7" t="str">
        <f>IFERROR(HLOOKUP(AJ48,'Calc|Weightings'!$U$5:$W$5,1,0),"Excl")</f>
        <v>Excl</v>
      </c>
      <c r="AM48" s="7" t="str">
        <f>VLOOKUP(AC48,Mapping!$E$11:$I$204,5,0)</f>
        <v>SCS</v>
      </c>
      <c r="AO48" s="35" t="s">
        <v>549</v>
      </c>
      <c r="AP48" s="35"/>
      <c r="AQ48" s="35">
        <v>71075</v>
      </c>
      <c r="AR48" s="35" t="s">
        <v>587</v>
      </c>
      <c r="AS48" s="121">
        <v>261.83468999999997</v>
      </c>
      <c r="AU48" s="7" t="str">
        <f>VLOOKUP($AO48,Mapping!$E$11:$I$204,3,0)</f>
        <v>Connections</v>
      </c>
      <c r="AV48" s="7" t="str">
        <f>IFERROR(VLOOKUP($AQ48,Mapping!$E$208:$K$236,5,0),"Contracts")</f>
        <v>Contracts</v>
      </c>
      <c r="AW48" s="7" t="str">
        <f>IFERROR(VLOOKUP($AQ48,Mapping!$E$208:$K$236,7,0),"ENDirect")</f>
        <v>ENDirect</v>
      </c>
      <c r="AX48" s="7" t="str">
        <f>IFERROR(HLOOKUP(AV48,'Calc|Weightings'!$U$5:$W$5,1,0),"Excl")</f>
        <v>Contracts</v>
      </c>
      <c r="AY48" s="7" t="str">
        <f>VLOOKUP(AO48,Mapping!$E$11:$I$204,5,0)</f>
        <v>SCS</v>
      </c>
    </row>
    <row r="49" spans="1:51" x14ac:dyDescent="0.3">
      <c r="A49" s="7"/>
      <c r="B49" s="7"/>
      <c r="C49" s="7"/>
      <c r="D49" s="7"/>
      <c r="E49" s="32" t="s">
        <v>268</v>
      </c>
      <c r="F49" s="32"/>
      <c r="G49" s="32">
        <v>71005</v>
      </c>
      <c r="H49" s="32" t="s">
        <v>461</v>
      </c>
      <c r="I49" s="33">
        <v>252.16</v>
      </c>
      <c r="J49" s="170"/>
      <c r="K49" s="7" t="str">
        <f>VLOOKUP($E49,Mapping!$E$11:$I$204,3,0)</f>
        <v>Replacement</v>
      </c>
      <c r="L49" s="7" t="str">
        <f>IFERROR(VLOOKUP($G49,Mapping!$E$208:$K$236,5,0),"Contracts")</f>
        <v>Materials</v>
      </c>
      <c r="M49" s="7" t="str">
        <f>IFERROR(VLOOKUP($G49,Mapping!$E$208:$K$236,7,0),"ENDirect")</f>
        <v>ENDirect</v>
      </c>
      <c r="N49" s="7" t="str">
        <f>IFERROR(HLOOKUP(L49,'Calc|Weightings'!$U$5:$W$5,1,0),"Excl")</f>
        <v>Materials</v>
      </c>
      <c r="O49" s="7" t="str">
        <f>VLOOKUP(E49,Mapping!$E$11:$I$204,5,0)</f>
        <v>SCS</v>
      </c>
      <c r="Q49" s="32" t="s">
        <v>125</v>
      </c>
      <c r="R49" s="32"/>
      <c r="S49" s="32">
        <v>71055</v>
      </c>
      <c r="T49" s="32" t="s">
        <v>465</v>
      </c>
      <c r="U49" s="33">
        <v>221.227</v>
      </c>
      <c r="V49" s="7"/>
      <c r="W49" s="7" t="str">
        <f>VLOOKUP($Q49,Mapping!$E$11:$I$204,3,0)</f>
        <v>Augmentation</v>
      </c>
      <c r="X49" s="7" t="str">
        <f>IFERROR(VLOOKUP($S49,Mapping!$E$208:$K$236,5,0),"Contracts")</f>
        <v>Contracts</v>
      </c>
      <c r="Y49" s="7" t="str">
        <f>IFERROR(VLOOKUP($S49,Mapping!$E$208:$K$236,7,0),"ENDirect")</f>
        <v>ENDirect</v>
      </c>
      <c r="Z49" s="7" t="str">
        <f>IFERROR(HLOOKUP(X49,'Calc|Weightings'!$U$5:$W$5,1,0),"Excl")</f>
        <v>Contracts</v>
      </c>
      <c r="AA49" s="7" t="str">
        <f>VLOOKUP(Q49,Mapping!$E$11:$I$204,5,0)</f>
        <v>SCS</v>
      </c>
      <c r="AC49" s="35" t="s">
        <v>125</v>
      </c>
      <c r="AD49" s="35"/>
      <c r="AE49" s="35">
        <v>71000</v>
      </c>
      <c r="AF49" s="35" t="s">
        <v>457</v>
      </c>
      <c r="AG49" s="36">
        <v>594.19600000000003</v>
      </c>
      <c r="AI49" s="7" t="str">
        <f>VLOOKUP($AC49,Mapping!$E$11:$I$204,3,0)</f>
        <v>Augmentation</v>
      </c>
      <c r="AJ49" s="7" t="str">
        <f>IFERROR(VLOOKUP($AE49,Mapping!$E$208:$K$236,5,0),"Contracts")</f>
        <v>Labour</v>
      </c>
      <c r="AK49" s="7" t="str">
        <f>IFERROR(VLOOKUP($AE49,Mapping!$E$208:$K$236,7,0),"ENDirect")</f>
        <v>ENDirect</v>
      </c>
      <c r="AL49" s="7" t="str">
        <f>IFERROR(HLOOKUP(AJ49,'Calc|Weightings'!$U$5:$W$5,1,0),"Excl")</f>
        <v>Labour</v>
      </c>
      <c r="AM49" s="7" t="str">
        <f>VLOOKUP(AC49,Mapping!$E$11:$I$204,5,0)</f>
        <v>SCS</v>
      </c>
      <c r="AO49" s="35" t="s">
        <v>549</v>
      </c>
      <c r="AP49" s="35"/>
      <c r="AQ49" s="35">
        <v>72345</v>
      </c>
      <c r="AR49" s="35" t="s">
        <v>588</v>
      </c>
      <c r="AS49" s="121">
        <v>189.61</v>
      </c>
      <c r="AU49" s="7" t="str">
        <f>VLOOKUP($AO49,Mapping!$E$11:$I$204,3,0)</f>
        <v>Connections</v>
      </c>
      <c r="AV49" s="7" t="str">
        <f>IFERROR(VLOOKUP($AQ49,Mapping!$E$208:$K$236,5,0),"Contracts")</f>
        <v>Contracts</v>
      </c>
      <c r="AW49" s="7" t="str">
        <f>IFERROR(VLOOKUP($AQ49,Mapping!$E$208:$K$236,7,0),"ENDirect")</f>
        <v>ENDirect</v>
      </c>
      <c r="AX49" s="7" t="str">
        <f>IFERROR(HLOOKUP(AV49,'Calc|Weightings'!$U$5:$W$5,1,0),"Excl")</f>
        <v>Contracts</v>
      </c>
      <c r="AY49" s="7" t="str">
        <f>VLOOKUP(AO49,Mapping!$E$11:$I$204,5,0)</f>
        <v>SCS</v>
      </c>
    </row>
    <row r="50" spans="1:51" x14ac:dyDescent="0.3">
      <c r="A50" s="7"/>
      <c r="B50" s="7"/>
      <c r="C50" s="7"/>
      <c r="D50" s="7"/>
      <c r="E50" s="32" t="s">
        <v>268</v>
      </c>
      <c r="F50" s="32"/>
      <c r="G50" s="32">
        <v>71010</v>
      </c>
      <c r="H50" s="32" t="s">
        <v>462</v>
      </c>
      <c r="I50" s="33">
        <v>227.28200000000001</v>
      </c>
      <c r="J50" s="170"/>
      <c r="K50" s="7" t="str">
        <f>VLOOKUP($E50,Mapping!$E$11:$I$204,3,0)</f>
        <v>Replacement</v>
      </c>
      <c r="L50" s="7" t="str">
        <f>IFERROR(VLOOKUP($G50,Mapping!$E$208:$K$236,5,0),"Contracts")</f>
        <v>Labour</v>
      </c>
      <c r="M50" s="7" t="str">
        <f>IFERROR(VLOOKUP($G50,Mapping!$E$208:$K$236,7,0),"ENDirect")</f>
        <v>ENDirect</v>
      </c>
      <c r="N50" s="7" t="str">
        <f>IFERROR(HLOOKUP(L50,'Calc|Weightings'!$U$5:$W$5,1,0),"Excl")</f>
        <v>Labour</v>
      </c>
      <c r="O50" s="7" t="str">
        <f>VLOOKUP(E50,Mapping!$E$11:$I$204,5,0)</f>
        <v>SCS</v>
      </c>
      <c r="Q50" s="32" t="s">
        <v>125</v>
      </c>
      <c r="R50" s="32"/>
      <c r="S50" s="32">
        <v>71060</v>
      </c>
      <c r="T50" s="32" t="s">
        <v>479</v>
      </c>
      <c r="U50" s="33">
        <v>-0.629</v>
      </c>
      <c r="V50" s="7"/>
      <c r="W50" s="7" t="str">
        <f>VLOOKUP($Q50,Mapping!$E$11:$I$204,3,0)</f>
        <v>Augmentation</v>
      </c>
      <c r="X50" s="7" t="str">
        <f>IFERROR(VLOOKUP($S50,Mapping!$E$208:$K$236,5,0),"Contracts")</f>
        <v>Contracts</v>
      </c>
      <c r="Y50" s="7" t="str">
        <f>IFERROR(VLOOKUP($S50,Mapping!$E$208:$K$236,7,0),"ENDirect")</f>
        <v>ENDirect</v>
      </c>
      <c r="Z50" s="7" t="str">
        <f>IFERROR(HLOOKUP(X50,'Calc|Weightings'!$U$5:$W$5,1,0),"Excl")</f>
        <v>Contracts</v>
      </c>
      <c r="AA50" s="7" t="str">
        <f>VLOOKUP(Q50,Mapping!$E$11:$I$204,5,0)</f>
        <v>SCS</v>
      </c>
      <c r="AC50" s="35" t="s">
        <v>125</v>
      </c>
      <c r="AD50" s="35"/>
      <c r="AE50" s="35">
        <v>71060</v>
      </c>
      <c r="AF50" s="35" t="s">
        <v>479</v>
      </c>
      <c r="AG50" s="36">
        <v>-0.379</v>
      </c>
      <c r="AI50" s="7" t="str">
        <f>VLOOKUP($AC50,Mapping!$E$11:$I$204,3,0)</f>
        <v>Augmentation</v>
      </c>
      <c r="AJ50" s="7" t="str">
        <f>IFERROR(VLOOKUP($AE50,Mapping!$E$208:$K$236,5,0),"Contracts")</f>
        <v>Contracts</v>
      </c>
      <c r="AK50" s="7" t="str">
        <f>IFERROR(VLOOKUP($AE50,Mapping!$E$208:$K$236,7,0),"ENDirect")</f>
        <v>ENDirect</v>
      </c>
      <c r="AL50" s="7" t="str">
        <f>IFERROR(HLOOKUP(AJ50,'Calc|Weightings'!$U$5:$W$5,1,0),"Excl")</f>
        <v>Contracts</v>
      </c>
      <c r="AM50" s="7" t="str">
        <f>VLOOKUP(AC50,Mapping!$E$11:$I$204,5,0)</f>
        <v>SCS</v>
      </c>
      <c r="AO50" s="35" t="s">
        <v>549</v>
      </c>
      <c r="AP50" s="35"/>
      <c r="AQ50" s="35">
        <v>80000</v>
      </c>
      <c r="AR50" s="35" t="s">
        <v>589</v>
      </c>
      <c r="AS50" s="121">
        <v>581.93796000000043</v>
      </c>
      <c r="AU50" s="7" t="str">
        <f>VLOOKUP($AO50,Mapping!$E$11:$I$204,3,0)</f>
        <v>Connections</v>
      </c>
      <c r="AV50" s="7" t="str">
        <f>IFERROR(VLOOKUP($AQ50,Mapping!$E$208:$K$236,5,0),"Contracts")</f>
        <v>Overhead</v>
      </c>
      <c r="AW50" s="7" t="str">
        <f>IFERROR(VLOOKUP($AQ50,Mapping!$E$208:$K$236,7,0),"ENDirect")</f>
        <v>OH</v>
      </c>
      <c r="AX50" s="7" t="str">
        <f>IFERROR(HLOOKUP(AV50,'Calc|Weightings'!$U$5:$W$5,1,0),"Excl")</f>
        <v>Excl</v>
      </c>
      <c r="AY50" s="7" t="str">
        <f>VLOOKUP(AO50,Mapping!$E$11:$I$204,5,0)</f>
        <v>SCS</v>
      </c>
    </row>
    <row r="51" spans="1:51" x14ac:dyDescent="0.3">
      <c r="A51" s="7"/>
      <c r="B51" s="7"/>
      <c r="C51" s="7"/>
      <c r="D51" s="7"/>
      <c r="E51" s="32" t="s">
        <v>268</v>
      </c>
      <c r="F51" s="32"/>
      <c r="G51" s="32">
        <v>71015</v>
      </c>
      <c r="H51" s="32" t="s">
        <v>463</v>
      </c>
      <c r="I51" s="33">
        <v>127.43300000000001</v>
      </c>
      <c r="J51" s="170"/>
      <c r="K51" s="7" t="str">
        <f>VLOOKUP($E51,Mapping!$E$11:$I$204,3,0)</f>
        <v>Replacement</v>
      </c>
      <c r="L51" s="7" t="str">
        <f>IFERROR(VLOOKUP($G51,Mapping!$E$208:$K$236,5,0),"Contracts")</f>
        <v>Materials</v>
      </c>
      <c r="M51" s="7" t="str">
        <f>IFERROR(VLOOKUP($G51,Mapping!$E$208:$K$236,7,0),"ENDirect")</f>
        <v>ENDirect</v>
      </c>
      <c r="N51" s="7" t="str">
        <f>IFERROR(HLOOKUP(L51,'Calc|Weightings'!$U$5:$W$5,1,0),"Excl")</f>
        <v>Materials</v>
      </c>
      <c r="O51" s="7" t="str">
        <f>VLOOKUP(E51,Mapping!$E$11:$I$204,5,0)</f>
        <v>SCS</v>
      </c>
      <c r="Q51" s="32" t="s">
        <v>125</v>
      </c>
      <c r="R51" s="32"/>
      <c r="S51" s="32">
        <v>80000</v>
      </c>
      <c r="T51" s="32" t="s">
        <v>453</v>
      </c>
      <c r="U51" s="33">
        <v>253.52</v>
      </c>
      <c r="V51" s="7"/>
      <c r="W51" s="7" t="str">
        <f>VLOOKUP($Q51,Mapping!$E$11:$I$204,3,0)</f>
        <v>Augmentation</v>
      </c>
      <c r="X51" s="7" t="str">
        <f>IFERROR(VLOOKUP($S51,Mapping!$E$208:$K$236,5,0),"Contracts")</f>
        <v>Overhead</v>
      </c>
      <c r="Y51" s="7" t="str">
        <f>IFERROR(VLOOKUP($S51,Mapping!$E$208:$K$236,7,0),"ENDirect")</f>
        <v>OH</v>
      </c>
      <c r="Z51" s="7" t="str">
        <f>IFERROR(HLOOKUP(X51,'Calc|Weightings'!$U$5:$W$5,1,0),"Excl")</f>
        <v>Excl</v>
      </c>
      <c r="AA51" s="7" t="str">
        <f>VLOOKUP(Q51,Mapping!$E$11:$I$204,5,0)</f>
        <v>SCS</v>
      </c>
      <c r="AC51" s="35" t="s">
        <v>125</v>
      </c>
      <c r="AD51" s="35"/>
      <c r="AE51" s="35">
        <v>71025</v>
      </c>
      <c r="AF51" s="35" t="s">
        <v>478</v>
      </c>
      <c r="AG51" s="36">
        <v>0</v>
      </c>
      <c r="AI51" s="7" t="str">
        <f>VLOOKUP($AC51,Mapping!$E$11:$I$204,3,0)</f>
        <v>Augmentation</v>
      </c>
      <c r="AJ51" s="7" t="str">
        <f>IFERROR(VLOOKUP($AE51,Mapping!$E$208:$K$236,5,0),"Contracts")</f>
        <v>Contracts</v>
      </c>
      <c r="AK51" s="7" t="str">
        <f>IFERROR(VLOOKUP($AE51,Mapping!$E$208:$K$236,7,0),"ENDirect")</f>
        <v>ENDirect</v>
      </c>
      <c r="AL51" s="7" t="str">
        <f>IFERROR(HLOOKUP(AJ51,'Calc|Weightings'!$U$5:$W$5,1,0),"Excl")</f>
        <v>Contracts</v>
      </c>
      <c r="AM51" s="7" t="str">
        <f>VLOOKUP(AC51,Mapping!$E$11:$I$204,5,0)</f>
        <v>SCS</v>
      </c>
      <c r="AO51" s="35" t="s">
        <v>550</v>
      </c>
      <c r="AP51" s="35"/>
      <c r="AQ51" s="35">
        <v>71000</v>
      </c>
      <c r="AR51" s="35" t="s">
        <v>457</v>
      </c>
      <c r="AS51" s="121">
        <v>287.39296999999999</v>
      </c>
      <c r="AU51" s="7" t="str">
        <f>VLOOKUP($AO51,Mapping!$E$11:$I$204,3,0)</f>
        <v>Connections</v>
      </c>
      <c r="AV51" s="7" t="str">
        <f>IFERROR(VLOOKUP($AQ51,Mapping!$E$208:$K$236,5,0),"Contracts")</f>
        <v>Labour</v>
      </c>
      <c r="AW51" s="7" t="str">
        <f>IFERROR(VLOOKUP($AQ51,Mapping!$E$208:$K$236,7,0),"ENDirect")</f>
        <v>ENDirect</v>
      </c>
      <c r="AX51" s="7" t="str">
        <f>IFERROR(HLOOKUP(AV51,'Calc|Weightings'!$U$5:$W$5,1,0),"Excl")</f>
        <v>Labour</v>
      </c>
      <c r="AY51" s="7" t="str">
        <f>VLOOKUP(AO51,Mapping!$E$11:$I$204,5,0)</f>
        <v>SCS</v>
      </c>
    </row>
    <row r="52" spans="1:51" x14ac:dyDescent="0.3">
      <c r="A52" s="7"/>
      <c r="B52" s="7"/>
      <c r="C52" s="7"/>
      <c r="D52" s="7"/>
      <c r="E52" s="32" t="s">
        <v>268</v>
      </c>
      <c r="F52" s="32"/>
      <c r="G52" s="32">
        <v>71020</v>
      </c>
      <c r="H52" s="32" t="s">
        <v>459</v>
      </c>
      <c r="I52" s="33">
        <v>145.541</v>
      </c>
      <c r="J52" s="170"/>
      <c r="K52" s="7" t="str">
        <f>VLOOKUP($E52,Mapping!$E$11:$I$204,3,0)</f>
        <v>Replacement</v>
      </c>
      <c r="L52" s="7" t="str">
        <f>IFERROR(VLOOKUP($G52,Mapping!$E$208:$K$236,5,0),"Contracts")</f>
        <v>Contracts</v>
      </c>
      <c r="M52" s="7" t="str">
        <f>IFERROR(VLOOKUP($G52,Mapping!$E$208:$K$236,7,0),"ENDirect")</f>
        <v>ENDirect</v>
      </c>
      <c r="N52" s="7" t="str">
        <f>IFERROR(HLOOKUP(L52,'Calc|Weightings'!$U$5:$W$5,1,0),"Excl")</f>
        <v>Contracts</v>
      </c>
      <c r="O52" s="7" t="str">
        <f>VLOOKUP(E52,Mapping!$E$11:$I$204,5,0)</f>
        <v>SCS</v>
      </c>
      <c r="Q52" s="32" t="s">
        <v>122</v>
      </c>
      <c r="R52" s="32"/>
      <c r="S52" s="32">
        <v>72360</v>
      </c>
      <c r="T52" s="32" t="s">
        <v>480</v>
      </c>
      <c r="U52" s="33">
        <v>0</v>
      </c>
      <c r="V52" s="7"/>
      <c r="W52" s="7" t="str">
        <f>VLOOKUP($Q52,Mapping!$E$11:$I$204,3,0)</f>
        <v>Augmentation</v>
      </c>
      <c r="X52" s="7" t="str">
        <f>IFERROR(VLOOKUP($S52,Mapping!$E$208:$K$236,5,0),"Contracts")</f>
        <v>Contracts</v>
      </c>
      <c r="Y52" s="7" t="str">
        <f>IFERROR(VLOOKUP($S52,Mapping!$E$208:$K$236,7,0),"ENDirect")</f>
        <v>ENDirect</v>
      </c>
      <c r="Z52" s="7" t="str">
        <f>IFERROR(HLOOKUP(X52,'Calc|Weightings'!$U$5:$W$5,1,0),"Excl")</f>
        <v>Contracts</v>
      </c>
      <c r="AA52" s="7" t="str">
        <f>VLOOKUP(Q52,Mapping!$E$11:$I$204,5,0)</f>
        <v>SCS</v>
      </c>
      <c r="AC52" s="35" t="s">
        <v>226</v>
      </c>
      <c r="AD52" s="35"/>
      <c r="AE52" s="35">
        <v>70815</v>
      </c>
      <c r="AF52" s="35" t="s">
        <v>451</v>
      </c>
      <c r="AG52" s="36">
        <v>-2.004</v>
      </c>
      <c r="AI52" s="7" t="str">
        <f>VLOOKUP($AC52,Mapping!$E$11:$I$204,3,0)</f>
        <v>Replacement</v>
      </c>
      <c r="AJ52" s="7" t="str">
        <f>IFERROR(VLOOKUP($AE52,Mapping!$E$208:$K$236,5,0),"Contracts")</f>
        <v>Materials</v>
      </c>
      <c r="AK52" s="7" t="str">
        <f>IFERROR(VLOOKUP($AE52,Mapping!$E$208:$K$236,7,0),"ENDirect")</f>
        <v>ENDirect</v>
      </c>
      <c r="AL52" s="7" t="str">
        <f>IFERROR(HLOOKUP(AJ52,'Calc|Weightings'!$U$5:$W$5,1,0),"Excl")</f>
        <v>Materials</v>
      </c>
      <c r="AM52" s="7" t="str">
        <f>VLOOKUP(AC52,Mapping!$E$11:$I$204,5,0)</f>
        <v>SCS</v>
      </c>
      <c r="AO52" s="35" t="s">
        <v>550</v>
      </c>
      <c r="AP52" s="35"/>
      <c r="AQ52" s="35">
        <v>71005</v>
      </c>
      <c r="AR52" s="35" t="s">
        <v>461</v>
      </c>
      <c r="AS52" s="121">
        <v>42.848349999999961</v>
      </c>
      <c r="AU52" s="7" t="str">
        <f>VLOOKUP($AO52,Mapping!$E$11:$I$204,3,0)</f>
        <v>Connections</v>
      </c>
      <c r="AV52" s="7" t="str">
        <f>IFERROR(VLOOKUP($AQ52,Mapping!$E$208:$K$236,5,0),"Contracts")</f>
        <v>Materials</v>
      </c>
      <c r="AW52" s="7" t="str">
        <f>IFERROR(VLOOKUP($AQ52,Mapping!$E$208:$K$236,7,0),"ENDirect")</f>
        <v>ENDirect</v>
      </c>
      <c r="AX52" s="7" t="str">
        <f>IFERROR(HLOOKUP(AV52,'Calc|Weightings'!$U$5:$W$5,1,0),"Excl")</f>
        <v>Materials</v>
      </c>
      <c r="AY52" s="7" t="str">
        <f>VLOOKUP(AO52,Mapping!$E$11:$I$204,5,0)</f>
        <v>SCS</v>
      </c>
    </row>
    <row r="53" spans="1:51" x14ac:dyDescent="0.3">
      <c r="A53" s="7"/>
      <c r="B53" s="7"/>
      <c r="C53" s="7"/>
      <c r="D53" s="7"/>
      <c r="E53" s="32" t="s">
        <v>268</v>
      </c>
      <c r="F53" s="32"/>
      <c r="G53" s="32">
        <v>71030</v>
      </c>
      <c r="H53" s="32" t="s">
        <v>464</v>
      </c>
      <c r="I53" s="33">
        <v>121.154</v>
      </c>
      <c r="J53" s="170"/>
      <c r="K53" s="7" t="str">
        <f>VLOOKUP($E53,Mapping!$E$11:$I$204,3,0)</f>
        <v>Replacement</v>
      </c>
      <c r="L53" s="7" t="str">
        <f>IFERROR(VLOOKUP($G53,Mapping!$E$208:$K$236,5,0),"Contracts")</f>
        <v>Contracts</v>
      </c>
      <c r="M53" s="7" t="str">
        <f>IFERROR(VLOOKUP($G53,Mapping!$E$208:$K$236,7,0),"ENDirect")</f>
        <v>ENDirect</v>
      </c>
      <c r="N53" s="7" t="str">
        <f>IFERROR(HLOOKUP(L53,'Calc|Weightings'!$U$5:$W$5,1,0),"Excl")</f>
        <v>Contracts</v>
      </c>
      <c r="O53" s="7" t="str">
        <f>VLOOKUP(E53,Mapping!$E$11:$I$204,5,0)</f>
        <v>SCS</v>
      </c>
      <c r="Q53" s="32" t="s">
        <v>122</v>
      </c>
      <c r="R53" s="32"/>
      <c r="S53" s="32">
        <v>71015</v>
      </c>
      <c r="T53" s="32" t="s">
        <v>463</v>
      </c>
      <c r="U53" s="33">
        <v>169.65199999999999</v>
      </c>
      <c r="V53" s="7"/>
      <c r="W53" s="7" t="str">
        <f>VLOOKUP($Q53,Mapping!$E$11:$I$204,3,0)</f>
        <v>Augmentation</v>
      </c>
      <c r="X53" s="7" t="str">
        <f>IFERROR(VLOOKUP($S53,Mapping!$E$208:$K$236,5,0),"Contracts")</f>
        <v>Materials</v>
      </c>
      <c r="Y53" s="7" t="str">
        <f>IFERROR(VLOOKUP($S53,Mapping!$E$208:$K$236,7,0),"ENDirect")</f>
        <v>ENDirect</v>
      </c>
      <c r="Z53" s="7" t="str">
        <f>IFERROR(HLOOKUP(X53,'Calc|Weightings'!$U$5:$W$5,1,0),"Excl")</f>
        <v>Materials</v>
      </c>
      <c r="AA53" s="7" t="str">
        <f>VLOOKUP(Q53,Mapping!$E$11:$I$204,5,0)</f>
        <v>SCS</v>
      </c>
      <c r="AC53" s="35" t="s">
        <v>226</v>
      </c>
      <c r="AD53" s="35"/>
      <c r="AE53" s="35">
        <v>71000</v>
      </c>
      <c r="AF53" s="35" t="s">
        <v>457</v>
      </c>
      <c r="AG53" s="36">
        <v>-6.3360000000000003</v>
      </c>
      <c r="AI53" s="7" t="str">
        <f>VLOOKUP($AC53,Mapping!$E$11:$I$204,3,0)</f>
        <v>Replacement</v>
      </c>
      <c r="AJ53" s="7" t="str">
        <f>IFERROR(VLOOKUP($AE53,Mapping!$E$208:$K$236,5,0),"Contracts")</f>
        <v>Labour</v>
      </c>
      <c r="AK53" s="7" t="str">
        <f>IFERROR(VLOOKUP($AE53,Mapping!$E$208:$K$236,7,0),"ENDirect")</f>
        <v>ENDirect</v>
      </c>
      <c r="AL53" s="7" t="str">
        <f>IFERROR(HLOOKUP(AJ53,'Calc|Weightings'!$U$5:$W$5,1,0),"Excl")</f>
        <v>Labour</v>
      </c>
      <c r="AM53" s="7" t="str">
        <f>VLOOKUP(AC53,Mapping!$E$11:$I$204,5,0)</f>
        <v>SCS</v>
      </c>
      <c r="AO53" s="35" t="s">
        <v>550</v>
      </c>
      <c r="AP53" s="35"/>
      <c r="AQ53" s="35">
        <v>71006</v>
      </c>
      <c r="AR53" s="35" t="s">
        <v>468</v>
      </c>
      <c r="AS53" s="121">
        <v>1497.153</v>
      </c>
      <c r="AU53" s="7" t="str">
        <f>VLOOKUP($AO53,Mapping!$E$11:$I$204,3,0)</f>
        <v>Connections</v>
      </c>
      <c r="AV53" s="7" t="str">
        <f>IFERROR(VLOOKUP($AQ53,Mapping!$E$208:$K$236,5,0),"Contracts")</f>
        <v>Materials</v>
      </c>
      <c r="AW53" s="7" t="str">
        <f>IFERROR(VLOOKUP($AQ53,Mapping!$E$208:$K$236,7,0),"ENDirect")</f>
        <v>ENDirect</v>
      </c>
      <c r="AX53" s="7" t="str">
        <f>IFERROR(HLOOKUP(AV53,'Calc|Weightings'!$U$5:$W$5,1,0),"Excl")</f>
        <v>Materials</v>
      </c>
      <c r="AY53" s="7" t="str">
        <f>VLOOKUP(AO53,Mapping!$E$11:$I$204,5,0)</f>
        <v>SCS</v>
      </c>
    </row>
    <row r="54" spans="1:51" x14ac:dyDescent="0.3">
      <c r="A54" s="7"/>
      <c r="B54" s="7"/>
      <c r="C54" s="7"/>
      <c r="D54" s="7"/>
      <c r="E54" s="32" t="s">
        <v>268</v>
      </c>
      <c r="F54" s="32"/>
      <c r="G54" s="32">
        <v>71055</v>
      </c>
      <c r="H54" s="32" t="s">
        <v>465</v>
      </c>
      <c r="I54" s="33">
        <v>201.31399999999999</v>
      </c>
      <c r="J54" s="170"/>
      <c r="K54" s="7" t="str">
        <f>VLOOKUP($E54,Mapping!$E$11:$I$204,3,0)</f>
        <v>Replacement</v>
      </c>
      <c r="L54" s="7" t="str">
        <f>IFERROR(VLOOKUP($G54,Mapping!$E$208:$K$236,5,0),"Contracts")</f>
        <v>Contracts</v>
      </c>
      <c r="M54" s="7" t="str">
        <f>IFERROR(VLOOKUP($G54,Mapping!$E$208:$K$236,7,0),"ENDirect")</f>
        <v>ENDirect</v>
      </c>
      <c r="N54" s="7" t="str">
        <f>IFERROR(HLOOKUP(L54,'Calc|Weightings'!$U$5:$W$5,1,0),"Excl")</f>
        <v>Contracts</v>
      </c>
      <c r="O54" s="7" t="str">
        <f>VLOOKUP(E54,Mapping!$E$11:$I$204,5,0)</f>
        <v>SCS</v>
      </c>
      <c r="Q54" s="32" t="s">
        <v>268</v>
      </c>
      <c r="R54" s="32"/>
      <c r="S54" s="32">
        <v>71015</v>
      </c>
      <c r="T54" s="32" t="s">
        <v>463</v>
      </c>
      <c r="U54" s="33">
        <v>2.0150000000000001</v>
      </c>
      <c r="V54" s="7"/>
      <c r="W54" s="7" t="str">
        <f>VLOOKUP($Q54,Mapping!$E$11:$I$204,3,0)</f>
        <v>Replacement</v>
      </c>
      <c r="X54" s="7" t="str">
        <f>IFERROR(VLOOKUP($S54,Mapping!$E$208:$K$236,5,0),"Contracts")</f>
        <v>Materials</v>
      </c>
      <c r="Y54" s="7" t="str">
        <f>IFERROR(VLOOKUP($S54,Mapping!$E$208:$K$236,7,0),"ENDirect")</f>
        <v>ENDirect</v>
      </c>
      <c r="Z54" s="7" t="str">
        <f>IFERROR(HLOOKUP(X54,'Calc|Weightings'!$U$5:$W$5,1,0),"Excl")</f>
        <v>Materials</v>
      </c>
      <c r="AA54" s="7" t="str">
        <f>VLOOKUP(Q54,Mapping!$E$11:$I$204,5,0)</f>
        <v>SCS</v>
      </c>
      <c r="AC54" s="35" t="s">
        <v>226</v>
      </c>
      <c r="AD54" s="35"/>
      <c r="AE54" s="35">
        <v>71025</v>
      </c>
      <c r="AF54" s="35" t="s">
        <v>478</v>
      </c>
      <c r="AG54" s="36">
        <v>0</v>
      </c>
      <c r="AI54" s="7" t="str">
        <f>VLOOKUP($AC54,Mapping!$E$11:$I$204,3,0)</f>
        <v>Replacement</v>
      </c>
      <c r="AJ54" s="7" t="str">
        <f>IFERROR(VLOOKUP($AE54,Mapping!$E$208:$K$236,5,0),"Contracts")</f>
        <v>Contracts</v>
      </c>
      <c r="AK54" s="7" t="str">
        <f>IFERROR(VLOOKUP($AE54,Mapping!$E$208:$K$236,7,0),"ENDirect")</f>
        <v>ENDirect</v>
      </c>
      <c r="AL54" s="7" t="str">
        <f>IFERROR(HLOOKUP(AJ54,'Calc|Weightings'!$U$5:$W$5,1,0),"Excl")</f>
        <v>Contracts</v>
      </c>
      <c r="AM54" s="7" t="str">
        <f>VLOOKUP(AC54,Mapping!$E$11:$I$204,5,0)</f>
        <v>SCS</v>
      </c>
      <c r="AO54" s="35" t="s">
        <v>550</v>
      </c>
      <c r="AP54" s="35"/>
      <c r="AQ54" s="35">
        <v>71010</v>
      </c>
      <c r="AR54" s="35" t="s">
        <v>487</v>
      </c>
      <c r="AS54" s="121">
        <v>150.95575000000008</v>
      </c>
      <c r="AU54" s="7" t="str">
        <f>VLOOKUP($AO54,Mapping!$E$11:$I$204,3,0)</f>
        <v>Connections</v>
      </c>
      <c r="AV54" s="7" t="str">
        <f>IFERROR(VLOOKUP($AQ54,Mapping!$E$208:$K$236,5,0),"Contracts")</f>
        <v>Labour</v>
      </c>
      <c r="AW54" s="7" t="str">
        <f>IFERROR(VLOOKUP($AQ54,Mapping!$E$208:$K$236,7,0),"ENDirect")</f>
        <v>ENDirect</v>
      </c>
      <c r="AX54" s="7" t="str">
        <f>IFERROR(HLOOKUP(AV54,'Calc|Weightings'!$U$5:$W$5,1,0),"Excl")</f>
        <v>Labour</v>
      </c>
      <c r="AY54" s="7" t="str">
        <f>VLOOKUP(AO54,Mapping!$E$11:$I$204,5,0)</f>
        <v>SCS</v>
      </c>
    </row>
    <row r="55" spans="1:51" x14ac:dyDescent="0.3">
      <c r="A55" s="7"/>
      <c r="B55" s="7"/>
      <c r="C55" s="7"/>
      <c r="D55" s="7"/>
      <c r="E55" s="32" t="s">
        <v>268</v>
      </c>
      <c r="F55" s="32"/>
      <c r="G55" s="32">
        <v>72305</v>
      </c>
      <c r="H55" s="32" t="s">
        <v>466</v>
      </c>
      <c r="I55" s="33">
        <v>0</v>
      </c>
      <c r="J55" s="170"/>
      <c r="K55" s="7" t="str">
        <f>VLOOKUP($E55,Mapping!$E$11:$I$204,3,0)</f>
        <v>Replacement</v>
      </c>
      <c r="L55" s="7" t="str">
        <f>IFERROR(VLOOKUP($G55,Mapping!$E$208:$K$236,5,0),"Contracts")</f>
        <v>Contracts</v>
      </c>
      <c r="M55" s="7" t="str">
        <f>IFERROR(VLOOKUP($G55,Mapping!$E$208:$K$236,7,0),"ENDirect")</f>
        <v>ENDirect</v>
      </c>
      <c r="N55" s="7" t="str">
        <f>IFERROR(HLOOKUP(L55,'Calc|Weightings'!$U$5:$W$5,1,0),"Excl")</f>
        <v>Contracts</v>
      </c>
      <c r="O55" s="7" t="str">
        <f>VLOOKUP(E55,Mapping!$E$11:$I$204,5,0)</f>
        <v>SCS</v>
      </c>
      <c r="Q55" s="32" t="s">
        <v>268</v>
      </c>
      <c r="R55" s="32"/>
      <c r="S55" s="32">
        <v>71030</v>
      </c>
      <c r="T55" s="32" t="s">
        <v>464</v>
      </c>
      <c r="U55" s="33">
        <v>0.16900000000000001</v>
      </c>
      <c r="V55" s="7"/>
      <c r="W55" s="7" t="str">
        <f>VLOOKUP($Q55,Mapping!$E$11:$I$204,3,0)</f>
        <v>Replacement</v>
      </c>
      <c r="X55" s="7" t="str">
        <f>IFERROR(VLOOKUP($S55,Mapping!$E$208:$K$236,5,0),"Contracts")</f>
        <v>Contracts</v>
      </c>
      <c r="Y55" s="7" t="str">
        <f>IFERROR(VLOOKUP($S55,Mapping!$E$208:$K$236,7,0),"ENDirect")</f>
        <v>ENDirect</v>
      </c>
      <c r="Z55" s="7" t="str">
        <f>IFERROR(HLOOKUP(X55,'Calc|Weightings'!$U$5:$W$5,1,0),"Excl")</f>
        <v>Contracts</v>
      </c>
      <c r="AA55" s="7" t="str">
        <f>VLOOKUP(Q55,Mapping!$E$11:$I$204,5,0)</f>
        <v>SCS</v>
      </c>
      <c r="AC55" s="35" t="s">
        <v>226</v>
      </c>
      <c r="AD55" s="35"/>
      <c r="AE55" s="35">
        <v>71030</v>
      </c>
      <c r="AF55" s="35" t="s">
        <v>464</v>
      </c>
      <c r="AG55" s="36">
        <v>-0.58099999999999996</v>
      </c>
      <c r="AI55" s="7" t="str">
        <f>VLOOKUP($AC55,Mapping!$E$11:$I$204,3,0)</f>
        <v>Replacement</v>
      </c>
      <c r="AJ55" s="7" t="str">
        <f>IFERROR(VLOOKUP($AE55,Mapping!$E$208:$K$236,5,0),"Contracts")</f>
        <v>Contracts</v>
      </c>
      <c r="AK55" s="7" t="str">
        <f>IFERROR(VLOOKUP($AE55,Mapping!$E$208:$K$236,7,0),"ENDirect")</f>
        <v>ENDirect</v>
      </c>
      <c r="AL55" s="7" t="str">
        <f>IFERROR(HLOOKUP(AJ55,'Calc|Weightings'!$U$5:$W$5,1,0),"Excl")</f>
        <v>Contracts</v>
      </c>
      <c r="AM55" s="7" t="str">
        <f>VLOOKUP(AC55,Mapping!$E$11:$I$204,5,0)</f>
        <v>SCS</v>
      </c>
      <c r="AO55" s="35" t="s">
        <v>550</v>
      </c>
      <c r="AP55" s="35"/>
      <c r="AQ55" s="35">
        <v>71015</v>
      </c>
      <c r="AR55" s="35" t="s">
        <v>585</v>
      </c>
      <c r="AS55" s="121">
        <v>35.317069999999987</v>
      </c>
      <c r="AU55" s="7" t="str">
        <f>VLOOKUP($AO55,Mapping!$E$11:$I$204,3,0)</f>
        <v>Connections</v>
      </c>
      <c r="AV55" s="7" t="str">
        <f>IFERROR(VLOOKUP($AQ55,Mapping!$E$208:$K$236,5,0),"Contracts")</f>
        <v>Materials</v>
      </c>
      <c r="AW55" s="7" t="str">
        <f>IFERROR(VLOOKUP($AQ55,Mapping!$E$208:$K$236,7,0),"ENDirect")</f>
        <v>ENDirect</v>
      </c>
      <c r="AX55" s="7" t="str">
        <f>IFERROR(HLOOKUP(AV55,'Calc|Weightings'!$U$5:$W$5,1,0),"Excl")</f>
        <v>Materials</v>
      </c>
      <c r="AY55" s="7" t="str">
        <f>VLOOKUP(AO55,Mapping!$E$11:$I$204,5,0)</f>
        <v>SCS</v>
      </c>
    </row>
    <row r="56" spans="1:51" x14ac:dyDescent="0.3">
      <c r="A56" s="7"/>
      <c r="B56" s="7"/>
      <c r="C56" s="7"/>
      <c r="D56" s="7"/>
      <c r="E56" s="32" t="s">
        <v>268</v>
      </c>
      <c r="F56" s="32"/>
      <c r="G56" s="32">
        <v>80000</v>
      </c>
      <c r="H56" s="32" t="s">
        <v>453</v>
      </c>
      <c r="I56" s="33">
        <v>181.99700000000001</v>
      </c>
      <c r="J56" s="170"/>
      <c r="K56" s="7" t="str">
        <f>VLOOKUP($E56,Mapping!$E$11:$I$204,3,0)</f>
        <v>Replacement</v>
      </c>
      <c r="L56" s="7" t="str">
        <f>IFERROR(VLOOKUP($G56,Mapping!$E$208:$K$236,5,0),"Contracts")</f>
        <v>Overhead</v>
      </c>
      <c r="M56" s="7" t="str">
        <f>IFERROR(VLOOKUP($G56,Mapping!$E$208:$K$236,7,0),"ENDirect")</f>
        <v>OH</v>
      </c>
      <c r="N56" s="7" t="str">
        <f>IFERROR(HLOOKUP(L56,'Calc|Weightings'!$U$5:$W$5,1,0),"Excl")</f>
        <v>Excl</v>
      </c>
      <c r="O56" s="7" t="str">
        <f>VLOOKUP(E56,Mapping!$E$11:$I$204,5,0)</f>
        <v>SCS</v>
      </c>
      <c r="Q56" s="32" t="s">
        <v>268</v>
      </c>
      <c r="R56" s="32"/>
      <c r="S56" s="32">
        <v>71055</v>
      </c>
      <c r="T56" s="32" t="s">
        <v>465</v>
      </c>
      <c r="U56" s="33">
        <v>35.341000000000001</v>
      </c>
      <c r="V56" s="7"/>
      <c r="W56" s="7" t="str">
        <f>VLOOKUP($Q56,Mapping!$E$11:$I$204,3,0)</f>
        <v>Replacement</v>
      </c>
      <c r="X56" s="7" t="str">
        <f>IFERROR(VLOOKUP($S56,Mapping!$E$208:$K$236,5,0),"Contracts")</f>
        <v>Contracts</v>
      </c>
      <c r="Y56" s="7" t="str">
        <f>IFERROR(VLOOKUP($S56,Mapping!$E$208:$K$236,7,0),"ENDirect")</f>
        <v>ENDirect</v>
      </c>
      <c r="Z56" s="7" t="str">
        <f>IFERROR(HLOOKUP(X56,'Calc|Weightings'!$U$5:$W$5,1,0),"Excl")</f>
        <v>Contracts</v>
      </c>
      <c r="AA56" s="7" t="str">
        <f>VLOOKUP(Q56,Mapping!$E$11:$I$204,5,0)</f>
        <v>SCS</v>
      </c>
      <c r="AC56" s="35" t="s">
        <v>226</v>
      </c>
      <c r="AD56" s="35"/>
      <c r="AE56" s="35">
        <v>71055</v>
      </c>
      <c r="AF56" s="35" t="s">
        <v>465</v>
      </c>
      <c r="AG56" s="36">
        <v>-1.0309999999999999</v>
      </c>
      <c r="AI56" s="7" t="str">
        <f>VLOOKUP($AC56,Mapping!$E$11:$I$204,3,0)</f>
        <v>Replacement</v>
      </c>
      <c r="AJ56" s="7" t="str">
        <f>IFERROR(VLOOKUP($AE56,Mapping!$E$208:$K$236,5,0),"Contracts")</f>
        <v>Contracts</v>
      </c>
      <c r="AK56" s="7" t="str">
        <f>IFERROR(VLOOKUP($AE56,Mapping!$E$208:$K$236,7,0),"ENDirect")</f>
        <v>ENDirect</v>
      </c>
      <c r="AL56" s="7" t="str">
        <f>IFERROR(HLOOKUP(AJ56,'Calc|Weightings'!$U$5:$W$5,1,0),"Excl")</f>
        <v>Contracts</v>
      </c>
      <c r="AM56" s="7" t="str">
        <f>VLOOKUP(AC56,Mapping!$E$11:$I$204,5,0)</f>
        <v>SCS</v>
      </c>
      <c r="AO56" s="35" t="s">
        <v>550</v>
      </c>
      <c r="AP56" s="35"/>
      <c r="AQ56" s="35">
        <v>71030</v>
      </c>
      <c r="AR56" s="35" t="s">
        <v>464</v>
      </c>
      <c r="AS56" s="121">
        <v>43.580429999999986</v>
      </c>
      <c r="AU56" s="7" t="str">
        <f>VLOOKUP($AO56,Mapping!$E$11:$I$204,3,0)</f>
        <v>Connections</v>
      </c>
      <c r="AV56" s="7" t="str">
        <f>IFERROR(VLOOKUP($AQ56,Mapping!$E$208:$K$236,5,0),"Contracts")</f>
        <v>Contracts</v>
      </c>
      <c r="AW56" s="7" t="str">
        <f>IFERROR(VLOOKUP($AQ56,Mapping!$E$208:$K$236,7,0),"ENDirect")</f>
        <v>ENDirect</v>
      </c>
      <c r="AX56" s="7" t="str">
        <f>IFERROR(HLOOKUP(AV56,'Calc|Weightings'!$U$5:$W$5,1,0),"Excl")</f>
        <v>Contracts</v>
      </c>
      <c r="AY56" s="7" t="str">
        <f>VLOOKUP(AO56,Mapping!$E$11:$I$204,5,0)</f>
        <v>SCS</v>
      </c>
    </row>
    <row r="57" spans="1:51" x14ac:dyDescent="0.3">
      <c r="A57" s="7"/>
      <c r="B57" s="7"/>
      <c r="C57" s="7"/>
      <c r="D57" s="7"/>
      <c r="E57" s="32" t="s">
        <v>126</v>
      </c>
      <c r="F57" s="32"/>
      <c r="G57" s="32">
        <v>71000</v>
      </c>
      <c r="H57" s="32" t="s">
        <v>457</v>
      </c>
      <c r="I57" s="33">
        <v>1161.114</v>
      </c>
      <c r="J57" s="170"/>
      <c r="K57" s="7" t="str">
        <f>VLOOKUP($E57,Mapping!$E$11:$I$204,3,0)</f>
        <v>Augmentation</v>
      </c>
      <c r="L57" s="7" t="str">
        <f>IFERROR(VLOOKUP($G57,Mapping!$E$208:$K$236,5,0),"Contracts")</f>
        <v>Labour</v>
      </c>
      <c r="M57" s="7" t="str">
        <f>IFERROR(VLOOKUP($G57,Mapping!$E$208:$K$236,7,0),"ENDirect")</f>
        <v>ENDirect</v>
      </c>
      <c r="N57" s="7" t="str">
        <f>IFERROR(HLOOKUP(L57,'Calc|Weightings'!$U$5:$W$5,1,0),"Excl")</f>
        <v>Labour</v>
      </c>
      <c r="O57" s="7" t="str">
        <f>VLOOKUP(E57,Mapping!$E$11:$I$204,5,0)</f>
        <v>SCS</v>
      </c>
      <c r="Q57" s="32" t="s">
        <v>268</v>
      </c>
      <c r="R57" s="32"/>
      <c r="S57" s="32">
        <v>80000</v>
      </c>
      <c r="T57" s="32" t="s">
        <v>453</v>
      </c>
      <c r="U57" s="33">
        <v>0.28699999999999998</v>
      </c>
      <c r="V57" s="7"/>
      <c r="W57" s="7" t="str">
        <f>VLOOKUP($Q57,Mapping!$E$11:$I$204,3,0)</f>
        <v>Replacement</v>
      </c>
      <c r="X57" s="7" t="str">
        <f>IFERROR(VLOOKUP($S57,Mapping!$E$208:$K$236,5,0),"Contracts")</f>
        <v>Overhead</v>
      </c>
      <c r="Y57" s="7" t="str">
        <f>IFERROR(VLOOKUP($S57,Mapping!$E$208:$K$236,7,0),"ENDirect")</f>
        <v>OH</v>
      </c>
      <c r="Z57" s="7" t="str">
        <f>IFERROR(HLOOKUP(X57,'Calc|Weightings'!$U$5:$W$5,1,0),"Excl")</f>
        <v>Excl</v>
      </c>
      <c r="AA57" s="7" t="str">
        <f>VLOOKUP(Q57,Mapping!$E$11:$I$204,5,0)</f>
        <v>SCS</v>
      </c>
      <c r="AC57" s="35" t="s">
        <v>226</v>
      </c>
      <c r="AD57" s="35"/>
      <c r="AE57" s="35">
        <v>71060</v>
      </c>
      <c r="AF57" s="35" t="s">
        <v>479</v>
      </c>
      <c r="AG57" s="36">
        <v>-9.8000000000000004E-2</v>
      </c>
      <c r="AI57" s="7" t="str">
        <f>VLOOKUP($AC57,Mapping!$E$11:$I$204,3,0)</f>
        <v>Replacement</v>
      </c>
      <c r="AJ57" s="7" t="str">
        <f>IFERROR(VLOOKUP($AE57,Mapping!$E$208:$K$236,5,0),"Contracts")</f>
        <v>Contracts</v>
      </c>
      <c r="AK57" s="7" t="str">
        <f>IFERROR(VLOOKUP($AE57,Mapping!$E$208:$K$236,7,0),"ENDirect")</f>
        <v>ENDirect</v>
      </c>
      <c r="AL57" s="7" t="str">
        <f>IFERROR(HLOOKUP(AJ57,'Calc|Weightings'!$U$5:$W$5,1,0),"Excl")</f>
        <v>Contracts</v>
      </c>
      <c r="AM57" s="7" t="str">
        <f>VLOOKUP(AC57,Mapping!$E$11:$I$204,5,0)</f>
        <v>SCS</v>
      </c>
      <c r="AO57" s="35" t="s">
        <v>550</v>
      </c>
      <c r="AP57" s="35"/>
      <c r="AQ57" s="35">
        <v>71055</v>
      </c>
      <c r="AR57" s="35" t="s">
        <v>465</v>
      </c>
      <c r="AS57" s="121">
        <v>106.06436000000005</v>
      </c>
      <c r="AU57" s="7" t="str">
        <f>VLOOKUP($AO57,Mapping!$E$11:$I$204,3,0)</f>
        <v>Connections</v>
      </c>
      <c r="AV57" s="7" t="str">
        <f>IFERROR(VLOOKUP($AQ57,Mapping!$E$208:$K$236,5,0),"Contracts")</f>
        <v>Contracts</v>
      </c>
      <c r="AW57" s="7" t="str">
        <f>IFERROR(VLOOKUP($AQ57,Mapping!$E$208:$K$236,7,0),"ENDirect")</f>
        <v>ENDirect</v>
      </c>
      <c r="AX57" s="7" t="str">
        <f>IFERROR(HLOOKUP(AV57,'Calc|Weightings'!$U$5:$W$5,1,0),"Excl")</f>
        <v>Contracts</v>
      </c>
      <c r="AY57" s="7" t="str">
        <f>VLOOKUP(AO57,Mapping!$E$11:$I$204,5,0)</f>
        <v>SCS</v>
      </c>
    </row>
    <row r="58" spans="1:51" x14ac:dyDescent="0.3">
      <c r="A58" s="7"/>
      <c r="B58" s="7"/>
      <c r="C58" s="7"/>
      <c r="D58" s="7"/>
      <c r="E58" s="32" t="s">
        <v>126</v>
      </c>
      <c r="F58" s="32"/>
      <c r="G58" s="32">
        <v>71030</v>
      </c>
      <c r="H58" s="32" t="s">
        <v>464</v>
      </c>
      <c r="I58" s="33">
        <v>313.93</v>
      </c>
      <c r="J58" s="170"/>
      <c r="K58" s="7" t="str">
        <f>VLOOKUP($E58,Mapping!$E$11:$I$204,3,0)</f>
        <v>Augmentation</v>
      </c>
      <c r="L58" s="7" t="str">
        <f>IFERROR(VLOOKUP($G58,Mapping!$E$208:$K$236,5,0),"Contracts")</f>
        <v>Contracts</v>
      </c>
      <c r="M58" s="7" t="str">
        <f>IFERROR(VLOOKUP($G58,Mapping!$E$208:$K$236,7,0),"ENDirect")</f>
        <v>ENDirect</v>
      </c>
      <c r="N58" s="7" t="str">
        <f>IFERROR(HLOOKUP(L58,'Calc|Weightings'!$U$5:$W$5,1,0),"Excl")</f>
        <v>Contracts</v>
      </c>
      <c r="O58" s="7" t="str">
        <f>VLOOKUP(E58,Mapping!$E$11:$I$204,5,0)</f>
        <v>SCS</v>
      </c>
      <c r="Q58" s="32" t="s">
        <v>550</v>
      </c>
      <c r="R58" s="32"/>
      <c r="S58" s="32">
        <v>71000</v>
      </c>
      <c r="T58" s="32" t="s">
        <v>457</v>
      </c>
      <c r="U58" s="33">
        <v>2355.277</v>
      </c>
      <c r="V58" s="7"/>
      <c r="W58" s="7" t="str">
        <f>VLOOKUP($Q58,Mapping!$E$11:$I$204,3,0)</f>
        <v>Connections</v>
      </c>
      <c r="X58" s="7" t="str">
        <f>IFERROR(VLOOKUP($S58,Mapping!$E$208:$K$236,5,0),"Contracts")</f>
        <v>Labour</v>
      </c>
      <c r="Y58" s="7" t="str">
        <f>IFERROR(VLOOKUP($S58,Mapping!$E$208:$K$236,7,0),"ENDirect")</f>
        <v>ENDirect</v>
      </c>
      <c r="Z58" s="7" t="str">
        <f>IFERROR(HLOOKUP(X58,'Calc|Weightings'!$U$5:$W$5,1,0),"Excl")</f>
        <v>Labour</v>
      </c>
      <c r="AA58" s="7" t="str">
        <f>VLOOKUP(Q58,Mapping!$E$11:$I$204,5,0)</f>
        <v>SCS</v>
      </c>
      <c r="AC58" s="35" t="s">
        <v>226</v>
      </c>
      <c r="AD58" s="35"/>
      <c r="AE58" s="35">
        <v>72360</v>
      </c>
      <c r="AF58" s="35" t="s">
        <v>480</v>
      </c>
      <c r="AG58" s="36">
        <v>0</v>
      </c>
      <c r="AI58" s="7" t="str">
        <f>VLOOKUP($AC58,Mapping!$E$11:$I$204,3,0)</f>
        <v>Replacement</v>
      </c>
      <c r="AJ58" s="7" t="str">
        <f>IFERROR(VLOOKUP($AE58,Mapping!$E$208:$K$236,5,0),"Contracts")</f>
        <v>Contracts</v>
      </c>
      <c r="AK58" s="7" t="str">
        <f>IFERROR(VLOOKUP($AE58,Mapping!$E$208:$K$236,7,0),"ENDirect")</f>
        <v>ENDirect</v>
      </c>
      <c r="AL58" s="7" t="str">
        <f>IFERROR(HLOOKUP(AJ58,'Calc|Weightings'!$U$5:$W$5,1,0),"Excl")</f>
        <v>Contracts</v>
      </c>
      <c r="AM58" s="7" t="str">
        <f>VLOOKUP(AC58,Mapping!$E$11:$I$204,5,0)</f>
        <v>SCS</v>
      </c>
      <c r="AO58" s="35" t="s">
        <v>550</v>
      </c>
      <c r="AP58" s="35"/>
      <c r="AQ58" s="35">
        <v>71070</v>
      </c>
      <c r="AR58" s="35" t="s">
        <v>586</v>
      </c>
      <c r="AS58" s="121">
        <v>2994.6973899999966</v>
      </c>
      <c r="AU58" s="7" t="str">
        <f>VLOOKUP($AO58,Mapping!$E$11:$I$204,3,0)</f>
        <v>Connections</v>
      </c>
      <c r="AV58" s="7" t="str">
        <f>IFERROR(VLOOKUP($AQ58,Mapping!$E$208:$K$236,5,0),"Contracts")</f>
        <v>Contracts</v>
      </c>
      <c r="AW58" s="7" t="str">
        <f>IFERROR(VLOOKUP($AQ58,Mapping!$E$208:$K$236,7,0),"ENDirect")</f>
        <v>ENDirect</v>
      </c>
      <c r="AX58" s="7" t="str">
        <f>IFERROR(HLOOKUP(AV58,'Calc|Weightings'!$U$5:$W$5,1,0),"Excl")</f>
        <v>Contracts</v>
      </c>
      <c r="AY58" s="7" t="str">
        <f>VLOOKUP(AO58,Mapping!$E$11:$I$204,5,0)</f>
        <v>SCS</v>
      </c>
    </row>
    <row r="59" spans="1:51" x14ac:dyDescent="0.3">
      <c r="A59" s="7"/>
      <c r="B59" s="7"/>
      <c r="C59" s="7"/>
      <c r="D59" s="7"/>
      <c r="E59" s="32" t="s">
        <v>126</v>
      </c>
      <c r="F59" s="32"/>
      <c r="G59" s="32">
        <v>71040</v>
      </c>
      <c r="H59" s="32" t="s">
        <v>460</v>
      </c>
      <c r="I59" s="33">
        <v>-75.739000000000004</v>
      </c>
      <c r="J59" s="170"/>
      <c r="K59" s="7" t="str">
        <f>VLOOKUP($E59,Mapping!$E$11:$I$204,3,0)</f>
        <v>Augmentation</v>
      </c>
      <c r="L59" s="7" t="str">
        <f>IFERROR(VLOOKUP($G59,Mapping!$E$208:$K$236,5,0),"Contracts")</f>
        <v>Contracts</v>
      </c>
      <c r="M59" s="7" t="str">
        <f>IFERROR(VLOOKUP($G59,Mapping!$E$208:$K$236,7,0),"ENDirect")</f>
        <v>ENDirect</v>
      </c>
      <c r="N59" s="7" t="str">
        <f>IFERROR(HLOOKUP(L59,'Calc|Weightings'!$U$5:$W$5,1,0),"Excl")</f>
        <v>Contracts</v>
      </c>
      <c r="O59" s="7" t="str">
        <f>VLOOKUP(E59,Mapping!$E$11:$I$204,5,0)</f>
        <v>SCS</v>
      </c>
      <c r="Q59" s="32" t="s">
        <v>550</v>
      </c>
      <c r="R59" s="32"/>
      <c r="S59" s="32">
        <v>71010</v>
      </c>
      <c r="T59" s="32" t="s">
        <v>462</v>
      </c>
      <c r="U59" s="33">
        <v>1935.329</v>
      </c>
      <c r="V59" s="7"/>
      <c r="W59" s="7" t="str">
        <f>VLOOKUP($Q59,Mapping!$E$11:$I$204,3,0)</f>
        <v>Connections</v>
      </c>
      <c r="X59" s="7" t="str">
        <f>IFERROR(VLOOKUP($S59,Mapping!$E$208:$K$236,5,0),"Contracts")</f>
        <v>Labour</v>
      </c>
      <c r="Y59" s="7" t="str">
        <f>IFERROR(VLOOKUP($S59,Mapping!$E$208:$K$236,7,0),"ENDirect")</f>
        <v>ENDirect</v>
      </c>
      <c r="Z59" s="7" t="str">
        <f>IFERROR(HLOOKUP(X59,'Calc|Weightings'!$U$5:$W$5,1,0),"Excl")</f>
        <v>Labour</v>
      </c>
      <c r="AA59" s="7" t="str">
        <f>VLOOKUP(Q59,Mapping!$E$11:$I$204,5,0)</f>
        <v>SCS</v>
      </c>
      <c r="AC59" s="35" t="s">
        <v>226</v>
      </c>
      <c r="AD59" s="35"/>
      <c r="AE59" s="35">
        <v>71010</v>
      </c>
      <c r="AF59" s="35" t="s">
        <v>462</v>
      </c>
      <c r="AG59" s="36">
        <v>-1.2030000000000001</v>
      </c>
      <c r="AI59" s="7" t="str">
        <f>VLOOKUP($AC59,Mapping!$E$11:$I$204,3,0)</f>
        <v>Replacement</v>
      </c>
      <c r="AJ59" s="7" t="str">
        <f>IFERROR(VLOOKUP($AE59,Mapping!$E$208:$K$236,5,0),"Contracts")</f>
        <v>Labour</v>
      </c>
      <c r="AK59" s="7" t="str">
        <f>IFERROR(VLOOKUP($AE59,Mapping!$E$208:$K$236,7,0),"ENDirect")</f>
        <v>ENDirect</v>
      </c>
      <c r="AL59" s="7" t="str">
        <f>IFERROR(HLOOKUP(AJ59,'Calc|Weightings'!$U$5:$W$5,1,0),"Excl")</f>
        <v>Labour</v>
      </c>
      <c r="AM59" s="7" t="str">
        <f>VLOOKUP(AC59,Mapping!$E$11:$I$204,5,0)</f>
        <v>SCS</v>
      </c>
      <c r="AO59" s="35" t="s">
        <v>550</v>
      </c>
      <c r="AP59" s="35"/>
      <c r="AQ59" s="35">
        <v>71075</v>
      </c>
      <c r="AR59" s="35" t="s">
        <v>587</v>
      </c>
      <c r="AS59" s="121">
        <v>355.27561000000009</v>
      </c>
      <c r="AU59" s="7" t="str">
        <f>VLOOKUP($AO59,Mapping!$E$11:$I$204,3,0)</f>
        <v>Connections</v>
      </c>
      <c r="AV59" s="7" t="str">
        <f>IFERROR(VLOOKUP($AQ59,Mapping!$E$208:$K$236,5,0),"Contracts")</f>
        <v>Contracts</v>
      </c>
      <c r="AW59" s="7" t="str">
        <f>IFERROR(VLOOKUP($AQ59,Mapping!$E$208:$K$236,7,0),"ENDirect")</f>
        <v>ENDirect</v>
      </c>
      <c r="AX59" s="7" t="str">
        <f>IFERROR(HLOOKUP(AV59,'Calc|Weightings'!$U$5:$W$5,1,0),"Excl")</f>
        <v>Contracts</v>
      </c>
      <c r="AY59" s="7" t="str">
        <f>VLOOKUP(AO59,Mapping!$E$11:$I$204,5,0)</f>
        <v>SCS</v>
      </c>
    </row>
    <row r="60" spans="1:51" x14ac:dyDescent="0.3">
      <c r="A60" s="7"/>
      <c r="B60" s="7"/>
      <c r="C60" s="7"/>
      <c r="D60" s="7"/>
      <c r="E60" s="32" t="s">
        <v>126</v>
      </c>
      <c r="F60" s="32"/>
      <c r="G60" s="32">
        <v>71055</v>
      </c>
      <c r="H60" s="32" t="s">
        <v>465</v>
      </c>
      <c r="I60" s="33">
        <v>12.489000000000001</v>
      </c>
      <c r="J60" s="170"/>
      <c r="K60" s="7" t="str">
        <f>VLOOKUP($E60,Mapping!$E$11:$I$204,3,0)</f>
        <v>Augmentation</v>
      </c>
      <c r="L60" s="7" t="str">
        <f>IFERROR(VLOOKUP($G60,Mapping!$E$208:$K$236,5,0),"Contracts")</f>
        <v>Contracts</v>
      </c>
      <c r="M60" s="7" t="str">
        <f>IFERROR(VLOOKUP($G60,Mapping!$E$208:$K$236,7,0),"ENDirect")</f>
        <v>ENDirect</v>
      </c>
      <c r="N60" s="7" t="str">
        <f>IFERROR(HLOOKUP(L60,'Calc|Weightings'!$U$5:$W$5,1,0),"Excl")</f>
        <v>Contracts</v>
      </c>
      <c r="O60" s="7" t="str">
        <f>VLOOKUP(E60,Mapping!$E$11:$I$204,5,0)</f>
        <v>SCS</v>
      </c>
      <c r="Q60" s="32" t="s">
        <v>550</v>
      </c>
      <c r="R60" s="32"/>
      <c r="S60" s="32">
        <v>71030</v>
      </c>
      <c r="T60" s="32" t="s">
        <v>464</v>
      </c>
      <c r="U60" s="33">
        <v>474.93099999999998</v>
      </c>
      <c r="V60" s="7"/>
      <c r="W60" s="7" t="str">
        <f>VLOOKUP($Q60,Mapping!$E$11:$I$204,3,0)</f>
        <v>Connections</v>
      </c>
      <c r="X60" s="7" t="str">
        <f>IFERROR(VLOOKUP($S60,Mapping!$E$208:$K$236,5,0),"Contracts")</f>
        <v>Contracts</v>
      </c>
      <c r="Y60" s="7" t="str">
        <f>IFERROR(VLOOKUP($S60,Mapping!$E$208:$K$236,7,0),"ENDirect")</f>
        <v>ENDirect</v>
      </c>
      <c r="Z60" s="7" t="str">
        <f>IFERROR(HLOOKUP(X60,'Calc|Weightings'!$U$5:$W$5,1,0),"Excl")</f>
        <v>Contracts</v>
      </c>
      <c r="AA60" s="7" t="str">
        <f>VLOOKUP(Q60,Mapping!$E$11:$I$204,5,0)</f>
        <v>SCS</v>
      </c>
      <c r="AC60" s="35" t="s">
        <v>226</v>
      </c>
      <c r="AD60" s="35"/>
      <c r="AE60" s="35">
        <v>71015</v>
      </c>
      <c r="AF60" s="35" t="s">
        <v>463</v>
      </c>
      <c r="AG60" s="36">
        <v>-0.193</v>
      </c>
      <c r="AI60" s="7" t="str">
        <f>VLOOKUP($AC60,Mapping!$E$11:$I$204,3,0)</f>
        <v>Replacement</v>
      </c>
      <c r="AJ60" s="7" t="str">
        <f>IFERROR(VLOOKUP($AE60,Mapping!$E$208:$K$236,5,0),"Contracts")</f>
        <v>Materials</v>
      </c>
      <c r="AK60" s="7" t="str">
        <f>IFERROR(VLOOKUP($AE60,Mapping!$E$208:$K$236,7,0),"ENDirect")</f>
        <v>ENDirect</v>
      </c>
      <c r="AL60" s="7" t="str">
        <f>IFERROR(HLOOKUP(AJ60,'Calc|Weightings'!$U$5:$W$5,1,0),"Excl")</f>
        <v>Materials</v>
      </c>
      <c r="AM60" s="7" t="str">
        <f>VLOOKUP(AC60,Mapping!$E$11:$I$204,5,0)</f>
        <v>SCS</v>
      </c>
      <c r="AO60" s="35" t="s">
        <v>550</v>
      </c>
      <c r="AP60" s="35"/>
      <c r="AQ60" s="35">
        <v>72345</v>
      </c>
      <c r="AR60" s="35" t="s">
        <v>588</v>
      </c>
      <c r="AS60" s="121">
        <v>724.17499999999995</v>
      </c>
      <c r="AU60" s="7" t="str">
        <f>VLOOKUP($AO60,Mapping!$E$11:$I$204,3,0)</f>
        <v>Connections</v>
      </c>
      <c r="AV60" s="7" t="str">
        <f>IFERROR(VLOOKUP($AQ60,Mapping!$E$208:$K$236,5,0),"Contracts")</f>
        <v>Contracts</v>
      </c>
      <c r="AW60" s="7" t="str">
        <f>IFERROR(VLOOKUP($AQ60,Mapping!$E$208:$K$236,7,0),"ENDirect")</f>
        <v>ENDirect</v>
      </c>
      <c r="AX60" s="7" t="str">
        <f>IFERROR(HLOOKUP(AV60,'Calc|Weightings'!$U$5:$W$5,1,0),"Excl")</f>
        <v>Contracts</v>
      </c>
      <c r="AY60" s="7" t="str">
        <f>VLOOKUP(AO60,Mapping!$E$11:$I$204,5,0)</f>
        <v>SCS</v>
      </c>
    </row>
    <row r="61" spans="1:51" x14ac:dyDescent="0.3">
      <c r="A61" s="7"/>
      <c r="B61" s="7"/>
      <c r="C61" s="7"/>
      <c r="D61" s="7"/>
      <c r="E61" s="32" t="s">
        <v>126</v>
      </c>
      <c r="F61" s="32"/>
      <c r="G61" s="32">
        <v>80000</v>
      </c>
      <c r="H61" s="32" t="s">
        <v>453</v>
      </c>
      <c r="I61" s="33">
        <v>455.53500000000003</v>
      </c>
      <c r="J61" s="170"/>
      <c r="K61" s="7" t="str">
        <f>VLOOKUP($E61,Mapping!$E$11:$I$204,3,0)</f>
        <v>Augmentation</v>
      </c>
      <c r="L61" s="7" t="str">
        <f>IFERROR(VLOOKUP($G61,Mapping!$E$208:$K$236,5,0),"Contracts")</f>
        <v>Overhead</v>
      </c>
      <c r="M61" s="7" t="str">
        <f>IFERROR(VLOOKUP($G61,Mapping!$E$208:$K$236,7,0),"ENDirect")</f>
        <v>OH</v>
      </c>
      <c r="N61" s="7" t="str">
        <f>IFERROR(HLOOKUP(L61,'Calc|Weightings'!$U$5:$W$5,1,0),"Excl")</f>
        <v>Excl</v>
      </c>
      <c r="O61" s="7" t="str">
        <f>VLOOKUP(E61,Mapping!$E$11:$I$204,5,0)</f>
        <v>SCS</v>
      </c>
      <c r="Q61" s="32" t="s">
        <v>550</v>
      </c>
      <c r="R61" s="32"/>
      <c r="S61" s="32">
        <v>71055</v>
      </c>
      <c r="T61" s="32" t="s">
        <v>465</v>
      </c>
      <c r="U61" s="33">
        <v>1037.288</v>
      </c>
      <c r="V61" s="7"/>
      <c r="W61" s="7" t="str">
        <f>VLOOKUP($Q61,Mapping!$E$11:$I$204,3,0)</f>
        <v>Connections</v>
      </c>
      <c r="X61" s="7" t="str">
        <f>IFERROR(VLOOKUP($S61,Mapping!$E$208:$K$236,5,0),"Contracts")</f>
        <v>Contracts</v>
      </c>
      <c r="Y61" s="7" t="str">
        <f>IFERROR(VLOOKUP($S61,Mapping!$E$208:$K$236,7,0),"ENDirect")</f>
        <v>ENDirect</v>
      </c>
      <c r="Z61" s="7" t="str">
        <f>IFERROR(HLOOKUP(X61,'Calc|Weightings'!$U$5:$W$5,1,0),"Excl")</f>
        <v>Contracts</v>
      </c>
      <c r="AA61" s="7" t="str">
        <f>VLOOKUP(Q61,Mapping!$E$11:$I$204,5,0)</f>
        <v>SCS</v>
      </c>
      <c r="AC61" s="35" t="s">
        <v>226</v>
      </c>
      <c r="AD61" s="35"/>
      <c r="AE61" s="35">
        <v>71020</v>
      </c>
      <c r="AF61" s="35" t="s">
        <v>459</v>
      </c>
      <c r="AG61" s="36">
        <v>0.55800000000000005</v>
      </c>
      <c r="AI61" s="7" t="str">
        <f>VLOOKUP($AC61,Mapping!$E$11:$I$204,3,0)</f>
        <v>Replacement</v>
      </c>
      <c r="AJ61" s="7" t="str">
        <f>IFERROR(VLOOKUP($AE61,Mapping!$E$208:$K$236,5,0),"Contracts")</f>
        <v>Contracts</v>
      </c>
      <c r="AK61" s="7" t="str">
        <f>IFERROR(VLOOKUP($AE61,Mapping!$E$208:$K$236,7,0),"ENDirect")</f>
        <v>ENDirect</v>
      </c>
      <c r="AL61" s="7" t="str">
        <f>IFERROR(HLOOKUP(AJ61,'Calc|Weightings'!$U$5:$W$5,1,0),"Excl")</f>
        <v>Contracts</v>
      </c>
      <c r="AM61" s="7" t="str">
        <f>VLOOKUP(AC61,Mapping!$E$11:$I$204,5,0)</f>
        <v>SCS</v>
      </c>
      <c r="AO61" s="35" t="s">
        <v>550</v>
      </c>
      <c r="AP61" s="35"/>
      <c r="AQ61" s="35">
        <v>80000</v>
      </c>
      <c r="AR61" s="35" t="s">
        <v>589</v>
      </c>
      <c r="AS61" s="121">
        <v>1006.7479999999999</v>
      </c>
      <c r="AU61" s="7" t="str">
        <f>VLOOKUP($AO61,Mapping!$E$11:$I$204,3,0)</f>
        <v>Connections</v>
      </c>
      <c r="AV61" s="7" t="str">
        <f>IFERROR(VLOOKUP($AQ61,Mapping!$E$208:$K$236,5,0),"Contracts")</f>
        <v>Overhead</v>
      </c>
      <c r="AW61" s="7" t="str">
        <f>IFERROR(VLOOKUP($AQ61,Mapping!$E$208:$K$236,7,0),"ENDirect")</f>
        <v>OH</v>
      </c>
      <c r="AX61" s="7" t="str">
        <f>IFERROR(HLOOKUP(AV61,'Calc|Weightings'!$U$5:$W$5,1,0),"Excl")</f>
        <v>Excl</v>
      </c>
      <c r="AY61" s="7" t="str">
        <f>VLOOKUP(AO61,Mapping!$E$11:$I$204,5,0)</f>
        <v>SCS</v>
      </c>
    </row>
    <row r="62" spans="1:51" x14ac:dyDescent="0.3">
      <c r="A62" s="7"/>
      <c r="B62" s="7"/>
      <c r="C62" s="7"/>
      <c r="D62" s="7"/>
      <c r="E62" s="32" t="s">
        <v>546</v>
      </c>
      <c r="F62" s="32"/>
      <c r="G62" s="32">
        <v>71000</v>
      </c>
      <c r="H62" s="32" t="s">
        <v>457</v>
      </c>
      <c r="I62" s="33">
        <v>588.07600000000002</v>
      </c>
      <c r="J62" s="170"/>
      <c r="K62" s="7" t="str">
        <f>VLOOKUP($E62,Mapping!$E$11:$I$204,3,0)</f>
        <v>Connections</v>
      </c>
      <c r="L62" s="7" t="str">
        <f>IFERROR(VLOOKUP($G62,Mapping!$E$208:$K$236,5,0),"Contracts")</f>
        <v>Labour</v>
      </c>
      <c r="M62" s="7" t="str">
        <f>IFERROR(VLOOKUP($G62,Mapping!$E$208:$K$236,7,0),"ENDirect")</f>
        <v>ENDirect</v>
      </c>
      <c r="N62" s="7" t="str">
        <f>IFERROR(HLOOKUP(L62,'Calc|Weightings'!$U$5:$W$5,1,0),"Excl")</f>
        <v>Labour</v>
      </c>
      <c r="O62" s="7" t="str">
        <f>VLOOKUP(E62,Mapping!$E$11:$I$204,5,0)</f>
        <v>SCS</v>
      </c>
      <c r="Q62" s="32" t="s">
        <v>550</v>
      </c>
      <c r="R62" s="32"/>
      <c r="S62" s="32">
        <v>80000</v>
      </c>
      <c r="T62" s="32" t="s">
        <v>453</v>
      </c>
      <c r="U62" s="33">
        <v>1260.9839999999999</v>
      </c>
      <c r="V62" s="7"/>
      <c r="W62" s="7" t="str">
        <f>VLOOKUP($Q62,Mapping!$E$11:$I$204,3,0)</f>
        <v>Connections</v>
      </c>
      <c r="X62" s="7" t="str">
        <f>IFERROR(VLOOKUP($S62,Mapping!$E$208:$K$236,5,0),"Contracts")</f>
        <v>Overhead</v>
      </c>
      <c r="Y62" s="7" t="str">
        <f>IFERROR(VLOOKUP($S62,Mapping!$E$208:$K$236,7,0),"ENDirect")</f>
        <v>OH</v>
      </c>
      <c r="Z62" s="7" t="str">
        <f>IFERROR(HLOOKUP(X62,'Calc|Weightings'!$U$5:$W$5,1,0),"Excl")</f>
        <v>Excl</v>
      </c>
      <c r="AA62" s="7" t="str">
        <f>VLOOKUP(Q62,Mapping!$E$11:$I$204,5,0)</f>
        <v>SCS</v>
      </c>
      <c r="AC62" s="35" t="s">
        <v>226</v>
      </c>
      <c r="AD62" s="35"/>
      <c r="AE62" s="35">
        <v>71040</v>
      </c>
      <c r="AF62" s="35" t="s">
        <v>460</v>
      </c>
      <c r="AG62" s="36">
        <v>0</v>
      </c>
      <c r="AI62" s="7" t="str">
        <f>VLOOKUP($AC62,Mapping!$E$11:$I$204,3,0)</f>
        <v>Replacement</v>
      </c>
      <c r="AJ62" s="7" t="str">
        <f>IFERROR(VLOOKUP($AE62,Mapping!$E$208:$K$236,5,0),"Contracts")</f>
        <v>Contracts</v>
      </c>
      <c r="AK62" s="7" t="str">
        <f>IFERROR(VLOOKUP($AE62,Mapping!$E$208:$K$236,7,0),"ENDirect")</f>
        <v>ENDirect</v>
      </c>
      <c r="AL62" s="7" t="str">
        <f>IFERROR(HLOOKUP(AJ62,'Calc|Weightings'!$U$5:$W$5,1,0),"Excl")</f>
        <v>Contracts</v>
      </c>
      <c r="AM62" s="7" t="str">
        <f>VLOOKUP(AC62,Mapping!$E$11:$I$204,5,0)</f>
        <v>SCS</v>
      </c>
      <c r="AO62" s="35" t="s">
        <v>551</v>
      </c>
      <c r="AP62" s="35"/>
      <c r="AQ62" s="35">
        <v>71000</v>
      </c>
      <c r="AR62" s="35" t="s">
        <v>457</v>
      </c>
      <c r="AS62" s="121">
        <v>62.690499999999979</v>
      </c>
      <c r="AU62" s="7" t="str">
        <f>VLOOKUP($AO62,Mapping!$E$11:$I$204,3,0)</f>
        <v>Connections</v>
      </c>
      <c r="AV62" s="7" t="str">
        <f>IFERROR(VLOOKUP($AQ62,Mapping!$E$208:$K$236,5,0),"Contracts")</f>
        <v>Labour</v>
      </c>
      <c r="AW62" s="7" t="str">
        <f>IFERROR(VLOOKUP($AQ62,Mapping!$E$208:$K$236,7,0),"ENDirect")</f>
        <v>ENDirect</v>
      </c>
      <c r="AX62" s="7" t="str">
        <f>IFERROR(HLOOKUP(AV62,'Calc|Weightings'!$U$5:$W$5,1,0),"Excl")</f>
        <v>Labour</v>
      </c>
      <c r="AY62" s="7" t="str">
        <f>VLOOKUP(AO62,Mapping!$E$11:$I$204,5,0)</f>
        <v>SCS</v>
      </c>
    </row>
    <row r="63" spans="1:51" x14ac:dyDescent="0.3">
      <c r="A63" s="7"/>
      <c r="B63" s="7"/>
      <c r="C63" s="7"/>
      <c r="D63" s="7"/>
      <c r="E63" s="32" t="s">
        <v>546</v>
      </c>
      <c r="F63" s="32"/>
      <c r="G63" s="32">
        <v>71010</v>
      </c>
      <c r="H63" s="32" t="s">
        <v>462</v>
      </c>
      <c r="I63" s="33">
        <v>241.006</v>
      </c>
      <c r="J63" s="170"/>
      <c r="K63" s="7" t="str">
        <f>VLOOKUP($E63,Mapping!$E$11:$I$204,3,0)</f>
        <v>Connections</v>
      </c>
      <c r="L63" s="7" t="str">
        <f>IFERROR(VLOOKUP($G63,Mapping!$E$208:$K$236,5,0),"Contracts")</f>
        <v>Labour</v>
      </c>
      <c r="M63" s="7" t="str">
        <f>IFERROR(VLOOKUP($G63,Mapping!$E$208:$K$236,7,0),"ENDirect")</f>
        <v>ENDirect</v>
      </c>
      <c r="N63" s="7" t="str">
        <f>IFERROR(HLOOKUP(L63,'Calc|Weightings'!$U$5:$W$5,1,0),"Excl")</f>
        <v>Labour</v>
      </c>
      <c r="O63" s="7" t="str">
        <f>VLOOKUP(E63,Mapping!$E$11:$I$204,5,0)</f>
        <v>SCS</v>
      </c>
      <c r="Q63" s="32" t="s">
        <v>115</v>
      </c>
      <c r="R63" s="32"/>
      <c r="S63" s="32">
        <v>71000</v>
      </c>
      <c r="T63" s="32" t="s">
        <v>457</v>
      </c>
      <c r="U63" s="33">
        <v>109.039</v>
      </c>
      <c r="V63" s="7"/>
      <c r="W63" s="7" t="str">
        <f>VLOOKUP($Q63,Mapping!$E$11:$I$204,3,0)</f>
        <v>Connections</v>
      </c>
      <c r="X63" s="7" t="str">
        <f>IFERROR(VLOOKUP($S63,Mapping!$E$208:$K$236,5,0),"Contracts")</f>
        <v>Labour</v>
      </c>
      <c r="Y63" s="7" t="str">
        <f>IFERROR(VLOOKUP($S63,Mapping!$E$208:$K$236,7,0),"ENDirect")</f>
        <v>ENDirect</v>
      </c>
      <c r="Z63" s="7" t="str">
        <f>IFERROR(HLOOKUP(X63,'Calc|Weightings'!$U$5:$W$5,1,0),"Excl")</f>
        <v>Labour</v>
      </c>
      <c r="AA63" s="7" t="str">
        <f>VLOOKUP(Q63,Mapping!$E$11:$I$204,5,0)</f>
        <v>SCS</v>
      </c>
      <c r="AC63" s="35" t="s">
        <v>226</v>
      </c>
      <c r="AD63" s="35"/>
      <c r="AE63" s="35">
        <v>80000</v>
      </c>
      <c r="AF63" s="35" t="s">
        <v>453</v>
      </c>
      <c r="AG63" s="36">
        <v>-0.47</v>
      </c>
      <c r="AI63" s="7" t="str">
        <f>VLOOKUP($AC63,Mapping!$E$11:$I$204,3,0)</f>
        <v>Replacement</v>
      </c>
      <c r="AJ63" s="7" t="str">
        <f>IFERROR(VLOOKUP($AE63,Mapping!$E$208:$K$236,5,0),"Contracts")</f>
        <v>Overhead</v>
      </c>
      <c r="AK63" s="7" t="str">
        <f>IFERROR(VLOOKUP($AE63,Mapping!$E$208:$K$236,7,0),"ENDirect")</f>
        <v>OH</v>
      </c>
      <c r="AL63" s="7" t="str">
        <f>IFERROR(HLOOKUP(AJ63,'Calc|Weightings'!$U$5:$W$5,1,0),"Excl")</f>
        <v>Excl</v>
      </c>
      <c r="AM63" s="7" t="str">
        <f>VLOOKUP(AC63,Mapping!$E$11:$I$204,5,0)</f>
        <v>SCS</v>
      </c>
      <c r="AO63" s="35" t="s">
        <v>551</v>
      </c>
      <c r="AP63" s="35"/>
      <c r="AQ63" s="35">
        <v>71005</v>
      </c>
      <c r="AR63" s="35" t="s">
        <v>461</v>
      </c>
      <c r="AS63" s="121">
        <v>19.346660000000004</v>
      </c>
      <c r="AU63" s="7" t="str">
        <f>VLOOKUP($AO63,Mapping!$E$11:$I$204,3,0)</f>
        <v>Connections</v>
      </c>
      <c r="AV63" s="7" t="str">
        <f>IFERROR(VLOOKUP($AQ63,Mapping!$E$208:$K$236,5,0),"Contracts")</f>
        <v>Materials</v>
      </c>
      <c r="AW63" s="7" t="str">
        <f>IFERROR(VLOOKUP($AQ63,Mapping!$E$208:$K$236,7,0),"ENDirect")</f>
        <v>ENDirect</v>
      </c>
      <c r="AX63" s="7" t="str">
        <f>IFERROR(HLOOKUP(AV63,'Calc|Weightings'!$U$5:$W$5,1,0),"Excl")</f>
        <v>Materials</v>
      </c>
      <c r="AY63" s="7" t="str">
        <f>VLOOKUP(AO63,Mapping!$E$11:$I$204,5,0)</f>
        <v>SCS</v>
      </c>
    </row>
    <row r="64" spans="1:51" x14ac:dyDescent="0.3">
      <c r="A64" s="7"/>
      <c r="B64" s="7"/>
      <c r="C64" s="7"/>
      <c r="D64" s="7"/>
      <c r="E64" s="32" t="s">
        <v>546</v>
      </c>
      <c r="F64" s="32"/>
      <c r="G64" s="32">
        <v>71030</v>
      </c>
      <c r="H64" s="32" t="s">
        <v>464</v>
      </c>
      <c r="I64" s="33">
        <v>71.094999999999999</v>
      </c>
      <c r="J64" s="170"/>
      <c r="K64" s="7" t="str">
        <f>VLOOKUP($E64,Mapping!$E$11:$I$204,3,0)</f>
        <v>Connections</v>
      </c>
      <c r="L64" s="7" t="str">
        <f>IFERROR(VLOOKUP($G64,Mapping!$E$208:$K$236,5,0),"Contracts")</f>
        <v>Contracts</v>
      </c>
      <c r="M64" s="7" t="str">
        <f>IFERROR(VLOOKUP($G64,Mapping!$E$208:$K$236,7,0),"ENDirect")</f>
        <v>ENDirect</v>
      </c>
      <c r="N64" s="7" t="str">
        <f>IFERROR(HLOOKUP(L64,'Calc|Weightings'!$U$5:$W$5,1,0),"Excl")</f>
        <v>Contracts</v>
      </c>
      <c r="O64" s="7" t="str">
        <f>VLOOKUP(E64,Mapping!$E$11:$I$204,5,0)</f>
        <v>SCS</v>
      </c>
      <c r="Q64" s="32" t="s">
        <v>115</v>
      </c>
      <c r="R64" s="32"/>
      <c r="S64" s="32">
        <v>71005</v>
      </c>
      <c r="T64" s="32" t="s">
        <v>461</v>
      </c>
      <c r="U64" s="33">
        <v>37.283000000000001</v>
      </c>
      <c r="V64" s="7"/>
      <c r="W64" s="7" t="str">
        <f>VLOOKUP($Q64,Mapping!$E$11:$I$204,3,0)</f>
        <v>Connections</v>
      </c>
      <c r="X64" s="7" t="str">
        <f>IFERROR(VLOOKUP($S64,Mapping!$E$208:$K$236,5,0),"Contracts")</f>
        <v>Materials</v>
      </c>
      <c r="Y64" s="7" t="str">
        <f>IFERROR(VLOOKUP($S64,Mapping!$E$208:$K$236,7,0),"ENDirect")</f>
        <v>ENDirect</v>
      </c>
      <c r="Z64" s="7" t="str">
        <f>IFERROR(HLOOKUP(X64,'Calc|Weightings'!$U$5:$W$5,1,0),"Excl")</f>
        <v>Materials</v>
      </c>
      <c r="AA64" s="7" t="str">
        <f>VLOOKUP(Q64,Mapping!$E$11:$I$204,5,0)</f>
        <v>SCS</v>
      </c>
      <c r="AC64" s="35" t="s">
        <v>122</v>
      </c>
      <c r="AD64" s="35"/>
      <c r="AE64" s="35">
        <v>70815</v>
      </c>
      <c r="AF64" s="35" t="s">
        <v>451</v>
      </c>
      <c r="AG64" s="36">
        <v>20.675999999999998</v>
      </c>
      <c r="AI64" s="7" t="str">
        <f>VLOOKUP($AC64,Mapping!$E$11:$I$204,3,0)</f>
        <v>Augmentation</v>
      </c>
      <c r="AJ64" s="7" t="str">
        <f>IFERROR(VLOOKUP($AE64,Mapping!$E$208:$K$236,5,0),"Contracts")</f>
        <v>Materials</v>
      </c>
      <c r="AK64" s="7" t="str">
        <f>IFERROR(VLOOKUP($AE64,Mapping!$E$208:$K$236,7,0),"ENDirect")</f>
        <v>ENDirect</v>
      </c>
      <c r="AL64" s="7" t="str">
        <f>IFERROR(HLOOKUP(AJ64,'Calc|Weightings'!$U$5:$W$5,1,0),"Excl")</f>
        <v>Materials</v>
      </c>
      <c r="AM64" s="7" t="str">
        <f>VLOOKUP(AC64,Mapping!$E$11:$I$204,5,0)</f>
        <v>SCS</v>
      </c>
      <c r="AO64" s="35" t="s">
        <v>551</v>
      </c>
      <c r="AP64" s="35"/>
      <c r="AQ64" s="35">
        <v>71006</v>
      </c>
      <c r="AR64" s="35" t="s">
        <v>468</v>
      </c>
      <c r="AS64" s="121">
        <v>140.37899999999999</v>
      </c>
      <c r="AU64" s="7" t="str">
        <f>VLOOKUP($AO64,Mapping!$E$11:$I$204,3,0)</f>
        <v>Connections</v>
      </c>
      <c r="AV64" s="7" t="str">
        <f>IFERROR(VLOOKUP($AQ64,Mapping!$E$208:$K$236,5,0),"Contracts")</f>
        <v>Materials</v>
      </c>
      <c r="AW64" s="7" t="str">
        <f>IFERROR(VLOOKUP($AQ64,Mapping!$E$208:$K$236,7,0),"ENDirect")</f>
        <v>ENDirect</v>
      </c>
      <c r="AX64" s="7" t="str">
        <f>IFERROR(HLOOKUP(AV64,'Calc|Weightings'!$U$5:$W$5,1,0),"Excl")</f>
        <v>Materials</v>
      </c>
      <c r="AY64" s="7" t="str">
        <f>VLOOKUP(AO64,Mapping!$E$11:$I$204,5,0)</f>
        <v>SCS</v>
      </c>
    </row>
    <row r="65" spans="1:51" x14ac:dyDescent="0.3">
      <c r="A65" s="7"/>
      <c r="B65" s="7"/>
      <c r="C65" s="7"/>
      <c r="D65" s="7"/>
      <c r="E65" s="32" t="s">
        <v>546</v>
      </c>
      <c r="F65" s="32"/>
      <c r="G65" s="32">
        <v>71055</v>
      </c>
      <c r="H65" s="32" t="s">
        <v>465</v>
      </c>
      <c r="I65" s="33">
        <v>125.63</v>
      </c>
      <c r="J65" s="170"/>
      <c r="K65" s="7" t="str">
        <f>VLOOKUP($E65,Mapping!$E$11:$I$204,3,0)</f>
        <v>Connections</v>
      </c>
      <c r="L65" s="7" t="str">
        <f>IFERROR(VLOOKUP($G65,Mapping!$E$208:$K$236,5,0),"Contracts")</f>
        <v>Contracts</v>
      </c>
      <c r="M65" s="7" t="str">
        <f>IFERROR(VLOOKUP($G65,Mapping!$E$208:$K$236,7,0),"ENDirect")</f>
        <v>ENDirect</v>
      </c>
      <c r="N65" s="7" t="str">
        <f>IFERROR(HLOOKUP(L65,'Calc|Weightings'!$U$5:$W$5,1,0),"Excl")</f>
        <v>Contracts</v>
      </c>
      <c r="O65" s="7" t="str">
        <f>VLOOKUP(E65,Mapping!$E$11:$I$204,5,0)</f>
        <v>SCS</v>
      </c>
      <c r="Q65" s="32" t="s">
        <v>115</v>
      </c>
      <c r="R65" s="32"/>
      <c r="S65" s="32">
        <v>71010</v>
      </c>
      <c r="T65" s="32" t="s">
        <v>462</v>
      </c>
      <c r="U65" s="33">
        <v>29.305</v>
      </c>
      <c r="V65" s="7"/>
      <c r="W65" s="7" t="str">
        <f>VLOOKUP($Q65,Mapping!$E$11:$I$204,3,0)</f>
        <v>Connections</v>
      </c>
      <c r="X65" s="7" t="str">
        <f>IFERROR(VLOOKUP($S65,Mapping!$E$208:$K$236,5,0),"Contracts")</f>
        <v>Labour</v>
      </c>
      <c r="Y65" s="7" t="str">
        <f>IFERROR(VLOOKUP($S65,Mapping!$E$208:$K$236,7,0),"ENDirect")</f>
        <v>ENDirect</v>
      </c>
      <c r="Z65" s="7" t="str">
        <f>IFERROR(HLOOKUP(X65,'Calc|Weightings'!$U$5:$W$5,1,0),"Excl")</f>
        <v>Labour</v>
      </c>
      <c r="AA65" s="7" t="str">
        <f>VLOOKUP(Q65,Mapping!$E$11:$I$204,5,0)</f>
        <v>SCS</v>
      </c>
      <c r="AC65" s="35" t="s">
        <v>122</v>
      </c>
      <c r="AD65" s="35"/>
      <c r="AE65" s="35">
        <v>71000</v>
      </c>
      <c r="AF65" s="35" t="s">
        <v>457</v>
      </c>
      <c r="AG65" s="36">
        <v>1081.258</v>
      </c>
      <c r="AI65" s="7" t="str">
        <f>VLOOKUP($AC65,Mapping!$E$11:$I$204,3,0)</f>
        <v>Augmentation</v>
      </c>
      <c r="AJ65" s="7" t="str">
        <f>IFERROR(VLOOKUP($AE65,Mapping!$E$208:$K$236,5,0),"Contracts")</f>
        <v>Labour</v>
      </c>
      <c r="AK65" s="7" t="str">
        <f>IFERROR(VLOOKUP($AE65,Mapping!$E$208:$K$236,7,0),"ENDirect")</f>
        <v>ENDirect</v>
      </c>
      <c r="AL65" s="7" t="str">
        <f>IFERROR(HLOOKUP(AJ65,'Calc|Weightings'!$U$5:$W$5,1,0),"Excl")</f>
        <v>Labour</v>
      </c>
      <c r="AM65" s="7" t="str">
        <f>VLOOKUP(AC65,Mapping!$E$11:$I$204,5,0)</f>
        <v>SCS</v>
      </c>
      <c r="AO65" s="35" t="s">
        <v>551</v>
      </c>
      <c r="AP65" s="35"/>
      <c r="AQ65" s="35">
        <v>71010</v>
      </c>
      <c r="AR65" s="35" t="s">
        <v>487</v>
      </c>
      <c r="AS65" s="121">
        <v>63.993569999999998</v>
      </c>
      <c r="AU65" s="7" t="str">
        <f>VLOOKUP($AO65,Mapping!$E$11:$I$204,3,0)</f>
        <v>Connections</v>
      </c>
      <c r="AV65" s="7" t="str">
        <f>IFERROR(VLOOKUP($AQ65,Mapping!$E$208:$K$236,5,0),"Contracts")</f>
        <v>Labour</v>
      </c>
      <c r="AW65" s="7" t="str">
        <f>IFERROR(VLOOKUP($AQ65,Mapping!$E$208:$K$236,7,0),"ENDirect")</f>
        <v>ENDirect</v>
      </c>
      <c r="AX65" s="7" t="str">
        <f>IFERROR(HLOOKUP(AV65,'Calc|Weightings'!$U$5:$W$5,1,0),"Excl")</f>
        <v>Labour</v>
      </c>
      <c r="AY65" s="7" t="str">
        <f>VLOOKUP(AO65,Mapping!$E$11:$I$204,5,0)</f>
        <v>SCS</v>
      </c>
    </row>
    <row r="66" spans="1:51" x14ac:dyDescent="0.3">
      <c r="A66" s="7"/>
      <c r="B66" s="7"/>
      <c r="C66" s="7"/>
      <c r="D66" s="7"/>
      <c r="E66" s="32" t="s">
        <v>546</v>
      </c>
      <c r="F66" s="32"/>
      <c r="G66" s="32">
        <v>80000</v>
      </c>
      <c r="H66" s="32" t="s">
        <v>453</v>
      </c>
      <c r="I66" s="33">
        <v>120.349</v>
      </c>
      <c r="J66" s="170"/>
      <c r="K66" s="7" t="str">
        <f>VLOOKUP($E66,Mapping!$E$11:$I$204,3,0)</f>
        <v>Connections</v>
      </c>
      <c r="L66" s="7" t="str">
        <f>IFERROR(VLOOKUP($G66,Mapping!$E$208:$K$236,5,0),"Contracts")</f>
        <v>Overhead</v>
      </c>
      <c r="M66" s="7" t="str">
        <f>IFERROR(VLOOKUP($G66,Mapping!$E$208:$K$236,7,0),"ENDirect")</f>
        <v>OH</v>
      </c>
      <c r="N66" s="7" t="str">
        <f>IFERROR(HLOOKUP(L66,'Calc|Weightings'!$U$5:$W$5,1,0),"Excl")</f>
        <v>Excl</v>
      </c>
      <c r="O66" s="7" t="str">
        <f>VLOOKUP(E66,Mapping!$E$11:$I$204,5,0)</f>
        <v>SCS</v>
      </c>
      <c r="Q66" s="32" t="s">
        <v>115</v>
      </c>
      <c r="R66" s="32"/>
      <c r="S66" s="32">
        <v>71015</v>
      </c>
      <c r="T66" s="32" t="s">
        <v>463</v>
      </c>
      <c r="U66" s="33">
        <v>11.433999999999999</v>
      </c>
      <c r="V66" s="7"/>
      <c r="W66" s="7" t="str">
        <f>VLOOKUP($Q66,Mapping!$E$11:$I$204,3,0)</f>
        <v>Connections</v>
      </c>
      <c r="X66" s="7" t="str">
        <f>IFERROR(VLOOKUP($S66,Mapping!$E$208:$K$236,5,0),"Contracts")</f>
        <v>Materials</v>
      </c>
      <c r="Y66" s="7" t="str">
        <f>IFERROR(VLOOKUP($S66,Mapping!$E$208:$K$236,7,0),"ENDirect")</f>
        <v>ENDirect</v>
      </c>
      <c r="Z66" s="7" t="str">
        <f>IFERROR(HLOOKUP(X66,'Calc|Weightings'!$U$5:$W$5,1,0),"Excl")</f>
        <v>Materials</v>
      </c>
      <c r="AA66" s="7" t="str">
        <f>VLOOKUP(Q66,Mapping!$E$11:$I$204,5,0)</f>
        <v>SCS</v>
      </c>
      <c r="AC66" s="35" t="s">
        <v>122</v>
      </c>
      <c r="AD66" s="35"/>
      <c r="AE66" s="35">
        <v>71030</v>
      </c>
      <c r="AF66" s="35" t="s">
        <v>464</v>
      </c>
      <c r="AG66" s="36">
        <v>147.06700000000001</v>
      </c>
      <c r="AI66" s="7" t="str">
        <f>VLOOKUP($AC66,Mapping!$E$11:$I$204,3,0)</f>
        <v>Augmentation</v>
      </c>
      <c r="AJ66" s="7" t="str">
        <f>IFERROR(VLOOKUP($AE66,Mapping!$E$208:$K$236,5,0),"Contracts")</f>
        <v>Contracts</v>
      </c>
      <c r="AK66" s="7" t="str">
        <f>IFERROR(VLOOKUP($AE66,Mapping!$E$208:$K$236,7,0),"ENDirect")</f>
        <v>ENDirect</v>
      </c>
      <c r="AL66" s="7" t="str">
        <f>IFERROR(HLOOKUP(AJ66,'Calc|Weightings'!$U$5:$W$5,1,0),"Excl")</f>
        <v>Contracts</v>
      </c>
      <c r="AM66" s="7" t="str">
        <f>VLOOKUP(AC66,Mapping!$E$11:$I$204,5,0)</f>
        <v>SCS</v>
      </c>
      <c r="AO66" s="35" t="s">
        <v>551</v>
      </c>
      <c r="AP66" s="35"/>
      <c r="AQ66" s="35">
        <v>71015</v>
      </c>
      <c r="AR66" s="35" t="s">
        <v>585</v>
      </c>
      <c r="AS66" s="121">
        <v>15.278010000000002</v>
      </c>
      <c r="AU66" s="7" t="str">
        <f>VLOOKUP($AO66,Mapping!$E$11:$I$204,3,0)</f>
        <v>Connections</v>
      </c>
      <c r="AV66" s="7" t="str">
        <f>IFERROR(VLOOKUP($AQ66,Mapping!$E$208:$K$236,5,0),"Contracts")</f>
        <v>Materials</v>
      </c>
      <c r="AW66" s="7" t="str">
        <f>IFERROR(VLOOKUP($AQ66,Mapping!$E$208:$K$236,7,0),"ENDirect")</f>
        <v>ENDirect</v>
      </c>
      <c r="AX66" s="7" t="str">
        <f>IFERROR(HLOOKUP(AV66,'Calc|Weightings'!$U$5:$W$5,1,0),"Excl")</f>
        <v>Materials</v>
      </c>
      <c r="AY66" s="7" t="str">
        <f>VLOOKUP(AO66,Mapping!$E$11:$I$204,5,0)</f>
        <v>SCS</v>
      </c>
    </row>
    <row r="67" spans="1:51" x14ac:dyDescent="0.3">
      <c r="A67" s="7"/>
      <c r="B67" s="7"/>
      <c r="C67" s="7"/>
      <c r="D67" s="7"/>
      <c r="E67" s="32" t="s">
        <v>115</v>
      </c>
      <c r="F67" s="32"/>
      <c r="G67" s="32">
        <v>71000</v>
      </c>
      <c r="H67" s="32" t="s">
        <v>457</v>
      </c>
      <c r="I67" s="33">
        <v>259.47199999999998</v>
      </c>
      <c r="J67" s="170"/>
      <c r="K67" s="7" t="str">
        <f>VLOOKUP($E67,Mapping!$E$11:$I$204,3,0)</f>
        <v>Connections</v>
      </c>
      <c r="L67" s="7" t="str">
        <f>IFERROR(VLOOKUP($G67,Mapping!$E$208:$K$236,5,0),"Contracts")</f>
        <v>Labour</v>
      </c>
      <c r="M67" s="7" t="str">
        <f>IFERROR(VLOOKUP($G67,Mapping!$E$208:$K$236,7,0),"ENDirect")</f>
        <v>ENDirect</v>
      </c>
      <c r="N67" s="7" t="str">
        <f>IFERROR(HLOOKUP(L67,'Calc|Weightings'!$U$5:$W$5,1,0),"Excl")</f>
        <v>Labour</v>
      </c>
      <c r="O67" s="7" t="str">
        <f>VLOOKUP(E67,Mapping!$E$11:$I$204,5,0)</f>
        <v>SCS</v>
      </c>
      <c r="Q67" s="32" t="s">
        <v>115</v>
      </c>
      <c r="R67" s="32"/>
      <c r="S67" s="32">
        <v>71030</v>
      </c>
      <c r="T67" s="32" t="s">
        <v>464</v>
      </c>
      <c r="U67" s="33">
        <v>14.914999999999999</v>
      </c>
      <c r="V67" s="7"/>
      <c r="W67" s="7" t="str">
        <f>VLOOKUP($Q67,Mapping!$E$11:$I$204,3,0)</f>
        <v>Connections</v>
      </c>
      <c r="X67" s="7" t="str">
        <f>IFERROR(VLOOKUP($S67,Mapping!$E$208:$K$236,5,0),"Contracts")</f>
        <v>Contracts</v>
      </c>
      <c r="Y67" s="7" t="str">
        <f>IFERROR(VLOOKUP($S67,Mapping!$E$208:$K$236,7,0),"ENDirect")</f>
        <v>ENDirect</v>
      </c>
      <c r="Z67" s="7" t="str">
        <f>IFERROR(HLOOKUP(X67,'Calc|Weightings'!$U$5:$W$5,1,0),"Excl")</f>
        <v>Contracts</v>
      </c>
      <c r="AA67" s="7" t="str">
        <f>VLOOKUP(Q67,Mapping!$E$11:$I$204,5,0)</f>
        <v>SCS</v>
      </c>
      <c r="AC67" s="35" t="s">
        <v>122</v>
      </c>
      <c r="AD67" s="35"/>
      <c r="AE67" s="35">
        <v>71040</v>
      </c>
      <c r="AF67" s="35" t="s">
        <v>460</v>
      </c>
      <c r="AG67" s="36">
        <v>-59.527999999999999</v>
      </c>
      <c r="AI67" s="7" t="str">
        <f>VLOOKUP($AC67,Mapping!$E$11:$I$204,3,0)</f>
        <v>Augmentation</v>
      </c>
      <c r="AJ67" s="7" t="str">
        <f>IFERROR(VLOOKUP($AE67,Mapping!$E$208:$K$236,5,0),"Contracts")</f>
        <v>Contracts</v>
      </c>
      <c r="AK67" s="7" t="str">
        <f>IFERROR(VLOOKUP($AE67,Mapping!$E$208:$K$236,7,0),"ENDirect")</f>
        <v>ENDirect</v>
      </c>
      <c r="AL67" s="7" t="str">
        <f>IFERROR(HLOOKUP(AJ67,'Calc|Weightings'!$U$5:$W$5,1,0),"Excl")</f>
        <v>Contracts</v>
      </c>
      <c r="AM67" s="7" t="str">
        <f>VLOOKUP(AC67,Mapping!$E$11:$I$204,5,0)</f>
        <v>SCS</v>
      </c>
      <c r="AO67" s="35" t="s">
        <v>551</v>
      </c>
      <c r="AP67" s="35"/>
      <c r="AQ67" s="35">
        <v>71030</v>
      </c>
      <c r="AR67" s="35" t="s">
        <v>464</v>
      </c>
      <c r="AS67" s="121">
        <v>14.069229999999994</v>
      </c>
      <c r="AU67" s="7" t="str">
        <f>VLOOKUP($AO67,Mapping!$E$11:$I$204,3,0)</f>
        <v>Connections</v>
      </c>
      <c r="AV67" s="7" t="str">
        <f>IFERROR(VLOOKUP($AQ67,Mapping!$E$208:$K$236,5,0),"Contracts")</f>
        <v>Contracts</v>
      </c>
      <c r="AW67" s="7" t="str">
        <f>IFERROR(VLOOKUP($AQ67,Mapping!$E$208:$K$236,7,0),"ENDirect")</f>
        <v>ENDirect</v>
      </c>
      <c r="AX67" s="7" t="str">
        <f>IFERROR(HLOOKUP(AV67,'Calc|Weightings'!$U$5:$W$5,1,0),"Excl")</f>
        <v>Contracts</v>
      </c>
      <c r="AY67" s="7" t="str">
        <f>VLOOKUP(AO67,Mapping!$E$11:$I$204,5,0)</f>
        <v>SCS</v>
      </c>
    </row>
    <row r="68" spans="1:51" x14ac:dyDescent="0.3">
      <c r="A68" s="7"/>
      <c r="B68" s="7"/>
      <c r="C68" s="7"/>
      <c r="D68" s="7"/>
      <c r="E68" s="32" t="s">
        <v>115</v>
      </c>
      <c r="F68" s="32"/>
      <c r="G68" s="32">
        <v>71005</v>
      </c>
      <c r="H68" s="32" t="s">
        <v>461</v>
      </c>
      <c r="I68" s="33">
        <v>55.372999999999998</v>
      </c>
      <c r="J68" s="170"/>
      <c r="K68" s="7" t="str">
        <f>VLOOKUP($E68,Mapping!$E$11:$I$204,3,0)</f>
        <v>Connections</v>
      </c>
      <c r="L68" s="7" t="str">
        <f>IFERROR(VLOOKUP($G68,Mapping!$E$208:$K$236,5,0),"Contracts")</f>
        <v>Materials</v>
      </c>
      <c r="M68" s="7" t="str">
        <f>IFERROR(VLOOKUP($G68,Mapping!$E$208:$K$236,7,0),"ENDirect")</f>
        <v>ENDirect</v>
      </c>
      <c r="N68" s="7" t="str">
        <f>IFERROR(HLOOKUP(L68,'Calc|Weightings'!$U$5:$W$5,1,0),"Excl")</f>
        <v>Materials</v>
      </c>
      <c r="O68" s="7" t="str">
        <f>VLOOKUP(E68,Mapping!$E$11:$I$204,5,0)</f>
        <v>SCS</v>
      </c>
      <c r="Q68" s="32" t="s">
        <v>115</v>
      </c>
      <c r="R68" s="32"/>
      <c r="S68" s="32">
        <v>71040</v>
      </c>
      <c r="T68" s="32" t="s">
        <v>460</v>
      </c>
      <c r="U68" s="33">
        <v>0.17299999999999999</v>
      </c>
      <c r="V68" s="7"/>
      <c r="W68" s="7" t="str">
        <f>VLOOKUP($Q68,Mapping!$E$11:$I$204,3,0)</f>
        <v>Connections</v>
      </c>
      <c r="X68" s="7" t="str">
        <f>IFERROR(VLOOKUP($S68,Mapping!$E$208:$K$236,5,0),"Contracts")</f>
        <v>Contracts</v>
      </c>
      <c r="Y68" s="7" t="str">
        <f>IFERROR(VLOOKUP($S68,Mapping!$E$208:$K$236,7,0),"ENDirect")</f>
        <v>ENDirect</v>
      </c>
      <c r="Z68" s="7" t="str">
        <f>IFERROR(HLOOKUP(X68,'Calc|Weightings'!$U$5:$W$5,1,0),"Excl")</f>
        <v>Contracts</v>
      </c>
      <c r="AA68" s="7" t="str">
        <f>VLOOKUP(Q68,Mapping!$E$11:$I$204,5,0)</f>
        <v>SCS</v>
      </c>
      <c r="AC68" s="35" t="s">
        <v>122</v>
      </c>
      <c r="AD68" s="35"/>
      <c r="AE68" s="35">
        <v>71055</v>
      </c>
      <c r="AF68" s="35" t="s">
        <v>465</v>
      </c>
      <c r="AG68" s="36">
        <v>406.33800000000002</v>
      </c>
      <c r="AI68" s="7" t="str">
        <f>VLOOKUP($AC68,Mapping!$E$11:$I$204,3,0)</f>
        <v>Augmentation</v>
      </c>
      <c r="AJ68" s="7" t="str">
        <f>IFERROR(VLOOKUP($AE68,Mapping!$E$208:$K$236,5,0),"Contracts")</f>
        <v>Contracts</v>
      </c>
      <c r="AK68" s="7" t="str">
        <f>IFERROR(VLOOKUP($AE68,Mapping!$E$208:$K$236,7,0),"ENDirect")</f>
        <v>ENDirect</v>
      </c>
      <c r="AL68" s="7" t="str">
        <f>IFERROR(HLOOKUP(AJ68,'Calc|Weightings'!$U$5:$W$5,1,0),"Excl")</f>
        <v>Contracts</v>
      </c>
      <c r="AM68" s="7" t="str">
        <f>VLOOKUP(AC68,Mapping!$E$11:$I$204,5,0)</f>
        <v>SCS</v>
      </c>
      <c r="AO68" s="35" t="s">
        <v>551</v>
      </c>
      <c r="AP68" s="35"/>
      <c r="AQ68" s="35">
        <v>71040</v>
      </c>
      <c r="AR68" s="35" t="s">
        <v>460</v>
      </c>
      <c r="AS68" s="121">
        <v>-1.1009999999999999E-2</v>
      </c>
      <c r="AU68" s="7" t="str">
        <f>VLOOKUP($AO68,Mapping!$E$11:$I$204,3,0)</f>
        <v>Connections</v>
      </c>
      <c r="AV68" s="7" t="str">
        <f>IFERROR(VLOOKUP($AQ68,Mapping!$E$208:$K$236,5,0),"Contracts")</f>
        <v>Contracts</v>
      </c>
      <c r="AW68" s="7" t="str">
        <f>IFERROR(VLOOKUP($AQ68,Mapping!$E$208:$K$236,7,0),"ENDirect")</f>
        <v>ENDirect</v>
      </c>
      <c r="AX68" s="7" t="str">
        <f>IFERROR(HLOOKUP(AV68,'Calc|Weightings'!$U$5:$W$5,1,0),"Excl")</f>
        <v>Contracts</v>
      </c>
      <c r="AY68" s="7" t="str">
        <f>VLOOKUP(AO68,Mapping!$E$11:$I$204,5,0)</f>
        <v>SCS</v>
      </c>
    </row>
    <row r="69" spans="1:51" x14ac:dyDescent="0.3">
      <c r="A69" s="7"/>
      <c r="B69" s="7"/>
      <c r="C69" s="7"/>
      <c r="D69" s="7"/>
      <c r="E69" s="32" t="s">
        <v>115</v>
      </c>
      <c r="F69" s="32"/>
      <c r="G69" s="32">
        <v>71030</v>
      </c>
      <c r="H69" s="32" t="s">
        <v>464</v>
      </c>
      <c r="I69" s="33">
        <v>52.87</v>
      </c>
      <c r="J69" s="170"/>
      <c r="K69" s="7" t="str">
        <f>VLOOKUP($E69,Mapping!$E$11:$I$204,3,0)</f>
        <v>Connections</v>
      </c>
      <c r="L69" s="7" t="str">
        <f>IFERROR(VLOOKUP($G69,Mapping!$E$208:$K$236,5,0),"Contracts")</f>
        <v>Contracts</v>
      </c>
      <c r="M69" s="7" t="str">
        <f>IFERROR(VLOOKUP($G69,Mapping!$E$208:$K$236,7,0),"ENDirect")</f>
        <v>ENDirect</v>
      </c>
      <c r="N69" s="7" t="str">
        <f>IFERROR(HLOOKUP(L69,'Calc|Weightings'!$U$5:$W$5,1,0),"Excl")</f>
        <v>Contracts</v>
      </c>
      <c r="O69" s="7" t="str">
        <f>VLOOKUP(E69,Mapping!$E$11:$I$204,5,0)</f>
        <v>SCS</v>
      </c>
      <c r="Q69" s="32" t="s">
        <v>115</v>
      </c>
      <c r="R69" s="32"/>
      <c r="S69" s="32">
        <v>71055</v>
      </c>
      <c r="T69" s="32" t="s">
        <v>465</v>
      </c>
      <c r="U69" s="33">
        <v>26.305</v>
      </c>
      <c r="V69" s="7"/>
      <c r="W69" s="7" t="str">
        <f>VLOOKUP($Q69,Mapping!$E$11:$I$204,3,0)</f>
        <v>Connections</v>
      </c>
      <c r="X69" s="7" t="str">
        <f>IFERROR(VLOOKUP($S69,Mapping!$E$208:$K$236,5,0),"Contracts")</f>
        <v>Contracts</v>
      </c>
      <c r="Y69" s="7" t="str">
        <f>IFERROR(VLOOKUP($S69,Mapping!$E$208:$K$236,7,0),"ENDirect")</f>
        <v>ENDirect</v>
      </c>
      <c r="Z69" s="7" t="str">
        <f>IFERROR(HLOOKUP(X69,'Calc|Weightings'!$U$5:$W$5,1,0),"Excl")</f>
        <v>Contracts</v>
      </c>
      <c r="AA69" s="7" t="str">
        <f>VLOOKUP(Q69,Mapping!$E$11:$I$204,5,0)</f>
        <v>SCS</v>
      </c>
      <c r="AC69" s="35" t="s">
        <v>122</v>
      </c>
      <c r="AD69" s="35"/>
      <c r="AE69" s="35">
        <v>71060</v>
      </c>
      <c r="AF69" s="35" t="s">
        <v>479</v>
      </c>
      <c r="AG69" s="36">
        <v>-1.2999999999999999E-2</v>
      </c>
      <c r="AI69" s="7" t="str">
        <f>VLOOKUP($AC69,Mapping!$E$11:$I$204,3,0)</f>
        <v>Augmentation</v>
      </c>
      <c r="AJ69" s="7" t="str">
        <f>IFERROR(VLOOKUP($AE69,Mapping!$E$208:$K$236,5,0),"Contracts")</f>
        <v>Contracts</v>
      </c>
      <c r="AK69" s="7" t="str">
        <f>IFERROR(VLOOKUP($AE69,Mapping!$E$208:$K$236,7,0),"ENDirect")</f>
        <v>ENDirect</v>
      </c>
      <c r="AL69" s="7" t="str">
        <f>IFERROR(HLOOKUP(AJ69,'Calc|Weightings'!$U$5:$W$5,1,0),"Excl")</f>
        <v>Contracts</v>
      </c>
      <c r="AM69" s="7" t="str">
        <f>VLOOKUP(AC69,Mapping!$E$11:$I$204,5,0)</f>
        <v>SCS</v>
      </c>
      <c r="AO69" s="35" t="s">
        <v>551</v>
      </c>
      <c r="AP69" s="35"/>
      <c r="AQ69" s="35">
        <v>71055</v>
      </c>
      <c r="AR69" s="35" t="s">
        <v>465</v>
      </c>
      <c r="AS69" s="121">
        <v>39.678959999999982</v>
      </c>
      <c r="AU69" s="7" t="str">
        <f>VLOOKUP($AO69,Mapping!$E$11:$I$204,3,0)</f>
        <v>Connections</v>
      </c>
      <c r="AV69" s="7" t="str">
        <f>IFERROR(VLOOKUP($AQ69,Mapping!$E$208:$K$236,5,0),"Contracts")</f>
        <v>Contracts</v>
      </c>
      <c r="AW69" s="7" t="str">
        <f>IFERROR(VLOOKUP($AQ69,Mapping!$E$208:$K$236,7,0),"ENDirect")</f>
        <v>ENDirect</v>
      </c>
      <c r="AX69" s="7" t="str">
        <f>IFERROR(HLOOKUP(AV69,'Calc|Weightings'!$U$5:$W$5,1,0),"Excl")</f>
        <v>Contracts</v>
      </c>
      <c r="AY69" s="7" t="str">
        <f>VLOOKUP(AO69,Mapping!$E$11:$I$204,5,0)</f>
        <v>SCS</v>
      </c>
    </row>
    <row r="70" spans="1:51" x14ac:dyDescent="0.3">
      <c r="A70" s="7"/>
      <c r="B70" s="7"/>
      <c r="C70" s="7"/>
      <c r="D70" s="7"/>
      <c r="E70" s="32" t="s">
        <v>115</v>
      </c>
      <c r="F70" s="32"/>
      <c r="G70" s="32">
        <v>71040</v>
      </c>
      <c r="H70" s="32" t="s">
        <v>460</v>
      </c>
      <c r="I70" s="33">
        <v>-1.1639999999999999</v>
      </c>
      <c r="J70" s="170"/>
      <c r="K70" s="7" t="str">
        <f>VLOOKUP($E70,Mapping!$E$11:$I$204,3,0)</f>
        <v>Connections</v>
      </c>
      <c r="L70" s="7" t="str">
        <f>IFERROR(VLOOKUP($G70,Mapping!$E$208:$K$236,5,0),"Contracts")</f>
        <v>Contracts</v>
      </c>
      <c r="M70" s="7" t="str">
        <f>IFERROR(VLOOKUP($G70,Mapping!$E$208:$K$236,7,0),"ENDirect")</f>
        <v>ENDirect</v>
      </c>
      <c r="N70" s="7" t="str">
        <f>IFERROR(HLOOKUP(L70,'Calc|Weightings'!$U$5:$W$5,1,0),"Excl")</f>
        <v>Contracts</v>
      </c>
      <c r="O70" s="7" t="str">
        <f>VLOOKUP(E70,Mapping!$E$11:$I$204,5,0)</f>
        <v>SCS</v>
      </c>
      <c r="Q70" s="32" t="s">
        <v>115</v>
      </c>
      <c r="R70" s="32"/>
      <c r="S70" s="32">
        <v>80000</v>
      </c>
      <c r="T70" s="32" t="s">
        <v>453</v>
      </c>
      <c r="U70" s="33">
        <v>31.998999999999999</v>
      </c>
      <c r="V70" s="7"/>
      <c r="W70" s="7" t="str">
        <f>VLOOKUP($Q70,Mapping!$E$11:$I$204,3,0)</f>
        <v>Connections</v>
      </c>
      <c r="X70" s="7" t="str">
        <f>IFERROR(VLOOKUP($S70,Mapping!$E$208:$K$236,5,0),"Contracts")</f>
        <v>Overhead</v>
      </c>
      <c r="Y70" s="7" t="str">
        <f>IFERROR(VLOOKUP($S70,Mapping!$E$208:$K$236,7,0),"ENDirect")</f>
        <v>OH</v>
      </c>
      <c r="Z70" s="7" t="str">
        <f>IFERROR(HLOOKUP(X70,'Calc|Weightings'!$U$5:$W$5,1,0),"Excl")</f>
        <v>Excl</v>
      </c>
      <c r="AA70" s="7" t="str">
        <f>VLOOKUP(Q70,Mapping!$E$11:$I$204,5,0)</f>
        <v>SCS</v>
      </c>
      <c r="AC70" s="35" t="s">
        <v>122</v>
      </c>
      <c r="AD70" s="35"/>
      <c r="AE70" s="35">
        <v>72360</v>
      </c>
      <c r="AF70" s="35" t="s">
        <v>480</v>
      </c>
      <c r="AG70" s="36">
        <v>0</v>
      </c>
      <c r="AI70" s="7" t="str">
        <f>VLOOKUP($AC70,Mapping!$E$11:$I$204,3,0)</f>
        <v>Augmentation</v>
      </c>
      <c r="AJ70" s="7" t="str">
        <f>IFERROR(VLOOKUP($AE70,Mapping!$E$208:$K$236,5,0),"Contracts")</f>
        <v>Contracts</v>
      </c>
      <c r="AK70" s="7" t="str">
        <f>IFERROR(VLOOKUP($AE70,Mapping!$E$208:$K$236,7,0),"ENDirect")</f>
        <v>ENDirect</v>
      </c>
      <c r="AL70" s="7" t="str">
        <f>IFERROR(HLOOKUP(AJ70,'Calc|Weightings'!$U$5:$W$5,1,0),"Excl")</f>
        <v>Contracts</v>
      </c>
      <c r="AM70" s="7" t="str">
        <f>VLOOKUP(AC70,Mapping!$E$11:$I$204,5,0)</f>
        <v>SCS</v>
      </c>
      <c r="AO70" s="35" t="s">
        <v>551</v>
      </c>
      <c r="AP70" s="35"/>
      <c r="AQ70" s="35">
        <v>71070</v>
      </c>
      <c r="AR70" s="35" t="s">
        <v>586</v>
      </c>
      <c r="AS70" s="121">
        <v>809.81034999999929</v>
      </c>
      <c r="AU70" s="7" t="str">
        <f>VLOOKUP($AO70,Mapping!$E$11:$I$204,3,0)</f>
        <v>Connections</v>
      </c>
      <c r="AV70" s="7" t="str">
        <f>IFERROR(VLOOKUP($AQ70,Mapping!$E$208:$K$236,5,0),"Contracts")</f>
        <v>Contracts</v>
      </c>
      <c r="AW70" s="7" t="str">
        <f>IFERROR(VLOOKUP($AQ70,Mapping!$E$208:$K$236,7,0),"ENDirect")</f>
        <v>ENDirect</v>
      </c>
      <c r="AX70" s="7" t="str">
        <f>IFERROR(HLOOKUP(AV70,'Calc|Weightings'!$U$5:$W$5,1,0),"Excl")</f>
        <v>Contracts</v>
      </c>
      <c r="AY70" s="7" t="str">
        <f>VLOOKUP(AO70,Mapping!$E$11:$I$204,5,0)</f>
        <v>SCS</v>
      </c>
    </row>
    <row r="71" spans="1:51" x14ac:dyDescent="0.3">
      <c r="A71" s="7"/>
      <c r="B71" s="7"/>
      <c r="C71" s="7"/>
      <c r="D71" s="7"/>
      <c r="E71" s="32" t="s">
        <v>115</v>
      </c>
      <c r="F71" s="32"/>
      <c r="G71" s="32">
        <v>71055</v>
      </c>
      <c r="H71" s="32" t="s">
        <v>465</v>
      </c>
      <c r="I71" s="33">
        <v>81.307000000000002</v>
      </c>
      <c r="J71" s="170"/>
      <c r="K71" s="7" t="str">
        <f>VLOOKUP($E71,Mapping!$E$11:$I$204,3,0)</f>
        <v>Connections</v>
      </c>
      <c r="L71" s="7" t="str">
        <f>IFERROR(VLOOKUP($G71,Mapping!$E$208:$K$236,5,0),"Contracts")</f>
        <v>Contracts</v>
      </c>
      <c r="M71" s="7" t="str">
        <f>IFERROR(VLOOKUP($G71,Mapping!$E$208:$K$236,7,0),"ENDirect")</f>
        <v>ENDirect</v>
      </c>
      <c r="N71" s="7" t="str">
        <f>IFERROR(HLOOKUP(L71,'Calc|Weightings'!$U$5:$W$5,1,0),"Excl")</f>
        <v>Contracts</v>
      </c>
      <c r="O71" s="7" t="str">
        <f>VLOOKUP(E71,Mapping!$E$11:$I$204,5,0)</f>
        <v>SCS</v>
      </c>
      <c r="Q71" s="32" t="s">
        <v>550</v>
      </c>
      <c r="R71" s="32"/>
      <c r="S71" s="32">
        <v>72345</v>
      </c>
      <c r="T71" s="32" t="s">
        <v>467</v>
      </c>
      <c r="U71" s="33">
        <v>3654.2869999999998</v>
      </c>
      <c r="V71" s="7"/>
      <c r="W71" s="7" t="str">
        <f>VLOOKUP($Q71,Mapping!$E$11:$I$204,3,0)</f>
        <v>Connections</v>
      </c>
      <c r="X71" s="7" t="str">
        <f>IFERROR(VLOOKUP($S71,Mapping!$E$208:$K$236,5,0),"Contracts")</f>
        <v>Contracts</v>
      </c>
      <c r="Y71" s="7" t="str">
        <f>IFERROR(VLOOKUP($S71,Mapping!$E$208:$K$236,7,0),"ENDirect")</f>
        <v>ENDirect</v>
      </c>
      <c r="Z71" s="7" t="str">
        <f>IFERROR(HLOOKUP(X71,'Calc|Weightings'!$U$5:$W$5,1,0),"Excl")</f>
        <v>Contracts</v>
      </c>
      <c r="AA71" s="7" t="str">
        <f>VLOOKUP(Q71,Mapping!$E$11:$I$204,5,0)</f>
        <v>SCS</v>
      </c>
      <c r="AC71" s="35" t="s">
        <v>194</v>
      </c>
      <c r="AD71" s="35"/>
      <c r="AE71" s="35">
        <v>71000</v>
      </c>
      <c r="AF71" s="35" t="s">
        <v>457</v>
      </c>
      <c r="AG71" s="36">
        <v>37.923999999999999</v>
      </c>
      <c r="AI71" s="7" t="str">
        <f>VLOOKUP($AC71,Mapping!$E$11:$I$204,3,0)</f>
        <v>Replacement</v>
      </c>
      <c r="AJ71" s="7" t="str">
        <f>IFERROR(VLOOKUP($AE71,Mapping!$E$208:$K$236,5,0),"Contracts")</f>
        <v>Labour</v>
      </c>
      <c r="AK71" s="7" t="str">
        <f>IFERROR(VLOOKUP($AE71,Mapping!$E$208:$K$236,7,0),"ENDirect")</f>
        <v>ENDirect</v>
      </c>
      <c r="AL71" s="7" t="str">
        <f>IFERROR(HLOOKUP(AJ71,'Calc|Weightings'!$U$5:$W$5,1,0),"Excl")</f>
        <v>Labour</v>
      </c>
      <c r="AM71" s="7" t="str">
        <f>VLOOKUP(AC71,Mapping!$E$11:$I$204,5,0)</f>
        <v>SCS</v>
      </c>
      <c r="AO71" s="35" t="s">
        <v>551</v>
      </c>
      <c r="AP71" s="35"/>
      <c r="AQ71" s="35">
        <v>71075</v>
      </c>
      <c r="AR71" s="35" t="s">
        <v>587</v>
      </c>
      <c r="AS71" s="121">
        <v>92.630680000000027</v>
      </c>
      <c r="AU71" s="7" t="str">
        <f>VLOOKUP($AO71,Mapping!$E$11:$I$204,3,0)</f>
        <v>Connections</v>
      </c>
      <c r="AV71" s="7" t="str">
        <f>IFERROR(VLOOKUP($AQ71,Mapping!$E$208:$K$236,5,0),"Contracts")</f>
        <v>Contracts</v>
      </c>
      <c r="AW71" s="7" t="str">
        <f>IFERROR(VLOOKUP($AQ71,Mapping!$E$208:$K$236,7,0),"ENDirect")</f>
        <v>ENDirect</v>
      </c>
      <c r="AX71" s="7" t="str">
        <f>IFERROR(HLOOKUP(AV71,'Calc|Weightings'!$U$5:$W$5,1,0),"Excl")</f>
        <v>Contracts</v>
      </c>
      <c r="AY71" s="7" t="str">
        <f>VLOOKUP(AO71,Mapping!$E$11:$I$204,5,0)</f>
        <v>SCS</v>
      </c>
    </row>
    <row r="72" spans="1:51" x14ac:dyDescent="0.3">
      <c r="A72" s="7"/>
      <c r="B72" s="7"/>
      <c r="C72" s="7"/>
      <c r="D72" s="7"/>
      <c r="E72" s="32" t="s">
        <v>115</v>
      </c>
      <c r="F72" s="32"/>
      <c r="G72" s="32">
        <v>80000</v>
      </c>
      <c r="H72" s="32" t="s">
        <v>453</v>
      </c>
      <c r="I72" s="33">
        <v>75.17</v>
      </c>
      <c r="J72" s="170"/>
      <c r="K72" s="7" t="str">
        <f>VLOOKUP($E72,Mapping!$E$11:$I$204,3,0)</f>
        <v>Connections</v>
      </c>
      <c r="L72" s="7" t="str">
        <f>IFERROR(VLOOKUP($G72,Mapping!$E$208:$K$236,5,0),"Contracts")</f>
        <v>Overhead</v>
      </c>
      <c r="M72" s="7" t="str">
        <f>IFERROR(VLOOKUP($G72,Mapping!$E$208:$K$236,7,0),"ENDirect")</f>
        <v>OH</v>
      </c>
      <c r="N72" s="7" t="str">
        <f>IFERROR(HLOOKUP(L72,'Calc|Weightings'!$U$5:$W$5,1,0),"Excl")</f>
        <v>Excl</v>
      </c>
      <c r="O72" s="7" t="str">
        <f>VLOOKUP(E72,Mapping!$E$11:$I$204,5,0)</f>
        <v>SCS</v>
      </c>
      <c r="Q72" s="32" t="s">
        <v>549</v>
      </c>
      <c r="R72" s="32"/>
      <c r="S72" s="32">
        <v>71000</v>
      </c>
      <c r="T72" s="32" t="s">
        <v>457</v>
      </c>
      <c r="U72" s="33">
        <v>1879.627</v>
      </c>
      <c r="V72" s="7"/>
      <c r="W72" s="7" t="str">
        <f>VLOOKUP($Q72,Mapping!$E$11:$I$204,3,0)</f>
        <v>Connections</v>
      </c>
      <c r="X72" s="7" t="str">
        <f>IFERROR(VLOOKUP($S72,Mapping!$E$208:$K$236,5,0),"Contracts")</f>
        <v>Labour</v>
      </c>
      <c r="Y72" s="7" t="str">
        <f>IFERROR(VLOOKUP($S72,Mapping!$E$208:$K$236,7,0),"ENDirect")</f>
        <v>ENDirect</v>
      </c>
      <c r="Z72" s="7" t="str">
        <f>IFERROR(HLOOKUP(X72,'Calc|Weightings'!$U$5:$W$5,1,0),"Excl")</f>
        <v>Labour</v>
      </c>
      <c r="AA72" s="7" t="str">
        <f>VLOOKUP(Q72,Mapping!$E$11:$I$204,5,0)</f>
        <v>SCS</v>
      </c>
      <c r="AC72" s="35" t="s">
        <v>194</v>
      </c>
      <c r="AD72" s="35"/>
      <c r="AE72" s="35">
        <v>71005</v>
      </c>
      <c r="AF72" s="35" t="s">
        <v>461</v>
      </c>
      <c r="AG72" s="36">
        <v>19.065000000000001</v>
      </c>
      <c r="AI72" s="7" t="str">
        <f>VLOOKUP($AC72,Mapping!$E$11:$I$204,3,0)</f>
        <v>Replacement</v>
      </c>
      <c r="AJ72" s="7" t="str">
        <f>IFERROR(VLOOKUP($AE72,Mapping!$E$208:$K$236,5,0),"Contracts")</f>
        <v>Materials</v>
      </c>
      <c r="AK72" s="7" t="str">
        <f>IFERROR(VLOOKUP($AE72,Mapping!$E$208:$K$236,7,0),"ENDirect")</f>
        <v>ENDirect</v>
      </c>
      <c r="AL72" s="7" t="str">
        <f>IFERROR(HLOOKUP(AJ72,'Calc|Weightings'!$U$5:$W$5,1,0),"Excl")</f>
        <v>Materials</v>
      </c>
      <c r="AM72" s="7" t="str">
        <f>VLOOKUP(AC72,Mapping!$E$11:$I$204,5,0)</f>
        <v>SCS</v>
      </c>
      <c r="AO72" s="35" t="s">
        <v>551</v>
      </c>
      <c r="AP72" s="35"/>
      <c r="AQ72" s="35">
        <v>72345</v>
      </c>
      <c r="AR72" s="35" t="s">
        <v>588</v>
      </c>
      <c r="AS72" s="121">
        <v>31.292000000000002</v>
      </c>
      <c r="AU72" s="7" t="str">
        <f>VLOOKUP($AO72,Mapping!$E$11:$I$204,3,0)</f>
        <v>Connections</v>
      </c>
      <c r="AV72" s="7" t="str">
        <f>IFERROR(VLOOKUP($AQ72,Mapping!$E$208:$K$236,5,0),"Contracts")</f>
        <v>Contracts</v>
      </c>
      <c r="AW72" s="7" t="str">
        <f>IFERROR(VLOOKUP($AQ72,Mapping!$E$208:$K$236,7,0),"ENDirect")</f>
        <v>ENDirect</v>
      </c>
      <c r="AX72" s="7" t="str">
        <f>IFERROR(HLOOKUP(AV72,'Calc|Weightings'!$U$5:$W$5,1,0),"Excl")</f>
        <v>Contracts</v>
      </c>
      <c r="AY72" s="7" t="str">
        <f>VLOOKUP(AO72,Mapping!$E$11:$I$204,5,0)</f>
        <v>SCS</v>
      </c>
    </row>
    <row r="73" spans="1:51" x14ac:dyDescent="0.3">
      <c r="A73" s="7"/>
      <c r="B73" s="7"/>
      <c r="C73" s="7"/>
      <c r="D73" s="7"/>
      <c r="E73" s="32" t="s">
        <v>550</v>
      </c>
      <c r="F73" s="32"/>
      <c r="G73" s="32">
        <v>71000</v>
      </c>
      <c r="H73" s="32" t="s">
        <v>457</v>
      </c>
      <c r="I73" s="33">
        <v>2088.1309999999999</v>
      </c>
      <c r="J73" s="170"/>
      <c r="K73" s="7" t="str">
        <f>VLOOKUP($E73,Mapping!$E$11:$I$204,3,0)</f>
        <v>Connections</v>
      </c>
      <c r="L73" s="7" t="str">
        <f>IFERROR(VLOOKUP($G73,Mapping!$E$208:$K$236,5,0),"Contracts")</f>
        <v>Labour</v>
      </c>
      <c r="M73" s="7" t="str">
        <f>IFERROR(VLOOKUP($G73,Mapping!$E$208:$K$236,7,0),"ENDirect")</f>
        <v>ENDirect</v>
      </c>
      <c r="N73" s="7" t="str">
        <f>IFERROR(HLOOKUP(L73,'Calc|Weightings'!$U$5:$W$5,1,0),"Excl")</f>
        <v>Labour</v>
      </c>
      <c r="O73" s="7" t="str">
        <f>VLOOKUP(E73,Mapping!$E$11:$I$204,5,0)</f>
        <v>SCS</v>
      </c>
      <c r="Q73" s="32" t="s">
        <v>549</v>
      </c>
      <c r="R73" s="32"/>
      <c r="S73" s="32">
        <v>71005</v>
      </c>
      <c r="T73" s="32" t="s">
        <v>461</v>
      </c>
      <c r="U73" s="33">
        <v>1183.33</v>
      </c>
      <c r="V73" s="7"/>
      <c r="W73" s="7" t="str">
        <f>VLOOKUP($Q73,Mapping!$E$11:$I$204,3,0)</f>
        <v>Connections</v>
      </c>
      <c r="X73" s="7" t="str">
        <f>IFERROR(VLOOKUP($S73,Mapping!$E$208:$K$236,5,0),"Contracts")</f>
        <v>Materials</v>
      </c>
      <c r="Y73" s="7" t="str">
        <f>IFERROR(VLOOKUP($S73,Mapping!$E$208:$K$236,7,0),"ENDirect")</f>
        <v>ENDirect</v>
      </c>
      <c r="Z73" s="7" t="str">
        <f>IFERROR(HLOOKUP(X73,'Calc|Weightings'!$U$5:$W$5,1,0),"Excl")</f>
        <v>Materials</v>
      </c>
      <c r="AA73" s="7" t="str">
        <f>VLOOKUP(Q73,Mapping!$E$11:$I$204,5,0)</f>
        <v>SCS</v>
      </c>
      <c r="AC73" s="35" t="s">
        <v>194</v>
      </c>
      <c r="AD73" s="35"/>
      <c r="AE73" s="35">
        <v>71010</v>
      </c>
      <c r="AF73" s="35" t="s">
        <v>462</v>
      </c>
      <c r="AG73" s="36">
        <v>0.22900000000000001</v>
      </c>
      <c r="AI73" s="7" t="str">
        <f>VLOOKUP($AC73,Mapping!$E$11:$I$204,3,0)</f>
        <v>Replacement</v>
      </c>
      <c r="AJ73" s="7" t="str">
        <f>IFERROR(VLOOKUP($AE73,Mapping!$E$208:$K$236,5,0),"Contracts")</f>
        <v>Labour</v>
      </c>
      <c r="AK73" s="7" t="str">
        <f>IFERROR(VLOOKUP($AE73,Mapping!$E$208:$K$236,7,0),"ENDirect")</f>
        <v>ENDirect</v>
      </c>
      <c r="AL73" s="7" t="str">
        <f>IFERROR(HLOOKUP(AJ73,'Calc|Weightings'!$U$5:$W$5,1,0),"Excl")</f>
        <v>Labour</v>
      </c>
      <c r="AM73" s="7" t="str">
        <f>VLOOKUP(AC73,Mapping!$E$11:$I$204,5,0)</f>
        <v>SCS</v>
      </c>
      <c r="AO73" s="35" t="s">
        <v>551</v>
      </c>
      <c r="AP73" s="35"/>
      <c r="AQ73" s="35">
        <v>80000</v>
      </c>
      <c r="AR73" s="35" t="s">
        <v>589</v>
      </c>
      <c r="AS73" s="121">
        <v>223.85206000000002</v>
      </c>
      <c r="AU73" s="7" t="str">
        <f>VLOOKUP($AO73,Mapping!$E$11:$I$204,3,0)</f>
        <v>Connections</v>
      </c>
      <c r="AV73" s="7" t="str">
        <f>IFERROR(VLOOKUP($AQ73,Mapping!$E$208:$K$236,5,0),"Contracts")</f>
        <v>Overhead</v>
      </c>
      <c r="AW73" s="7" t="str">
        <f>IFERROR(VLOOKUP($AQ73,Mapping!$E$208:$K$236,7,0),"ENDirect")</f>
        <v>OH</v>
      </c>
      <c r="AX73" s="7" t="str">
        <f>IFERROR(HLOOKUP(AV73,'Calc|Weightings'!$U$5:$W$5,1,0),"Excl")</f>
        <v>Excl</v>
      </c>
      <c r="AY73" s="7" t="str">
        <f>VLOOKUP(AO73,Mapping!$E$11:$I$204,5,0)</f>
        <v>SCS</v>
      </c>
    </row>
    <row r="74" spans="1:51" x14ac:dyDescent="0.3">
      <c r="A74" s="7"/>
      <c r="B74" s="7"/>
      <c r="C74" s="7"/>
      <c r="D74" s="7"/>
      <c r="E74" s="32" t="s">
        <v>550</v>
      </c>
      <c r="F74" s="32"/>
      <c r="G74" s="32">
        <v>71010</v>
      </c>
      <c r="H74" s="32" t="s">
        <v>462</v>
      </c>
      <c r="I74" s="33">
        <v>2333.248</v>
      </c>
      <c r="J74" s="170"/>
      <c r="K74" s="7" t="str">
        <f>VLOOKUP($E74,Mapping!$E$11:$I$204,3,0)</f>
        <v>Connections</v>
      </c>
      <c r="L74" s="7" t="str">
        <f>IFERROR(VLOOKUP($G74,Mapping!$E$208:$K$236,5,0),"Contracts")</f>
        <v>Labour</v>
      </c>
      <c r="M74" s="7" t="str">
        <f>IFERROR(VLOOKUP($G74,Mapping!$E$208:$K$236,7,0),"ENDirect")</f>
        <v>ENDirect</v>
      </c>
      <c r="N74" s="7" t="str">
        <f>IFERROR(HLOOKUP(L74,'Calc|Weightings'!$U$5:$W$5,1,0),"Excl")</f>
        <v>Labour</v>
      </c>
      <c r="O74" s="7" t="str">
        <f>VLOOKUP(E74,Mapping!$E$11:$I$204,5,0)</f>
        <v>SCS</v>
      </c>
      <c r="Q74" s="32" t="s">
        <v>549</v>
      </c>
      <c r="R74" s="32"/>
      <c r="S74" s="32">
        <v>71010</v>
      </c>
      <c r="T74" s="32" t="s">
        <v>462</v>
      </c>
      <c r="U74" s="33">
        <v>1609.1690000000001</v>
      </c>
      <c r="V74" s="7"/>
      <c r="W74" s="7" t="str">
        <f>VLOOKUP($Q74,Mapping!$E$11:$I$204,3,0)</f>
        <v>Connections</v>
      </c>
      <c r="X74" s="7" t="str">
        <f>IFERROR(VLOOKUP($S74,Mapping!$E$208:$K$236,5,0),"Contracts")</f>
        <v>Labour</v>
      </c>
      <c r="Y74" s="7" t="str">
        <f>IFERROR(VLOOKUP($S74,Mapping!$E$208:$K$236,7,0),"ENDirect")</f>
        <v>ENDirect</v>
      </c>
      <c r="Z74" s="7" t="str">
        <f>IFERROR(HLOOKUP(X74,'Calc|Weightings'!$U$5:$W$5,1,0),"Excl")</f>
        <v>Labour</v>
      </c>
      <c r="AA74" s="7" t="str">
        <f>VLOOKUP(Q74,Mapping!$E$11:$I$204,5,0)</f>
        <v>SCS</v>
      </c>
      <c r="AC74" s="35" t="s">
        <v>194</v>
      </c>
      <c r="AD74" s="35"/>
      <c r="AE74" s="35">
        <v>71015</v>
      </c>
      <c r="AF74" s="35" t="s">
        <v>463</v>
      </c>
      <c r="AG74" s="36">
        <v>28.472999999999999</v>
      </c>
      <c r="AI74" s="7" t="str">
        <f>VLOOKUP($AC74,Mapping!$E$11:$I$204,3,0)</f>
        <v>Replacement</v>
      </c>
      <c r="AJ74" s="7" t="str">
        <f>IFERROR(VLOOKUP($AE74,Mapping!$E$208:$K$236,5,0),"Contracts")</f>
        <v>Materials</v>
      </c>
      <c r="AK74" s="7" t="str">
        <f>IFERROR(VLOOKUP($AE74,Mapping!$E$208:$K$236,7,0),"ENDirect")</f>
        <v>ENDirect</v>
      </c>
      <c r="AL74" s="7" t="str">
        <f>IFERROR(HLOOKUP(AJ74,'Calc|Weightings'!$U$5:$W$5,1,0),"Excl")</f>
        <v>Materials</v>
      </c>
      <c r="AM74" s="7" t="str">
        <f>VLOOKUP(AC74,Mapping!$E$11:$I$204,5,0)</f>
        <v>SCS</v>
      </c>
      <c r="AO74" s="35" t="s">
        <v>552</v>
      </c>
      <c r="AP74" s="35"/>
      <c r="AQ74" s="35">
        <v>71000</v>
      </c>
      <c r="AR74" s="35" t="s">
        <v>457</v>
      </c>
      <c r="AS74" s="121">
        <v>143.39077</v>
      </c>
      <c r="AU74" s="7" t="str">
        <f>VLOOKUP($AO74,Mapping!$E$11:$I$204,3,0)</f>
        <v>Connections</v>
      </c>
      <c r="AV74" s="7" t="str">
        <f>IFERROR(VLOOKUP($AQ74,Mapping!$E$208:$K$236,5,0),"Contracts")</f>
        <v>Labour</v>
      </c>
      <c r="AW74" s="7" t="str">
        <f>IFERROR(VLOOKUP($AQ74,Mapping!$E$208:$K$236,7,0),"ENDirect")</f>
        <v>ENDirect</v>
      </c>
      <c r="AX74" s="7" t="str">
        <f>IFERROR(HLOOKUP(AV74,'Calc|Weightings'!$U$5:$W$5,1,0),"Excl")</f>
        <v>Labour</v>
      </c>
      <c r="AY74" s="7" t="str">
        <f>VLOOKUP(AO74,Mapping!$E$11:$I$204,5,0)</f>
        <v>SCS</v>
      </c>
    </row>
    <row r="75" spans="1:51" x14ac:dyDescent="0.3">
      <c r="A75" s="7"/>
      <c r="B75" s="7"/>
      <c r="C75" s="7"/>
      <c r="D75" s="7"/>
      <c r="E75" s="32" t="s">
        <v>550</v>
      </c>
      <c r="F75" s="32"/>
      <c r="G75" s="32">
        <v>71015</v>
      </c>
      <c r="H75" s="32" t="s">
        <v>463</v>
      </c>
      <c r="I75" s="33">
        <v>366.19</v>
      </c>
      <c r="J75" s="170"/>
      <c r="K75" s="7" t="str">
        <f>VLOOKUP($E75,Mapping!$E$11:$I$204,3,0)</f>
        <v>Connections</v>
      </c>
      <c r="L75" s="7" t="str">
        <f>IFERROR(VLOOKUP($G75,Mapping!$E$208:$K$236,5,0),"Contracts")</f>
        <v>Materials</v>
      </c>
      <c r="M75" s="7" t="str">
        <f>IFERROR(VLOOKUP($G75,Mapping!$E$208:$K$236,7,0),"ENDirect")</f>
        <v>ENDirect</v>
      </c>
      <c r="N75" s="7" t="str">
        <f>IFERROR(HLOOKUP(L75,'Calc|Weightings'!$U$5:$W$5,1,0),"Excl")</f>
        <v>Materials</v>
      </c>
      <c r="O75" s="7" t="str">
        <f>VLOOKUP(E75,Mapping!$E$11:$I$204,5,0)</f>
        <v>SCS</v>
      </c>
      <c r="Q75" s="32" t="s">
        <v>549</v>
      </c>
      <c r="R75" s="32"/>
      <c r="S75" s="32">
        <v>71015</v>
      </c>
      <c r="T75" s="32" t="s">
        <v>463</v>
      </c>
      <c r="U75" s="33">
        <v>383.113</v>
      </c>
      <c r="V75" s="7"/>
      <c r="W75" s="7" t="str">
        <f>VLOOKUP($Q75,Mapping!$E$11:$I$204,3,0)</f>
        <v>Connections</v>
      </c>
      <c r="X75" s="7" t="str">
        <f>IFERROR(VLOOKUP($S75,Mapping!$E$208:$K$236,5,0),"Contracts")</f>
        <v>Materials</v>
      </c>
      <c r="Y75" s="7" t="str">
        <f>IFERROR(VLOOKUP($S75,Mapping!$E$208:$K$236,7,0),"ENDirect")</f>
        <v>ENDirect</v>
      </c>
      <c r="Z75" s="7" t="str">
        <f>IFERROR(HLOOKUP(X75,'Calc|Weightings'!$U$5:$W$5,1,0),"Excl")</f>
        <v>Materials</v>
      </c>
      <c r="AA75" s="7" t="str">
        <f>VLOOKUP(Q75,Mapping!$E$11:$I$204,5,0)</f>
        <v>SCS</v>
      </c>
      <c r="AC75" s="35" t="s">
        <v>194</v>
      </c>
      <c r="AD75" s="35"/>
      <c r="AE75" s="35">
        <v>71030</v>
      </c>
      <c r="AF75" s="35" t="s">
        <v>464</v>
      </c>
      <c r="AG75" s="36">
        <v>6.4109999999999996</v>
      </c>
      <c r="AI75" s="7" t="str">
        <f>VLOOKUP($AC75,Mapping!$E$11:$I$204,3,0)</f>
        <v>Replacement</v>
      </c>
      <c r="AJ75" s="7" t="str">
        <f>IFERROR(VLOOKUP($AE75,Mapping!$E$208:$K$236,5,0),"Contracts")</f>
        <v>Contracts</v>
      </c>
      <c r="AK75" s="7" t="str">
        <f>IFERROR(VLOOKUP($AE75,Mapping!$E$208:$K$236,7,0),"ENDirect")</f>
        <v>ENDirect</v>
      </c>
      <c r="AL75" s="7" t="str">
        <f>IFERROR(HLOOKUP(AJ75,'Calc|Weightings'!$U$5:$W$5,1,0),"Excl")</f>
        <v>Contracts</v>
      </c>
      <c r="AM75" s="7" t="str">
        <f>VLOOKUP(AC75,Mapping!$E$11:$I$204,5,0)</f>
        <v>SCS</v>
      </c>
      <c r="AO75" s="35" t="s">
        <v>552</v>
      </c>
      <c r="AP75" s="35"/>
      <c r="AQ75" s="35">
        <v>71005</v>
      </c>
      <c r="AR75" s="35" t="s">
        <v>461</v>
      </c>
      <c r="AS75" s="121">
        <v>44.567019999999978</v>
      </c>
      <c r="AU75" s="7" t="str">
        <f>VLOOKUP($AO75,Mapping!$E$11:$I$204,3,0)</f>
        <v>Connections</v>
      </c>
      <c r="AV75" s="7" t="str">
        <f>IFERROR(VLOOKUP($AQ75,Mapping!$E$208:$K$236,5,0),"Contracts")</f>
        <v>Materials</v>
      </c>
      <c r="AW75" s="7" t="str">
        <f>IFERROR(VLOOKUP($AQ75,Mapping!$E$208:$K$236,7,0),"ENDirect")</f>
        <v>ENDirect</v>
      </c>
      <c r="AX75" s="7" t="str">
        <f>IFERROR(HLOOKUP(AV75,'Calc|Weightings'!$U$5:$W$5,1,0),"Excl")</f>
        <v>Materials</v>
      </c>
      <c r="AY75" s="7" t="str">
        <f>VLOOKUP(AO75,Mapping!$E$11:$I$204,5,0)</f>
        <v>SCS</v>
      </c>
    </row>
    <row r="76" spans="1:51" x14ac:dyDescent="0.3">
      <c r="A76" s="7"/>
      <c r="B76" s="7"/>
      <c r="C76" s="7"/>
      <c r="D76" s="7"/>
      <c r="E76" s="32" t="s">
        <v>550</v>
      </c>
      <c r="F76" s="32"/>
      <c r="G76" s="32">
        <v>71030</v>
      </c>
      <c r="H76" s="32" t="s">
        <v>464</v>
      </c>
      <c r="I76" s="33">
        <v>462.79500000000002</v>
      </c>
      <c r="J76" s="170"/>
      <c r="K76" s="7" t="str">
        <f>VLOOKUP($E76,Mapping!$E$11:$I$204,3,0)</f>
        <v>Connections</v>
      </c>
      <c r="L76" s="7" t="str">
        <f>IFERROR(VLOOKUP($G76,Mapping!$E$208:$K$236,5,0),"Contracts")</f>
        <v>Contracts</v>
      </c>
      <c r="M76" s="7" t="str">
        <f>IFERROR(VLOOKUP($G76,Mapping!$E$208:$K$236,7,0),"ENDirect")</f>
        <v>ENDirect</v>
      </c>
      <c r="N76" s="7" t="str">
        <f>IFERROR(HLOOKUP(L76,'Calc|Weightings'!$U$5:$W$5,1,0),"Excl")</f>
        <v>Contracts</v>
      </c>
      <c r="O76" s="7" t="str">
        <f>VLOOKUP(E76,Mapping!$E$11:$I$204,5,0)</f>
        <v>SCS</v>
      </c>
      <c r="Q76" s="32" t="s">
        <v>549</v>
      </c>
      <c r="R76" s="32"/>
      <c r="S76" s="32">
        <v>71030</v>
      </c>
      <c r="T76" s="32" t="s">
        <v>464</v>
      </c>
      <c r="U76" s="33">
        <v>427.05799999999999</v>
      </c>
      <c r="V76" s="7"/>
      <c r="W76" s="7" t="str">
        <f>VLOOKUP($Q76,Mapping!$E$11:$I$204,3,0)</f>
        <v>Connections</v>
      </c>
      <c r="X76" s="7" t="str">
        <f>IFERROR(VLOOKUP($S76,Mapping!$E$208:$K$236,5,0),"Contracts")</f>
        <v>Contracts</v>
      </c>
      <c r="Y76" s="7" t="str">
        <f>IFERROR(VLOOKUP($S76,Mapping!$E$208:$K$236,7,0),"ENDirect")</f>
        <v>ENDirect</v>
      </c>
      <c r="Z76" s="7" t="str">
        <f>IFERROR(HLOOKUP(X76,'Calc|Weightings'!$U$5:$W$5,1,0),"Excl")</f>
        <v>Contracts</v>
      </c>
      <c r="AA76" s="7" t="str">
        <f>VLOOKUP(Q76,Mapping!$E$11:$I$204,5,0)</f>
        <v>SCS</v>
      </c>
      <c r="AC76" s="35" t="s">
        <v>194</v>
      </c>
      <c r="AD76" s="35"/>
      <c r="AE76" s="35">
        <v>71040</v>
      </c>
      <c r="AF76" s="35" t="s">
        <v>460</v>
      </c>
      <c r="AG76" s="36">
        <v>0.26700000000000002</v>
      </c>
      <c r="AI76" s="7" t="str">
        <f>VLOOKUP($AC76,Mapping!$E$11:$I$204,3,0)</f>
        <v>Replacement</v>
      </c>
      <c r="AJ76" s="7" t="str">
        <f>IFERROR(VLOOKUP($AE76,Mapping!$E$208:$K$236,5,0),"Contracts")</f>
        <v>Contracts</v>
      </c>
      <c r="AK76" s="7" t="str">
        <f>IFERROR(VLOOKUP($AE76,Mapping!$E$208:$K$236,7,0),"ENDirect")</f>
        <v>ENDirect</v>
      </c>
      <c r="AL76" s="7" t="str">
        <f>IFERROR(HLOOKUP(AJ76,'Calc|Weightings'!$U$5:$W$5,1,0),"Excl")</f>
        <v>Contracts</v>
      </c>
      <c r="AM76" s="7" t="str">
        <f>VLOOKUP(AC76,Mapping!$E$11:$I$204,5,0)</f>
        <v>SCS</v>
      </c>
      <c r="AO76" s="35" t="s">
        <v>552</v>
      </c>
      <c r="AP76" s="35"/>
      <c r="AQ76" s="35">
        <v>71006</v>
      </c>
      <c r="AR76" s="35" t="s">
        <v>468</v>
      </c>
      <c r="AS76" s="121">
        <v>271.33</v>
      </c>
      <c r="AU76" s="7" t="str">
        <f>VLOOKUP($AO76,Mapping!$E$11:$I$204,3,0)</f>
        <v>Connections</v>
      </c>
      <c r="AV76" s="7" t="str">
        <f>IFERROR(VLOOKUP($AQ76,Mapping!$E$208:$K$236,5,0),"Contracts")</f>
        <v>Materials</v>
      </c>
      <c r="AW76" s="7" t="str">
        <f>IFERROR(VLOOKUP($AQ76,Mapping!$E$208:$K$236,7,0),"ENDirect")</f>
        <v>ENDirect</v>
      </c>
      <c r="AX76" s="7" t="str">
        <f>IFERROR(HLOOKUP(AV76,'Calc|Weightings'!$U$5:$W$5,1,0),"Excl")</f>
        <v>Materials</v>
      </c>
      <c r="AY76" s="7" t="str">
        <f>VLOOKUP(AO76,Mapping!$E$11:$I$204,5,0)</f>
        <v>SCS</v>
      </c>
    </row>
    <row r="77" spans="1:51" x14ac:dyDescent="0.3">
      <c r="A77" s="7"/>
      <c r="B77" s="7"/>
      <c r="C77" s="7"/>
      <c r="D77" s="7"/>
      <c r="E77" s="32" t="s">
        <v>550</v>
      </c>
      <c r="F77" s="32"/>
      <c r="G77" s="32">
        <v>71040</v>
      </c>
      <c r="H77" s="32" t="s">
        <v>460</v>
      </c>
      <c r="I77" s="33">
        <v>-15.038</v>
      </c>
      <c r="J77" s="170"/>
      <c r="K77" s="7" t="str">
        <f>VLOOKUP($E77,Mapping!$E$11:$I$204,3,0)</f>
        <v>Connections</v>
      </c>
      <c r="L77" s="7" t="str">
        <f>IFERROR(VLOOKUP($G77,Mapping!$E$208:$K$236,5,0),"Contracts")</f>
        <v>Contracts</v>
      </c>
      <c r="M77" s="7" t="str">
        <f>IFERROR(VLOOKUP($G77,Mapping!$E$208:$K$236,7,0),"ENDirect")</f>
        <v>ENDirect</v>
      </c>
      <c r="N77" s="7" t="str">
        <f>IFERROR(HLOOKUP(L77,'Calc|Weightings'!$U$5:$W$5,1,0),"Excl")</f>
        <v>Contracts</v>
      </c>
      <c r="O77" s="7" t="str">
        <f>VLOOKUP(E77,Mapping!$E$11:$I$204,5,0)</f>
        <v>SCS</v>
      </c>
      <c r="Q77" s="32" t="s">
        <v>549</v>
      </c>
      <c r="R77" s="32"/>
      <c r="S77" s="32">
        <v>71055</v>
      </c>
      <c r="T77" s="32" t="s">
        <v>465</v>
      </c>
      <c r="U77" s="33">
        <v>1045.626</v>
      </c>
      <c r="V77" s="7"/>
      <c r="W77" s="7" t="str">
        <f>VLOOKUP($Q77,Mapping!$E$11:$I$204,3,0)</f>
        <v>Connections</v>
      </c>
      <c r="X77" s="7" t="str">
        <f>IFERROR(VLOOKUP($S77,Mapping!$E$208:$K$236,5,0),"Contracts")</f>
        <v>Contracts</v>
      </c>
      <c r="Y77" s="7" t="str">
        <f>IFERROR(VLOOKUP($S77,Mapping!$E$208:$K$236,7,0),"ENDirect")</f>
        <v>ENDirect</v>
      </c>
      <c r="Z77" s="7" t="str">
        <f>IFERROR(HLOOKUP(X77,'Calc|Weightings'!$U$5:$W$5,1,0),"Excl")</f>
        <v>Contracts</v>
      </c>
      <c r="AA77" s="7" t="str">
        <f>VLOOKUP(Q77,Mapping!$E$11:$I$204,5,0)</f>
        <v>SCS</v>
      </c>
      <c r="AC77" s="35" t="s">
        <v>194</v>
      </c>
      <c r="AD77" s="35"/>
      <c r="AE77" s="35">
        <v>71055</v>
      </c>
      <c r="AF77" s="35" t="s">
        <v>465</v>
      </c>
      <c r="AG77" s="36">
        <v>13.598000000000001</v>
      </c>
      <c r="AI77" s="7" t="str">
        <f>VLOOKUP($AC77,Mapping!$E$11:$I$204,3,0)</f>
        <v>Replacement</v>
      </c>
      <c r="AJ77" s="7" t="str">
        <f>IFERROR(VLOOKUP($AE77,Mapping!$E$208:$K$236,5,0),"Contracts")</f>
        <v>Contracts</v>
      </c>
      <c r="AK77" s="7" t="str">
        <f>IFERROR(VLOOKUP($AE77,Mapping!$E$208:$K$236,7,0),"ENDirect")</f>
        <v>ENDirect</v>
      </c>
      <c r="AL77" s="7" t="str">
        <f>IFERROR(HLOOKUP(AJ77,'Calc|Weightings'!$U$5:$W$5,1,0),"Excl")</f>
        <v>Contracts</v>
      </c>
      <c r="AM77" s="7" t="str">
        <f>VLOOKUP(AC77,Mapping!$E$11:$I$204,5,0)</f>
        <v>SCS</v>
      </c>
      <c r="AO77" s="35" t="s">
        <v>552</v>
      </c>
      <c r="AP77" s="35"/>
      <c r="AQ77" s="35">
        <v>71010</v>
      </c>
      <c r="AR77" s="35" t="s">
        <v>487</v>
      </c>
      <c r="AS77" s="121">
        <v>122.31019999999999</v>
      </c>
      <c r="AU77" s="7" t="str">
        <f>VLOOKUP($AO77,Mapping!$E$11:$I$204,3,0)</f>
        <v>Connections</v>
      </c>
      <c r="AV77" s="7" t="str">
        <f>IFERROR(VLOOKUP($AQ77,Mapping!$E$208:$K$236,5,0),"Contracts")</f>
        <v>Labour</v>
      </c>
      <c r="AW77" s="7" t="str">
        <f>IFERROR(VLOOKUP($AQ77,Mapping!$E$208:$K$236,7,0),"ENDirect")</f>
        <v>ENDirect</v>
      </c>
      <c r="AX77" s="7" t="str">
        <f>IFERROR(HLOOKUP(AV77,'Calc|Weightings'!$U$5:$W$5,1,0),"Excl")</f>
        <v>Labour</v>
      </c>
      <c r="AY77" s="7" t="str">
        <f>VLOOKUP(AO77,Mapping!$E$11:$I$204,5,0)</f>
        <v>SCS</v>
      </c>
    </row>
    <row r="78" spans="1:51" x14ac:dyDescent="0.3">
      <c r="A78" s="7"/>
      <c r="B78" s="7"/>
      <c r="C78" s="7"/>
      <c r="D78" s="7"/>
      <c r="E78" s="32" t="s">
        <v>550</v>
      </c>
      <c r="F78" s="32"/>
      <c r="G78" s="32">
        <v>71055</v>
      </c>
      <c r="H78" s="32" t="s">
        <v>465</v>
      </c>
      <c r="I78" s="33">
        <v>858.33600000000001</v>
      </c>
      <c r="J78" s="170"/>
      <c r="K78" s="7" t="str">
        <f>VLOOKUP($E78,Mapping!$E$11:$I$204,3,0)</f>
        <v>Connections</v>
      </c>
      <c r="L78" s="7" t="str">
        <f>IFERROR(VLOOKUP($G78,Mapping!$E$208:$K$236,5,0),"Contracts")</f>
        <v>Contracts</v>
      </c>
      <c r="M78" s="7" t="str">
        <f>IFERROR(VLOOKUP($G78,Mapping!$E$208:$K$236,7,0),"ENDirect")</f>
        <v>ENDirect</v>
      </c>
      <c r="N78" s="7" t="str">
        <f>IFERROR(HLOOKUP(L78,'Calc|Weightings'!$U$5:$W$5,1,0),"Excl")</f>
        <v>Contracts</v>
      </c>
      <c r="O78" s="7" t="str">
        <f>VLOOKUP(E78,Mapping!$E$11:$I$204,5,0)</f>
        <v>SCS</v>
      </c>
      <c r="Q78" s="32" t="s">
        <v>549</v>
      </c>
      <c r="R78" s="32"/>
      <c r="S78" s="32">
        <v>80000</v>
      </c>
      <c r="T78" s="32" t="s">
        <v>453</v>
      </c>
      <c r="U78" s="33">
        <v>899.505</v>
      </c>
      <c r="V78" s="7"/>
      <c r="W78" s="7" t="str">
        <f>VLOOKUP($Q78,Mapping!$E$11:$I$204,3,0)</f>
        <v>Connections</v>
      </c>
      <c r="X78" s="7" t="str">
        <f>IFERROR(VLOOKUP($S78,Mapping!$E$208:$K$236,5,0),"Contracts")</f>
        <v>Overhead</v>
      </c>
      <c r="Y78" s="7" t="str">
        <f>IFERROR(VLOOKUP($S78,Mapping!$E$208:$K$236,7,0),"ENDirect")</f>
        <v>OH</v>
      </c>
      <c r="Z78" s="7" t="str">
        <f>IFERROR(HLOOKUP(X78,'Calc|Weightings'!$U$5:$W$5,1,0),"Excl")</f>
        <v>Excl</v>
      </c>
      <c r="AA78" s="7" t="str">
        <f>VLOOKUP(Q78,Mapping!$E$11:$I$204,5,0)</f>
        <v>SCS</v>
      </c>
      <c r="AC78" s="35" t="s">
        <v>194</v>
      </c>
      <c r="AD78" s="35"/>
      <c r="AE78" s="35">
        <v>80000</v>
      </c>
      <c r="AF78" s="35" t="s">
        <v>453</v>
      </c>
      <c r="AG78" s="36">
        <v>29.856999999999999</v>
      </c>
      <c r="AI78" s="7" t="str">
        <f>VLOOKUP($AC78,Mapping!$E$11:$I$204,3,0)</f>
        <v>Replacement</v>
      </c>
      <c r="AJ78" s="7" t="str">
        <f>IFERROR(VLOOKUP($AE78,Mapping!$E$208:$K$236,5,0),"Contracts")</f>
        <v>Overhead</v>
      </c>
      <c r="AK78" s="7" t="str">
        <f>IFERROR(VLOOKUP($AE78,Mapping!$E$208:$K$236,7,0),"ENDirect")</f>
        <v>OH</v>
      </c>
      <c r="AL78" s="7" t="str">
        <f>IFERROR(HLOOKUP(AJ78,'Calc|Weightings'!$U$5:$W$5,1,0),"Excl")</f>
        <v>Excl</v>
      </c>
      <c r="AM78" s="7" t="str">
        <f>VLOOKUP(AC78,Mapping!$E$11:$I$204,5,0)</f>
        <v>SCS</v>
      </c>
      <c r="AO78" s="35" t="s">
        <v>552</v>
      </c>
      <c r="AP78" s="35"/>
      <c r="AQ78" s="35">
        <v>71015</v>
      </c>
      <c r="AR78" s="35" t="s">
        <v>585</v>
      </c>
      <c r="AS78" s="121">
        <v>14.351659999999992</v>
      </c>
      <c r="AU78" s="7" t="str">
        <f>VLOOKUP($AO78,Mapping!$E$11:$I$204,3,0)</f>
        <v>Connections</v>
      </c>
      <c r="AV78" s="7" t="str">
        <f>IFERROR(VLOOKUP($AQ78,Mapping!$E$208:$K$236,5,0),"Contracts")</f>
        <v>Materials</v>
      </c>
      <c r="AW78" s="7" t="str">
        <f>IFERROR(VLOOKUP($AQ78,Mapping!$E$208:$K$236,7,0),"ENDirect")</f>
        <v>ENDirect</v>
      </c>
      <c r="AX78" s="7" t="str">
        <f>IFERROR(HLOOKUP(AV78,'Calc|Weightings'!$U$5:$W$5,1,0),"Excl")</f>
        <v>Materials</v>
      </c>
      <c r="AY78" s="7" t="str">
        <f>VLOOKUP(AO78,Mapping!$E$11:$I$204,5,0)</f>
        <v>SCS</v>
      </c>
    </row>
    <row r="79" spans="1:51" x14ac:dyDescent="0.3">
      <c r="A79" s="7"/>
      <c r="B79" s="7"/>
      <c r="C79" s="7"/>
      <c r="D79" s="7"/>
      <c r="E79" s="32" t="s">
        <v>550</v>
      </c>
      <c r="F79" s="32"/>
      <c r="G79" s="32">
        <v>80000</v>
      </c>
      <c r="H79" s="32" t="s">
        <v>453</v>
      </c>
      <c r="I79" s="33">
        <v>887.24199999999996</v>
      </c>
      <c r="J79" s="170"/>
      <c r="K79" s="7" t="str">
        <f>VLOOKUP($E79,Mapping!$E$11:$I$204,3,0)</f>
        <v>Connections</v>
      </c>
      <c r="L79" s="7" t="str">
        <f>IFERROR(VLOOKUP($G79,Mapping!$E$208:$K$236,5,0),"Contracts")</f>
        <v>Overhead</v>
      </c>
      <c r="M79" s="7" t="str">
        <f>IFERROR(VLOOKUP($G79,Mapping!$E$208:$K$236,7,0),"ENDirect")</f>
        <v>OH</v>
      </c>
      <c r="N79" s="7" t="str">
        <f>IFERROR(HLOOKUP(L79,'Calc|Weightings'!$U$5:$W$5,1,0),"Excl")</f>
        <v>Excl</v>
      </c>
      <c r="O79" s="7" t="str">
        <f>VLOOKUP(E79,Mapping!$E$11:$I$204,5,0)</f>
        <v>SCS</v>
      </c>
      <c r="Q79" s="32" t="s">
        <v>210</v>
      </c>
      <c r="R79" s="32"/>
      <c r="S79" s="32">
        <v>71000</v>
      </c>
      <c r="T79" s="32" t="s">
        <v>457</v>
      </c>
      <c r="U79" s="33">
        <f>2368.854-173</f>
        <v>2195.8539999999998</v>
      </c>
      <c r="V79" s="7"/>
      <c r="W79" s="7" t="str">
        <f>VLOOKUP($Q79,Mapping!$E$11:$I$204,3,0)</f>
        <v>Replacement</v>
      </c>
      <c r="X79" s="7" t="str">
        <f>IFERROR(VLOOKUP($S79,Mapping!$E$208:$K$236,5,0),"Contracts")</f>
        <v>Labour</v>
      </c>
      <c r="Y79" s="7" t="str">
        <f>IFERROR(VLOOKUP($S79,Mapping!$E$208:$K$236,7,0),"ENDirect")</f>
        <v>ENDirect</v>
      </c>
      <c r="Z79" s="7" t="str">
        <f>IFERROR(HLOOKUP(X79,'Calc|Weightings'!$U$5:$W$5,1,0),"Excl")</f>
        <v>Labour</v>
      </c>
      <c r="AA79" s="7" t="str">
        <f>VLOOKUP(Q79,Mapping!$E$11:$I$204,5,0)</f>
        <v>SCS</v>
      </c>
      <c r="AC79" s="35" t="s">
        <v>159</v>
      </c>
      <c r="AD79" s="35"/>
      <c r="AE79" s="35">
        <v>70815</v>
      </c>
      <c r="AF79" s="35" t="s">
        <v>451</v>
      </c>
      <c r="AG79" s="36">
        <v>-1.415</v>
      </c>
      <c r="AI79" s="7" t="str">
        <f>VLOOKUP($AC79,Mapping!$E$11:$I$204,3,0)</f>
        <v>Replacement</v>
      </c>
      <c r="AJ79" s="7" t="str">
        <f>IFERROR(VLOOKUP($AE79,Mapping!$E$208:$K$236,5,0),"Contracts")</f>
        <v>Materials</v>
      </c>
      <c r="AK79" s="7" t="str">
        <f>IFERROR(VLOOKUP($AE79,Mapping!$E$208:$K$236,7,0),"ENDirect")</f>
        <v>ENDirect</v>
      </c>
      <c r="AL79" s="7" t="str">
        <f>IFERROR(HLOOKUP(AJ79,'Calc|Weightings'!$U$5:$W$5,1,0),"Excl")</f>
        <v>Materials</v>
      </c>
      <c r="AM79" s="7" t="str">
        <f>VLOOKUP(AC79,Mapping!$E$11:$I$204,5,0)</f>
        <v>SCS</v>
      </c>
      <c r="AO79" s="35" t="s">
        <v>552</v>
      </c>
      <c r="AP79" s="35"/>
      <c r="AQ79" s="35">
        <v>71020</v>
      </c>
      <c r="AR79" s="35" t="s">
        <v>590</v>
      </c>
      <c r="AS79" s="121">
        <v>0.27938000000000002</v>
      </c>
      <c r="AU79" s="7" t="str">
        <f>VLOOKUP($AO79,Mapping!$E$11:$I$204,3,0)</f>
        <v>Connections</v>
      </c>
      <c r="AV79" s="7" t="str">
        <f>IFERROR(VLOOKUP($AQ79,Mapping!$E$208:$K$236,5,0),"Contracts")</f>
        <v>Contracts</v>
      </c>
      <c r="AW79" s="7" t="str">
        <f>IFERROR(VLOOKUP($AQ79,Mapping!$E$208:$K$236,7,0),"ENDirect")</f>
        <v>ENDirect</v>
      </c>
      <c r="AX79" s="7" t="str">
        <f>IFERROR(HLOOKUP(AV79,'Calc|Weightings'!$U$5:$W$5,1,0),"Excl")</f>
        <v>Contracts</v>
      </c>
      <c r="AY79" s="7" t="str">
        <f>VLOOKUP(AO79,Mapping!$E$11:$I$204,5,0)</f>
        <v>SCS</v>
      </c>
    </row>
    <row r="80" spans="1:51" x14ac:dyDescent="0.3">
      <c r="A80" s="7"/>
      <c r="B80" s="7"/>
      <c r="C80" s="7"/>
      <c r="D80" s="7"/>
      <c r="E80" s="32" t="s">
        <v>550</v>
      </c>
      <c r="F80" s="32"/>
      <c r="G80" s="32">
        <v>71005</v>
      </c>
      <c r="H80" s="32" t="s">
        <v>461</v>
      </c>
      <c r="I80" s="33">
        <v>851.72</v>
      </c>
      <c r="J80" s="170"/>
      <c r="K80" s="7" t="str">
        <f>VLOOKUP($E80,Mapping!$E$11:$I$204,3,0)</f>
        <v>Connections</v>
      </c>
      <c r="L80" s="7" t="str">
        <f>IFERROR(VLOOKUP($G80,Mapping!$E$208:$K$236,5,0),"Contracts")</f>
        <v>Materials</v>
      </c>
      <c r="M80" s="7" t="str">
        <f>IFERROR(VLOOKUP($G80,Mapping!$E$208:$K$236,7,0),"ENDirect")</f>
        <v>ENDirect</v>
      </c>
      <c r="N80" s="7" t="str">
        <f>IFERROR(HLOOKUP(L80,'Calc|Weightings'!$U$5:$W$5,1,0),"Excl")</f>
        <v>Materials</v>
      </c>
      <c r="O80" s="7" t="str">
        <f>VLOOKUP(E80,Mapping!$E$11:$I$204,5,0)</f>
        <v>SCS</v>
      </c>
      <c r="Q80" s="32" t="s">
        <v>210</v>
      </c>
      <c r="R80" s="32"/>
      <c r="S80" s="32">
        <v>71005</v>
      </c>
      <c r="T80" s="32" t="s">
        <v>461</v>
      </c>
      <c r="U80" s="33">
        <v>892.23099999999999</v>
      </c>
      <c r="V80" s="7"/>
      <c r="W80" s="7" t="str">
        <f>VLOOKUP($Q80,Mapping!$E$11:$I$204,3,0)</f>
        <v>Replacement</v>
      </c>
      <c r="X80" s="7" t="str">
        <f>IFERROR(VLOOKUP($S80,Mapping!$E$208:$K$236,5,0),"Contracts")</f>
        <v>Materials</v>
      </c>
      <c r="Y80" s="7" t="str">
        <f>IFERROR(VLOOKUP($S80,Mapping!$E$208:$K$236,7,0),"ENDirect")</f>
        <v>ENDirect</v>
      </c>
      <c r="Z80" s="7" t="str">
        <f>IFERROR(HLOOKUP(X80,'Calc|Weightings'!$U$5:$W$5,1,0),"Excl")</f>
        <v>Materials</v>
      </c>
      <c r="AA80" s="7" t="str">
        <f>VLOOKUP(Q80,Mapping!$E$11:$I$204,5,0)</f>
        <v>SCS</v>
      </c>
      <c r="AC80" s="35" t="s">
        <v>159</v>
      </c>
      <c r="AD80" s="35"/>
      <c r="AE80" s="35">
        <v>71000</v>
      </c>
      <c r="AF80" s="35" t="s">
        <v>457</v>
      </c>
      <c r="AG80" s="36">
        <v>-0.46</v>
      </c>
      <c r="AI80" s="7" t="str">
        <f>VLOOKUP($AC80,Mapping!$E$11:$I$204,3,0)</f>
        <v>Replacement</v>
      </c>
      <c r="AJ80" s="7" t="str">
        <f>IFERROR(VLOOKUP($AE80,Mapping!$E$208:$K$236,5,0),"Contracts")</f>
        <v>Labour</v>
      </c>
      <c r="AK80" s="7" t="str">
        <f>IFERROR(VLOOKUP($AE80,Mapping!$E$208:$K$236,7,0),"ENDirect")</f>
        <v>ENDirect</v>
      </c>
      <c r="AL80" s="7" t="str">
        <f>IFERROR(HLOOKUP(AJ80,'Calc|Weightings'!$U$5:$W$5,1,0),"Excl")</f>
        <v>Labour</v>
      </c>
      <c r="AM80" s="7" t="str">
        <f>VLOOKUP(AC80,Mapping!$E$11:$I$204,5,0)</f>
        <v>SCS</v>
      </c>
      <c r="AO80" s="35" t="s">
        <v>552</v>
      </c>
      <c r="AP80" s="35"/>
      <c r="AQ80" s="35">
        <v>71030</v>
      </c>
      <c r="AR80" s="35" t="s">
        <v>464</v>
      </c>
      <c r="AS80" s="121">
        <v>27.416469999999986</v>
      </c>
      <c r="AU80" s="7" t="str">
        <f>VLOOKUP($AO80,Mapping!$E$11:$I$204,3,0)</f>
        <v>Connections</v>
      </c>
      <c r="AV80" s="7" t="str">
        <f>IFERROR(VLOOKUP($AQ80,Mapping!$E$208:$K$236,5,0),"Contracts")</f>
        <v>Contracts</v>
      </c>
      <c r="AW80" s="7" t="str">
        <f>IFERROR(VLOOKUP($AQ80,Mapping!$E$208:$K$236,7,0),"ENDirect")</f>
        <v>ENDirect</v>
      </c>
      <c r="AX80" s="7" t="str">
        <f>IFERROR(HLOOKUP(AV80,'Calc|Weightings'!$U$5:$W$5,1,0),"Excl")</f>
        <v>Contracts</v>
      </c>
      <c r="AY80" s="7" t="str">
        <f>VLOOKUP(AO80,Mapping!$E$11:$I$204,5,0)</f>
        <v>SCS</v>
      </c>
    </row>
    <row r="81" spans="1:51" x14ac:dyDescent="0.3">
      <c r="A81" s="7"/>
      <c r="B81" s="7"/>
      <c r="C81" s="7"/>
      <c r="D81" s="7"/>
      <c r="E81" s="32" t="s">
        <v>210</v>
      </c>
      <c r="F81" s="32"/>
      <c r="G81" s="32">
        <v>70815</v>
      </c>
      <c r="H81" s="32" t="s">
        <v>451</v>
      </c>
      <c r="I81" s="33">
        <v>83.513999999999996</v>
      </c>
      <c r="J81" s="170"/>
      <c r="K81" s="7" t="str">
        <f>VLOOKUP($E81,Mapping!$E$11:$I$204,3,0)</f>
        <v>Replacement</v>
      </c>
      <c r="L81" s="7" t="str">
        <f>IFERROR(VLOOKUP($G81,Mapping!$E$208:$K$236,5,0),"Contracts")</f>
        <v>Materials</v>
      </c>
      <c r="M81" s="7" t="str">
        <f>IFERROR(VLOOKUP($G81,Mapping!$E$208:$K$236,7,0),"ENDirect")</f>
        <v>ENDirect</v>
      </c>
      <c r="N81" s="7" t="str">
        <f>IFERROR(HLOOKUP(L81,'Calc|Weightings'!$U$5:$W$5,1,0),"Excl")</f>
        <v>Materials</v>
      </c>
      <c r="O81" s="7" t="str">
        <f>VLOOKUP(E81,Mapping!$E$11:$I$204,5,0)</f>
        <v>SCS</v>
      </c>
      <c r="Q81" s="32" t="s">
        <v>210</v>
      </c>
      <c r="R81" s="32"/>
      <c r="S81" s="32">
        <v>71010</v>
      </c>
      <c r="T81" s="32" t="s">
        <v>462</v>
      </c>
      <c r="U81" s="33">
        <v>1701.7739999999999</v>
      </c>
      <c r="V81" s="7"/>
      <c r="W81" s="7" t="str">
        <f>VLOOKUP($Q81,Mapping!$E$11:$I$204,3,0)</f>
        <v>Replacement</v>
      </c>
      <c r="X81" s="7" t="str">
        <f>IFERROR(VLOOKUP($S81,Mapping!$E$208:$K$236,5,0),"Contracts")</f>
        <v>Labour</v>
      </c>
      <c r="Y81" s="7" t="str">
        <f>IFERROR(VLOOKUP($S81,Mapping!$E$208:$K$236,7,0),"ENDirect")</f>
        <v>ENDirect</v>
      </c>
      <c r="Z81" s="7" t="str">
        <f>IFERROR(HLOOKUP(X81,'Calc|Weightings'!$U$5:$W$5,1,0),"Excl")</f>
        <v>Labour</v>
      </c>
      <c r="AA81" s="7" t="str">
        <f>VLOOKUP(Q81,Mapping!$E$11:$I$204,5,0)</f>
        <v>SCS</v>
      </c>
      <c r="AC81" s="35" t="s">
        <v>159</v>
      </c>
      <c r="AD81" s="35"/>
      <c r="AE81" s="35">
        <v>71005</v>
      </c>
      <c r="AF81" s="35" t="s">
        <v>461</v>
      </c>
      <c r="AG81" s="36">
        <v>-0.18099999999999999</v>
      </c>
      <c r="AI81" s="7" t="str">
        <f>VLOOKUP($AC81,Mapping!$E$11:$I$204,3,0)</f>
        <v>Replacement</v>
      </c>
      <c r="AJ81" s="7" t="str">
        <f>IFERROR(VLOOKUP($AE81,Mapping!$E$208:$K$236,5,0),"Contracts")</f>
        <v>Materials</v>
      </c>
      <c r="AK81" s="7" t="str">
        <f>IFERROR(VLOOKUP($AE81,Mapping!$E$208:$K$236,7,0),"ENDirect")</f>
        <v>ENDirect</v>
      </c>
      <c r="AL81" s="7" t="str">
        <f>IFERROR(HLOOKUP(AJ81,'Calc|Weightings'!$U$5:$W$5,1,0),"Excl")</f>
        <v>Materials</v>
      </c>
      <c r="AM81" s="7" t="str">
        <f>VLOOKUP(AC81,Mapping!$E$11:$I$204,5,0)</f>
        <v>SCS</v>
      </c>
      <c r="AO81" s="35" t="s">
        <v>552</v>
      </c>
      <c r="AP81" s="35"/>
      <c r="AQ81" s="35">
        <v>71040</v>
      </c>
      <c r="AR81" s="35" t="s">
        <v>460</v>
      </c>
      <c r="AS81" s="121">
        <v>-4.7719999999999999E-2</v>
      </c>
      <c r="AU81" s="7" t="str">
        <f>VLOOKUP($AO81,Mapping!$E$11:$I$204,3,0)</f>
        <v>Connections</v>
      </c>
      <c r="AV81" s="7" t="str">
        <f>IFERROR(VLOOKUP($AQ81,Mapping!$E$208:$K$236,5,0),"Contracts")</f>
        <v>Contracts</v>
      </c>
      <c r="AW81" s="7" t="str">
        <f>IFERROR(VLOOKUP($AQ81,Mapping!$E$208:$K$236,7,0),"ENDirect")</f>
        <v>ENDirect</v>
      </c>
      <c r="AX81" s="7" t="str">
        <f>IFERROR(HLOOKUP(AV81,'Calc|Weightings'!$U$5:$W$5,1,0),"Excl")</f>
        <v>Contracts</v>
      </c>
      <c r="AY81" s="7" t="str">
        <f>VLOOKUP(AO81,Mapping!$E$11:$I$204,5,0)</f>
        <v>SCS</v>
      </c>
    </row>
    <row r="82" spans="1:51" x14ac:dyDescent="0.3">
      <c r="A82" s="7"/>
      <c r="B82" s="7"/>
      <c r="C82" s="7"/>
      <c r="D82" s="7"/>
      <c r="E82" s="32" t="s">
        <v>111</v>
      </c>
      <c r="F82" s="32"/>
      <c r="G82" s="32">
        <v>71040</v>
      </c>
      <c r="H82" s="32" t="s">
        <v>460</v>
      </c>
      <c r="I82" s="33">
        <v>-6.867</v>
      </c>
      <c r="J82" s="170"/>
      <c r="K82" s="7" t="str">
        <f>VLOOKUP($E82,Mapping!$E$11:$I$204,3,0)</f>
        <v>Connections</v>
      </c>
      <c r="L82" s="7" t="str">
        <f>IFERROR(VLOOKUP($G82,Mapping!$E$208:$K$236,5,0),"Contracts")</f>
        <v>Contracts</v>
      </c>
      <c r="M82" s="7" t="str">
        <f>IFERROR(VLOOKUP($G82,Mapping!$E$208:$K$236,7,0),"ENDirect")</f>
        <v>ENDirect</v>
      </c>
      <c r="N82" s="7" t="str">
        <f>IFERROR(HLOOKUP(L82,'Calc|Weightings'!$U$5:$W$5,1,0),"Excl")</f>
        <v>Contracts</v>
      </c>
      <c r="O82" s="7" t="str">
        <f>VLOOKUP(E82,Mapping!$E$11:$I$204,5,0)</f>
        <v>SCS</v>
      </c>
      <c r="Q82" s="32" t="s">
        <v>210</v>
      </c>
      <c r="R82" s="32"/>
      <c r="S82" s="32">
        <v>71015</v>
      </c>
      <c r="T82" s="32" t="s">
        <v>463</v>
      </c>
      <c r="U82" s="33">
        <v>194.12</v>
      </c>
      <c r="V82" s="7"/>
      <c r="W82" s="7" t="str">
        <f>VLOOKUP($Q82,Mapping!$E$11:$I$204,3,0)</f>
        <v>Replacement</v>
      </c>
      <c r="X82" s="7" t="str">
        <f>IFERROR(VLOOKUP($S82,Mapping!$E$208:$K$236,5,0),"Contracts")</f>
        <v>Materials</v>
      </c>
      <c r="Y82" s="7" t="str">
        <f>IFERROR(VLOOKUP($S82,Mapping!$E$208:$K$236,7,0),"ENDirect")</f>
        <v>ENDirect</v>
      </c>
      <c r="Z82" s="7" t="str">
        <f>IFERROR(HLOOKUP(X82,'Calc|Weightings'!$U$5:$W$5,1,0),"Excl")</f>
        <v>Materials</v>
      </c>
      <c r="AA82" s="7" t="str">
        <f>VLOOKUP(Q82,Mapping!$E$11:$I$204,5,0)</f>
        <v>SCS</v>
      </c>
      <c r="AC82" s="35" t="s">
        <v>159</v>
      </c>
      <c r="AD82" s="35"/>
      <c r="AE82" s="35">
        <v>71010</v>
      </c>
      <c r="AF82" s="35" t="s">
        <v>462</v>
      </c>
      <c r="AG82" s="36">
        <v>-24.863</v>
      </c>
      <c r="AI82" s="7" t="str">
        <f>VLOOKUP($AC82,Mapping!$E$11:$I$204,3,0)</f>
        <v>Replacement</v>
      </c>
      <c r="AJ82" s="7" t="str">
        <f>IFERROR(VLOOKUP($AE82,Mapping!$E$208:$K$236,5,0),"Contracts")</f>
        <v>Labour</v>
      </c>
      <c r="AK82" s="7" t="str">
        <f>IFERROR(VLOOKUP($AE82,Mapping!$E$208:$K$236,7,0),"ENDirect")</f>
        <v>ENDirect</v>
      </c>
      <c r="AL82" s="7" t="str">
        <f>IFERROR(HLOOKUP(AJ82,'Calc|Weightings'!$U$5:$W$5,1,0),"Excl")</f>
        <v>Labour</v>
      </c>
      <c r="AM82" s="7" t="str">
        <f>VLOOKUP(AC82,Mapping!$E$11:$I$204,5,0)</f>
        <v>SCS</v>
      </c>
      <c r="AO82" s="35" t="s">
        <v>552</v>
      </c>
      <c r="AP82" s="35"/>
      <c r="AQ82" s="35">
        <v>71055</v>
      </c>
      <c r="AR82" s="35" t="s">
        <v>465</v>
      </c>
      <c r="AS82" s="121">
        <v>66.765560000000008</v>
      </c>
      <c r="AU82" s="7" t="str">
        <f>VLOOKUP($AO82,Mapping!$E$11:$I$204,3,0)</f>
        <v>Connections</v>
      </c>
      <c r="AV82" s="7" t="str">
        <f>IFERROR(VLOOKUP($AQ82,Mapping!$E$208:$K$236,5,0),"Contracts")</f>
        <v>Contracts</v>
      </c>
      <c r="AW82" s="7" t="str">
        <f>IFERROR(VLOOKUP($AQ82,Mapping!$E$208:$K$236,7,0),"ENDirect")</f>
        <v>ENDirect</v>
      </c>
      <c r="AX82" s="7" t="str">
        <f>IFERROR(HLOOKUP(AV82,'Calc|Weightings'!$U$5:$W$5,1,0),"Excl")</f>
        <v>Contracts</v>
      </c>
      <c r="AY82" s="7" t="str">
        <f>VLOOKUP(AO82,Mapping!$E$11:$I$204,5,0)</f>
        <v>SCS</v>
      </c>
    </row>
    <row r="83" spans="1:51" x14ac:dyDescent="0.3">
      <c r="A83" s="7"/>
      <c r="B83" s="7"/>
      <c r="C83" s="7"/>
      <c r="D83" s="7"/>
      <c r="E83" s="32" t="s">
        <v>528</v>
      </c>
      <c r="F83" s="32"/>
      <c r="G83" s="32">
        <v>71000</v>
      </c>
      <c r="H83" s="32" t="s">
        <v>457</v>
      </c>
      <c r="I83" s="33">
        <v>598.428</v>
      </c>
      <c r="J83" s="170"/>
      <c r="K83" s="7" t="str">
        <f>VLOOKUP($E83,Mapping!$E$11:$I$204,3,0)</f>
        <v>Connections</v>
      </c>
      <c r="L83" s="7" t="str">
        <f>IFERROR(VLOOKUP($G83,Mapping!$E$208:$K$236,5,0),"Contracts")</f>
        <v>Labour</v>
      </c>
      <c r="M83" s="7" t="str">
        <f>IFERROR(VLOOKUP($G83,Mapping!$E$208:$K$236,7,0),"ENDirect")</f>
        <v>ENDirect</v>
      </c>
      <c r="N83" s="7" t="str">
        <f>IFERROR(HLOOKUP(L83,'Calc|Weightings'!$U$5:$W$5,1,0),"Excl")</f>
        <v>Labour</v>
      </c>
      <c r="O83" s="7" t="str">
        <f>VLOOKUP(E83,Mapping!$E$11:$I$204,5,0)</f>
        <v>SCS</v>
      </c>
      <c r="Q83" s="32" t="s">
        <v>210</v>
      </c>
      <c r="R83" s="32"/>
      <c r="S83" s="32">
        <v>71020</v>
      </c>
      <c r="T83" s="32" t="s">
        <v>459</v>
      </c>
      <c r="U83" s="33">
        <v>81.616</v>
      </c>
      <c r="V83" s="7"/>
      <c r="W83" s="7" t="str">
        <f>VLOOKUP($Q83,Mapping!$E$11:$I$204,3,0)</f>
        <v>Replacement</v>
      </c>
      <c r="X83" s="7" t="str">
        <f>IFERROR(VLOOKUP($S83,Mapping!$E$208:$K$236,5,0),"Contracts")</f>
        <v>Contracts</v>
      </c>
      <c r="Y83" s="7" t="str">
        <f>IFERROR(VLOOKUP($S83,Mapping!$E$208:$K$236,7,0),"ENDirect")</f>
        <v>ENDirect</v>
      </c>
      <c r="Z83" s="7" t="str">
        <f>IFERROR(HLOOKUP(X83,'Calc|Weightings'!$U$5:$W$5,1,0),"Excl")</f>
        <v>Contracts</v>
      </c>
      <c r="AA83" s="7" t="str">
        <f>VLOOKUP(Q83,Mapping!$E$11:$I$204,5,0)</f>
        <v>SCS</v>
      </c>
      <c r="AC83" s="35" t="s">
        <v>159</v>
      </c>
      <c r="AD83" s="35"/>
      <c r="AE83" s="35">
        <v>71015</v>
      </c>
      <c r="AF83" s="35" t="s">
        <v>463</v>
      </c>
      <c r="AG83" s="36">
        <v>-6.0000000000000001E-3</v>
      </c>
      <c r="AI83" s="7" t="str">
        <f>VLOOKUP($AC83,Mapping!$E$11:$I$204,3,0)</f>
        <v>Replacement</v>
      </c>
      <c r="AJ83" s="7" t="str">
        <f>IFERROR(VLOOKUP($AE83,Mapping!$E$208:$K$236,5,0),"Contracts")</f>
        <v>Materials</v>
      </c>
      <c r="AK83" s="7" t="str">
        <f>IFERROR(VLOOKUP($AE83,Mapping!$E$208:$K$236,7,0),"ENDirect")</f>
        <v>ENDirect</v>
      </c>
      <c r="AL83" s="7" t="str">
        <f>IFERROR(HLOOKUP(AJ83,'Calc|Weightings'!$U$5:$W$5,1,0),"Excl")</f>
        <v>Materials</v>
      </c>
      <c r="AM83" s="7" t="str">
        <f>VLOOKUP(AC83,Mapping!$E$11:$I$204,5,0)</f>
        <v>SCS</v>
      </c>
      <c r="AO83" s="35" t="s">
        <v>552</v>
      </c>
      <c r="AP83" s="35"/>
      <c r="AQ83" s="35">
        <v>71070</v>
      </c>
      <c r="AR83" s="35" t="s">
        <v>586</v>
      </c>
      <c r="AS83" s="121">
        <v>1749.0419800000006</v>
      </c>
      <c r="AU83" s="7" t="str">
        <f>VLOOKUP($AO83,Mapping!$E$11:$I$204,3,0)</f>
        <v>Connections</v>
      </c>
      <c r="AV83" s="7" t="str">
        <f>IFERROR(VLOOKUP($AQ83,Mapping!$E$208:$K$236,5,0),"Contracts")</f>
        <v>Contracts</v>
      </c>
      <c r="AW83" s="7" t="str">
        <f>IFERROR(VLOOKUP($AQ83,Mapping!$E$208:$K$236,7,0),"ENDirect")</f>
        <v>ENDirect</v>
      </c>
      <c r="AX83" s="7" t="str">
        <f>IFERROR(HLOOKUP(AV83,'Calc|Weightings'!$U$5:$W$5,1,0),"Excl")</f>
        <v>Contracts</v>
      </c>
      <c r="AY83" s="7" t="str">
        <f>VLOOKUP(AO83,Mapping!$E$11:$I$204,5,0)</f>
        <v>SCS</v>
      </c>
    </row>
    <row r="84" spans="1:51" x14ac:dyDescent="0.3">
      <c r="A84" s="7"/>
      <c r="B84" s="7"/>
      <c r="C84" s="7"/>
      <c r="D84" s="7"/>
      <c r="E84" s="32" t="s">
        <v>528</v>
      </c>
      <c r="F84" s="32"/>
      <c r="G84" s="32">
        <v>71010</v>
      </c>
      <c r="H84" s="32" t="s">
        <v>462</v>
      </c>
      <c r="I84" s="33">
        <v>508.98099999999999</v>
      </c>
      <c r="J84" s="170"/>
      <c r="K84" s="7" t="str">
        <f>VLOOKUP($E84,Mapping!$E$11:$I$204,3,0)</f>
        <v>Connections</v>
      </c>
      <c r="L84" s="7" t="str">
        <f>IFERROR(VLOOKUP($G84,Mapping!$E$208:$K$236,5,0),"Contracts")</f>
        <v>Labour</v>
      </c>
      <c r="M84" s="7" t="str">
        <f>IFERROR(VLOOKUP($G84,Mapping!$E$208:$K$236,7,0),"ENDirect")</f>
        <v>ENDirect</v>
      </c>
      <c r="N84" s="7" t="str">
        <f>IFERROR(HLOOKUP(L84,'Calc|Weightings'!$U$5:$W$5,1,0),"Excl")</f>
        <v>Labour</v>
      </c>
      <c r="O84" s="7" t="str">
        <f>VLOOKUP(E84,Mapping!$E$11:$I$204,5,0)</f>
        <v>SCS</v>
      </c>
      <c r="Q84" s="32" t="s">
        <v>210</v>
      </c>
      <c r="R84" s="32"/>
      <c r="S84" s="32">
        <v>71030</v>
      </c>
      <c r="T84" s="32" t="s">
        <v>464</v>
      </c>
      <c r="U84" s="33">
        <v>188.67500000000001</v>
      </c>
      <c r="V84" s="7"/>
      <c r="W84" s="7" t="str">
        <f>VLOOKUP($Q84,Mapping!$E$11:$I$204,3,0)</f>
        <v>Replacement</v>
      </c>
      <c r="X84" s="7" t="str">
        <f>IFERROR(VLOOKUP($S84,Mapping!$E$208:$K$236,5,0),"Contracts")</f>
        <v>Contracts</v>
      </c>
      <c r="Y84" s="7" t="str">
        <f>IFERROR(VLOOKUP($S84,Mapping!$E$208:$K$236,7,0),"ENDirect")</f>
        <v>ENDirect</v>
      </c>
      <c r="Z84" s="7" t="str">
        <f>IFERROR(HLOOKUP(X84,'Calc|Weightings'!$U$5:$W$5,1,0),"Excl")</f>
        <v>Contracts</v>
      </c>
      <c r="AA84" s="7" t="str">
        <f>VLOOKUP(Q84,Mapping!$E$11:$I$204,5,0)</f>
        <v>SCS</v>
      </c>
      <c r="AC84" s="35" t="s">
        <v>159</v>
      </c>
      <c r="AD84" s="35"/>
      <c r="AE84" s="35">
        <v>71030</v>
      </c>
      <c r="AF84" s="35" t="s">
        <v>464</v>
      </c>
      <c r="AG84" s="36">
        <v>-2.294</v>
      </c>
      <c r="AI84" s="7" t="str">
        <f>VLOOKUP($AC84,Mapping!$E$11:$I$204,3,0)</f>
        <v>Replacement</v>
      </c>
      <c r="AJ84" s="7" t="str">
        <f>IFERROR(VLOOKUP($AE84,Mapping!$E$208:$K$236,5,0),"Contracts")</f>
        <v>Contracts</v>
      </c>
      <c r="AK84" s="7" t="str">
        <f>IFERROR(VLOOKUP($AE84,Mapping!$E$208:$K$236,7,0),"ENDirect")</f>
        <v>ENDirect</v>
      </c>
      <c r="AL84" s="7" t="str">
        <f>IFERROR(HLOOKUP(AJ84,'Calc|Weightings'!$U$5:$W$5,1,0),"Excl")</f>
        <v>Contracts</v>
      </c>
      <c r="AM84" s="7" t="str">
        <f>VLOOKUP(AC84,Mapping!$E$11:$I$204,5,0)</f>
        <v>SCS</v>
      </c>
      <c r="AO84" s="35" t="s">
        <v>552</v>
      </c>
      <c r="AP84" s="35"/>
      <c r="AQ84" s="35">
        <v>71075</v>
      </c>
      <c r="AR84" s="35" t="s">
        <v>587</v>
      </c>
      <c r="AS84" s="121">
        <v>202.00715000000005</v>
      </c>
      <c r="AU84" s="7" t="str">
        <f>VLOOKUP($AO84,Mapping!$E$11:$I$204,3,0)</f>
        <v>Connections</v>
      </c>
      <c r="AV84" s="7" t="str">
        <f>IFERROR(VLOOKUP($AQ84,Mapping!$E$208:$K$236,5,0),"Contracts")</f>
        <v>Contracts</v>
      </c>
      <c r="AW84" s="7" t="str">
        <f>IFERROR(VLOOKUP($AQ84,Mapping!$E$208:$K$236,7,0),"ENDirect")</f>
        <v>ENDirect</v>
      </c>
      <c r="AX84" s="7" t="str">
        <f>IFERROR(HLOOKUP(AV84,'Calc|Weightings'!$U$5:$W$5,1,0),"Excl")</f>
        <v>Contracts</v>
      </c>
      <c r="AY84" s="7" t="str">
        <f>VLOOKUP(AO84,Mapping!$E$11:$I$204,5,0)</f>
        <v>SCS</v>
      </c>
    </row>
    <row r="85" spans="1:51" x14ac:dyDescent="0.3">
      <c r="A85" s="7"/>
      <c r="B85" s="7"/>
      <c r="C85" s="7"/>
      <c r="D85" s="7"/>
      <c r="E85" s="32" t="s">
        <v>528</v>
      </c>
      <c r="F85" s="32"/>
      <c r="G85" s="32">
        <v>71030</v>
      </c>
      <c r="H85" s="32" t="s">
        <v>464</v>
      </c>
      <c r="I85" s="33">
        <v>105.307</v>
      </c>
      <c r="J85" s="170"/>
      <c r="K85" s="7" t="str">
        <f>VLOOKUP($E85,Mapping!$E$11:$I$204,3,0)</f>
        <v>Connections</v>
      </c>
      <c r="L85" s="7" t="str">
        <f>IFERROR(VLOOKUP($G85,Mapping!$E$208:$K$236,5,0),"Contracts")</f>
        <v>Contracts</v>
      </c>
      <c r="M85" s="7" t="str">
        <f>IFERROR(VLOOKUP($G85,Mapping!$E$208:$K$236,7,0),"ENDirect")</f>
        <v>ENDirect</v>
      </c>
      <c r="N85" s="7" t="str">
        <f>IFERROR(HLOOKUP(L85,'Calc|Weightings'!$U$5:$W$5,1,0),"Excl")</f>
        <v>Contracts</v>
      </c>
      <c r="O85" s="7" t="str">
        <f>VLOOKUP(E85,Mapping!$E$11:$I$204,5,0)</f>
        <v>SCS</v>
      </c>
      <c r="Q85" s="32" t="s">
        <v>210</v>
      </c>
      <c r="R85" s="32"/>
      <c r="S85" s="32">
        <v>71055</v>
      </c>
      <c r="T85" s="32" t="s">
        <v>465</v>
      </c>
      <c r="U85" s="33">
        <v>378.01299999999998</v>
      </c>
      <c r="V85" s="7"/>
      <c r="W85" s="7" t="str">
        <f>VLOOKUP($Q85,Mapping!$E$11:$I$204,3,0)</f>
        <v>Replacement</v>
      </c>
      <c r="X85" s="7" t="str">
        <f>IFERROR(VLOOKUP($S85,Mapping!$E$208:$K$236,5,0),"Contracts")</f>
        <v>Contracts</v>
      </c>
      <c r="Y85" s="7" t="str">
        <f>IFERROR(VLOOKUP($S85,Mapping!$E$208:$K$236,7,0),"ENDirect")</f>
        <v>ENDirect</v>
      </c>
      <c r="Z85" s="7" t="str">
        <f>IFERROR(HLOOKUP(X85,'Calc|Weightings'!$U$5:$W$5,1,0),"Excl")</f>
        <v>Contracts</v>
      </c>
      <c r="AA85" s="7" t="str">
        <f>VLOOKUP(Q85,Mapping!$E$11:$I$204,5,0)</f>
        <v>SCS</v>
      </c>
      <c r="AC85" s="35" t="s">
        <v>159</v>
      </c>
      <c r="AD85" s="35"/>
      <c r="AE85" s="35">
        <v>71040</v>
      </c>
      <c r="AF85" s="35" t="s">
        <v>460</v>
      </c>
      <c r="AG85" s="36">
        <v>20.280999999999999</v>
      </c>
      <c r="AI85" s="7" t="str">
        <f>VLOOKUP($AC85,Mapping!$E$11:$I$204,3,0)</f>
        <v>Replacement</v>
      </c>
      <c r="AJ85" s="7" t="str">
        <f>IFERROR(VLOOKUP($AE85,Mapping!$E$208:$K$236,5,0),"Contracts")</f>
        <v>Contracts</v>
      </c>
      <c r="AK85" s="7" t="str">
        <f>IFERROR(VLOOKUP($AE85,Mapping!$E$208:$K$236,7,0),"ENDirect")</f>
        <v>ENDirect</v>
      </c>
      <c r="AL85" s="7" t="str">
        <f>IFERROR(HLOOKUP(AJ85,'Calc|Weightings'!$U$5:$W$5,1,0),"Excl")</f>
        <v>Contracts</v>
      </c>
      <c r="AM85" s="7" t="str">
        <f>VLOOKUP(AC85,Mapping!$E$11:$I$204,5,0)</f>
        <v>SCS</v>
      </c>
      <c r="AO85" s="35" t="s">
        <v>552</v>
      </c>
      <c r="AP85" s="35"/>
      <c r="AQ85" s="35">
        <v>72345</v>
      </c>
      <c r="AR85" s="35" t="s">
        <v>588</v>
      </c>
      <c r="AS85" s="121">
        <v>338.80900000000003</v>
      </c>
      <c r="AU85" s="7" t="str">
        <f>VLOOKUP($AO85,Mapping!$E$11:$I$204,3,0)</f>
        <v>Connections</v>
      </c>
      <c r="AV85" s="7" t="str">
        <f>IFERROR(VLOOKUP($AQ85,Mapping!$E$208:$K$236,5,0),"Contracts")</f>
        <v>Contracts</v>
      </c>
      <c r="AW85" s="7" t="str">
        <f>IFERROR(VLOOKUP($AQ85,Mapping!$E$208:$K$236,7,0),"ENDirect")</f>
        <v>ENDirect</v>
      </c>
      <c r="AX85" s="7" t="str">
        <f>IFERROR(HLOOKUP(AV85,'Calc|Weightings'!$U$5:$W$5,1,0),"Excl")</f>
        <v>Contracts</v>
      </c>
      <c r="AY85" s="7" t="str">
        <f>VLOOKUP(AO85,Mapping!$E$11:$I$204,5,0)</f>
        <v>SCS</v>
      </c>
    </row>
    <row r="86" spans="1:51" x14ac:dyDescent="0.3">
      <c r="A86" s="7"/>
      <c r="B86" s="7"/>
      <c r="C86" s="7"/>
      <c r="D86" s="7"/>
      <c r="E86" s="32" t="s">
        <v>528</v>
      </c>
      <c r="F86" s="32"/>
      <c r="G86" s="32">
        <v>71055</v>
      </c>
      <c r="H86" s="32" t="s">
        <v>465</v>
      </c>
      <c r="I86" s="33">
        <v>179.83099999999999</v>
      </c>
      <c r="J86" s="170"/>
      <c r="K86" s="7" t="str">
        <f>VLOOKUP($E86,Mapping!$E$11:$I$204,3,0)</f>
        <v>Connections</v>
      </c>
      <c r="L86" s="7" t="str">
        <f>IFERROR(VLOOKUP($G86,Mapping!$E$208:$K$236,5,0),"Contracts")</f>
        <v>Contracts</v>
      </c>
      <c r="M86" s="7" t="str">
        <f>IFERROR(VLOOKUP($G86,Mapping!$E$208:$K$236,7,0),"ENDirect")</f>
        <v>ENDirect</v>
      </c>
      <c r="N86" s="7" t="str">
        <f>IFERROR(HLOOKUP(L86,'Calc|Weightings'!$U$5:$W$5,1,0),"Excl")</f>
        <v>Contracts</v>
      </c>
      <c r="O86" s="7" t="str">
        <f>VLOOKUP(E86,Mapping!$E$11:$I$204,5,0)</f>
        <v>SCS</v>
      </c>
      <c r="Q86" s="32" t="s">
        <v>210</v>
      </c>
      <c r="R86" s="32"/>
      <c r="S86" s="32">
        <v>80000</v>
      </c>
      <c r="T86" s="32" t="s">
        <v>453</v>
      </c>
      <c r="U86" s="33">
        <v>720.21900000000005</v>
      </c>
      <c r="V86" s="7"/>
      <c r="W86" s="7" t="str">
        <f>VLOOKUP($Q86,Mapping!$E$11:$I$204,3,0)</f>
        <v>Replacement</v>
      </c>
      <c r="X86" s="7" t="str">
        <f>IFERROR(VLOOKUP($S86,Mapping!$E$208:$K$236,5,0),"Contracts")</f>
        <v>Overhead</v>
      </c>
      <c r="Y86" s="7" t="str">
        <f>IFERROR(VLOOKUP($S86,Mapping!$E$208:$K$236,7,0),"ENDirect")</f>
        <v>OH</v>
      </c>
      <c r="Z86" s="7" t="str">
        <f>IFERROR(HLOOKUP(X86,'Calc|Weightings'!$U$5:$W$5,1,0),"Excl")</f>
        <v>Excl</v>
      </c>
      <c r="AA86" s="7" t="str">
        <f>VLOOKUP(Q86,Mapping!$E$11:$I$204,5,0)</f>
        <v>SCS</v>
      </c>
      <c r="AC86" s="35" t="s">
        <v>159</v>
      </c>
      <c r="AD86" s="35"/>
      <c r="AE86" s="35">
        <v>71055</v>
      </c>
      <c r="AF86" s="35" t="s">
        <v>465</v>
      </c>
      <c r="AG86" s="36">
        <v>-6.8010000000000002</v>
      </c>
      <c r="AI86" s="7" t="str">
        <f>VLOOKUP($AC86,Mapping!$E$11:$I$204,3,0)</f>
        <v>Replacement</v>
      </c>
      <c r="AJ86" s="7" t="str">
        <f>IFERROR(VLOOKUP($AE86,Mapping!$E$208:$K$236,5,0),"Contracts")</f>
        <v>Contracts</v>
      </c>
      <c r="AK86" s="7" t="str">
        <f>IFERROR(VLOOKUP($AE86,Mapping!$E$208:$K$236,7,0),"ENDirect")</f>
        <v>ENDirect</v>
      </c>
      <c r="AL86" s="7" t="str">
        <f>IFERROR(HLOOKUP(AJ86,'Calc|Weightings'!$U$5:$W$5,1,0),"Excl")</f>
        <v>Contracts</v>
      </c>
      <c r="AM86" s="7" t="str">
        <f>VLOOKUP(AC86,Mapping!$E$11:$I$204,5,0)</f>
        <v>SCS</v>
      </c>
      <c r="AO86" s="35" t="s">
        <v>552</v>
      </c>
      <c r="AP86" s="35"/>
      <c r="AQ86" s="35">
        <v>80000</v>
      </c>
      <c r="AR86" s="35" t="s">
        <v>589</v>
      </c>
      <c r="AS86" s="121">
        <v>475.26742999999993</v>
      </c>
      <c r="AU86" s="7" t="str">
        <f>VLOOKUP($AO86,Mapping!$E$11:$I$204,3,0)</f>
        <v>Connections</v>
      </c>
      <c r="AV86" s="7" t="str">
        <f>IFERROR(VLOOKUP($AQ86,Mapping!$E$208:$K$236,5,0),"Contracts")</f>
        <v>Overhead</v>
      </c>
      <c r="AW86" s="7" t="str">
        <f>IFERROR(VLOOKUP($AQ86,Mapping!$E$208:$K$236,7,0),"ENDirect")</f>
        <v>OH</v>
      </c>
      <c r="AX86" s="7" t="str">
        <f>IFERROR(HLOOKUP(AV86,'Calc|Weightings'!$U$5:$W$5,1,0),"Excl")</f>
        <v>Excl</v>
      </c>
      <c r="AY86" s="7" t="str">
        <f>VLOOKUP(AO86,Mapping!$E$11:$I$204,5,0)</f>
        <v>SCS</v>
      </c>
    </row>
    <row r="87" spans="1:51" x14ac:dyDescent="0.3">
      <c r="A87" s="7"/>
      <c r="B87" s="7"/>
      <c r="C87" s="7"/>
      <c r="D87" s="7"/>
      <c r="E87" s="32" t="s">
        <v>528</v>
      </c>
      <c r="F87" s="32"/>
      <c r="G87" s="32">
        <v>72345</v>
      </c>
      <c r="H87" s="32" t="s">
        <v>467</v>
      </c>
      <c r="I87" s="33">
        <v>1493.454</v>
      </c>
      <c r="J87" s="170"/>
      <c r="K87" s="7" t="str">
        <f>VLOOKUP($E87,Mapping!$E$11:$I$204,3,0)</f>
        <v>Connections</v>
      </c>
      <c r="L87" s="7" t="str">
        <f>IFERROR(VLOOKUP($G87,Mapping!$E$208:$K$236,5,0),"Contracts")</f>
        <v>Contracts</v>
      </c>
      <c r="M87" s="7" t="str">
        <f>IFERROR(VLOOKUP($G87,Mapping!$E$208:$K$236,7,0),"ENDirect")</f>
        <v>ENDirect</v>
      </c>
      <c r="N87" s="7" t="str">
        <f>IFERROR(HLOOKUP(L87,'Calc|Weightings'!$U$5:$W$5,1,0),"Excl")</f>
        <v>Contracts</v>
      </c>
      <c r="O87" s="7" t="str">
        <f>VLOOKUP(E87,Mapping!$E$11:$I$204,5,0)</f>
        <v>SCS</v>
      </c>
      <c r="Q87" s="32" t="s">
        <v>103</v>
      </c>
      <c r="R87" s="32"/>
      <c r="S87" s="32">
        <v>72345</v>
      </c>
      <c r="T87" s="32" t="s">
        <v>467</v>
      </c>
      <c r="U87" s="33">
        <v>4414.473</v>
      </c>
      <c r="V87" s="7"/>
      <c r="W87" s="7" t="str">
        <f>VLOOKUP($Q87,Mapping!$E$11:$I$204,3,0)</f>
        <v>Public Lighting</v>
      </c>
      <c r="X87" s="7" t="str">
        <f>IFERROR(VLOOKUP($S87,Mapping!$E$208:$K$236,5,0),"Contracts")</f>
        <v>Contracts</v>
      </c>
      <c r="Y87" s="7" t="str">
        <f>IFERROR(VLOOKUP($S87,Mapping!$E$208:$K$236,7,0),"ENDirect")</f>
        <v>ENDirect</v>
      </c>
      <c r="Z87" s="7" t="str">
        <f>IFERROR(HLOOKUP(X87,'Calc|Weightings'!$U$5:$W$5,1,0),"Excl")</f>
        <v>Contracts</v>
      </c>
      <c r="AA87" s="7" t="str">
        <f>VLOOKUP(Q87,Mapping!$E$11:$I$204,5,0)</f>
        <v>Public Lighting</v>
      </c>
      <c r="AC87" s="35" t="s">
        <v>159</v>
      </c>
      <c r="AD87" s="35"/>
      <c r="AE87" s="35">
        <v>80000</v>
      </c>
      <c r="AF87" s="35" t="s">
        <v>453</v>
      </c>
      <c r="AG87" s="36">
        <v>-0.95399999999999996</v>
      </c>
      <c r="AI87" s="7" t="str">
        <f>VLOOKUP($AC87,Mapping!$E$11:$I$204,3,0)</f>
        <v>Replacement</v>
      </c>
      <c r="AJ87" s="7" t="str">
        <f>IFERROR(VLOOKUP($AE87,Mapping!$E$208:$K$236,5,0),"Contracts")</f>
        <v>Overhead</v>
      </c>
      <c r="AK87" s="7" t="str">
        <f>IFERROR(VLOOKUP($AE87,Mapping!$E$208:$K$236,7,0),"ENDirect")</f>
        <v>OH</v>
      </c>
      <c r="AL87" s="7" t="str">
        <f>IFERROR(HLOOKUP(AJ87,'Calc|Weightings'!$U$5:$W$5,1,0),"Excl")</f>
        <v>Excl</v>
      </c>
      <c r="AM87" s="7" t="str">
        <f>VLOOKUP(AC87,Mapping!$E$11:$I$204,5,0)</f>
        <v>SCS</v>
      </c>
      <c r="AO87" s="35" t="s">
        <v>97</v>
      </c>
      <c r="AP87" s="35"/>
      <c r="AQ87" s="35">
        <v>71000</v>
      </c>
      <c r="AR87" s="35" t="s">
        <v>457</v>
      </c>
      <c r="AS87" s="121">
        <v>714.95380000000011</v>
      </c>
      <c r="AU87" s="7" t="str">
        <f>VLOOKUP($AO87,Mapping!$E$11:$I$204,3,0)</f>
        <v>Connections</v>
      </c>
      <c r="AV87" s="7" t="str">
        <f>IFERROR(VLOOKUP($AQ87,Mapping!$E$208:$K$236,5,0),"Contracts")</f>
        <v>Labour</v>
      </c>
      <c r="AW87" s="7" t="str">
        <f>IFERROR(VLOOKUP($AQ87,Mapping!$E$208:$K$236,7,0),"ENDirect")</f>
        <v>ENDirect</v>
      </c>
      <c r="AX87" s="7" t="str">
        <f>IFERROR(HLOOKUP(AV87,'Calc|Weightings'!$U$5:$W$5,1,0),"Excl")</f>
        <v>Labour</v>
      </c>
      <c r="AY87" s="7" t="str">
        <f>VLOOKUP(AO87,Mapping!$E$11:$I$204,5,0)</f>
        <v>SCS</v>
      </c>
    </row>
    <row r="88" spans="1:51" x14ac:dyDescent="0.3">
      <c r="A88" s="7"/>
      <c r="B88" s="7"/>
      <c r="C88" s="7"/>
      <c r="D88" s="7"/>
      <c r="E88" s="32" t="s">
        <v>528</v>
      </c>
      <c r="F88" s="32"/>
      <c r="G88" s="32">
        <v>80000</v>
      </c>
      <c r="H88" s="32" t="s">
        <v>453</v>
      </c>
      <c r="I88" s="33">
        <v>162.17500000000001</v>
      </c>
      <c r="J88" s="170"/>
      <c r="K88" s="7" t="str">
        <f>VLOOKUP($E88,Mapping!$E$11:$I$204,3,0)</f>
        <v>Connections</v>
      </c>
      <c r="L88" s="7" t="str">
        <f>IFERROR(VLOOKUP($G88,Mapping!$E$208:$K$236,5,0),"Contracts")</f>
        <v>Overhead</v>
      </c>
      <c r="M88" s="7" t="str">
        <f>IFERROR(VLOOKUP($G88,Mapping!$E$208:$K$236,7,0),"ENDirect")</f>
        <v>OH</v>
      </c>
      <c r="N88" s="7" t="str">
        <f>IFERROR(HLOOKUP(L88,'Calc|Weightings'!$U$5:$W$5,1,0),"Excl")</f>
        <v>Excl</v>
      </c>
      <c r="O88" s="7" t="str">
        <f>VLOOKUP(E88,Mapping!$E$11:$I$204,5,0)</f>
        <v>SCS</v>
      </c>
      <c r="Q88" s="32" t="s">
        <v>528</v>
      </c>
      <c r="R88" s="32"/>
      <c r="S88" s="32">
        <v>72345</v>
      </c>
      <c r="T88" s="32" t="s">
        <v>467</v>
      </c>
      <c r="U88" s="33">
        <v>807.64300000000003</v>
      </c>
      <c r="V88" s="7"/>
      <c r="W88" s="7" t="str">
        <f>VLOOKUP($Q88,Mapping!$E$11:$I$204,3,0)</f>
        <v>Connections</v>
      </c>
      <c r="X88" s="7" t="str">
        <f>IFERROR(VLOOKUP($S88,Mapping!$E$208:$K$236,5,0),"Contracts")</f>
        <v>Contracts</v>
      </c>
      <c r="Y88" s="7" t="str">
        <f>IFERROR(VLOOKUP($S88,Mapping!$E$208:$K$236,7,0),"ENDirect")</f>
        <v>ENDirect</v>
      </c>
      <c r="Z88" s="7" t="str">
        <f>IFERROR(HLOOKUP(X88,'Calc|Weightings'!$U$5:$W$5,1,0),"Excl")</f>
        <v>Contracts</v>
      </c>
      <c r="AA88" s="7" t="str">
        <f>VLOOKUP(Q88,Mapping!$E$11:$I$204,5,0)</f>
        <v>SCS</v>
      </c>
      <c r="AC88" s="35" t="s">
        <v>197</v>
      </c>
      <c r="AD88" s="35"/>
      <c r="AE88" s="35">
        <v>71000</v>
      </c>
      <c r="AF88" s="35" t="s">
        <v>457</v>
      </c>
      <c r="AG88" s="36">
        <v>62.792999999999999</v>
      </c>
      <c r="AI88" s="7" t="str">
        <f>VLOOKUP($AC88,Mapping!$E$11:$I$204,3,0)</f>
        <v>Replacement</v>
      </c>
      <c r="AJ88" s="7" t="str">
        <f>IFERROR(VLOOKUP($AE88,Mapping!$E$208:$K$236,5,0),"Contracts")</f>
        <v>Labour</v>
      </c>
      <c r="AK88" s="7" t="str">
        <f>IFERROR(VLOOKUP($AE88,Mapping!$E$208:$K$236,7,0),"ENDirect")</f>
        <v>ENDirect</v>
      </c>
      <c r="AL88" s="7" t="str">
        <f>IFERROR(HLOOKUP(AJ88,'Calc|Weightings'!$U$5:$W$5,1,0),"Excl")</f>
        <v>Labour</v>
      </c>
      <c r="AM88" s="7" t="str">
        <f>VLOOKUP(AC88,Mapping!$E$11:$I$204,5,0)</f>
        <v>SCS</v>
      </c>
      <c r="AO88" s="35" t="s">
        <v>97</v>
      </c>
      <c r="AP88" s="35"/>
      <c r="AQ88" s="35">
        <v>71005</v>
      </c>
      <c r="AR88" s="35" t="s">
        <v>461</v>
      </c>
      <c r="AS88" s="121">
        <v>355.10225999999852</v>
      </c>
      <c r="AU88" s="7" t="str">
        <f>VLOOKUP($AO88,Mapping!$E$11:$I$204,3,0)</f>
        <v>Connections</v>
      </c>
      <c r="AV88" s="7" t="str">
        <f>IFERROR(VLOOKUP($AQ88,Mapping!$E$208:$K$236,5,0),"Contracts")</f>
        <v>Materials</v>
      </c>
      <c r="AW88" s="7" t="str">
        <f>IFERROR(VLOOKUP($AQ88,Mapping!$E$208:$K$236,7,0),"ENDirect")</f>
        <v>ENDirect</v>
      </c>
      <c r="AX88" s="7" t="str">
        <f>IFERROR(HLOOKUP(AV88,'Calc|Weightings'!$U$5:$W$5,1,0),"Excl")</f>
        <v>Materials</v>
      </c>
      <c r="AY88" s="7" t="str">
        <f>VLOOKUP(AO88,Mapping!$E$11:$I$204,5,0)</f>
        <v>SCS</v>
      </c>
    </row>
    <row r="89" spans="1:51" x14ac:dyDescent="0.3">
      <c r="A89" s="7"/>
      <c r="B89" s="7"/>
      <c r="C89" s="7"/>
      <c r="D89" s="7"/>
      <c r="E89" s="32" t="s">
        <v>97</v>
      </c>
      <c r="F89" s="32"/>
      <c r="G89" s="32">
        <v>71000</v>
      </c>
      <c r="H89" s="32" t="s">
        <v>457</v>
      </c>
      <c r="I89" s="33">
        <v>1511.327</v>
      </c>
      <c r="J89" s="170"/>
      <c r="K89" s="7" t="str">
        <f>VLOOKUP($E89,Mapping!$E$11:$I$204,3,0)</f>
        <v>Connections</v>
      </c>
      <c r="L89" s="7" t="str">
        <f>IFERROR(VLOOKUP($G89,Mapping!$E$208:$K$236,5,0),"Contracts")</f>
        <v>Labour</v>
      </c>
      <c r="M89" s="7" t="str">
        <f>IFERROR(VLOOKUP($G89,Mapping!$E$208:$K$236,7,0),"ENDirect")</f>
        <v>ENDirect</v>
      </c>
      <c r="N89" s="7" t="str">
        <f>IFERROR(HLOOKUP(L89,'Calc|Weightings'!$U$5:$W$5,1,0),"Excl")</f>
        <v>Labour</v>
      </c>
      <c r="O89" s="7" t="str">
        <f>VLOOKUP(E89,Mapping!$E$11:$I$204,5,0)</f>
        <v>SCS</v>
      </c>
      <c r="Q89" s="32" t="s">
        <v>553</v>
      </c>
      <c r="R89" s="32"/>
      <c r="S89" s="32">
        <v>72345</v>
      </c>
      <c r="T89" s="32" t="s">
        <v>467</v>
      </c>
      <c r="U89" s="33">
        <v>845.86800000000005</v>
      </c>
      <c r="V89" s="7"/>
      <c r="W89" s="7" t="str">
        <f>VLOOKUP($Q89,Mapping!$E$11:$I$204,3,0)</f>
        <v>Connections</v>
      </c>
      <c r="X89" s="7" t="str">
        <f>IFERROR(VLOOKUP($S89,Mapping!$E$208:$K$236,5,0),"Contracts")</f>
        <v>Contracts</v>
      </c>
      <c r="Y89" s="7" t="str">
        <f>IFERROR(VLOOKUP($S89,Mapping!$E$208:$K$236,7,0),"ENDirect")</f>
        <v>ENDirect</v>
      </c>
      <c r="Z89" s="7" t="str">
        <f>IFERROR(HLOOKUP(X89,'Calc|Weightings'!$U$5:$W$5,1,0),"Excl")</f>
        <v>Contracts</v>
      </c>
      <c r="AA89" s="7" t="str">
        <f>VLOOKUP(Q89,Mapping!$E$11:$I$204,5,0)</f>
        <v>SCS</v>
      </c>
      <c r="AC89" s="35" t="s">
        <v>197</v>
      </c>
      <c r="AD89" s="35"/>
      <c r="AE89" s="35">
        <v>71010</v>
      </c>
      <c r="AF89" s="35" t="s">
        <v>462</v>
      </c>
      <c r="AG89" s="36">
        <v>4.4180000000000001</v>
      </c>
      <c r="AI89" s="7" t="str">
        <f>VLOOKUP($AC89,Mapping!$E$11:$I$204,3,0)</f>
        <v>Replacement</v>
      </c>
      <c r="AJ89" s="7" t="str">
        <f>IFERROR(VLOOKUP($AE89,Mapping!$E$208:$K$236,5,0),"Contracts")</f>
        <v>Labour</v>
      </c>
      <c r="AK89" s="7" t="str">
        <f>IFERROR(VLOOKUP($AE89,Mapping!$E$208:$K$236,7,0),"ENDirect")</f>
        <v>ENDirect</v>
      </c>
      <c r="AL89" s="7" t="str">
        <f>IFERROR(HLOOKUP(AJ89,'Calc|Weightings'!$U$5:$W$5,1,0),"Excl")</f>
        <v>Labour</v>
      </c>
      <c r="AM89" s="7" t="str">
        <f>VLOOKUP(AC89,Mapping!$E$11:$I$204,5,0)</f>
        <v>SCS</v>
      </c>
      <c r="AO89" s="35" t="s">
        <v>97</v>
      </c>
      <c r="AP89" s="35"/>
      <c r="AQ89" s="35">
        <v>71010</v>
      </c>
      <c r="AR89" s="35" t="s">
        <v>487</v>
      </c>
      <c r="AS89" s="121">
        <v>1264.0215200000018</v>
      </c>
      <c r="AU89" s="7" t="str">
        <f>VLOOKUP($AO89,Mapping!$E$11:$I$204,3,0)</f>
        <v>Connections</v>
      </c>
      <c r="AV89" s="7" t="str">
        <f>IFERROR(VLOOKUP($AQ89,Mapping!$E$208:$K$236,5,0),"Contracts")</f>
        <v>Labour</v>
      </c>
      <c r="AW89" s="7" t="str">
        <f>IFERROR(VLOOKUP($AQ89,Mapping!$E$208:$K$236,7,0),"ENDirect")</f>
        <v>ENDirect</v>
      </c>
      <c r="AX89" s="7" t="str">
        <f>IFERROR(HLOOKUP(AV89,'Calc|Weightings'!$U$5:$W$5,1,0),"Excl")</f>
        <v>Labour</v>
      </c>
      <c r="AY89" s="7" t="str">
        <f>VLOOKUP(AO89,Mapping!$E$11:$I$204,5,0)</f>
        <v>SCS</v>
      </c>
    </row>
    <row r="90" spans="1:51" x14ac:dyDescent="0.3">
      <c r="A90" s="7"/>
      <c r="B90" s="7"/>
      <c r="C90" s="7"/>
      <c r="D90" s="7"/>
      <c r="E90" s="32" t="s">
        <v>97</v>
      </c>
      <c r="F90" s="32"/>
      <c r="G90" s="32">
        <v>71005</v>
      </c>
      <c r="H90" s="32" t="s">
        <v>461</v>
      </c>
      <c r="I90" s="33">
        <v>2242.8270000000002</v>
      </c>
      <c r="J90" s="170"/>
      <c r="K90" s="7" t="str">
        <f>VLOOKUP($E90,Mapping!$E$11:$I$204,3,0)</f>
        <v>Connections</v>
      </c>
      <c r="L90" s="7" t="str">
        <f>IFERROR(VLOOKUP($G90,Mapping!$E$208:$K$236,5,0),"Contracts")</f>
        <v>Materials</v>
      </c>
      <c r="M90" s="7" t="str">
        <f>IFERROR(VLOOKUP($G90,Mapping!$E$208:$K$236,7,0),"ENDirect")</f>
        <v>ENDirect</v>
      </c>
      <c r="N90" s="7" t="str">
        <f>IFERROR(HLOOKUP(L90,'Calc|Weightings'!$U$5:$W$5,1,0),"Excl")</f>
        <v>Materials</v>
      </c>
      <c r="O90" s="7" t="str">
        <f>VLOOKUP(E90,Mapping!$E$11:$I$204,5,0)</f>
        <v>SCS</v>
      </c>
      <c r="Q90" s="32" t="s">
        <v>118</v>
      </c>
      <c r="R90" s="32"/>
      <c r="S90" s="32">
        <v>72345</v>
      </c>
      <c r="T90" s="32" t="s">
        <v>467</v>
      </c>
      <c r="U90" s="33">
        <v>22.44</v>
      </c>
      <c r="V90" s="7"/>
      <c r="W90" s="7" t="str">
        <f>VLOOKUP($Q90,Mapping!$E$11:$I$204,3,0)</f>
        <v>Connections</v>
      </c>
      <c r="X90" s="7" t="str">
        <f>IFERROR(VLOOKUP($S90,Mapping!$E$208:$K$236,5,0),"Contracts")</f>
        <v>Contracts</v>
      </c>
      <c r="Y90" s="7" t="str">
        <f>IFERROR(VLOOKUP($S90,Mapping!$E$208:$K$236,7,0),"ENDirect")</f>
        <v>ENDirect</v>
      </c>
      <c r="Z90" s="7" t="str">
        <f>IFERROR(HLOOKUP(X90,'Calc|Weightings'!$U$5:$W$5,1,0),"Excl")</f>
        <v>Contracts</v>
      </c>
      <c r="AA90" s="7" t="str">
        <f>VLOOKUP(Q90,Mapping!$E$11:$I$204,5,0)</f>
        <v>SCS</v>
      </c>
      <c r="AC90" s="35" t="s">
        <v>197</v>
      </c>
      <c r="AD90" s="35"/>
      <c r="AE90" s="35">
        <v>71030</v>
      </c>
      <c r="AF90" s="35" t="s">
        <v>464</v>
      </c>
      <c r="AG90" s="36">
        <v>5.4279999999999999</v>
      </c>
      <c r="AI90" s="7" t="str">
        <f>VLOOKUP($AC90,Mapping!$E$11:$I$204,3,0)</f>
        <v>Replacement</v>
      </c>
      <c r="AJ90" s="7" t="str">
        <f>IFERROR(VLOOKUP($AE90,Mapping!$E$208:$K$236,5,0),"Contracts")</f>
        <v>Contracts</v>
      </c>
      <c r="AK90" s="7" t="str">
        <f>IFERROR(VLOOKUP($AE90,Mapping!$E$208:$K$236,7,0),"ENDirect")</f>
        <v>ENDirect</v>
      </c>
      <c r="AL90" s="7" t="str">
        <f>IFERROR(HLOOKUP(AJ90,'Calc|Weightings'!$U$5:$W$5,1,0),"Excl")</f>
        <v>Contracts</v>
      </c>
      <c r="AM90" s="7" t="str">
        <f>VLOOKUP(AC90,Mapping!$E$11:$I$204,5,0)</f>
        <v>SCS</v>
      </c>
      <c r="AO90" s="35" t="s">
        <v>97</v>
      </c>
      <c r="AP90" s="35"/>
      <c r="AQ90" s="35">
        <v>71015</v>
      </c>
      <c r="AR90" s="35" t="s">
        <v>585</v>
      </c>
      <c r="AS90" s="121">
        <v>62.500569999999996</v>
      </c>
      <c r="AU90" s="7" t="str">
        <f>VLOOKUP($AO90,Mapping!$E$11:$I$204,3,0)</f>
        <v>Connections</v>
      </c>
      <c r="AV90" s="7" t="str">
        <f>IFERROR(VLOOKUP($AQ90,Mapping!$E$208:$K$236,5,0),"Contracts")</f>
        <v>Materials</v>
      </c>
      <c r="AW90" s="7" t="str">
        <f>IFERROR(VLOOKUP($AQ90,Mapping!$E$208:$K$236,7,0),"ENDirect")</f>
        <v>ENDirect</v>
      </c>
      <c r="AX90" s="7" t="str">
        <f>IFERROR(HLOOKUP(AV90,'Calc|Weightings'!$U$5:$W$5,1,0),"Excl")</f>
        <v>Materials</v>
      </c>
      <c r="AY90" s="7" t="str">
        <f>VLOOKUP(AO90,Mapping!$E$11:$I$204,5,0)</f>
        <v>SCS</v>
      </c>
    </row>
    <row r="91" spans="1:51" x14ac:dyDescent="0.3">
      <c r="A91" s="7"/>
      <c r="B91" s="7"/>
      <c r="C91" s="7"/>
      <c r="D91" s="7"/>
      <c r="E91" s="32" t="s">
        <v>97</v>
      </c>
      <c r="F91" s="32"/>
      <c r="G91" s="32">
        <v>71010</v>
      </c>
      <c r="H91" s="32" t="s">
        <v>462</v>
      </c>
      <c r="I91" s="33">
        <v>9007.0259999999998</v>
      </c>
      <c r="J91" s="170"/>
      <c r="K91" s="7" t="str">
        <f>VLOOKUP($E91,Mapping!$E$11:$I$204,3,0)</f>
        <v>Connections</v>
      </c>
      <c r="L91" s="7" t="str">
        <f>IFERROR(VLOOKUP($G91,Mapping!$E$208:$K$236,5,0),"Contracts")</f>
        <v>Labour</v>
      </c>
      <c r="M91" s="7" t="str">
        <f>IFERROR(VLOOKUP($G91,Mapping!$E$208:$K$236,7,0),"ENDirect")</f>
        <v>ENDirect</v>
      </c>
      <c r="N91" s="7" t="str">
        <f>IFERROR(HLOOKUP(L91,'Calc|Weightings'!$U$5:$W$5,1,0),"Excl")</f>
        <v>Labour</v>
      </c>
      <c r="O91" s="7" t="str">
        <f>VLOOKUP(E91,Mapping!$E$11:$I$204,5,0)</f>
        <v>SCS</v>
      </c>
      <c r="Q91" s="32" t="s">
        <v>549</v>
      </c>
      <c r="R91" s="32"/>
      <c r="S91" s="32">
        <v>72345</v>
      </c>
      <c r="T91" s="32" t="s">
        <v>467</v>
      </c>
      <c r="U91" s="33">
        <v>234.19</v>
      </c>
      <c r="V91" s="7"/>
      <c r="W91" s="7" t="str">
        <f>VLOOKUP($Q91,Mapping!$E$11:$I$204,3,0)</f>
        <v>Connections</v>
      </c>
      <c r="X91" s="7" t="str">
        <f>IFERROR(VLOOKUP($S91,Mapping!$E$208:$K$236,5,0),"Contracts")</f>
        <v>Contracts</v>
      </c>
      <c r="Y91" s="7" t="str">
        <f>IFERROR(VLOOKUP($S91,Mapping!$E$208:$K$236,7,0),"ENDirect")</f>
        <v>ENDirect</v>
      </c>
      <c r="Z91" s="7" t="str">
        <f>IFERROR(HLOOKUP(X91,'Calc|Weightings'!$U$5:$W$5,1,0),"Excl")</f>
        <v>Contracts</v>
      </c>
      <c r="AA91" s="7" t="str">
        <f>VLOOKUP(Q91,Mapping!$E$11:$I$204,5,0)</f>
        <v>SCS</v>
      </c>
      <c r="AC91" s="35" t="s">
        <v>197</v>
      </c>
      <c r="AD91" s="35"/>
      <c r="AE91" s="35">
        <v>71040</v>
      </c>
      <c r="AF91" s="35" t="s">
        <v>460</v>
      </c>
      <c r="AG91" s="36">
        <v>0.51100000000000001</v>
      </c>
      <c r="AI91" s="7" t="str">
        <f>VLOOKUP($AC91,Mapping!$E$11:$I$204,3,0)</f>
        <v>Replacement</v>
      </c>
      <c r="AJ91" s="7" t="str">
        <f>IFERROR(VLOOKUP($AE91,Mapping!$E$208:$K$236,5,0),"Contracts")</f>
        <v>Contracts</v>
      </c>
      <c r="AK91" s="7" t="str">
        <f>IFERROR(VLOOKUP($AE91,Mapping!$E$208:$K$236,7,0),"ENDirect")</f>
        <v>ENDirect</v>
      </c>
      <c r="AL91" s="7" t="str">
        <f>IFERROR(HLOOKUP(AJ91,'Calc|Weightings'!$U$5:$W$5,1,0),"Excl")</f>
        <v>Contracts</v>
      </c>
      <c r="AM91" s="7" t="str">
        <f>VLOOKUP(AC91,Mapping!$E$11:$I$204,5,0)</f>
        <v>SCS</v>
      </c>
      <c r="AO91" s="35" t="s">
        <v>97</v>
      </c>
      <c r="AP91" s="35"/>
      <c r="AQ91" s="35">
        <v>71030</v>
      </c>
      <c r="AR91" s="35" t="s">
        <v>464</v>
      </c>
      <c r="AS91" s="121">
        <v>193.09240000000068</v>
      </c>
      <c r="AU91" s="7" t="str">
        <f>VLOOKUP($AO91,Mapping!$E$11:$I$204,3,0)</f>
        <v>Connections</v>
      </c>
      <c r="AV91" s="7" t="str">
        <f>IFERROR(VLOOKUP($AQ91,Mapping!$E$208:$K$236,5,0),"Contracts")</f>
        <v>Contracts</v>
      </c>
      <c r="AW91" s="7" t="str">
        <f>IFERROR(VLOOKUP($AQ91,Mapping!$E$208:$K$236,7,0),"ENDirect")</f>
        <v>ENDirect</v>
      </c>
      <c r="AX91" s="7" t="str">
        <f>IFERROR(HLOOKUP(AV91,'Calc|Weightings'!$U$5:$W$5,1,0),"Excl")</f>
        <v>Contracts</v>
      </c>
      <c r="AY91" s="7" t="str">
        <f>VLOOKUP(AO91,Mapping!$E$11:$I$204,5,0)</f>
        <v>SCS</v>
      </c>
    </row>
    <row r="92" spans="1:51" x14ac:dyDescent="0.3">
      <c r="A92" s="7"/>
      <c r="B92" s="7"/>
      <c r="C92" s="7"/>
      <c r="D92" s="7"/>
      <c r="E92" s="32" t="s">
        <v>97</v>
      </c>
      <c r="F92" s="32"/>
      <c r="G92" s="32">
        <v>71015</v>
      </c>
      <c r="H92" s="32" t="s">
        <v>463</v>
      </c>
      <c r="I92" s="33">
        <v>95.914000000000001</v>
      </c>
      <c r="J92" s="170"/>
      <c r="K92" s="7" t="str">
        <f>VLOOKUP($E92,Mapping!$E$11:$I$204,3,0)</f>
        <v>Connections</v>
      </c>
      <c r="L92" s="7" t="str">
        <f>IFERROR(VLOOKUP($G92,Mapping!$E$208:$K$236,5,0),"Contracts")</f>
        <v>Materials</v>
      </c>
      <c r="M92" s="7" t="str">
        <f>IFERROR(VLOOKUP($G92,Mapping!$E$208:$K$236,7,0),"ENDirect")</f>
        <v>ENDirect</v>
      </c>
      <c r="N92" s="7" t="str">
        <f>IFERROR(HLOOKUP(L92,'Calc|Weightings'!$U$5:$W$5,1,0),"Excl")</f>
        <v>Materials</v>
      </c>
      <c r="O92" s="7" t="str">
        <f>VLOOKUP(E92,Mapping!$E$11:$I$204,5,0)</f>
        <v>SCS</v>
      </c>
      <c r="Q92" s="32" t="s">
        <v>550</v>
      </c>
      <c r="R92" s="32"/>
      <c r="S92" s="32">
        <v>71015</v>
      </c>
      <c r="T92" s="32" t="s">
        <v>463</v>
      </c>
      <c r="U92" s="33">
        <v>443.57499999999999</v>
      </c>
      <c r="V92" s="7"/>
      <c r="W92" s="7" t="str">
        <f>VLOOKUP($Q92,Mapping!$E$11:$I$204,3,0)</f>
        <v>Connections</v>
      </c>
      <c r="X92" s="7" t="str">
        <f>IFERROR(VLOOKUP($S92,Mapping!$E$208:$K$236,5,0),"Contracts")</f>
        <v>Materials</v>
      </c>
      <c r="Y92" s="7" t="str">
        <f>IFERROR(VLOOKUP($S92,Mapping!$E$208:$K$236,7,0),"ENDirect")</f>
        <v>ENDirect</v>
      </c>
      <c r="Z92" s="7" t="str">
        <f>IFERROR(HLOOKUP(X92,'Calc|Weightings'!$U$5:$W$5,1,0),"Excl")</f>
        <v>Materials</v>
      </c>
      <c r="AA92" s="7" t="str">
        <f>VLOOKUP(Q92,Mapping!$E$11:$I$204,5,0)</f>
        <v>SCS</v>
      </c>
      <c r="AC92" s="35" t="s">
        <v>197</v>
      </c>
      <c r="AD92" s="35"/>
      <c r="AE92" s="35">
        <v>71055</v>
      </c>
      <c r="AF92" s="35" t="s">
        <v>465</v>
      </c>
      <c r="AG92" s="36">
        <v>-15.379</v>
      </c>
      <c r="AI92" s="7" t="str">
        <f>VLOOKUP($AC92,Mapping!$E$11:$I$204,3,0)</f>
        <v>Replacement</v>
      </c>
      <c r="AJ92" s="7" t="str">
        <f>IFERROR(VLOOKUP($AE92,Mapping!$E$208:$K$236,5,0),"Contracts")</f>
        <v>Contracts</v>
      </c>
      <c r="AK92" s="7" t="str">
        <f>IFERROR(VLOOKUP($AE92,Mapping!$E$208:$K$236,7,0),"ENDirect")</f>
        <v>ENDirect</v>
      </c>
      <c r="AL92" s="7" t="str">
        <f>IFERROR(HLOOKUP(AJ92,'Calc|Weightings'!$U$5:$W$5,1,0),"Excl")</f>
        <v>Contracts</v>
      </c>
      <c r="AM92" s="7" t="str">
        <f>VLOOKUP(AC92,Mapping!$E$11:$I$204,5,0)</f>
        <v>SCS</v>
      </c>
      <c r="AO92" s="35" t="s">
        <v>97</v>
      </c>
      <c r="AP92" s="35"/>
      <c r="AQ92" s="35">
        <v>71055</v>
      </c>
      <c r="AR92" s="35" t="s">
        <v>465</v>
      </c>
      <c r="AS92" s="121">
        <v>361.86656999999741</v>
      </c>
      <c r="AU92" s="7" t="str">
        <f>VLOOKUP($AO92,Mapping!$E$11:$I$204,3,0)</f>
        <v>Connections</v>
      </c>
      <c r="AV92" s="7" t="str">
        <f>IFERROR(VLOOKUP($AQ92,Mapping!$E$208:$K$236,5,0),"Contracts")</f>
        <v>Contracts</v>
      </c>
      <c r="AW92" s="7" t="str">
        <f>IFERROR(VLOOKUP($AQ92,Mapping!$E$208:$K$236,7,0),"ENDirect")</f>
        <v>ENDirect</v>
      </c>
      <c r="AX92" s="7" t="str">
        <f>IFERROR(HLOOKUP(AV92,'Calc|Weightings'!$U$5:$W$5,1,0),"Excl")</f>
        <v>Contracts</v>
      </c>
      <c r="AY92" s="7" t="str">
        <f>VLOOKUP(AO92,Mapping!$E$11:$I$204,5,0)</f>
        <v>SCS</v>
      </c>
    </row>
    <row r="93" spans="1:51" x14ac:dyDescent="0.3">
      <c r="A93" s="7"/>
      <c r="B93" s="7"/>
      <c r="C93" s="7"/>
      <c r="D93" s="7"/>
      <c r="E93" s="32" t="s">
        <v>97</v>
      </c>
      <c r="F93" s="32"/>
      <c r="G93" s="32">
        <v>71030</v>
      </c>
      <c r="H93" s="32" t="s">
        <v>464</v>
      </c>
      <c r="I93" s="33">
        <v>904.43100000000004</v>
      </c>
      <c r="J93" s="170"/>
      <c r="K93" s="7" t="str">
        <f>VLOOKUP($E93,Mapping!$E$11:$I$204,3,0)</f>
        <v>Connections</v>
      </c>
      <c r="L93" s="7" t="str">
        <f>IFERROR(VLOOKUP($G93,Mapping!$E$208:$K$236,5,0),"Contracts")</f>
        <v>Contracts</v>
      </c>
      <c r="M93" s="7" t="str">
        <f>IFERROR(VLOOKUP($G93,Mapping!$E$208:$K$236,7,0),"ENDirect")</f>
        <v>ENDirect</v>
      </c>
      <c r="N93" s="7" t="str">
        <f>IFERROR(HLOOKUP(L93,'Calc|Weightings'!$U$5:$W$5,1,0),"Excl")</f>
        <v>Contracts</v>
      </c>
      <c r="O93" s="7" t="str">
        <f>VLOOKUP(E93,Mapping!$E$11:$I$204,5,0)</f>
        <v>SCS</v>
      </c>
      <c r="Q93" s="32" t="s">
        <v>126</v>
      </c>
      <c r="R93" s="32"/>
      <c r="S93" s="32">
        <v>71020</v>
      </c>
      <c r="T93" s="32" t="s">
        <v>459</v>
      </c>
      <c r="U93" s="33">
        <v>-364.70600000000002</v>
      </c>
      <c r="V93" s="7"/>
      <c r="W93" s="7" t="str">
        <f>VLOOKUP($Q93,Mapping!$E$11:$I$204,3,0)</f>
        <v>Augmentation</v>
      </c>
      <c r="X93" s="7" t="str">
        <f>IFERROR(VLOOKUP($S93,Mapping!$E$208:$K$236,5,0),"Contracts")</f>
        <v>Contracts</v>
      </c>
      <c r="Y93" s="7" t="str">
        <f>IFERROR(VLOOKUP($S93,Mapping!$E$208:$K$236,7,0),"ENDirect")</f>
        <v>ENDirect</v>
      </c>
      <c r="Z93" s="7" t="str">
        <f>IFERROR(HLOOKUP(X93,'Calc|Weightings'!$U$5:$W$5,1,0),"Excl")</f>
        <v>Contracts</v>
      </c>
      <c r="AA93" s="7" t="str">
        <f>VLOOKUP(Q93,Mapping!$E$11:$I$204,5,0)</f>
        <v>SCS</v>
      </c>
      <c r="AC93" s="35" t="s">
        <v>197</v>
      </c>
      <c r="AD93" s="35"/>
      <c r="AE93" s="35">
        <v>80000</v>
      </c>
      <c r="AF93" s="35" t="s">
        <v>453</v>
      </c>
      <c r="AG93" s="36">
        <v>12.343999999999999</v>
      </c>
      <c r="AI93" s="7" t="str">
        <f>VLOOKUP($AC93,Mapping!$E$11:$I$204,3,0)</f>
        <v>Replacement</v>
      </c>
      <c r="AJ93" s="7" t="str">
        <f>IFERROR(VLOOKUP($AE93,Mapping!$E$208:$K$236,5,0),"Contracts")</f>
        <v>Overhead</v>
      </c>
      <c r="AK93" s="7" t="str">
        <f>IFERROR(VLOOKUP($AE93,Mapping!$E$208:$K$236,7,0),"ENDirect")</f>
        <v>OH</v>
      </c>
      <c r="AL93" s="7" t="str">
        <f>IFERROR(HLOOKUP(AJ93,'Calc|Weightings'!$U$5:$W$5,1,0),"Excl")</f>
        <v>Excl</v>
      </c>
      <c r="AM93" s="7" t="str">
        <f>VLOOKUP(AC93,Mapping!$E$11:$I$204,5,0)</f>
        <v>SCS</v>
      </c>
      <c r="AO93" s="35" t="s">
        <v>97</v>
      </c>
      <c r="AP93" s="35"/>
      <c r="AQ93" s="35">
        <v>71070</v>
      </c>
      <c r="AR93" s="35" t="s">
        <v>586</v>
      </c>
      <c r="AS93" s="121">
        <v>348.21654999999998</v>
      </c>
      <c r="AU93" s="7" t="str">
        <f>VLOOKUP($AO93,Mapping!$E$11:$I$204,3,0)</f>
        <v>Connections</v>
      </c>
      <c r="AV93" s="7" t="str">
        <f>IFERROR(VLOOKUP($AQ93,Mapping!$E$208:$K$236,5,0),"Contracts")</f>
        <v>Contracts</v>
      </c>
      <c r="AW93" s="7" t="str">
        <f>IFERROR(VLOOKUP($AQ93,Mapping!$E$208:$K$236,7,0),"ENDirect")</f>
        <v>ENDirect</v>
      </c>
      <c r="AX93" s="7" t="str">
        <f>IFERROR(HLOOKUP(AV93,'Calc|Weightings'!$U$5:$W$5,1,0),"Excl")</f>
        <v>Contracts</v>
      </c>
      <c r="AY93" s="7" t="str">
        <f>VLOOKUP(AO93,Mapping!$E$11:$I$204,5,0)</f>
        <v>SCS</v>
      </c>
    </row>
    <row r="94" spans="1:51" x14ac:dyDescent="0.3">
      <c r="A94" s="7"/>
      <c r="B94" s="7"/>
      <c r="C94" s="7"/>
      <c r="D94" s="7"/>
      <c r="E94" s="32" t="s">
        <v>97</v>
      </c>
      <c r="F94" s="32"/>
      <c r="G94" s="32">
        <v>71055</v>
      </c>
      <c r="H94" s="32" t="s">
        <v>465</v>
      </c>
      <c r="I94" s="33">
        <v>479.93200000000002</v>
      </c>
      <c r="J94" s="170"/>
      <c r="K94" s="7" t="str">
        <f>VLOOKUP($E94,Mapping!$E$11:$I$204,3,0)</f>
        <v>Connections</v>
      </c>
      <c r="L94" s="7" t="str">
        <f>IFERROR(VLOOKUP($G94,Mapping!$E$208:$K$236,5,0),"Contracts")</f>
        <v>Contracts</v>
      </c>
      <c r="M94" s="7" t="str">
        <f>IFERROR(VLOOKUP($G94,Mapping!$E$208:$K$236,7,0),"ENDirect")</f>
        <v>ENDirect</v>
      </c>
      <c r="N94" s="7" t="str">
        <f>IFERROR(HLOOKUP(L94,'Calc|Weightings'!$U$5:$W$5,1,0),"Excl")</f>
        <v>Contracts</v>
      </c>
      <c r="O94" s="7" t="str">
        <f>VLOOKUP(E94,Mapping!$E$11:$I$204,5,0)</f>
        <v>SCS</v>
      </c>
      <c r="Q94" s="32" t="s">
        <v>126</v>
      </c>
      <c r="R94" s="32"/>
      <c r="S94" s="32">
        <v>71000</v>
      </c>
      <c r="T94" s="32" t="s">
        <v>457</v>
      </c>
      <c r="U94" s="33">
        <v>482.83699999999999</v>
      </c>
      <c r="V94" s="7"/>
      <c r="W94" s="7" t="str">
        <f>VLOOKUP($Q94,Mapping!$E$11:$I$204,3,0)</f>
        <v>Augmentation</v>
      </c>
      <c r="X94" s="7" t="str">
        <f>IFERROR(VLOOKUP($S94,Mapping!$E$208:$K$236,5,0),"Contracts")</f>
        <v>Labour</v>
      </c>
      <c r="Y94" s="7" t="str">
        <f>IFERROR(VLOOKUP($S94,Mapping!$E$208:$K$236,7,0),"ENDirect")</f>
        <v>ENDirect</v>
      </c>
      <c r="Z94" s="7" t="str">
        <f>IFERROR(HLOOKUP(X94,'Calc|Weightings'!$U$5:$W$5,1,0),"Excl")</f>
        <v>Labour</v>
      </c>
      <c r="AA94" s="7" t="str">
        <f>VLOOKUP(Q94,Mapping!$E$11:$I$204,5,0)</f>
        <v>SCS</v>
      </c>
      <c r="AC94" s="35" t="s">
        <v>111</v>
      </c>
      <c r="AD94" s="35"/>
      <c r="AE94" s="35">
        <v>71000</v>
      </c>
      <c r="AF94" s="35" t="s">
        <v>457</v>
      </c>
      <c r="AG94" s="36">
        <v>3856.4929999999999</v>
      </c>
      <c r="AI94" s="7" t="str">
        <f>VLOOKUP($AC94,Mapping!$E$11:$I$204,3,0)</f>
        <v>Connections</v>
      </c>
      <c r="AJ94" s="7" t="str">
        <f>IFERROR(VLOOKUP($AE94,Mapping!$E$208:$K$236,5,0),"Contracts")</f>
        <v>Labour</v>
      </c>
      <c r="AK94" s="7" t="str">
        <f>IFERROR(VLOOKUP($AE94,Mapping!$E$208:$K$236,7,0),"ENDirect")</f>
        <v>ENDirect</v>
      </c>
      <c r="AL94" s="7" t="str">
        <f>IFERROR(HLOOKUP(AJ94,'Calc|Weightings'!$U$5:$W$5,1,0),"Excl")</f>
        <v>Labour</v>
      </c>
      <c r="AM94" s="7" t="str">
        <f>VLOOKUP(AC94,Mapping!$E$11:$I$204,5,0)</f>
        <v>SCS</v>
      </c>
      <c r="AO94" s="35" t="s">
        <v>97</v>
      </c>
      <c r="AP94" s="35"/>
      <c r="AQ94" s="35">
        <v>71075</v>
      </c>
      <c r="AR94" s="35" t="s">
        <v>587</v>
      </c>
      <c r="AS94" s="121">
        <v>1591.5699699999996</v>
      </c>
      <c r="AU94" s="7" t="str">
        <f>VLOOKUP($AO94,Mapping!$E$11:$I$204,3,0)</f>
        <v>Connections</v>
      </c>
      <c r="AV94" s="7" t="str">
        <f>IFERROR(VLOOKUP($AQ94,Mapping!$E$208:$K$236,5,0),"Contracts")</f>
        <v>Contracts</v>
      </c>
      <c r="AW94" s="7" t="str">
        <f>IFERROR(VLOOKUP($AQ94,Mapping!$E$208:$K$236,7,0),"ENDirect")</f>
        <v>ENDirect</v>
      </c>
      <c r="AX94" s="7" t="str">
        <f>IFERROR(HLOOKUP(AV94,'Calc|Weightings'!$U$5:$W$5,1,0),"Excl")</f>
        <v>Contracts</v>
      </c>
      <c r="AY94" s="7" t="str">
        <f>VLOOKUP(AO94,Mapping!$E$11:$I$204,5,0)</f>
        <v>SCS</v>
      </c>
    </row>
    <row r="95" spans="1:51" x14ac:dyDescent="0.3">
      <c r="A95" s="7"/>
      <c r="B95" s="7"/>
      <c r="C95" s="7"/>
      <c r="D95" s="7"/>
      <c r="E95" s="32" t="s">
        <v>97</v>
      </c>
      <c r="F95" s="32"/>
      <c r="G95" s="32">
        <v>80000</v>
      </c>
      <c r="H95" s="32" t="s">
        <v>453</v>
      </c>
      <c r="I95" s="33">
        <v>1355.4290000000001</v>
      </c>
      <c r="J95" s="170"/>
      <c r="K95" s="7" t="str">
        <f>VLOOKUP($E95,Mapping!$E$11:$I$204,3,0)</f>
        <v>Connections</v>
      </c>
      <c r="L95" s="7" t="str">
        <f>IFERROR(VLOOKUP($G95,Mapping!$E$208:$K$236,5,0),"Contracts")</f>
        <v>Overhead</v>
      </c>
      <c r="M95" s="7" t="str">
        <f>IFERROR(VLOOKUP($G95,Mapping!$E$208:$K$236,7,0),"ENDirect")</f>
        <v>OH</v>
      </c>
      <c r="N95" s="7" t="str">
        <f>IFERROR(HLOOKUP(L95,'Calc|Weightings'!$U$5:$W$5,1,0),"Excl")</f>
        <v>Excl</v>
      </c>
      <c r="O95" s="7" t="str">
        <f>VLOOKUP(E95,Mapping!$E$11:$I$204,5,0)</f>
        <v>SCS</v>
      </c>
      <c r="Q95" s="32" t="s">
        <v>126</v>
      </c>
      <c r="R95" s="32"/>
      <c r="S95" s="32">
        <v>71005</v>
      </c>
      <c r="T95" s="32" t="s">
        <v>461</v>
      </c>
      <c r="U95" s="33">
        <v>44.110999999999997</v>
      </c>
      <c r="V95" s="7"/>
      <c r="W95" s="7" t="str">
        <f>VLOOKUP($Q95,Mapping!$E$11:$I$204,3,0)</f>
        <v>Augmentation</v>
      </c>
      <c r="X95" s="7" t="str">
        <f>IFERROR(VLOOKUP($S95,Mapping!$E$208:$K$236,5,0),"Contracts")</f>
        <v>Materials</v>
      </c>
      <c r="Y95" s="7" t="str">
        <f>IFERROR(VLOOKUP($S95,Mapping!$E$208:$K$236,7,0),"ENDirect")</f>
        <v>ENDirect</v>
      </c>
      <c r="Z95" s="7" t="str">
        <f>IFERROR(HLOOKUP(X95,'Calc|Weightings'!$U$5:$W$5,1,0),"Excl")</f>
        <v>Materials</v>
      </c>
      <c r="AA95" s="7" t="str">
        <f>VLOOKUP(Q95,Mapping!$E$11:$I$204,5,0)</f>
        <v>SCS</v>
      </c>
      <c r="AC95" s="35" t="s">
        <v>111</v>
      </c>
      <c r="AD95" s="35"/>
      <c r="AE95" s="35">
        <v>71005</v>
      </c>
      <c r="AF95" s="35" t="s">
        <v>461</v>
      </c>
      <c r="AG95" s="36">
        <v>1193.2180000000001</v>
      </c>
      <c r="AI95" s="7" t="str">
        <f>VLOOKUP($AC95,Mapping!$E$11:$I$204,3,0)</f>
        <v>Connections</v>
      </c>
      <c r="AJ95" s="7" t="str">
        <f>IFERROR(VLOOKUP($AE95,Mapping!$E$208:$K$236,5,0),"Contracts")</f>
        <v>Materials</v>
      </c>
      <c r="AK95" s="7" t="str">
        <f>IFERROR(VLOOKUP($AE95,Mapping!$E$208:$K$236,7,0),"ENDirect")</f>
        <v>ENDirect</v>
      </c>
      <c r="AL95" s="7" t="str">
        <f>IFERROR(HLOOKUP(AJ95,'Calc|Weightings'!$U$5:$W$5,1,0),"Excl")</f>
        <v>Materials</v>
      </c>
      <c r="AM95" s="7" t="str">
        <f>VLOOKUP(AC95,Mapping!$E$11:$I$204,5,0)</f>
        <v>SCS</v>
      </c>
      <c r="AO95" s="35" t="s">
        <v>97</v>
      </c>
      <c r="AP95" s="35"/>
      <c r="AQ95" s="35">
        <v>80000</v>
      </c>
      <c r="AR95" s="35" t="s">
        <v>589</v>
      </c>
      <c r="AS95" s="121">
        <v>3075.95208</v>
      </c>
      <c r="AU95" s="7" t="str">
        <f>VLOOKUP($AO95,Mapping!$E$11:$I$204,3,0)</f>
        <v>Connections</v>
      </c>
      <c r="AV95" s="7" t="str">
        <f>IFERROR(VLOOKUP($AQ95,Mapping!$E$208:$K$236,5,0),"Contracts")</f>
        <v>Overhead</v>
      </c>
      <c r="AW95" s="7" t="str">
        <f>IFERROR(VLOOKUP($AQ95,Mapping!$E$208:$K$236,7,0),"ENDirect")</f>
        <v>OH</v>
      </c>
      <c r="AX95" s="7" t="str">
        <f>IFERROR(HLOOKUP(AV95,'Calc|Weightings'!$U$5:$W$5,1,0),"Excl")</f>
        <v>Excl</v>
      </c>
      <c r="AY95" s="7" t="str">
        <f>VLOOKUP(AO95,Mapping!$E$11:$I$204,5,0)</f>
        <v>SCS</v>
      </c>
    </row>
    <row r="96" spans="1:51" x14ac:dyDescent="0.3">
      <c r="A96" s="7"/>
      <c r="B96" s="7"/>
      <c r="C96" s="7"/>
      <c r="D96" s="7"/>
      <c r="E96" s="32" t="s">
        <v>550</v>
      </c>
      <c r="F96" s="32"/>
      <c r="G96" s="32">
        <v>71020</v>
      </c>
      <c r="H96" s="32" t="s">
        <v>459</v>
      </c>
      <c r="I96" s="33">
        <v>-43.546999999999997</v>
      </c>
      <c r="J96" s="170"/>
      <c r="K96" s="7" t="str">
        <f>VLOOKUP($E96,Mapping!$E$11:$I$204,3,0)</f>
        <v>Connections</v>
      </c>
      <c r="L96" s="7" t="str">
        <f>IFERROR(VLOOKUP($G96,Mapping!$E$208:$K$236,5,0),"Contracts")</f>
        <v>Contracts</v>
      </c>
      <c r="M96" s="7" t="str">
        <f>IFERROR(VLOOKUP($G96,Mapping!$E$208:$K$236,7,0),"ENDirect")</f>
        <v>ENDirect</v>
      </c>
      <c r="N96" s="7" t="str">
        <f>IFERROR(HLOOKUP(L96,'Calc|Weightings'!$U$5:$W$5,1,0),"Excl")</f>
        <v>Contracts</v>
      </c>
      <c r="O96" s="7" t="str">
        <f>VLOOKUP(E96,Mapping!$E$11:$I$204,5,0)</f>
        <v>SCS</v>
      </c>
      <c r="Q96" s="32" t="s">
        <v>126</v>
      </c>
      <c r="R96" s="32"/>
      <c r="S96" s="32">
        <v>71010</v>
      </c>
      <c r="T96" s="32" t="s">
        <v>462</v>
      </c>
      <c r="U96" s="33">
        <v>485.64499999999998</v>
      </c>
      <c r="V96" s="7"/>
      <c r="W96" s="7" t="str">
        <f>VLOOKUP($Q96,Mapping!$E$11:$I$204,3,0)</f>
        <v>Augmentation</v>
      </c>
      <c r="X96" s="7" t="str">
        <f>IFERROR(VLOOKUP($S96,Mapping!$E$208:$K$236,5,0),"Contracts")</f>
        <v>Labour</v>
      </c>
      <c r="Y96" s="7" t="str">
        <f>IFERROR(VLOOKUP($S96,Mapping!$E$208:$K$236,7,0),"ENDirect")</f>
        <v>ENDirect</v>
      </c>
      <c r="Z96" s="7" t="str">
        <f>IFERROR(HLOOKUP(X96,'Calc|Weightings'!$U$5:$W$5,1,0),"Excl")</f>
        <v>Labour</v>
      </c>
      <c r="AA96" s="7" t="str">
        <f>VLOOKUP(Q96,Mapping!$E$11:$I$204,5,0)</f>
        <v>SCS</v>
      </c>
      <c r="AC96" s="35" t="s">
        <v>111</v>
      </c>
      <c r="AD96" s="35"/>
      <c r="AE96" s="35">
        <v>71010</v>
      </c>
      <c r="AF96" s="35" t="s">
        <v>462</v>
      </c>
      <c r="AG96" s="36">
        <v>2659.8690000000001</v>
      </c>
      <c r="AI96" s="7" t="str">
        <f>VLOOKUP($AC96,Mapping!$E$11:$I$204,3,0)</f>
        <v>Connections</v>
      </c>
      <c r="AJ96" s="7" t="str">
        <f>IFERROR(VLOOKUP($AE96,Mapping!$E$208:$K$236,5,0),"Contracts")</f>
        <v>Labour</v>
      </c>
      <c r="AK96" s="7" t="str">
        <f>IFERROR(VLOOKUP($AE96,Mapping!$E$208:$K$236,7,0),"ENDirect")</f>
        <v>ENDirect</v>
      </c>
      <c r="AL96" s="7" t="str">
        <f>IFERROR(HLOOKUP(AJ96,'Calc|Weightings'!$U$5:$W$5,1,0),"Excl")</f>
        <v>Labour</v>
      </c>
      <c r="AM96" s="7" t="str">
        <f>VLOOKUP(AC96,Mapping!$E$11:$I$204,5,0)</f>
        <v>SCS</v>
      </c>
      <c r="AO96" s="35" t="s">
        <v>97</v>
      </c>
      <c r="AP96" s="35"/>
      <c r="AQ96" s="35">
        <v>83010</v>
      </c>
      <c r="AR96" s="35" t="s">
        <v>591</v>
      </c>
      <c r="AS96" s="121">
        <v>12427.776659998148</v>
      </c>
      <c r="AU96" s="7" t="str">
        <f>VLOOKUP($AO96,Mapping!$E$11:$I$204,3,0)</f>
        <v>Connections</v>
      </c>
      <c r="AV96" s="7" t="str">
        <f>IFERROR(VLOOKUP($AQ96,Mapping!$E$208:$K$236,5,0),"Contracts")</f>
        <v>Contracts</v>
      </c>
      <c r="AW96" s="7" t="str">
        <f>IFERROR(VLOOKUP($AQ96,Mapping!$E$208:$K$236,7,0),"ENDirect")</f>
        <v>ENDirect</v>
      </c>
      <c r="AX96" s="7" t="str">
        <f>IFERROR(HLOOKUP(AV96,'Calc|Weightings'!$U$5:$W$5,1,0),"Excl")</f>
        <v>Contracts</v>
      </c>
      <c r="AY96" s="7" t="str">
        <f>VLOOKUP(AO96,Mapping!$E$11:$I$204,5,0)</f>
        <v>SCS</v>
      </c>
    </row>
    <row r="97" spans="1:51" x14ac:dyDescent="0.3">
      <c r="A97" s="7"/>
      <c r="B97" s="7"/>
      <c r="C97" s="7"/>
      <c r="D97" s="7"/>
      <c r="E97" s="32" t="s">
        <v>122</v>
      </c>
      <c r="F97" s="32"/>
      <c r="G97" s="32">
        <v>71040</v>
      </c>
      <c r="H97" s="32" t="s">
        <v>460</v>
      </c>
      <c r="I97" s="33">
        <v>-1.155</v>
      </c>
      <c r="J97" s="170"/>
      <c r="K97" s="7" t="str">
        <f>VLOOKUP($E97,Mapping!$E$11:$I$204,3,0)</f>
        <v>Augmentation</v>
      </c>
      <c r="L97" s="7" t="str">
        <f>IFERROR(VLOOKUP($G97,Mapping!$E$208:$K$236,5,0),"Contracts")</f>
        <v>Contracts</v>
      </c>
      <c r="M97" s="7" t="str">
        <f>IFERROR(VLOOKUP($G97,Mapping!$E$208:$K$236,7,0),"ENDirect")</f>
        <v>ENDirect</v>
      </c>
      <c r="N97" s="7" t="str">
        <f>IFERROR(HLOOKUP(L97,'Calc|Weightings'!$U$5:$W$5,1,0),"Excl")</f>
        <v>Contracts</v>
      </c>
      <c r="O97" s="7" t="str">
        <f>VLOOKUP(E97,Mapping!$E$11:$I$204,5,0)</f>
        <v>SCS</v>
      </c>
      <c r="Q97" s="32" t="s">
        <v>126</v>
      </c>
      <c r="R97" s="32"/>
      <c r="S97" s="32">
        <v>71015</v>
      </c>
      <c r="T97" s="32" t="s">
        <v>463</v>
      </c>
      <c r="U97" s="33">
        <v>213.893</v>
      </c>
      <c r="V97" s="7"/>
      <c r="W97" s="7" t="str">
        <f>VLOOKUP($Q97,Mapping!$E$11:$I$204,3,0)</f>
        <v>Augmentation</v>
      </c>
      <c r="X97" s="7" t="str">
        <f>IFERROR(VLOOKUP($S97,Mapping!$E$208:$K$236,5,0),"Contracts")</f>
        <v>Materials</v>
      </c>
      <c r="Y97" s="7" t="str">
        <f>IFERROR(VLOOKUP($S97,Mapping!$E$208:$K$236,7,0),"ENDirect")</f>
        <v>ENDirect</v>
      </c>
      <c r="Z97" s="7" t="str">
        <f>IFERROR(HLOOKUP(X97,'Calc|Weightings'!$U$5:$W$5,1,0),"Excl")</f>
        <v>Materials</v>
      </c>
      <c r="AA97" s="7" t="str">
        <f>VLOOKUP(Q97,Mapping!$E$11:$I$204,5,0)</f>
        <v>SCS</v>
      </c>
      <c r="AC97" s="35" t="s">
        <v>111</v>
      </c>
      <c r="AD97" s="35"/>
      <c r="AE97" s="35">
        <v>71015</v>
      </c>
      <c r="AF97" s="35" t="s">
        <v>463</v>
      </c>
      <c r="AG97" s="36">
        <v>624.24900000000002</v>
      </c>
      <c r="AI97" s="7" t="str">
        <f>VLOOKUP($AC97,Mapping!$E$11:$I$204,3,0)</f>
        <v>Connections</v>
      </c>
      <c r="AJ97" s="7" t="str">
        <f>IFERROR(VLOOKUP($AE97,Mapping!$E$208:$K$236,5,0),"Contracts")</f>
        <v>Materials</v>
      </c>
      <c r="AK97" s="7" t="str">
        <f>IFERROR(VLOOKUP($AE97,Mapping!$E$208:$K$236,7,0),"ENDirect")</f>
        <v>ENDirect</v>
      </c>
      <c r="AL97" s="7" t="str">
        <f>IFERROR(HLOOKUP(AJ97,'Calc|Weightings'!$U$5:$W$5,1,0),"Excl")</f>
        <v>Materials</v>
      </c>
      <c r="AM97" s="7" t="str">
        <f>VLOOKUP(AC97,Mapping!$E$11:$I$204,5,0)</f>
        <v>SCS</v>
      </c>
      <c r="AO97" s="35" t="s">
        <v>553</v>
      </c>
      <c r="AP97" s="35"/>
      <c r="AQ97" s="35">
        <v>71000</v>
      </c>
      <c r="AR97" s="35" t="s">
        <v>457</v>
      </c>
      <c r="AS97" s="121">
        <v>22.897549999999995</v>
      </c>
      <c r="AU97" s="7" t="str">
        <f>VLOOKUP($AO97,Mapping!$E$11:$I$204,3,0)</f>
        <v>Connections</v>
      </c>
      <c r="AV97" s="7" t="str">
        <f>IFERROR(VLOOKUP($AQ97,Mapping!$E$208:$K$236,5,0),"Contracts")</f>
        <v>Labour</v>
      </c>
      <c r="AW97" s="7" t="str">
        <f>IFERROR(VLOOKUP($AQ97,Mapping!$E$208:$K$236,7,0),"ENDirect")</f>
        <v>ENDirect</v>
      </c>
      <c r="AX97" s="7" t="str">
        <f>IFERROR(HLOOKUP(AV97,'Calc|Weightings'!$U$5:$W$5,1,0),"Excl")</f>
        <v>Labour</v>
      </c>
      <c r="AY97" s="7" t="str">
        <f>VLOOKUP(AO97,Mapping!$E$11:$I$204,5,0)</f>
        <v>SCS</v>
      </c>
    </row>
    <row r="98" spans="1:51" x14ac:dyDescent="0.3">
      <c r="A98" s="7"/>
      <c r="B98" s="7"/>
      <c r="C98" s="7"/>
      <c r="D98" s="7"/>
      <c r="E98" s="32" t="s">
        <v>147</v>
      </c>
      <c r="F98" s="32"/>
      <c r="G98" s="32">
        <v>71000</v>
      </c>
      <c r="H98" s="32" t="s">
        <v>457</v>
      </c>
      <c r="I98" s="33">
        <v>102.379</v>
      </c>
      <c r="J98" s="170"/>
      <c r="K98" s="7" t="str">
        <f>VLOOKUP($E98,Mapping!$E$11:$I$204,3,0)</f>
        <v>Augmentation</v>
      </c>
      <c r="L98" s="7" t="str">
        <f>IFERROR(VLOOKUP($G98,Mapping!$E$208:$K$236,5,0),"Contracts")</f>
        <v>Labour</v>
      </c>
      <c r="M98" s="7" t="str">
        <f>IFERROR(VLOOKUP($G98,Mapping!$E$208:$K$236,7,0),"ENDirect")</f>
        <v>ENDirect</v>
      </c>
      <c r="N98" s="7" t="str">
        <f>IFERROR(HLOOKUP(L98,'Calc|Weightings'!$U$5:$W$5,1,0),"Excl")</f>
        <v>Labour</v>
      </c>
      <c r="O98" s="7" t="str">
        <f>VLOOKUP(E98,Mapping!$E$11:$I$204,5,0)</f>
        <v>SCS</v>
      </c>
      <c r="Q98" s="32" t="s">
        <v>126</v>
      </c>
      <c r="R98" s="32"/>
      <c r="S98" s="32">
        <v>71030</v>
      </c>
      <c r="T98" s="32" t="s">
        <v>464</v>
      </c>
      <c r="U98" s="33">
        <v>82.757000000000005</v>
      </c>
      <c r="V98" s="7"/>
      <c r="W98" s="7" t="str">
        <f>VLOOKUP($Q98,Mapping!$E$11:$I$204,3,0)</f>
        <v>Augmentation</v>
      </c>
      <c r="X98" s="7" t="str">
        <f>IFERROR(VLOOKUP($S98,Mapping!$E$208:$K$236,5,0),"Contracts")</f>
        <v>Contracts</v>
      </c>
      <c r="Y98" s="7" t="str">
        <f>IFERROR(VLOOKUP($S98,Mapping!$E$208:$K$236,7,0),"ENDirect")</f>
        <v>ENDirect</v>
      </c>
      <c r="Z98" s="7" t="str">
        <f>IFERROR(HLOOKUP(X98,'Calc|Weightings'!$U$5:$W$5,1,0),"Excl")</f>
        <v>Contracts</v>
      </c>
      <c r="AA98" s="7" t="str">
        <f>VLOOKUP(Q98,Mapping!$E$11:$I$204,5,0)</f>
        <v>SCS</v>
      </c>
      <c r="AC98" s="35" t="s">
        <v>111</v>
      </c>
      <c r="AD98" s="35"/>
      <c r="AE98" s="35">
        <v>71030</v>
      </c>
      <c r="AF98" s="35" t="s">
        <v>464</v>
      </c>
      <c r="AG98" s="36">
        <v>678.92</v>
      </c>
      <c r="AI98" s="7" t="str">
        <f>VLOOKUP($AC98,Mapping!$E$11:$I$204,3,0)</f>
        <v>Connections</v>
      </c>
      <c r="AJ98" s="7" t="str">
        <f>IFERROR(VLOOKUP($AE98,Mapping!$E$208:$K$236,5,0),"Contracts")</f>
        <v>Contracts</v>
      </c>
      <c r="AK98" s="7" t="str">
        <f>IFERROR(VLOOKUP($AE98,Mapping!$E$208:$K$236,7,0),"ENDirect")</f>
        <v>ENDirect</v>
      </c>
      <c r="AL98" s="7" t="str">
        <f>IFERROR(HLOOKUP(AJ98,'Calc|Weightings'!$U$5:$W$5,1,0),"Excl")</f>
        <v>Contracts</v>
      </c>
      <c r="AM98" s="7" t="str">
        <f>VLOOKUP(AC98,Mapping!$E$11:$I$204,5,0)</f>
        <v>SCS</v>
      </c>
      <c r="AO98" s="35" t="s">
        <v>553</v>
      </c>
      <c r="AP98" s="35"/>
      <c r="AQ98" s="35">
        <v>71005</v>
      </c>
      <c r="AR98" s="35" t="s">
        <v>461</v>
      </c>
      <c r="AS98" s="121">
        <v>26.474230000000002</v>
      </c>
      <c r="AU98" s="7" t="str">
        <f>VLOOKUP($AO98,Mapping!$E$11:$I$204,3,0)</f>
        <v>Connections</v>
      </c>
      <c r="AV98" s="7" t="str">
        <f>IFERROR(VLOOKUP($AQ98,Mapping!$E$208:$K$236,5,0),"Contracts")</f>
        <v>Materials</v>
      </c>
      <c r="AW98" s="7" t="str">
        <f>IFERROR(VLOOKUP($AQ98,Mapping!$E$208:$K$236,7,0),"ENDirect")</f>
        <v>ENDirect</v>
      </c>
      <c r="AX98" s="7" t="str">
        <f>IFERROR(HLOOKUP(AV98,'Calc|Weightings'!$U$5:$W$5,1,0),"Excl")</f>
        <v>Materials</v>
      </c>
      <c r="AY98" s="7" t="str">
        <f>VLOOKUP(AO98,Mapping!$E$11:$I$204,5,0)</f>
        <v>SCS</v>
      </c>
    </row>
    <row r="99" spans="1:51" x14ac:dyDescent="0.3">
      <c r="A99" s="7"/>
      <c r="B99" s="7"/>
      <c r="C99" s="7"/>
      <c r="D99" s="7"/>
      <c r="E99" s="32" t="s">
        <v>147</v>
      </c>
      <c r="F99" s="32"/>
      <c r="G99" s="32">
        <v>71015</v>
      </c>
      <c r="H99" s="32" t="s">
        <v>463</v>
      </c>
      <c r="I99" s="33">
        <v>14.492000000000001</v>
      </c>
      <c r="J99" s="170"/>
      <c r="K99" s="7" t="str">
        <f>VLOOKUP($E99,Mapping!$E$11:$I$204,3,0)</f>
        <v>Augmentation</v>
      </c>
      <c r="L99" s="7" t="str">
        <f>IFERROR(VLOOKUP($G99,Mapping!$E$208:$K$236,5,0),"Contracts")</f>
        <v>Materials</v>
      </c>
      <c r="M99" s="7" t="str">
        <f>IFERROR(VLOOKUP($G99,Mapping!$E$208:$K$236,7,0),"ENDirect")</f>
        <v>ENDirect</v>
      </c>
      <c r="N99" s="7" t="str">
        <f>IFERROR(HLOOKUP(L99,'Calc|Weightings'!$U$5:$W$5,1,0),"Excl")</f>
        <v>Materials</v>
      </c>
      <c r="O99" s="7" t="str">
        <f>VLOOKUP(E99,Mapping!$E$11:$I$204,5,0)</f>
        <v>SCS</v>
      </c>
      <c r="Q99" s="32" t="s">
        <v>126</v>
      </c>
      <c r="R99" s="32"/>
      <c r="S99" s="32">
        <v>71055</v>
      </c>
      <c r="T99" s="32" t="s">
        <v>465</v>
      </c>
      <c r="U99" s="33">
        <v>419.26900000000001</v>
      </c>
      <c r="V99" s="7"/>
      <c r="W99" s="7" t="str">
        <f>VLOOKUP($Q99,Mapping!$E$11:$I$204,3,0)</f>
        <v>Augmentation</v>
      </c>
      <c r="X99" s="7" t="str">
        <f>IFERROR(VLOOKUP($S99,Mapping!$E$208:$K$236,5,0),"Contracts")</f>
        <v>Contracts</v>
      </c>
      <c r="Y99" s="7" t="str">
        <f>IFERROR(VLOOKUP($S99,Mapping!$E$208:$K$236,7,0),"ENDirect")</f>
        <v>ENDirect</v>
      </c>
      <c r="Z99" s="7" t="str">
        <f>IFERROR(HLOOKUP(X99,'Calc|Weightings'!$U$5:$W$5,1,0),"Excl")</f>
        <v>Contracts</v>
      </c>
      <c r="AA99" s="7" t="str">
        <f>VLOOKUP(Q99,Mapping!$E$11:$I$204,5,0)</f>
        <v>SCS</v>
      </c>
      <c r="AC99" s="35" t="s">
        <v>111</v>
      </c>
      <c r="AD99" s="35"/>
      <c r="AE99" s="35">
        <v>71055</v>
      </c>
      <c r="AF99" s="35" t="s">
        <v>465</v>
      </c>
      <c r="AG99" s="36">
        <v>1461.7950000000001</v>
      </c>
      <c r="AI99" s="7" t="str">
        <f>VLOOKUP($AC99,Mapping!$E$11:$I$204,3,0)</f>
        <v>Connections</v>
      </c>
      <c r="AJ99" s="7" t="str">
        <f>IFERROR(VLOOKUP($AE99,Mapping!$E$208:$K$236,5,0),"Contracts")</f>
        <v>Contracts</v>
      </c>
      <c r="AK99" s="7" t="str">
        <f>IFERROR(VLOOKUP($AE99,Mapping!$E$208:$K$236,7,0),"ENDirect")</f>
        <v>ENDirect</v>
      </c>
      <c r="AL99" s="7" t="str">
        <f>IFERROR(HLOOKUP(AJ99,'Calc|Weightings'!$U$5:$W$5,1,0),"Excl")</f>
        <v>Contracts</v>
      </c>
      <c r="AM99" s="7" t="str">
        <f>VLOOKUP(AC99,Mapping!$E$11:$I$204,5,0)</f>
        <v>SCS</v>
      </c>
      <c r="AO99" s="35" t="s">
        <v>553</v>
      </c>
      <c r="AP99" s="35"/>
      <c r="AQ99" s="35">
        <v>71006</v>
      </c>
      <c r="AR99" s="35" t="s">
        <v>468</v>
      </c>
      <c r="AS99" s="121">
        <v>22.131</v>
      </c>
      <c r="AU99" s="7" t="str">
        <f>VLOOKUP($AO99,Mapping!$E$11:$I$204,3,0)</f>
        <v>Connections</v>
      </c>
      <c r="AV99" s="7" t="str">
        <f>IFERROR(VLOOKUP($AQ99,Mapping!$E$208:$K$236,5,0),"Contracts")</f>
        <v>Materials</v>
      </c>
      <c r="AW99" s="7" t="str">
        <f>IFERROR(VLOOKUP($AQ99,Mapping!$E$208:$K$236,7,0),"ENDirect")</f>
        <v>ENDirect</v>
      </c>
      <c r="AX99" s="7" t="str">
        <f>IFERROR(HLOOKUP(AV99,'Calc|Weightings'!$U$5:$W$5,1,0),"Excl")</f>
        <v>Materials</v>
      </c>
      <c r="AY99" s="7" t="str">
        <f>VLOOKUP(AO99,Mapping!$E$11:$I$204,5,0)</f>
        <v>SCS</v>
      </c>
    </row>
    <row r="100" spans="1:51" x14ac:dyDescent="0.3">
      <c r="A100" s="7"/>
      <c r="B100" s="7"/>
      <c r="C100" s="7"/>
      <c r="D100" s="7"/>
      <c r="E100" s="32" t="s">
        <v>147</v>
      </c>
      <c r="F100" s="32"/>
      <c r="G100" s="32">
        <v>71030</v>
      </c>
      <c r="H100" s="32" t="s">
        <v>464</v>
      </c>
      <c r="I100" s="33">
        <v>12.21</v>
      </c>
      <c r="J100" s="170"/>
      <c r="K100" s="7" t="str">
        <f>VLOOKUP($E100,Mapping!$E$11:$I$204,3,0)</f>
        <v>Augmentation</v>
      </c>
      <c r="L100" s="7" t="str">
        <f>IFERROR(VLOOKUP($G100,Mapping!$E$208:$K$236,5,0),"Contracts")</f>
        <v>Contracts</v>
      </c>
      <c r="M100" s="7" t="str">
        <f>IFERROR(VLOOKUP($G100,Mapping!$E$208:$K$236,7,0),"ENDirect")</f>
        <v>ENDirect</v>
      </c>
      <c r="N100" s="7" t="str">
        <f>IFERROR(HLOOKUP(L100,'Calc|Weightings'!$U$5:$W$5,1,0),"Excl")</f>
        <v>Contracts</v>
      </c>
      <c r="O100" s="7" t="str">
        <f>VLOOKUP(E100,Mapping!$E$11:$I$204,5,0)</f>
        <v>SCS</v>
      </c>
      <c r="Q100" s="32" t="s">
        <v>126</v>
      </c>
      <c r="R100" s="32"/>
      <c r="S100" s="32">
        <v>80000</v>
      </c>
      <c r="T100" s="32" t="s">
        <v>453</v>
      </c>
      <c r="U100" s="33">
        <v>147.58699999999999</v>
      </c>
      <c r="V100" s="7"/>
      <c r="W100" s="7" t="str">
        <f>VLOOKUP($Q100,Mapping!$E$11:$I$204,3,0)</f>
        <v>Augmentation</v>
      </c>
      <c r="X100" s="7" t="str">
        <f>IFERROR(VLOOKUP($S100,Mapping!$E$208:$K$236,5,0),"Contracts")</f>
        <v>Overhead</v>
      </c>
      <c r="Y100" s="7" t="str">
        <f>IFERROR(VLOOKUP($S100,Mapping!$E$208:$K$236,7,0),"ENDirect")</f>
        <v>OH</v>
      </c>
      <c r="Z100" s="7" t="str">
        <f>IFERROR(HLOOKUP(X100,'Calc|Weightings'!$U$5:$W$5,1,0),"Excl")</f>
        <v>Excl</v>
      </c>
      <c r="AA100" s="7" t="str">
        <f>VLOOKUP(Q100,Mapping!$E$11:$I$204,5,0)</f>
        <v>SCS</v>
      </c>
      <c r="AC100" s="35" t="s">
        <v>111</v>
      </c>
      <c r="AD100" s="35"/>
      <c r="AE100" s="35">
        <v>80000</v>
      </c>
      <c r="AF100" s="35" t="s">
        <v>453</v>
      </c>
      <c r="AG100" s="36">
        <v>1370.01</v>
      </c>
      <c r="AI100" s="7" t="str">
        <f>VLOOKUP($AC100,Mapping!$E$11:$I$204,3,0)</f>
        <v>Connections</v>
      </c>
      <c r="AJ100" s="7" t="str">
        <f>IFERROR(VLOOKUP($AE100,Mapping!$E$208:$K$236,5,0),"Contracts")</f>
        <v>Overhead</v>
      </c>
      <c r="AK100" s="7" t="str">
        <f>IFERROR(VLOOKUP($AE100,Mapping!$E$208:$K$236,7,0),"ENDirect")</f>
        <v>OH</v>
      </c>
      <c r="AL100" s="7" t="str">
        <f>IFERROR(HLOOKUP(AJ100,'Calc|Weightings'!$U$5:$W$5,1,0),"Excl")</f>
        <v>Excl</v>
      </c>
      <c r="AM100" s="7" t="str">
        <f>VLOOKUP(AC100,Mapping!$E$11:$I$204,5,0)</f>
        <v>SCS</v>
      </c>
      <c r="AO100" s="35" t="s">
        <v>553</v>
      </c>
      <c r="AP100" s="35"/>
      <c r="AQ100" s="35">
        <v>71010</v>
      </c>
      <c r="AR100" s="35" t="s">
        <v>487</v>
      </c>
      <c r="AS100" s="121">
        <v>298.60195999999996</v>
      </c>
      <c r="AU100" s="7" t="str">
        <f>VLOOKUP($AO100,Mapping!$E$11:$I$204,3,0)</f>
        <v>Connections</v>
      </c>
      <c r="AV100" s="7" t="str">
        <f>IFERROR(VLOOKUP($AQ100,Mapping!$E$208:$K$236,5,0),"Contracts")</f>
        <v>Labour</v>
      </c>
      <c r="AW100" s="7" t="str">
        <f>IFERROR(VLOOKUP($AQ100,Mapping!$E$208:$K$236,7,0),"ENDirect")</f>
        <v>ENDirect</v>
      </c>
      <c r="AX100" s="7" t="str">
        <f>IFERROR(HLOOKUP(AV100,'Calc|Weightings'!$U$5:$W$5,1,0),"Excl")</f>
        <v>Labour</v>
      </c>
      <c r="AY100" s="7" t="str">
        <f>VLOOKUP(AO100,Mapping!$E$11:$I$204,5,0)</f>
        <v>SCS</v>
      </c>
    </row>
    <row r="101" spans="1:51" x14ac:dyDescent="0.3">
      <c r="A101" s="7"/>
      <c r="B101" s="7"/>
      <c r="C101" s="7"/>
      <c r="D101" s="7"/>
      <c r="E101" s="32" t="s">
        <v>147</v>
      </c>
      <c r="F101" s="32"/>
      <c r="G101" s="32">
        <v>71055</v>
      </c>
      <c r="H101" s="32" t="s">
        <v>465</v>
      </c>
      <c r="I101" s="33">
        <v>23.402999999999999</v>
      </c>
      <c r="J101" s="170"/>
      <c r="K101" s="7" t="str">
        <f>VLOOKUP($E101,Mapping!$E$11:$I$204,3,0)</f>
        <v>Augmentation</v>
      </c>
      <c r="L101" s="7" t="str">
        <f>IFERROR(VLOOKUP($G101,Mapping!$E$208:$K$236,5,0),"Contracts")</f>
        <v>Contracts</v>
      </c>
      <c r="M101" s="7" t="str">
        <f>IFERROR(VLOOKUP($G101,Mapping!$E$208:$K$236,7,0),"ENDirect")</f>
        <v>ENDirect</v>
      </c>
      <c r="N101" s="7" t="str">
        <f>IFERROR(HLOOKUP(L101,'Calc|Weightings'!$U$5:$W$5,1,0),"Excl")</f>
        <v>Contracts</v>
      </c>
      <c r="O101" s="7" t="str">
        <f>VLOOKUP(E101,Mapping!$E$11:$I$204,5,0)</f>
        <v>SCS</v>
      </c>
      <c r="Q101" s="32" t="s">
        <v>552</v>
      </c>
      <c r="R101" s="32"/>
      <c r="S101" s="32">
        <v>71000</v>
      </c>
      <c r="T101" s="32" t="s">
        <v>457</v>
      </c>
      <c r="U101" s="33">
        <v>1649.828</v>
      </c>
      <c r="V101" s="7"/>
      <c r="W101" s="7" t="str">
        <f>VLOOKUP($Q101,Mapping!$E$11:$I$204,3,0)</f>
        <v>Connections</v>
      </c>
      <c r="X101" s="7" t="str">
        <f>IFERROR(VLOOKUP($S101,Mapping!$E$208:$K$236,5,0),"Contracts")</f>
        <v>Labour</v>
      </c>
      <c r="Y101" s="7" t="str">
        <f>IFERROR(VLOOKUP($S101,Mapping!$E$208:$K$236,7,0),"ENDirect")</f>
        <v>ENDirect</v>
      </c>
      <c r="Z101" s="7" t="str">
        <f>IFERROR(HLOOKUP(X101,'Calc|Weightings'!$U$5:$W$5,1,0),"Excl")</f>
        <v>Labour</v>
      </c>
      <c r="AA101" s="7" t="str">
        <f>VLOOKUP(Q101,Mapping!$E$11:$I$204,5,0)</f>
        <v>SCS</v>
      </c>
      <c r="AC101" s="35" t="s">
        <v>553</v>
      </c>
      <c r="AD101" s="35"/>
      <c r="AE101" s="35">
        <v>72345</v>
      </c>
      <c r="AF101" s="35" t="s">
        <v>467</v>
      </c>
      <c r="AG101" s="36">
        <v>2424.172</v>
      </c>
      <c r="AI101" s="7" t="str">
        <f>VLOOKUP($AC101,Mapping!$E$11:$I$204,3,0)</f>
        <v>Connections</v>
      </c>
      <c r="AJ101" s="7" t="str">
        <f>IFERROR(VLOOKUP($AE101,Mapping!$E$208:$K$236,5,0),"Contracts")</f>
        <v>Contracts</v>
      </c>
      <c r="AK101" s="7" t="str">
        <f>IFERROR(VLOOKUP($AE101,Mapping!$E$208:$K$236,7,0),"ENDirect")</f>
        <v>ENDirect</v>
      </c>
      <c r="AL101" s="7" t="str">
        <f>IFERROR(HLOOKUP(AJ101,'Calc|Weightings'!$U$5:$W$5,1,0),"Excl")</f>
        <v>Contracts</v>
      </c>
      <c r="AM101" s="7" t="str">
        <f>VLOOKUP(AC101,Mapping!$E$11:$I$204,5,0)</f>
        <v>SCS</v>
      </c>
      <c r="AO101" s="35" t="s">
        <v>553</v>
      </c>
      <c r="AP101" s="35"/>
      <c r="AQ101" s="35">
        <v>71015</v>
      </c>
      <c r="AR101" s="35" t="s">
        <v>585</v>
      </c>
      <c r="AS101" s="121">
        <v>11.478020000000001</v>
      </c>
      <c r="AU101" s="7" t="str">
        <f>VLOOKUP($AO101,Mapping!$E$11:$I$204,3,0)</f>
        <v>Connections</v>
      </c>
      <c r="AV101" s="7" t="str">
        <f>IFERROR(VLOOKUP($AQ101,Mapping!$E$208:$K$236,5,0),"Contracts")</f>
        <v>Materials</v>
      </c>
      <c r="AW101" s="7" t="str">
        <f>IFERROR(VLOOKUP($AQ101,Mapping!$E$208:$K$236,7,0),"ENDirect")</f>
        <v>ENDirect</v>
      </c>
      <c r="AX101" s="7" t="str">
        <f>IFERROR(HLOOKUP(AV101,'Calc|Weightings'!$U$5:$W$5,1,0),"Excl")</f>
        <v>Materials</v>
      </c>
      <c r="AY101" s="7" t="str">
        <f>VLOOKUP(AO101,Mapping!$E$11:$I$204,5,0)</f>
        <v>SCS</v>
      </c>
    </row>
    <row r="102" spans="1:51" x14ac:dyDescent="0.3">
      <c r="A102" s="7"/>
      <c r="B102" s="7"/>
      <c r="C102" s="7"/>
      <c r="D102" s="7"/>
      <c r="E102" s="32" t="s">
        <v>147</v>
      </c>
      <c r="F102" s="32"/>
      <c r="G102" s="32">
        <v>80000</v>
      </c>
      <c r="H102" s="32" t="s">
        <v>453</v>
      </c>
      <c r="I102" s="33">
        <v>18.36</v>
      </c>
      <c r="J102" s="170"/>
      <c r="K102" s="7" t="str">
        <f>VLOOKUP($E102,Mapping!$E$11:$I$204,3,0)</f>
        <v>Augmentation</v>
      </c>
      <c r="L102" s="7" t="str">
        <f>IFERROR(VLOOKUP($G102,Mapping!$E$208:$K$236,5,0),"Contracts")</f>
        <v>Overhead</v>
      </c>
      <c r="M102" s="7" t="str">
        <f>IFERROR(VLOOKUP($G102,Mapping!$E$208:$K$236,7,0),"ENDirect")</f>
        <v>OH</v>
      </c>
      <c r="N102" s="7" t="str">
        <f>IFERROR(HLOOKUP(L102,'Calc|Weightings'!$U$5:$W$5,1,0),"Excl")</f>
        <v>Excl</v>
      </c>
      <c r="O102" s="7" t="str">
        <f>VLOOKUP(E102,Mapping!$E$11:$I$204,5,0)</f>
        <v>SCS</v>
      </c>
      <c r="Q102" s="32" t="s">
        <v>552</v>
      </c>
      <c r="R102" s="32"/>
      <c r="S102" s="32">
        <v>71030</v>
      </c>
      <c r="T102" s="32" t="s">
        <v>464</v>
      </c>
      <c r="U102" s="33">
        <v>355.99599999999998</v>
      </c>
      <c r="V102" s="7"/>
      <c r="W102" s="7" t="str">
        <f>VLOOKUP($Q102,Mapping!$E$11:$I$204,3,0)</f>
        <v>Connections</v>
      </c>
      <c r="X102" s="7" t="str">
        <f>IFERROR(VLOOKUP($S102,Mapping!$E$208:$K$236,5,0),"Contracts")</f>
        <v>Contracts</v>
      </c>
      <c r="Y102" s="7" t="str">
        <f>IFERROR(VLOOKUP($S102,Mapping!$E$208:$K$236,7,0),"ENDirect")</f>
        <v>ENDirect</v>
      </c>
      <c r="Z102" s="7" t="str">
        <f>IFERROR(HLOOKUP(X102,'Calc|Weightings'!$U$5:$W$5,1,0),"Excl")</f>
        <v>Contracts</v>
      </c>
      <c r="AA102" s="7" t="str">
        <f>VLOOKUP(Q102,Mapping!$E$11:$I$204,5,0)</f>
        <v>SCS</v>
      </c>
      <c r="AC102" s="35" t="s">
        <v>103</v>
      </c>
      <c r="AD102" s="35"/>
      <c r="AE102" s="35">
        <v>72345</v>
      </c>
      <c r="AF102" s="35" t="s">
        <v>467</v>
      </c>
      <c r="AG102" s="36">
        <v>2074.73</v>
      </c>
      <c r="AI102" s="7" t="str">
        <f>VLOOKUP($AC102,Mapping!$E$11:$I$204,3,0)</f>
        <v>Public Lighting</v>
      </c>
      <c r="AJ102" s="7" t="str">
        <f>IFERROR(VLOOKUP($AE102,Mapping!$E$208:$K$236,5,0),"Contracts")</f>
        <v>Contracts</v>
      </c>
      <c r="AK102" s="7" t="str">
        <f>IFERROR(VLOOKUP($AE102,Mapping!$E$208:$K$236,7,0),"ENDirect")</f>
        <v>ENDirect</v>
      </c>
      <c r="AL102" s="7" t="str">
        <f>IFERROR(HLOOKUP(AJ102,'Calc|Weightings'!$U$5:$W$5,1,0),"Excl")</f>
        <v>Contracts</v>
      </c>
      <c r="AM102" s="7" t="str">
        <f>VLOOKUP(AC102,Mapping!$E$11:$I$204,5,0)</f>
        <v>Public Lighting</v>
      </c>
      <c r="AO102" s="35" t="s">
        <v>553</v>
      </c>
      <c r="AP102" s="35"/>
      <c r="AQ102" s="35">
        <v>71030</v>
      </c>
      <c r="AR102" s="35" t="s">
        <v>464</v>
      </c>
      <c r="AS102" s="121">
        <v>58.375209999999988</v>
      </c>
      <c r="AU102" s="7" t="str">
        <f>VLOOKUP($AO102,Mapping!$E$11:$I$204,3,0)</f>
        <v>Connections</v>
      </c>
      <c r="AV102" s="7" t="str">
        <f>IFERROR(VLOOKUP($AQ102,Mapping!$E$208:$K$236,5,0),"Contracts")</f>
        <v>Contracts</v>
      </c>
      <c r="AW102" s="7" t="str">
        <f>IFERROR(VLOOKUP($AQ102,Mapping!$E$208:$K$236,7,0),"ENDirect")</f>
        <v>ENDirect</v>
      </c>
      <c r="AX102" s="7" t="str">
        <f>IFERROR(HLOOKUP(AV102,'Calc|Weightings'!$U$5:$W$5,1,0),"Excl")</f>
        <v>Contracts</v>
      </c>
      <c r="AY102" s="7" t="str">
        <f>VLOOKUP(AO102,Mapping!$E$11:$I$204,5,0)</f>
        <v>SCS</v>
      </c>
    </row>
    <row r="103" spans="1:51" x14ac:dyDescent="0.3">
      <c r="A103" s="7"/>
      <c r="B103" s="7"/>
      <c r="C103" s="7"/>
      <c r="D103" s="7"/>
      <c r="E103" s="32" t="s">
        <v>210</v>
      </c>
      <c r="F103" s="32"/>
      <c r="G103" s="32">
        <v>71000</v>
      </c>
      <c r="H103" s="32" t="s">
        <v>457</v>
      </c>
      <c r="I103" s="33">
        <v>840.97199999999998</v>
      </c>
      <c r="J103" s="170"/>
      <c r="K103" s="7" t="str">
        <f>VLOOKUP($E103,Mapping!$E$11:$I$204,3,0)</f>
        <v>Replacement</v>
      </c>
      <c r="L103" s="7" t="str">
        <f>IFERROR(VLOOKUP($G103,Mapping!$E$208:$K$236,5,0),"Contracts")</f>
        <v>Labour</v>
      </c>
      <c r="M103" s="7" t="str">
        <f>IFERROR(VLOOKUP($G103,Mapping!$E$208:$K$236,7,0),"ENDirect")</f>
        <v>ENDirect</v>
      </c>
      <c r="N103" s="7" t="str">
        <f>IFERROR(HLOOKUP(L103,'Calc|Weightings'!$U$5:$W$5,1,0),"Excl")</f>
        <v>Labour</v>
      </c>
      <c r="O103" s="7" t="str">
        <f>VLOOKUP(E103,Mapping!$E$11:$I$204,5,0)</f>
        <v>SCS</v>
      </c>
      <c r="Q103" s="32" t="s">
        <v>552</v>
      </c>
      <c r="R103" s="32"/>
      <c r="S103" s="32">
        <v>71055</v>
      </c>
      <c r="T103" s="32" t="s">
        <v>465</v>
      </c>
      <c r="U103" s="33">
        <v>836.05</v>
      </c>
      <c r="V103" s="7"/>
      <c r="W103" s="7" t="str">
        <f>VLOOKUP($Q103,Mapping!$E$11:$I$204,3,0)</f>
        <v>Connections</v>
      </c>
      <c r="X103" s="7" t="str">
        <f>IFERROR(VLOOKUP($S103,Mapping!$E$208:$K$236,5,0),"Contracts")</f>
        <v>Contracts</v>
      </c>
      <c r="Y103" s="7" t="str">
        <f>IFERROR(VLOOKUP($S103,Mapping!$E$208:$K$236,7,0),"ENDirect")</f>
        <v>ENDirect</v>
      </c>
      <c r="Z103" s="7" t="str">
        <f>IFERROR(HLOOKUP(X103,'Calc|Weightings'!$U$5:$W$5,1,0),"Excl")</f>
        <v>Contracts</v>
      </c>
      <c r="AA103" s="7" t="str">
        <f>VLOOKUP(Q103,Mapping!$E$11:$I$204,5,0)</f>
        <v>SCS</v>
      </c>
      <c r="AC103" s="35" t="s">
        <v>104</v>
      </c>
      <c r="AD103" s="35"/>
      <c r="AE103" s="35">
        <v>71000</v>
      </c>
      <c r="AF103" s="35" t="s">
        <v>457</v>
      </c>
      <c r="AG103" s="36">
        <v>141.173</v>
      </c>
      <c r="AI103" s="7" t="str">
        <f>VLOOKUP($AC103,Mapping!$E$11:$I$204,3,0)</f>
        <v>Public Lighting</v>
      </c>
      <c r="AJ103" s="7" t="str">
        <f>IFERROR(VLOOKUP($AE103,Mapping!$E$208:$K$236,5,0),"Contracts")</f>
        <v>Labour</v>
      </c>
      <c r="AK103" s="7" t="str">
        <f>IFERROR(VLOOKUP($AE103,Mapping!$E$208:$K$236,7,0),"ENDirect")</f>
        <v>ENDirect</v>
      </c>
      <c r="AL103" s="7" t="str">
        <f>IFERROR(HLOOKUP(AJ103,'Calc|Weightings'!$U$5:$W$5,1,0),"Excl")</f>
        <v>Labour</v>
      </c>
      <c r="AM103" s="7" t="str">
        <f>VLOOKUP(AC103,Mapping!$E$11:$I$204,5,0)</f>
        <v>Public Lighting</v>
      </c>
      <c r="AO103" s="35" t="s">
        <v>553</v>
      </c>
      <c r="AP103" s="35"/>
      <c r="AQ103" s="35">
        <v>71055</v>
      </c>
      <c r="AR103" s="35" t="s">
        <v>465</v>
      </c>
      <c r="AS103" s="121">
        <v>474.48066999999998</v>
      </c>
      <c r="AU103" s="7" t="str">
        <f>VLOOKUP($AO103,Mapping!$E$11:$I$204,3,0)</f>
        <v>Connections</v>
      </c>
      <c r="AV103" s="7" t="str">
        <f>IFERROR(VLOOKUP($AQ103,Mapping!$E$208:$K$236,5,0),"Contracts")</f>
        <v>Contracts</v>
      </c>
      <c r="AW103" s="7" t="str">
        <f>IFERROR(VLOOKUP($AQ103,Mapping!$E$208:$K$236,7,0),"ENDirect")</f>
        <v>ENDirect</v>
      </c>
      <c r="AX103" s="7" t="str">
        <f>IFERROR(HLOOKUP(AV103,'Calc|Weightings'!$U$5:$W$5,1,0),"Excl")</f>
        <v>Contracts</v>
      </c>
      <c r="AY103" s="7" t="str">
        <f>VLOOKUP(AO103,Mapping!$E$11:$I$204,5,0)</f>
        <v>SCS</v>
      </c>
    </row>
    <row r="104" spans="1:51" x14ac:dyDescent="0.3">
      <c r="A104" s="7"/>
      <c r="B104" s="7"/>
      <c r="C104" s="7"/>
      <c r="D104" s="7"/>
      <c r="E104" s="32" t="s">
        <v>210</v>
      </c>
      <c r="F104" s="32"/>
      <c r="G104" s="32">
        <v>71005</v>
      </c>
      <c r="H104" s="32" t="s">
        <v>461</v>
      </c>
      <c r="I104" s="33">
        <v>223.99799999999999</v>
      </c>
      <c r="J104" s="170"/>
      <c r="K104" s="7" t="str">
        <f>VLOOKUP($E104,Mapping!$E$11:$I$204,3,0)</f>
        <v>Replacement</v>
      </c>
      <c r="L104" s="7" t="str">
        <f>IFERROR(VLOOKUP($G104,Mapping!$E$208:$K$236,5,0),"Contracts")</f>
        <v>Materials</v>
      </c>
      <c r="M104" s="7" t="str">
        <f>IFERROR(VLOOKUP($G104,Mapping!$E$208:$K$236,7,0),"ENDirect")</f>
        <v>ENDirect</v>
      </c>
      <c r="N104" s="7" t="str">
        <f>IFERROR(HLOOKUP(L104,'Calc|Weightings'!$U$5:$W$5,1,0),"Excl")</f>
        <v>Materials</v>
      </c>
      <c r="O104" s="7" t="str">
        <f>VLOOKUP(E104,Mapping!$E$11:$I$204,5,0)</f>
        <v>SCS</v>
      </c>
      <c r="Q104" s="32" t="s">
        <v>552</v>
      </c>
      <c r="R104" s="32"/>
      <c r="S104" s="32">
        <v>80000</v>
      </c>
      <c r="T104" s="32" t="s">
        <v>453</v>
      </c>
      <c r="U104" s="33">
        <v>779.83900000000006</v>
      </c>
      <c r="V104" s="7"/>
      <c r="W104" s="7" t="str">
        <f>VLOOKUP($Q104,Mapping!$E$11:$I$204,3,0)</f>
        <v>Connections</v>
      </c>
      <c r="X104" s="7" t="str">
        <f>IFERROR(VLOOKUP($S104,Mapping!$E$208:$K$236,5,0),"Contracts")</f>
        <v>Overhead</v>
      </c>
      <c r="Y104" s="7" t="str">
        <f>IFERROR(VLOOKUP($S104,Mapping!$E$208:$K$236,7,0),"ENDirect")</f>
        <v>OH</v>
      </c>
      <c r="Z104" s="7" t="str">
        <f>IFERROR(HLOOKUP(X104,'Calc|Weightings'!$U$5:$W$5,1,0),"Excl")</f>
        <v>Excl</v>
      </c>
      <c r="AA104" s="7" t="str">
        <f>VLOOKUP(Q104,Mapping!$E$11:$I$204,5,0)</f>
        <v>SCS</v>
      </c>
      <c r="AC104" s="35" t="s">
        <v>104</v>
      </c>
      <c r="AD104" s="35"/>
      <c r="AE104" s="35">
        <v>72345</v>
      </c>
      <c r="AF104" s="35" t="s">
        <v>467</v>
      </c>
      <c r="AG104" s="36">
        <v>3152.2310000000002</v>
      </c>
      <c r="AI104" s="7" t="str">
        <f>VLOOKUP($AC104,Mapping!$E$11:$I$204,3,0)</f>
        <v>Public Lighting</v>
      </c>
      <c r="AJ104" s="7" t="str">
        <f>IFERROR(VLOOKUP($AE104,Mapping!$E$208:$K$236,5,0),"Contracts")</f>
        <v>Contracts</v>
      </c>
      <c r="AK104" s="7" t="str">
        <f>IFERROR(VLOOKUP($AE104,Mapping!$E$208:$K$236,7,0),"ENDirect")</f>
        <v>ENDirect</v>
      </c>
      <c r="AL104" s="7" t="str">
        <f>IFERROR(HLOOKUP(AJ104,'Calc|Weightings'!$U$5:$W$5,1,0),"Excl")</f>
        <v>Contracts</v>
      </c>
      <c r="AM104" s="7" t="str">
        <f>VLOOKUP(AC104,Mapping!$E$11:$I$204,5,0)</f>
        <v>Public Lighting</v>
      </c>
      <c r="AO104" s="35" t="s">
        <v>553</v>
      </c>
      <c r="AP104" s="35"/>
      <c r="AQ104" s="35">
        <v>71070</v>
      </c>
      <c r="AR104" s="35" t="s">
        <v>586</v>
      </c>
      <c r="AS104" s="121">
        <v>194.94871000000001</v>
      </c>
      <c r="AU104" s="7" t="str">
        <f>VLOOKUP($AO104,Mapping!$E$11:$I$204,3,0)</f>
        <v>Connections</v>
      </c>
      <c r="AV104" s="7" t="str">
        <f>IFERROR(VLOOKUP($AQ104,Mapping!$E$208:$K$236,5,0),"Contracts")</f>
        <v>Contracts</v>
      </c>
      <c r="AW104" s="7" t="str">
        <f>IFERROR(VLOOKUP($AQ104,Mapping!$E$208:$K$236,7,0),"ENDirect")</f>
        <v>ENDirect</v>
      </c>
      <c r="AX104" s="7" t="str">
        <f>IFERROR(HLOOKUP(AV104,'Calc|Weightings'!$U$5:$W$5,1,0),"Excl")</f>
        <v>Contracts</v>
      </c>
      <c r="AY104" s="7" t="str">
        <f>VLOOKUP(AO104,Mapping!$E$11:$I$204,5,0)</f>
        <v>SCS</v>
      </c>
    </row>
    <row r="105" spans="1:51" x14ac:dyDescent="0.3">
      <c r="A105" s="7"/>
      <c r="B105" s="7"/>
      <c r="C105" s="7"/>
      <c r="D105" s="7"/>
      <c r="E105" s="32" t="s">
        <v>210</v>
      </c>
      <c r="F105" s="32"/>
      <c r="G105" s="32">
        <v>71010</v>
      </c>
      <c r="H105" s="32" t="s">
        <v>462</v>
      </c>
      <c r="I105" s="33">
        <v>982.84400000000005</v>
      </c>
      <c r="J105" s="170"/>
      <c r="K105" s="7" t="str">
        <f>VLOOKUP($E105,Mapping!$E$11:$I$204,3,0)</f>
        <v>Replacement</v>
      </c>
      <c r="L105" s="7" t="str">
        <f>IFERROR(VLOOKUP($G105,Mapping!$E$208:$K$236,5,0),"Contracts")</f>
        <v>Labour</v>
      </c>
      <c r="M105" s="7" t="str">
        <f>IFERROR(VLOOKUP($G105,Mapping!$E$208:$K$236,7,0),"ENDirect")</f>
        <v>ENDirect</v>
      </c>
      <c r="N105" s="7" t="str">
        <f>IFERROR(HLOOKUP(L105,'Calc|Weightings'!$U$5:$W$5,1,0),"Excl")</f>
        <v>Labour</v>
      </c>
      <c r="O105" s="7" t="str">
        <f>VLOOKUP(E105,Mapping!$E$11:$I$204,5,0)</f>
        <v>SCS</v>
      </c>
      <c r="Q105" s="32" t="s">
        <v>162</v>
      </c>
      <c r="R105" s="32"/>
      <c r="S105" s="32">
        <v>71020</v>
      </c>
      <c r="T105" s="32" t="s">
        <v>459</v>
      </c>
      <c r="U105" s="33">
        <v>-31.117000000000001</v>
      </c>
      <c r="V105" s="7"/>
      <c r="W105" s="7" t="str">
        <f>VLOOKUP($Q105,Mapping!$E$11:$I$204,3,0)</f>
        <v>Replacement</v>
      </c>
      <c r="X105" s="7" t="str">
        <f>IFERROR(VLOOKUP($S105,Mapping!$E$208:$K$236,5,0),"Contracts")</f>
        <v>Contracts</v>
      </c>
      <c r="Y105" s="7" t="str">
        <f>IFERROR(VLOOKUP($S105,Mapping!$E$208:$K$236,7,0),"ENDirect")</f>
        <v>ENDirect</v>
      </c>
      <c r="Z105" s="7" t="str">
        <f>IFERROR(HLOOKUP(X105,'Calc|Weightings'!$U$5:$W$5,1,0),"Excl")</f>
        <v>Contracts</v>
      </c>
      <c r="AA105" s="7" t="str">
        <f>VLOOKUP(Q105,Mapping!$E$11:$I$204,5,0)</f>
        <v>SCS</v>
      </c>
      <c r="AC105" s="35" t="s">
        <v>194</v>
      </c>
      <c r="AD105" s="35"/>
      <c r="AE105" s="35">
        <v>70815</v>
      </c>
      <c r="AF105" s="35" t="s">
        <v>451</v>
      </c>
      <c r="AG105" s="36">
        <v>-4.63</v>
      </c>
      <c r="AI105" s="7" t="str">
        <f>VLOOKUP($AC105,Mapping!$E$11:$I$204,3,0)</f>
        <v>Replacement</v>
      </c>
      <c r="AJ105" s="7" t="str">
        <f>IFERROR(VLOOKUP($AE105,Mapping!$E$208:$K$236,5,0),"Contracts")</f>
        <v>Materials</v>
      </c>
      <c r="AK105" s="7" t="str">
        <f>IFERROR(VLOOKUP($AE105,Mapping!$E$208:$K$236,7,0),"ENDirect")</f>
        <v>ENDirect</v>
      </c>
      <c r="AL105" s="7" t="str">
        <f>IFERROR(HLOOKUP(AJ105,'Calc|Weightings'!$U$5:$W$5,1,0),"Excl")</f>
        <v>Materials</v>
      </c>
      <c r="AM105" s="7" t="str">
        <f>VLOOKUP(AC105,Mapping!$E$11:$I$204,5,0)</f>
        <v>SCS</v>
      </c>
      <c r="AO105" s="35" t="s">
        <v>553</v>
      </c>
      <c r="AP105" s="35"/>
      <c r="AQ105" s="35">
        <v>71075</v>
      </c>
      <c r="AR105" s="35" t="s">
        <v>587</v>
      </c>
      <c r="AS105" s="121">
        <v>21.225679999999997</v>
      </c>
      <c r="AU105" s="7" t="str">
        <f>VLOOKUP($AO105,Mapping!$E$11:$I$204,3,0)</f>
        <v>Connections</v>
      </c>
      <c r="AV105" s="7" t="str">
        <f>IFERROR(VLOOKUP($AQ105,Mapping!$E$208:$K$236,5,0),"Contracts")</f>
        <v>Contracts</v>
      </c>
      <c r="AW105" s="7" t="str">
        <f>IFERROR(VLOOKUP($AQ105,Mapping!$E$208:$K$236,7,0),"ENDirect")</f>
        <v>ENDirect</v>
      </c>
      <c r="AX105" s="7" t="str">
        <f>IFERROR(HLOOKUP(AV105,'Calc|Weightings'!$U$5:$W$5,1,0),"Excl")</f>
        <v>Contracts</v>
      </c>
      <c r="AY105" s="7" t="str">
        <f>VLOOKUP(AO105,Mapping!$E$11:$I$204,5,0)</f>
        <v>SCS</v>
      </c>
    </row>
    <row r="106" spans="1:51" x14ac:dyDescent="0.3">
      <c r="A106" s="7"/>
      <c r="B106" s="7"/>
      <c r="C106" s="7"/>
      <c r="D106" s="7"/>
      <c r="E106" s="32" t="s">
        <v>210</v>
      </c>
      <c r="F106" s="32"/>
      <c r="G106" s="32">
        <v>71015</v>
      </c>
      <c r="H106" s="32" t="s">
        <v>463</v>
      </c>
      <c r="I106" s="33">
        <v>139.25</v>
      </c>
      <c r="J106" s="170"/>
      <c r="K106" s="7" t="str">
        <f>VLOOKUP($E106,Mapping!$E$11:$I$204,3,0)</f>
        <v>Replacement</v>
      </c>
      <c r="L106" s="7" t="str">
        <f>IFERROR(VLOOKUP($G106,Mapping!$E$208:$K$236,5,0),"Contracts")</f>
        <v>Materials</v>
      </c>
      <c r="M106" s="7" t="str">
        <f>IFERROR(VLOOKUP($G106,Mapping!$E$208:$K$236,7,0),"ENDirect")</f>
        <v>ENDirect</v>
      </c>
      <c r="N106" s="7" t="str">
        <f>IFERROR(HLOOKUP(L106,'Calc|Weightings'!$U$5:$W$5,1,0),"Excl")</f>
        <v>Materials</v>
      </c>
      <c r="O106" s="7" t="str">
        <f>VLOOKUP(E106,Mapping!$E$11:$I$204,5,0)</f>
        <v>SCS</v>
      </c>
      <c r="Q106" s="32" t="s">
        <v>162</v>
      </c>
      <c r="R106" s="32"/>
      <c r="S106" s="32">
        <v>71040</v>
      </c>
      <c r="T106" s="32" t="s">
        <v>460</v>
      </c>
      <c r="U106" s="33">
        <v>-83.296000000000006</v>
      </c>
      <c r="V106" s="7"/>
      <c r="W106" s="7" t="str">
        <f>VLOOKUP($Q106,Mapping!$E$11:$I$204,3,0)</f>
        <v>Replacement</v>
      </c>
      <c r="X106" s="7" t="str">
        <f>IFERROR(VLOOKUP($S106,Mapping!$E$208:$K$236,5,0),"Contracts")</f>
        <v>Contracts</v>
      </c>
      <c r="Y106" s="7" t="str">
        <f>IFERROR(VLOOKUP($S106,Mapping!$E$208:$K$236,7,0),"ENDirect")</f>
        <v>ENDirect</v>
      </c>
      <c r="Z106" s="7" t="str">
        <f>IFERROR(HLOOKUP(X106,'Calc|Weightings'!$U$5:$W$5,1,0),"Excl")</f>
        <v>Contracts</v>
      </c>
      <c r="AA106" s="7" t="str">
        <f>VLOOKUP(Q106,Mapping!$E$11:$I$204,5,0)</f>
        <v>SCS</v>
      </c>
      <c r="AC106" s="35" t="s">
        <v>194</v>
      </c>
      <c r="AD106" s="35"/>
      <c r="AE106" s="35">
        <v>71025</v>
      </c>
      <c r="AF106" s="35" t="s">
        <v>478</v>
      </c>
      <c r="AG106" s="36">
        <v>0</v>
      </c>
      <c r="AI106" s="7" t="str">
        <f>VLOOKUP($AC106,Mapping!$E$11:$I$204,3,0)</f>
        <v>Replacement</v>
      </c>
      <c r="AJ106" s="7" t="str">
        <f>IFERROR(VLOOKUP($AE106,Mapping!$E$208:$K$236,5,0),"Contracts")</f>
        <v>Contracts</v>
      </c>
      <c r="AK106" s="7" t="str">
        <f>IFERROR(VLOOKUP($AE106,Mapping!$E$208:$K$236,7,0),"ENDirect")</f>
        <v>ENDirect</v>
      </c>
      <c r="AL106" s="7" t="str">
        <f>IFERROR(HLOOKUP(AJ106,'Calc|Weightings'!$U$5:$W$5,1,0),"Excl")</f>
        <v>Contracts</v>
      </c>
      <c r="AM106" s="7" t="str">
        <f>VLOOKUP(AC106,Mapping!$E$11:$I$204,5,0)</f>
        <v>SCS</v>
      </c>
      <c r="AO106" s="35" t="s">
        <v>553</v>
      </c>
      <c r="AP106" s="35"/>
      <c r="AQ106" s="35">
        <v>72345</v>
      </c>
      <c r="AR106" s="35" t="s">
        <v>588</v>
      </c>
      <c r="AS106" s="121">
        <v>635.14599999999996</v>
      </c>
      <c r="AU106" s="7" t="str">
        <f>VLOOKUP($AO106,Mapping!$E$11:$I$204,3,0)</f>
        <v>Connections</v>
      </c>
      <c r="AV106" s="7" t="str">
        <f>IFERROR(VLOOKUP($AQ106,Mapping!$E$208:$K$236,5,0),"Contracts")</f>
        <v>Contracts</v>
      </c>
      <c r="AW106" s="7" t="str">
        <f>IFERROR(VLOOKUP($AQ106,Mapping!$E$208:$K$236,7,0),"ENDirect")</f>
        <v>ENDirect</v>
      </c>
      <c r="AX106" s="7" t="str">
        <f>IFERROR(HLOOKUP(AV106,'Calc|Weightings'!$U$5:$W$5,1,0),"Excl")</f>
        <v>Contracts</v>
      </c>
      <c r="AY106" s="7" t="str">
        <f>VLOOKUP(AO106,Mapping!$E$11:$I$204,5,0)</f>
        <v>SCS</v>
      </c>
    </row>
    <row r="107" spans="1:51" x14ac:dyDescent="0.3">
      <c r="A107" s="7"/>
      <c r="B107" s="7"/>
      <c r="C107" s="7"/>
      <c r="D107" s="7"/>
      <c r="E107" s="32" t="s">
        <v>210</v>
      </c>
      <c r="F107" s="32"/>
      <c r="G107" s="32">
        <v>71030</v>
      </c>
      <c r="H107" s="32" t="s">
        <v>464</v>
      </c>
      <c r="I107" s="33">
        <v>184.25</v>
      </c>
      <c r="J107" s="170"/>
      <c r="K107" s="7" t="str">
        <f>VLOOKUP($E107,Mapping!$E$11:$I$204,3,0)</f>
        <v>Replacement</v>
      </c>
      <c r="L107" s="7" t="str">
        <f>IFERROR(VLOOKUP($G107,Mapping!$E$208:$K$236,5,0),"Contracts")</f>
        <v>Contracts</v>
      </c>
      <c r="M107" s="7" t="str">
        <f>IFERROR(VLOOKUP($G107,Mapping!$E$208:$K$236,7,0),"ENDirect")</f>
        <v>ENDirect</v>
      </c>
      <c r="N107" s="7" t="str">
        <f>IFERROR(HLOOKUP(L107,'Calc|Weightings'!$U$5:$W$5,1,0),"Excl")</f>
        <v>Contracts</v>
      </c>
      <c r="O107" s="7" t="str">
        <f>VLOOKUP(E107,Mapping!$E$11:$I$204,5,0)</f>
        <v>SCS</v>
      </c>
      <c r="Q107" s="32" t="s">
        <v>111</v>
      </c>
      <c r="R107" s="32"/>
      <c r="S107" s="32">
        <v>71000</v>
      </c>
      <c r="T107" s="32" t="s">
        <v>457</v>
      </c>
      <c r="U107" s="33">
        <v>3188.6930000000002</v>
      </c>
      <c r="V107" s="7"/>
      <c r="W107" s="7" t="str">
        <f>VLOOKUP($Q107,Mapping!$E$11:$I$204,3,0)</f>
        <v>Connections</v>
      </c>
      <c r="X107" s="7" t="str">
        <f>IFERROR(VLOOKUP($S107,Mapping!$E$208:$K$236,5,0),"Contracts")</f>
        <v>Labour</v>
      </c>
      <c r="Y107" s="7" t="str">
        <f>IFERROR(VLOOKUP($S107,Mapping!$E$208:$K$236,7,0),"ENDirect")</f>
        <v>ENDirect</v>
      </c>
      <c r="Z107" s="7" t="str">
        <f>IFERROR(HLOOKUP(X107,'Calc|Weightings'!$U$5:$W$5,1,0),"Excl")</f>
        <v>Labour</v>
      </c>
      <c r="AA107" s="7" t="str">
        <f>VLOOKUP(Q107,Mapping!$E$11:$I$204,5,0)</f>
        <v>SCS</v>
      </c>
      <c r="AC107" s="35" t="s">
        <v>194</v>
      </c>
      <c r="AD107" s="35"/>
      <c r="AE107" s="35">
        <v>71060</v>
      </c>
      <c r="AF107" s="35" t="s">
        <v>479</v>
      </c>
      <c r="AG107" s="36">
        <v>-4.9160000000000004</v>
      </c>
      <c r="AI107" s="7" t="str">
        <f>VLOOKUP($AC107,Mapping!$E$11:$I$204,3,0)</f>
        <v>Replacement</v>
      </c>
      <c r="AJ107" s="7" t="str">
        <f>IFERROR(VLOOKUP($AE107,Mapping!$E$208:$K$236,5,0),"Contracts")</f>
        <v>Contracts</v>
      </c>
      <c r="AK107" s="7" t="str">
        <f>IFERROR(VLOOKUP($AE107,Mapping!$E$208:$K$236,7,0),"ENDirect")</f>
        <v>ENDirect</v>
      </c>
      <c r="AL107" s="7" t="str">
        <f>IFERROR(HLOOKUP(AJ107,'Calc|Weightings'!$U$5:$W$5,1,0),"Excl")</f>
        <v>Contracts</v>
      </c>
      <c r="AM107" s="7" t="str">
        <f>VLOOKUP(AC107,Mapping!$E$11:$I$204,5,0)</f>
        <v>SCS</v>
      </c>
      <c r="AO107" s="35" t="s">
        <v>553</v>
      </c>
      <c r="AP107" s="35"/>
      <c r="AQ107" s="35">
        <v>80000</v>
      </c>
      <c r="AR107" s="35" t="s">
        <v>589</v>
      </c>
      <c r="AS107" s="121">
        <v>268.62571000000003</v>
      </c>
      <c r="AU107" s="7" t="str">
        <f>VLOOKUP($AO107,Mapping!$E$11:$I$204,3,0)</f>
        <v>Connections</v>
      </c>
      <c r="AV107" s="7" t="str">
        <f>IFERROR(VLOOKUP($AQ107,Mapping!$E$208:$K$236,5,0),"Contracts")</f>
        <v>Overhead</v>
      </c>
      <c r="AW107" s="7" t="str">
        <f>IFERROR(VLOOKUP($AQ107,Mapping!$E$208:$K$236,7,0),"ENDirect")</f>
        <v>OH</v>
      </c>
      <c r="AX107" s="7" t="str">
        <f>IFERROR(HLOOKUP(AV107,'Calc|Weightings'!$U$5:$W$5,1,0),"Excl")</f>
        <v>Excl</v>
      </c>
      <c r="AY107" s="7" t="str">
        <f>VLOOKUP(AO107,Mapping!$E$11:$I$204,5,0)</f>
        <v>SCS</v>
      </c>
    </row>
    <row r="108" spans="1:51" x14ac:dyDescent="0.3">
      <c r="A108" s="7"/>
      <c r="B108" s="7"/>
      <c r="C108" s="7"/>
      <c r="D108" s="7"/>
      <c r="E108" s="32" t="s">
        <v>210</v>
      </c>
      <c r="F108" s="32"/>
      <c r="G108" s="32">
        <v>71040</v>
      </c>
      <c r="H108" s="32" t="s">
        <v>460</v>
      </c>
      <c r="I108" s="33">
        <v>-0.90800000000000003</v>
      </c>
      <c r="J108" s="170"/>
      <c r="K108" s="7" t="str">
        <f>VLOOKUP($E108,Mapping!$E$11:$I$204,3,0)</f>
        <v>Replacement</v>
      </c>
      <c r="L108" s="7" t="str">
        <f>IFERROR(VLOOKUP($G108,Mapping!$E$208:$K$236,5,0),"Contracts")</f>
        <v>Contracts</v>
      </c>
      <c r="M108" s="7" t="str">
        <f>IFERROR(VLOOKUP($G108,Mapping!$E$208:$K$236,7,0),"ENDirect")</f>
        <v>ENDirect</v>
      </c>
      <c r="N108" s="7" t="str">
        <f>IFERROR(HLOOKUP(L108,'Calc|Weightings'!$U$5:$W$5,1,0),"Excl")</f>
        <v>Contracts</v>
      </c>
      <c r="O108" s="7" t="str">
        <f>VLOOKUP(E108,Mapping!$E$11:$I$204,5,0)</f>
        <v>SCS</v>
      </c>
      <c r="Q108" s="32" t="s">
        <v>111</v>
      </c>
      <c r="R108" s="32"/>
      <c r="S108" s="32">
        <v>71030</v>
      </c>
      <c r="T108" s="32" t="s">
        <v>464</v>
      </c>
      <c r="U108" s="33">
        <v>578.62800000000004</v>
      </c>
      <c r="V108" s="7"/>
      <c r="W108" s="7" t="str">
        <f>VLOOKUP($Q108,Mapping!$E$11:$I$204,3,0)</f>
        <v>Connections</v>
      </c>
      <c r="X108" s="7" t="str">
        <f>IFERROR(VLOOKUP($S108,Mapping!$E$208:$K$236,5,0),"Contracts")</f>
        <v>Contracts</v>
      </c>
      <c r="Y108" s="7" t="str">
        <f>IFERROR(VLOOKUP($S108,Mapping!$E$208:$K$236,7,0),"ENDirect")</f>
        <v>ENDirect</v>
      </c>
      <c r="Z108" s="7" t="str">
        <f>IFERROR(HLOOKUP(X108,'Calc|Weightings'!$U$5:$W$5,1,0),"Excl")</f>
        <v>Contracts</v>
      </c>
      <c r="AA108" s="7" t="str">
        <f>VLOOKUP(Q108,Mapping!$E$11:$I$204,5,0)</f>
        <v>SCS</v>
      </c>
      <c r="AC108" s="35" t="s">
        <v>147</v>
      </c>
      <c r="AD108" s="35"/>
      <c r="AE108" s="35">
        <v>71000</v>
      </c>
      <c r="AF108" s="35" t="s">
        <v>457</v>
      </c>
      <c r="AG108" s="36">
        <v>604.00800000000004</v>
      </c>
      <c r="AI108" s="7" t="str">
        <f>VLOOKUP($AC108,Mapping!$E$11:$I$204,3,0)</f>
        <v>Augmentation</v>
      </c>
      <c r="AJ108" s="7" t="str">
        <f>IFERROR(VLOOKUP($AE108,Mapping!$E$208:$K$236,5,0),"Contracts")</f>
        <v>Labour</v>
      </c>
      <c r="AK108" s="7" t="str">
        <f>IFERROR(VLOOKUP($AE108,Mapping!$E$208:$K$236,7,0),"ENDirect")</f>
        <v>ENDirect</v>
      </c>
      <c r="AL108" s="7" t="str">
        <f>IFERROR(HLOOKUP(AJ108,'Calc|Weightings'!$U$5:$W$5,1,0),"Excl")</f>
        <v>Labour</v>
      </c>
      <c r="AM108" s="7" t="str">
        <f>VLOOKUP(AC108,Mapping!$E$11:$I$204,5,0)</f>
        <v>SCS</v>
      </c>
      <c r="AO108" s="35" t="s">
        <v>528</v>
      </c>
      <c r="AP108" s="35"/>
      <c r="AQ108" s="35">
        <v>71000</v>
      </c>
      <c r="AR108" s="35" t="s">
        <v>457</v>
      </c>
      <c r="AS108" s="121">
        <v>15.836979999999999</v>
      </c>
      <c r="AU108" s="7" t="str">
        <f>VLOOKUP($AO108,Mapping!$E$11:$I$204,3,0)</f>
        <v>Connections</v>
      </c>
      <c r="AV108" s="7" t="str">
        <f>IFERROR(VLOOKUP($AQ108,Mapping!$E$208:$K$236,5,0),"Contracts")</f>
        <v>Labour</v>
      </c>
      <c r="AW108" s="7" t="str">
        <f>IFERROR(VLOOKUP($AQ108,Mapping!$E$208:$K$236,7,0),"ENDirect")</f>
        <v>ENDirect</v>
      </c>
      <c r="AX108" s="7" t="str">
        <f>IFERROR(HLOOKUP(AV108,'Calc|Weightings'!$U$5:$W$5,1,0),"Excl")</f>
        <v>Labour</v>
      </c>
      <c r="AY108" s="7" t="str">
        <f>VLOOKUP(AO108,Mapping!$E$11:$I$204,5,0)</f>
        <v>SCS</v>
      </c>
    </row>
    <row r="109" spans="1:51" x14ac:dyDescent="0.3">
      <c r="A109" s="7"/>
      <c r="B109" s="7"/>
      <c r="C109" s="7"/>
      <c r="D109" s="7"/>
      <c r="E109" s="32" t="s">
        <v>210</v>
      </c>
      <c r="F109" s="32"/>
      <c r="G109" s="32">
        <v>71055</v>
      </c>
      <c r="H109" s="32" t="s">
        <v>465</v>
      </c>
      <c r="I109" s="33">
        <v>407.85599999999999</v>
      </c>
      <c r="J109" s="170"/>
      <c r="K109" s="7" t="str">
        <f>VLOOKUP($E109,Mapping!$E$11:$I$204,3,0)</f>
        <v>Replacement</v>
      </c>
      <c r="L109" s="7" t="str">
        <f>IFERROR(VLOOKUP($G109,Mapping!$E$208:$K$236,5,0),"Contracts")</f>
        <v>Contracts</v>
      </c>
      <c r="M109" s="7" t="str">
        <f>IFERROR(VLOOKUP($G109,Mapping!$E$208:$K$236,7,0),"ENDirect")</f>
        <v>ENDirect</v>
      </c>
      <c r="N109" s="7" t="str">
        <f>IFERROR(HLOOKUP(L109,'Calc|Weightings'!$U$5:$W$5,1,0),"Excl")</f>
        <v>Contracts</v>
      </c>
      <c r="O109" s="7" t="str">
        <f>VLOOKUP(E109,Mapping!$E$11:$I$204,5,0)</f>
        <v>SCS</v>
      </c>
      <c r="Q109" s="32" t="s">
        <v>111</v>
      </c>
      <c r="R109" s="32"/>
      <c r="S109" s="32">
        <v>71040</v>
      </c>
      <c r="T109" s="32" t="s">
        <v>460</v>
      </c>
      <c r="U109" s="33">
        <v>120.288</v>
      </c>
      <c r="V109" s="7"/>
      <c r="W109" s="7" t="str">
        <f>VLOOKUP($Q109,Mapping!$E$11:$I$204,3,0)</f>
        <v>Connections</v>
      </c>
      <c r="X109" s="7" t="str">
        <f>IFERROR(VLOOKUP($S109,Mapping!$E$208:$K$236,5,0),"Contracts")</f>
        <v>Contracts</v>
      </c>
      <c r="Y109" s="7" t="str">
        <f>IFERROR(VLOOKUP($S109,Mapping!$E$208:$K$236,7,0),"ENDirect")</f>
        <v>ENDirect</v>
      </c>
      <c r="Z109" s="7" t="str">
        <f>IFERROR(HLOOKUP(X109,'Calc|Weightings'!$U$5:$W$5,1,0),"Excl")</f>
        <v>Contracts</v>
      </c>
      <c r="AA109" s="7" t="str">
        <f>VLOOKUP(Q109,Mapping!$E$11:$I$204,5,0)</f>
        <v>SCS</v>
      </c>
      <c r="AC109" s="35" t="s">
        <v>147</v>
      </c>
      <c r="AD109" s="35"/>
      <c r="AE109" s="35">
        <v>71010</v>
      </c>
      <c r="AF109" s="35" t="s">
        <v>462</v>
      </c>
      <c r="AG109" s="36">
        <v>578.06200000000001</v>
      </c>
      <c r="AI109" s="7" t="str">
        <f>VLOOKUP($AC109,Mapping!$E$11:$I$204,3,0)</f>
        <v>Augmentation</v>
      </c>
      <c r="AJ109" s="7" t="str">
        <f>IFERROR(VLOOKUP($AE109,Mapping!$E$208:$K$236,5,0),"Contracts")</f>
        <v>Labour</v>
      </c>
      <c r="AK109" s="7" t="str">
        <f>IFERROR(VLOOKUP($AE109,Mapping!$E$208:$K$236,7,0),"ENDirect")</f>
        <v>ENDirect</v>
      </c>
      <c r="AL109" s="7" t="str">
        <f>IFERROR(HLOOKUP(AJ109,'Calc|Weightings'!$U$5:$W$5,1,0),"Excl")</f>
        <v>Labour</v>
      </c>
      <c r="AM109" s="7" t="str">
        <f>VLOOKUP(AC109,Mapping!$E$11:$I$204,5,0)</f>
        <v>SCS</v>
      </c>
      <c r="AO109" s="35" t="s">
        <v>528</v>
      </c>
      <c r="AP109" s="35"/>
      <c r="AQ109" s="35">
        <v>71005</v>
      </c>
      <c r="AR109" s="35" t="s">
        <v>461</v>
      </c>
      <c r="AS109" s="121">
        <v>15.761800000000001</v>
      </c>
      <c r="AU109" s="7" t="str">
        <f>VLOOKUP($AO109,Mapping!$E$11:$I$204,3,0)</f>
        <v>Connections</v>
      </c>
      <c r="AV109" s="7" t="str">
        <f>IFERROR(VLOOKUP($AQ109,Mapping!$E$208:$K$236,5,0),"Contracts")</f>
        <v>Materials</v>
      </c>
      <c r="AW109" s="7" t="str">
        <f>IFERROR(VLOOKUP($AQ109,Mapping!$E$208:$K$236,7,0),"ENDirect")</f>
        <v>ENDirect</v>
      </c>
      <c r="AX109" s="7" t="str">
        <f>IFERROR(HLOOKUP(AV109,'Calc|Weightings'!$U$5:$W$5,1,0),"Excl")</f>
        <v>Materials</v>
      </c>
      <c r="AY109" s="7" t="str">
        <f>VLOOKUP(AO109,Mapping!$E$11:$I$204,5,0)</f>
        <v>SCS</v>
      </c>
    </row>
    <row r="110" spans="1:51" x14ac:dyDescent="0.3">
      <c r="A110" s="7"/>
      <c r="B110" s="7"/>
      <c r="C110" s="7"/>
      <c r="D110" s="7"/>
      <c r="E110" s="32" t="s">
        <v>210</v>
      </c>
      <c r="F110" s="32"/>
      <c r="G110" s="32">
        <v>80000</v>
      </c>
      <c r="H110" s="32" t="s">
        <v>453</v>
      </c>
      <c r="I110" s="33">
        <v>281.02</v>
      </c>
      <c r="J110" s="170"/>
      <c r="K110" s="7" t="str">
        <f>VLOOKUP($E110,Mapping!$E$11:$I$204,3,0)</f>
        <v>Replacement</v>
      </c>
      <c r="L110" s="7" t="str">
        <f>IFERROR(VLOOKUP($G110,Mapping!$E$208:$K$236,5,0),"Contracts")</f>
        <v>Overhead</v>
      </c>
      <c r="M110" s="7" t="str">
        <f>IFERROR(VLOOKUP($G110,Mapping!$E$208:$K$236,7,0),"ENDirect")</f>
        <v>OH</v>
      </c>
      <c r="N110" s="7" t="str">
        <f>IFERROR(HLOOKUP(L110,'Calc|Weightings'!$U$5:$W$5,1,0),"Excl")</f>
        <v>Excl</v>
      </c>
      <c r="O110" s="7" t="str">
        <f>VLOOKUP(E110,Mapping!$E$11:$I$204,5,0)</f>
        <v>SCS</v>
      </c>
      <c r="Q110" s="32" t="s">
        <v>111</v>
      </c>
      <c r="R110" s="32"/>
      <c r="S110" s="32">
        <v>71055</v>
      </c>
      <c r="T110" s="32" t="s">
        <v>465</v>
      </c>
      <c r="U110" s="33">
        <v>1361.7940000000001</v>
      </c>
      <c r="V110" s="7"/>
      <c r="W110" s="7" t="str">
        <f>VLOOKUP($Q110,Mapping!$E$11:$I$204,3,0)</f>
        <v>Connections</v>
      </c>
      <c r="X110" s="7" t="str">
        <f>IFERROR(VLOOKUP($S110,Mapping!$E$208:$K$236,5,0),"Contracts")</f>
        <v>Contracts</v>
      </c>
      <c r="Y110" s="7" t="str">
        <f>IFERROR(VLOOKUP($S110,Mapping!$E$208:$K$236,7,0),"ENDirect")</f>
        <v>ENDirect</v>
      </c>
      <c r="Z110" s="7" t="str">
        <f>IFERROR(HLOOKUP(X110,'Calc|Weightings'!$U$5:$W$5,1,0),"Excl")</f>
        <v>Contracts</v>
      </c>
      <c r="AA110" s="7" t="str">
        <f>VLOOKUP(Q110,Mapping!$E$11:$I$204,5,0)</f>
        <v>SCS</v>
      </c>
      <c r="AC110" s="35" t="s">
        <v>147</v>
      </c>
      <c r="AD110" s="35"/>
      <c r="AE110" s="35">
        <v>71020</v>
      </c>
      <c r="AF110" s="35" t="s">
        <v>459</v>
      </c>
      <c r="AG110" s="36">
        <v>-3.641</v>
      </c>
      <c r="AI110" s="7" t="str">
        <f>VLOOKUP($AC110,Mapping!$E$11:$I$204,3,0)</f>
        <v>Augmentation</v>
      </c>
      <c r="AJ110" s="7" t="str">
        <f>IFERROR(VLOOKUP($AE110,Mapping!$E$208:$K$236,5,0),"Contracts")</f>
        <v>Contracts</v>
      </c>
      <c r="AK110" s="7" t="str">
        <f>IFERROR(VLOOKUP($AE110,Mapping!$E$208:$K$236,7,0),"ENDirect")</f>
        <v>ENDirect</v>
      </c>
      <c r="AL110" s="7" t="str">
        <f>IFERROR(HLOOKUP(AJ110,'Calc|Weightings'!$U$5:$W$5,1,0),"Excl")</f>
        <v>Contracts</v>
      </c>
      <c r="AM110" s="7" t="str">
        <f>VLOOKUP(AC110,Mapping!$E$11:$I$204,5,0)</f>
        <v>SCS</v>
      </c>
      <c r="AO110" s="35" t="s">
        <v>528</v>
      </c>
      <c r="AP110" s="35"/>
      <c r="AQ110" s="35">
        <v>71006</v>
      </c>
      <c r="AR110" s="35" t="s">
        <v>468</v>
      </c>
      <c r="AS110" s="121">
        <v>41.734000000000002</v>
      </c>
      <c r="AU110" s="7" t="str">
        <f>VLOOKUP($AO110,Mapping!$E$11:$I$204,3,0)</f>
        <v>Connections</v>
      </c>
      <c r="AV110" s="7" t="str">
        <f>IFERROR(VLOOKUP($AQ110,Mapping!$E$208:$K$236,5,0),"Contracts")</f>
        <v>Materials</v>
      </c>
      <c r="AW110" s="7" t="str">
        <f>IFERROR(VLOOKUP($AQ110,Mapping!$E$208:$K$236,7,0),"ENDirect")</f>
        <v>ENDirect</v>
      </c>
      <c r="AX110" s="7" t="str">
        <f>IFERROR(HLOOKUP(AV110,'Calc|Weightings'!$U$5:$W$5,1,0),"Excl")</f>
        <v>Materials</v>
      </c>
      <c r="AY110" s="7" t="str">
        <f>VLOOKUP(AO110,Mapping!$E$11:$I$204,5,0)</f>
        <v>SCS</v>
      </c>
    </row>
    <row r="111" spans="1:51" x14ac:dyDescent="0.3">
      <c r="A111" s="7"/>
      <c r="B111" s="7"/>
      <c r="C111" s="7"/>
      <c r="D111" s="7"/>
      <c r="E111" s="32" t="s">
        <v>549</v>
      </c>
      <c r="F111" s="32"/>
      <c r="G111" s="32">
        <v>71000</v>
      </c>
      <c r="H111" s="32" t="s">
        <v>457</v>
      </c>
      <c r="I111" s="33">
        <v>1452.825</v>
      </c>
      <c r="J111" s="170"/>
      <c r="K111" s="7" t="str">
        <f>VLOOKUP($E111,Mapping!$E$11:$I$204,3,0)</f>
        <v>Connections</v>
      </c>
      <c r="L111" s="7" t="str">
        <f>IFERROR(VLOOKUP($G111,Mapping!$E$208:$K$236,5,0),"Contracts")</f>
        <v>Labour</v>
      </c>
      <c r="M111" s="7" t="str">
        <f>IFERROR(VLOOKUP($G111,Mapping!$E$208:$K$236,7,0),"ENDirect")</f>
        <v>ENDirect</v>
      </c>
      <c r="N111" s="7" t="str">
        <f>IFERROR(HLOOKUP(L111,'Calc|Weightings'!$U$5:$W$5,1,0),"Excl")</f>
        <v>Labour</v>
      </c>
      <c r="O111" s="7" t="str">
        <f>VLOOKUP(E111,Mapping!$E$11:$I$204,5,0)</f>
        <v>SCS</v>
      </c>
      <c r="Q111" s="32" t="s">
        <v>111</v>
      </c>
      <c r="R111" s="32"/>
      <c r="S111" s="32">
        <v>80000</v>
      </c>
      <c r="T111" s="32" t="s">
        <v>453</v>
      </c>
      <c r="U111" s="33">
        <v>1143.5129999999999</v>
      </c>
      <c r="V111" s="7"/>
      <c r="W111" s="7" t="str">
        <f>VLOOKUP($Q111,Mapping!$E$11:$I$204,3,0)</f>
        <v>Connections</v>
      </c>
      <c r="X111" s="7" t="str">
        <f>IFERROR(VLOOKUP($S111,Mapping!$E$208:$K$236,5,0),"Contracts")</f>
        <v>Overhead</v>
      </c>
      <c r="Y111" s="7" t="str">
        <f>IFERROR(VLOOKUP($S111,Mapping!$E$208:$K$236,7,0),"ENDirect")</f>
        <v>OH</v>
      </c>
      <c r="Z111" s="7" t="str">
        <f>IFERROR(HLOOKUP(X111,'Calc|Weightings'!$U$5:$W$5,1,0),"Excl")</f>
        <v>Excl</v>
      </c>
      <c r="AA111" s="7" t="str">
        <f>VLOOKUP(Q111,Mapping!$E$11:$I$204,5,0)</f>
        <v>SCS</v>
      </c>
      <c r="AC111" s="35" t="s">
        <v>147</v>
      </c>
      <c r="AD111" s="35"/>
      <c r="AE111" s="35">
        <v>71040</v>
      </c>
      <c r="AF111" s="35" t="s">
        <v>460</v>
      </c>
      <c r="AG111" s="36">
        <v>-6.5000000000000002E-2</v>
      </c>
      <c r="AI111" s="7" t="str">
        <f>VLOOKUP($AC111,Mapping!$E$11:$I$204,3,0)</f>
        <v>Augmentation</v>
      </c>
      <c r="AJ111" s="7" t="str">
        <f>IFERROR(VLOOKUP($AE111,Mapping!$E$208:$K$236,5,0),"Contracts")</f>
        <v>Contracts</v>
      </c>
      <c r="AK111" s="7" t="str">
        <f>IFERROR(VLOOKUP($AE111,Mapping!$E$208:$K$236,7,0),"ENDirect")</f>
        <v>ENDirect</v>
      </c>
      <c r="AL111" s="7" t="str">
        <f>IFERROR(HLOOKUP(AJ111,'Calc|Weightings'!$U$5:$W$5,1,0),"Excl")</f>
        <v>Contracts</v>
      </c>
      <c r="AM111" s="7" t="str">
        <f>VLOOKUP(AC111,Mapping!$E$11:$I$204,5,0)</f>
        <v>SCS</v>
      </c>
      <c r="AO111" s="35" t="s">
        <v>528</v>
      </c>
      <c r="AP111" s="35"/>
      <c r="AQ111" s="35">
        <v>71010</v>
      </c>
      <c r="AR111" s="35" t="s">
        <v>487</v>
      </c>
      <c r="AS111" s="121">
        <v>26.774130000000007</v>
      </c>
      <c r="AU111" s="7" t="str">
        <f>VLOOKUP($AO111,Mapping!$E$11:$I$204,3,0)</f>
        <v>Connections</v>
      </c>
      <c r="AV111" s="7" t="str">
        <f>IFERROR(VLOOKUP($AQ111,Mapping!$E$208:$K$236,5,0),"Contracts")</f>
        <v>Labour</v>
      </c>
      <c r="AW111" s="7" t="str">
        <f>IFERROR(VLOOKUP($AQ111,Mapping!$E$208:$K$236,7,0),"ENDirect")</f>
        <v>ENDirect</v>
      </c>
      <c r="AX111" s="7" t="str">
        <f>IFERROR(HLOOKUP(AV111,'Calc|Weightings'!$U$5:$W$5,1,0),"Excl")</f>
        <v>Labour</v>
      </c>
      <c r="AY111" s="7" t="str">
        <f>VLOOKUP(AO111,Mapping!$E$11:$I$204,5,0)</f>
        <v>SCS</v>
      </c>
    </row>
    <row r="112" spans="1:51" x14ac:dyDescent="0.3">
      <c r="A112" s="7"/>
      <c r="B112" s="7"/>
      <c r="C112" s="7"/>
      <c r="D112" s="7"/>
      <c r="E112" s="32" t="s">
        <v>549</v>
      </c>
      <c r="F112" s="32"/>
      <c r="G112" s="32">
        <v>71005</v>
      </c>
      <c r="H112" s="32" t="s">
        <v>461</v>
      </c>
      <c r="I112" s="33">
        <v>1434.288</v>
      </c>
      <c r="J112" s="170"/>
      <c r="K112" s="7" t="str">
        <f>VLOOKUP($E112,Mapping!$E$11:$I$204,3,0)</f>
        <v>Connections</v>
      </c>
      <c r="L112" s="7" t="str">
        <f>IFERROR(VLOOKUP($G112,Mapping!$E$208:$K$236,5,0),"Contracts")</f>
        <v>Materials</v>
      </c>
      <c r="M112" s="7" t="str">
        <f>IFERROR(VLOOKUP($G112,Mapping!$E$208:$K$236,7,0),"ENDirect")</f>
        <v>ENDirect</v>
      </c>
      <c r="N112" s="7" t="str">
        <f>IFERROR(HLOOKUP(L112,'Calc|Weightings'!$U$5:$W$5,1,0),"Excl")</f>
        <v>Materials</v>
      </c>
      <c r="O112" s="7" t="str">
        <f>VLOOKUP(E112,Mapping!$E$11:$I$204,5,0)</f>
        <v>SCS</v>
      </c>
      <c r="Q112" s="32" t="s">
        <v>104</v>
      </c>
      <c r="R112" s="32"/>
      <c r="S112" s="32">
        <v>71000</v>
      </c>
      <c r="T112" s="32" t="s">
        <v>457</v>
      </c>
      <c r="U112" s="33">
        <v>99.14</v>
      </c>
      <c r="V112" s="7"/>
      <c r="W112" s="7" t="str">
        <f>VLOOKUP($Q112,Mapping!$E$11:$I$204,3,0)</f>
        <v>Public Lighting</v>
      </c>
      <c r="X112" s="7" t="str">
        <f>IFERROR(VLOOKUP($S112,Mapping!$E$208:$K$236,5,0),"Contracts")</f>
        <v>Labour</v>
      </c>
      <c r="Y112" s="7" t="str">
        <f>IFERROR(VLOOKUP($S112,Mapping!$E$208:$K$236,7,0),"ENDirect")</f>
        <v>ENDirect</v>
      </c>
      <c r="Z112" s="7" t="str">
        <f>IFERROR(HLOOKUP(X112,'Calc|Weightings'!$U$5:$W$5,1,0),"Excl")</f>
        <v>Labour</v>
      </c>
      <c r="AA112" s="7" t="str">
        <f>VLOOKUP(Q112,Mapping!$E$11:$I$204,5,0)</f>
        <v>Public Lighting</v>
      </c>
      <c r="AC112" s="35" t="s">
        <v>147</v>
      </c>
      <c r="AD112" s="35"/>
      <c r="AE112" s="35">
        <v>71060</v>
      </c>
      <c r="AF112" s="35" t="s">
        <v>479</v>
      </c>
      <c r="AG112" s="36">
        <v>-1.7999999999999999E-2</v>
      </c>
      <c r="AI112" s="7" t="str">
        <f>VLOOKUP($AC112,Mapping!$E$11:$I$204,3,0)</f>
        <v>Augmentation</v>
      </c>
      <c r="AJ112" s="7" t="str">
        <f>IFERROR(VLOOKUP($AE112,Mapping!$E$208:$K$236,5,0),"Contracts")</f>
        <v>Contracts</v>
      </c>
      <c r="AK112" s="7" t="str">
        <f>IFERROR(VLOOKUP($AE112,Mapping!$E$208:$K$236,7,0),"ENDirect")</f>
        <v>ENDirect</v>
      </c>
      <c r="AL112" s="7" t="str">
        <f>IFERROR(HLOOKUP(AJ112,'Calc|Weightings'!$U$5:$W$5,1,0),"Excl")</f>
        <v>Contracts</v>
      </c>
      <c r="AM112" s="7" t="str">
        <f>VLOOKUP(AC112,Mapping!$E$11:$I$204,5,0)</f>
        <v>SCS</v>
      </c>
      <c r="AO112" s="35" t="s">
        <v>528</v>
      </c>
      <c r="AP112" s="35"/>
      <c r="AQ112" s="35">
        <v>71015</v>
      </c>
      <c r="AR112" s="35" t="s">
        <v>585</v>
      </c>
      <c r="AS112" s="121">
        <v>7.2427900000000003</v>
      </c>
      <c r="AU112" s="7" t="str">
        <f>VLOOKUP($AO112,Mapping!$E$11:$I$204,3,0)</f>
        <v>Connections</v>
      </c>
      <c r="AV112" s="7" t="str">
        <f>IFERROR(VLOOKUP($AQ112,Mapping!$E$208:$K$236,5,0),"Contracts")</f>
        <v>Materials</v>
      </c>
      <c r="AW112" s="7" t="str">
        <f>IFERROR(VLOOKUP($AQ112,Mapping!$E$208:$K$236,7,0),"ENDirect")</f>
        <v>ENDirect</v>
      </c>
      <c r="AX112" s="7" t="str">
        <f>IFERROR(HLOOKUP(AV112,'Calc|Weightings'!$U$5:$W$5,1,0),"Excl")</f>
        <v>Materials</v>
      </c>
      <c r="AY112" s="7" t="str">
        <f>VLOOKUP(AO112,Mapping!$E$11:$I$204,5,0)</f>
        <v>SCS</v>
      </c>
    </row>
    <row r="113" spans="1:51" x14ac:dyDescent="0.3">
      <c r="A113" s="7"/>
      <c r="B113" s="7"/>
      <c r="C113" s="7"/>
      <c r="D113" s="7"/>
      <c r="E113" s="32" t="s">
        <v>549</v>
      </c>
      <c r="F113" s="32"/>
      <c r="G113" s="32">
        <v>71006</v>
      </c>
      <c r="H113" s="32" t="s">
        <v>468</v>
      </c>
      <c r="I113" s="33">
        <v>1100.9580000000001</v>
      </c>
      <c r="J113" s="170"/>
      <c r="K113" s="7" t="str">
        <f>VLOOKUP($E113,Mapping!$E$11:$I$204,3,0)</f>
        <v>Connections</v>
      </c>
      <c r="L113" s="7" t="str">
        <f>IFERROR(VLOOKUP($G113,Mapping!$E$208:$K$236,5,0),"Contracts")</f>
        <v>Materials</v>
      </c>
      <c r="M113" s="7" t="str">
        <f>IFERROR(VLOOKUP($G113,Mapping!$E$208:$K$236,7,0),"ENDirect")</f>
        <v>ENDirect</v>
      </c>
      <c r="N113" s="7" t="str">
        <f>IFERROR(HLOOKUP(L113,'Calc|Weightings'!$U$5:$W$5,1,0),"Excl")</f>
        <v>Materials</v>
      </c>
      <c r="O113" s="7" t="str">
        <f>VLOOKUP(E113,Mapping!$E$11:$I$204,5,0)</f>
        <v>SCS</v>
      </c>
      <c r="Q113" s="32" t="s">
        <v>104</v>
      </c>
      <c r="R113" s="32"/>
      <c r="S113" s="32">
        <v>71005</v>
      </c>
      <c r="T113" s="32" t="s">
        <v>461</v>
      </c>
      <c r="U113" s="33">
        <v>7.5919999999999996</v>
      </c>
      <c r="V113" s="7"/>
      <c r="W113" s="7" t="str">
        <f>VLOOKUP($Q113,Mapping!$E$11:$I$204,3,0)</f>
        <v>Public Lighting</v>
      </c>
      <c r="X113" s="7" t="str">
        <f>IFERROR(VLOOKUP($S113,Mapping!$E$208:$K$236,5,0),"Contracts")</f>
        <v>Materials</v>
      </c>
      <c r="Y113" s="7" t="str">
        <f>IFERROR(VLOOKUP($S113,Mapping!$E$208:$K$236,7,0),"ENDirect")</f>
        <v>ENDirect</v>
      </c>
      <c r="Z113" s="7" t="str">
        <f>IFERROR(HLOOKUP(X113,'Calc|Weightings'!$U$5:$W$5,1,0),"Excl")</f>
        <v>Materials</v>
      </c>
      <c r="AA113" s="7" t="str">
        <f>VLOOKUP(Q113,Mapping!$E$11:$I$204,5,0)</f>
        <v>Public Lighting</v>
      </c>
      <c r="AC113" s="35" t="s">
        <v>126</v>
      </c>
      <c r="AD113" s="35"/>
      <c r="AE113" s="35">
        <v>71000</v>
      </c>
      <c r="AF113" s="35" t="s">
        <v>457</v>
      </c>
      <c r="AG113" s="36">
        <v>836.74900000000002</v>
      </c>
      <c r="AI113" s="7" t="str">
        <f>VLOOKUP($AC113,Mapping!$E$11:$I$204,3,0)</f>
        <v>Augmentation</v>
      </c>
      <c r="AJ113" s="7" t="str">
        <f>IFERROR(VLOOKUP($AE113,Mapping!$E$208:$K$236,5,0),"Contracts")</f>
        <v>Labour</v>
      </c>
      <c r="AK113" s="7" t="str">
        <f>IFERROR(VLOOKUP($AE113,Mapping!$E$208:$K$236,7,0),"ENDirect")</f>
        <v>ENDirect</v>
      </c>
      <c r="AL113" s="7" t="str">
        <f>IFERROR(HLOOKUP(AJ113,'Calc|Weightings'!$U$5:$W$5,1,0),"Excl")</f>
        <v>Labour</v>
      </c>
      <c r="AM113" s="7" t="str">
        <f>VLOOKUP(AC113,Mapping!$E$11:$I$204,5,0)</f>
        <v>SCS</v>
      </c>
      <c r="AO113" s="35" t="s">
        <v>528</v>
      </c>
      <c r="AP113" s="35"/>
      <c r="AQ113" s="35">
        <v>71030</v>
      </c>
      <c r="AR113" s="35" t="s">
        <v>464</v>
      </c>
      <c r="AS113" s="121">
        <v>5.2523000000000009</v>
      </c>
      <c r="AU113" s="7" t="str">
        <f>VLOOKUP($AO113,Mapping!$E$11:$I$204,3,0)</f>
        <v>Connections</v>
      </c>
      <c r="AV113" s="7" t="str">
        <f>IFERROR(VLOOKUP($AQ113,Mapping!$E$208:$K$236,5,0),"Contracts")</f>
        <v>Contracts</v>
      </c>
      <c r="AW113" s="7" t="str">
        <f>IFERROR(VLOOKUP($AQ113,Mapping!$E$208:$K$236,7,0),"ENDirect")</f>
        <v>ENDirect</v>
      </c>
      <c r="AX113" s="7" t="str">
        <f>IFERROR(HLOOKUP(AV113,'Calc|Weightings'!$U$5:$W$5,1,0),"Excl")</f>
        <v>Contracts</v>
      </c>
      <c r="AY113" s="7" t="str">
        <f>VLOOKUP(AO113,Mapping!$E$11:$I$204,5,0)</f>
        <v>SCS</v>
      </c>
    </row>
    <row r="114" spans="1:51" x14ac:dyDescent="0.3">
      <c r="A114" s="7"/>
      <c r="B114" s="7"/>
      <c r="C114" s="7"/>
      <c r="D114" s="7"/>
      <c r="E114" s="32" t="s">
        <v>549</v>
      </c>
      <c r="F114" s="32"/>
      <c r="G114" s="32">
        <v>71010</v>
      </c>
      <c r="H114" s="32" t="s">
        <v>462</v>
      </c>
      <c r="I114" s="33">
        <v>1979.1679999999999</v>
      </c>
      <c r="J114" s="170"/>
      <c r="K114" s="7" t="str">
        <f>VLOOKUP($E114,Mapping!$E$11:$I$204,3,0)</f>
        <v>Connections</v>
      </c>
      <c r="L114" s="7" t="str">
        <f>IFERROR(VLOOKUP($G114,Mapping!$E$208:$K$236,5,0),"Contracts")</f>
        <v>Labour</v>
      </c>
      <c r="M114" s="7" t="str">
        <f>IFERROR(VLOOKUP($G114,Mapping!$E$208:$K$236,7,0),"ENDirect")</f>
        <v>ENDirect</v>
      </c>
      <c r="N114" s="7" t="str">
        <f>IFERROR(HLOOKUP(L114,'Calc|Weightings'!$U$5:$W$5,1,0),"Excl")</f>
        <v>Labour</v>
      </c>
      <c r="O114" s="7" t="str">
        <f>VLOOKUP(E114,Mapping!$E$11:$I$204,5,0)</f>
        <v>SCS</v>
      </c>
      <c r="Q114" s="32" t="s">
        <v>104</v>
      </c>
      <c r="R114" s="32"/>
      <c r="S114" s="32">
        <v>71010</v>
      </c>
      <c r="T114" s="32" t="s">
        <v>462</v>
      </c>
      <c r="U114" s="33">
        <v>49.265999999999998</v>
      </c>
      <c r="V114" s="7"/>
      <c r="W114" s="7" t="str">
        <f>VLOOKUP($Q114,Mapping!$E$11:$I$204,3,0)</f>
        <v>Public Lighting</v>
      </c>
      <c r="X114" s="7" t="str">
        <f>IFERROR(VLOOKUP($S114,Mapping!$E$208:$K$236,5,0),"Contracts")</f>
        <v>Labour</v>
      </c>
      <c r="Y114" s="7" t="str">
        <f>IFERROR(VLOOKUP($S114,Mapping!$E$208:$K$236,7,0),"ENDirect")</f>
        <v>ENDirect</v>
      </c>
      <c r="Z114" s="7" t="str">
        <f>IFERROR(HLOOKUP(X114,'Calc|Weightings'!$U$5:$W$5,1,0),"Excl")</f>
        <v>Labour</v>
      </c>
      <c r="AA114" s="7" t="str">
        <f>VLOOKUP(Q114,Mapping!$E$11:$I$204,5,0)</f>
        <v>Public Lighting</v>
      </c>
      <c r="AC114" s="35" t="s">
        <v>126</v>
      </c>
      <c r="AD114" s="35"/>
      <c r="AE114" s="35">
        <v>71015</v>
      </c>
      <c r="AF114" s="35" t="s">
        <v>463</v>
      </c>
      <c r="AG114" s="36">
        <v>103.244</v>
      </c>
      <c r="AI114" s="7" t="str">
        <f>VLOOKUP($AC114,Mapping!$E$11:$I$204,3,0)</f>
        <v>Augmentation</v>
      </c>
      <c r="AJ114" s="7" t="str">
        <f>IFERROR(VLOOKUP($AE114,Mapping!$E$208:$K$236,5,0),"Contracts")</f>
        <v>Materials</v>
      </c>
      <c r="AK114" s="7" t="str">
        <f>IFERROR(VLOOKUP($AE114,Mapping!$E$208:$K$236,7,0),"ENDirect")</f>
        <v>ENDirect</v>
      </c>
      <c r="AL114" s="7" t="str">
        <f>IFERROR(HLOOKUP(AJ114,'Calc|Weightings'!$U$5:$W$5,1,0),"Excl")</f>
        <v>Materials</v>
      </c>
      <c r="AM114" s="7" t="str">
        <f>VLOOKUP(AC114,Mapping!$E$11:$I$204,5,0)</f>
        <v>SCS</v>
      </c>
      <c r="AO114" s="35" t="s">
        <v>528</v>
      </c>
      <c r="AP114" s="35"/>
      <c r="AQ114" s="35">
        <v>71040</v>
      </c>
      <c r="AR114" s="35" t="s">
        <v>460</v>
      </c>
      <c r="AS114" s="121">
        <v>0.12456</v>
      </c>
      <c r="AU114" s="7" t="str">
        <f>VLOOKUP($AO114,Mapping!$E$11:$I$204,3,0)</f>
        <v>Connections</v>
      </c>
      <c r="AV114" s="7" t="str">
        <f>IFERROR(VLOOKUP($AQ114,Mapping!$E$208:$K$236,5,0),"Contracts")</f>
        <v>Contracts</v>
      </c>
      <c r="AW114" s="7" t="str">
        <f>IFERROR(VLOOKUP($AQ114,Mapping!$E$208:$K$236,7,0),"ENDirect")</f>
        <v>ENDirect</v>
      </c>
      <c r="AX114" s="7" t="str">
        <f>IFERROR(HLOOKUP(AV114,'Calc|Weightings'!$U$5:$W$5,1,0),"Excl")</f>
        <v>Contracts</v>
      </c>
      <c r="AY114" s="7" t="str">
        <f>VLOOKUP(AO114,Mapping!$E$11:$I$204,5,0)</f>
        <v>SCS</v>
      </c>
    </row>
    <row r="115" spans="1:51" x14ac:dyDescent="0.3">
      <c r="A115" s="7"/>
      <c r="B115" s="7"/>
      <c r="C115" s="7"/>
      <c r="D115" s="7"/>
      <c r="E115" s="32" t="s">
        <v>549</v>
      </c>
      <c r="F115" s="32"/>
      <c r="G115" s="32">
        <v>71015</v>
      </c>
      <c r="H115" s="32" t="s">
        <v>463</v>
      </c>
      <c r="I115" s="33">
        <v>294.577</v>
      </c>
      <c r="J115" s="170"/>
      <c r="K115" s="7" t="str">
        <f>VLOOKUP($E115,Mapping!$E$11:$I$204,3,0)</f>
        <v>Connections</v>
      </c>
      <c r="L115" s="7" t="str">
        <f>IFERROR(VLOOKUP($G115,Mapping!$E$208:$K$236,5,0),"Contracts")</f>
        <v>Materials</v>
      </c>
      <c r="M115" s="7" t="str">
        <f>IFERROR(VLOOKUP($G115,Mapping!$E$208:$K$236,7,0),"ENDirect")</f>
        <v>ENDirect</v>
      </c>
      <c r="N115" s="7" t="str">
        <f>IFERROR(HLOOKUP(L115,'Calc|Weightings'!$U$5:$W$5,1,0),"Excl")</f>
        <v>Materials</v>
      </c>
      <c r="O115" s="7" t="str">
        <f>VLOOKUP(E115,Mapping!$E$11:$I$204,5,0)</f>
        <v>SCS</v>
      </c>
      <c r="Q115" s="32" t="s">
        <v>104</v>
      </c>
      <c r="R115" s="32"/>
      <c r="S115" s="32">
        <v>71015</v>
      </c>
      <c r="T115" s="32" t="s">
        <v>463</v>
      </c>
      <c r="U115" s="33">
        <v>5.3360000000000003</v>
      </c>
      <c r="V115" s="7"/>
      <c r="W115" s="7" t="str">
        <f>VLOOKUP($Q115,Mapping!$E$11:$I$204,3,0)</f>
        <v>Public Lighting</v>
      </c>
      <c r="X115" s="7" t="str">
        <f>IFERROR(VLOOKUP($S115,Mapping!$E$208:$K$236,5,0),"Contracts")</f>
        <v>Materials</v>
      </c>
      <c r="Y115" s="7" t="str">
        <f>IFERROR(VLOOKUP($S115,Mapping!$E$208:$K$236,7,0),"ENDirect")</f>
        <v>ENDirect</v>
      </c>
      <c r="Z115" s="7" t="str">
        <f>IFERROR(HLOOKUP(X115,'Calc|Weightings'!$U$5:$W$5,1,0),"Excl")</f>
        <v>Materials</v>
      </c>
      <c r="AA115" s="7" t="str">
        <f>VLOOKUP(Q115,Mapping!$E$11:$I$204,5,0)</f>
        <v>Public Lighting</v>
      </c>
      <c r="AC115" s="35" t="s">
        <v>126</v>
      </c>
      <c r="AD115" s="35"/>
      <c r="AE115" s="35">
        <v>71030</v>
      </c>
      <c r="AF115" s="35" t="s">
        <v>464</v>
      </c>
      <c r="AG115" s="36">
        <v>213.86099999999999</v>
      </c>
      <c r="AI115" s="7" t="str">
        <f>VLOOKUP($AC115,Mapping!$E$11:$I$204,3,0)</f>
        <v>Augmentation</v>
      </c>
      <c r="AJ115" s="7" t="str">
        <f>IFERROR(VLOOKUP($AE115,Mapping!$E$208:$K$236,5,0),"Contracts")</f>
        <v>Contracts</v>
      </c>
      <c r="AK115" s="7" t="str">
        <f>IFERROR(VLOOKUP($AE115,Mapping!$E$208:$K$236,7,0),"ENDirect")</f>
        <v>ENDirect</v>
      </c>
      <c r="AL115" s="7" t="str">
        <f>IFERROR(HLOOKUP(AJ115,'Calc|Weightings'!$U$5:$W$5,1,0),"Excl")</f>
        <v>Contracts</v>
      </c>
      <c r="AM115" s="7" t="str">
        <f>VLOOKUP(AC115,Mapping!$E$11:$I$204,5,0)</f>
        <v>SCS</v>
      </c>
      <c r="AO115" s="35" t="s">
        <v>528</v>
      </c>
      <c r="AP115" s="35"/>
      <c r="AQ115" s="35">
        <v>71055</v>
      </c>
      <c r="AR115" s="35" t="s">
        <v>465</v>
      </c>
      <c r="AS115" s="121">
        <v>9.417209999999999</v>
      </c>
      <c r="AU115" s="7" t="str">
        <f>VLOOKUP($AO115,Mapping!$E$11:$I$204,3,0)</f>
        <v>Connections</v>
      </c>
      <c r="AV115" s="7" t="str">
        <f>IFERROR(VLOOKUP($AQ115,Mapping!$E$208:$K$236,5,0),"Contracts")</f>
        <v>Contracts</v>
      </c>
      <c r="AW115" s="7" t="str">
        <f>IFERROR(VLOOKUP($AQ115,Mapping!$E$208:$K$236,7,0),"ENDirect")</f>
        <v>ENDirect</v>
      </c>
      <c r="AX115" s="7" t="str">
        <f>IFERROR(HLOOKUP(AV115,'Calc|Weightings'!$U$5:$W$5,1,0),"Excl")</f>
        <v>Contracts</v>
      </c>
      <c r="AY115" s="7" t="str">
        <f>VLOOKUP(AO115,Mapping!$E$11:$I$204,5,0)</f>
        <v>SCS</v>
      </c>
    </row>
    <row r="116" spans="1:51" x14ac:dyDescent="0.3">
      <c r="A116" s="7"/>
      <c r="B116" s="7"/>
      <c r="C116" s="7"/>
      <c r="D116" s="7"/>
      <c r="E116" s="32" t="s">
        <v>549</v>
      </c>
      <c r="F116" s="32"/>
      <c r="G116" s="32">
        <v>71030</v>
      </c>
      <c r="H116" s="32" t="s">
        <v>464</v>
      </c>
      <c r="I116" s="33">
        <v>436.06099999999998</v>
      </c>
      <c r="J116" s="170"/>
      <c r="K116" s="7" t="str">
        <f>VLOOKUP($E116,Mapping!$E$11:$I$204,3,0)</f>
        <v>Connections</v>
      </c>
      <c r="L116" s="7" t="str">
        <f>IFERROR(VLOOKUP($G116,Mapping!$E$208:$K$236,5,0),"Contracts")</f>
        <v>Contracts</v>
      </c>
      <c r="M116" s="7" t="str">
        <f>IFERROR(VLOOKUP($G116,Mapping!$E$208:$K$236,7,0),"ENDirect")</f>
        <v>ENDirect</v>
      </c>
      <c r="N116" s="7" t="str">
        <f>IFERROR(HLOOKUP(L116,'Calc|Weightings'!$U$5:$W$5,1,0),"Excl")</f>
        <v>Contracts</v>
      </c>
      <c r="O116" s="7" t="str">
        <f>VLOOKUP(E116,Mapping!$E$11:$I$204,5,0)</f>
        <v>SCS</v>
      </c>
      <c r="Q116" s="32" t="s">
        <v>104</v>
      </c>
      <c r="R116" s="32"/>
      <c r="S116" s="32">
        <v>71030</v>
      </c>
      <c r="T116" s="32" t="s">
        <v>464</v>
      </c>
      <c r="U116" s="33">
        <v>13.114000000000001</v>
      </c>
      <c r="V116" s="7"/>
      <c r="W116" s="7" t="str">
        <f>VLOOKUP($Q116,Mapping!$E$11:$I$204,3,0)</f>
        <v>Public Lighting</v>
      </c>
      <c r="X116" s="7" t="str">
        <f>IFERROR(VLOOKUP($S116,Mapping!$E$208:$K$236,5,0),"Contracts")</f>
        <v>Contracts</v>
      </c>
      <c r="Y116" s="7" t="str">
        <f>IFERROR(VLOOKUP($S116,Mapping!$E$208:$K$236,7,0),"ENDirect")</f>
        <v>ENDirect</v>
      </c>
      <c r="Z116" s="7" t="str">
        <f>IFERROR(HLOOKUP(X116,'Calc|Weightings'!$U$5:$W$5,1,0),"Excl")</f>
        <v>Contracts</v>
      </c>
      <c r="AA116" s="7" t="str">
        <f>VLOOKUP(Q116,Mapping!$E$11:$I$204,5,0)</f>
        <v>Public Lighting</v>
      </c>
      <c r="AC116" s="35" t="s">
        <v>126</v>
      </c>
      <c r="AD116" s="35"/>
      <c r="AE116" s="35">
        <v>71055</v>
      </c>
      <c r="AF116" s="35" t="s">
        <v>465</v>
      </c>
      <c r="AG116" s="36">
        <v>67.275999999999996</v>
      </c>
      <c r="AI116" s="7" t="str">
        <f>VLOOKUP($AC116,Mapping!$E$11:$I$204,3,0)</f>
        <v>Augmentation</v>
      </c>
      <c r="AJ116" s="7" t="str">
        <f>IFERROR(VLOOKUP($AE116,Mapping!$E$208:$K$236,5,0),"Contracts")</f>
        <v>Contracts</v>
      </c>
      <c r="AK116" s="7" t="str">
        <f>IFERROR(VLOOKUP($AE116,Mapping!$E$208:$K$236,7,0),"ENDirect")</f>
        <v>ENDirect</v>
      </c>
      <c r="AL116" s="7" t="str">
        <f>IFERROR(HLOOKUP(AJ116,'Calc|Weightings'!$U$5:$W$5,1,0),"Excl")</f>
        <v>Contracts</v>
      </c>
      <c r="AM116" s="7" t="str">
        <f>VLOOKUP(AC116,Mapping!$E$11:$I$204,5,0)</f>
        <v>SCS</v>
      </c>
      <c r="AO116" s="35" t="s">
        <v>528</v>
      </c>
      <c r="AP116" s="35"/>
      <c r="AQ116" s="35">
        <v>71070</v>
      </c>
      <c r="AR116" s="35" t="s">
        <v>586</v>
      </c>
      <c r="AS116" s="121">
        <v>628.54424000000017</v>
      </c>
      <c r="AU116" s="7" t="str">
        <f>VLOOKUP($AO116,Mapping!$E$11:$I$204,3,0)</f>
        <v>Connections</v>
      </c>
      <c r="AV116" s="7" t="str">
        <f>IFERROR(VLOOKUP($AQ116,Mapping!$E$208:$K$236,5,0),"Contracts")</f>
        <v>Contracts</v>
      </c>
      <c r="AW116" s="7" t="str">
        <f>IFERROR(VLOOKUP($AQ116,Mapping!$E$208:$K$236,7,0),"ENDirect")</f>
        <v>ENDirect</v>
      </c>
      <c r="AX116" s="7" t="str">
        <f>IFERROR(HLOOKUP(AV116,'Calc|Weightings'!$U$5:$W$5,1,0),"Excl")</f>
        <v>Contracts</v>
      </c>
      <c r="AY116" s="7" t="str">
        <f>VLOOKUP(AO116,Mapping!$E$11:$I$204,5,0)</f>
        <v>SCS</v>
      </c>
    </row>
    <row r="117" spans="1:51" x14ac:dyDescent="0.3">
      <c r="A117" s="7"/>
      <c r="B117" s="7"/>
      <c r="C117" s="7"/>
      <c r="D117" s="7"/>
      <c r="E117" s="32" t="s">
        <v>549</v>
      </c>
      <c r="F117" s="32"/>
      <c r="G117" s="32">
        <v>71055</v>
      </c>
      <c r="H117" s="32" t="s">
        <v>465</v>
      </c>
      <c r="I117" s="33">
        <v>1024.2760000000001</v>
      </c>
      <c r="J117" s="170"/>
      <c r="K117" s="7" t="str">
        <f>VLOOKUP($E117,Mapping!$E$11:$I$204,3,0)</f>
        <v>Connections</v>
      </c>
      <c r="L117" s="7" t="str">
        <f>IFERROR(VLOOKUP($G117,Mapping!$E$208:$K$236,5,0),"Contracts")</f>
        <v>Contracts</v>
      </c>
      <c r="M117" s="7" t="str">
        <f>IFERROR(VLOOKUP($G117,Mapping!$E$208:$K$236,7,0),"ENDirect")</f>
        <v>ENDirect</v>
      </c>
      <c r="N117" s="7" t="str">
        <f>IFERROR(HLOOKUP(L117,'Calc|Weightings'!$U$5:$W$5,1,0),"Excl")</f>
        <v>Contracts</v>
      </c>
      <c r="O117" s="7" t="str">
        <f>VLOOKUP(E117,Mapping!$E$11:$I$204,5,0)</f>
        <v>SCS</v>
      </c>
      <c r="Q117" s="32" t="s">
        <v>104</v>
      </c>
      <c r="R117" s="32"/>
      <c r="S117" s="32">
        <v>71040</v>
      </c>
      <c r="T117" s="32" t="s">
        <v>460</v>
      </c>
      <c r="U117" s="33">
        <v>0.13100000000000001</v>
      </c>
      <c r="V117" s="7"/>
      <c r="W117" s="7" t="str">
        <f>VLOOKUP($Q117,Mapping!$E$11:$I$204,3,0)</f>
        <v>Public Lighting</v>
      </c>
      <c r="X117" s="7" t="str">
        <f>IFERROR(VLOOKUP($S117,Mapping!$E$208:$K$236,5,0),"Contracts")</f>
        <v>Contracts</v>
      </c>
      <c r="Y117" s="7" t="str">
        <f>IFERROR(VLOOKUP($S117,Mapping!$E$208:$K$236,7,0),"ENDirect")</f>
        <v>ENDirect</v>
      </c>
      <c r="Z117" s="7" t="str">
        <f>IFERROR(HLOOKUP(X117,'Calc|Weightings'!$U$5:$W$5,1,0),"Excl")</f>
        <v>Contracts</v>
      </c>
      <c r="AA117" s="7" t="str">
        <f>VLOOKUP(Q117,Mapping!$E$11:$I$204,5,0)</f>
        <v>Public Lighting</v>
      </c>
      <c r="AC117" s="35" t="s">
        <v>126</v>
      </c>
      <c r="AD117" s="35"/>
      <c r="AE117" s="35">
        <v>80000</v>
      </c>
      <c r="AF117" s="35" t="s">
        <v>453</v>
      </c>
      <c r="AG117" s="36">
        <v>426.84300000000002</v>
      </c>
      <c r="AI117" s="7" t="str">
        <f>VLOOKUP($AC117,Mapping!$E$11:$I$204,3,0)</f>
        <v>Augmentation</v>
      </c>
      <c r="AJ117" s="7" t="str">
        <f>IFERROR(VLOOKUP($AE117,Mapping!$E$208:$K$236,5,0),"Contracts")</f>
        <v>Overhead</v>
      </c>
      <c r="AK117" s="7" t="str">
        <f>IFERROR(VLOOKUP($AE117,Mapping!$E$208:$K$236,7,0),"ENDirect")</f>
        <v>OH</v>
      </c>
      <c r="AL117" s="7" t="str">
        <f>IFERROR(HLOOKUP(AJ117,'Calc|Weightings'!$U$5:$W$5,1,0),"Excl")</f>
        <v>Excl</v>
      </c>
      <c r="AM117" s="7" t="str">
        <f>VLOOKUP(AC117,Mapping!$E$11:$I$204,5,0)</f>
        <v>SCS</v>
      </c>
      <c r="AO117" s="35" t="s">
        <v>528</v>
      </c>
      <c r="AP117" s="35"/>
      <c r="AQ117" s="35">
        <v>71075</v>
      </c>
      <c r="AR117" s="35" t="s">
        <v>587</v>
      </c>
      <c r="AS117" s="121">
        <v>68.259390000000025</v>
      </c>
      <c r="AU117" s="7" t="str">
        <f>VLOOKUP($AO117,Mapping!$E$11:$I$204,3,0)</f>
        <v>Connections</v>
      </c>
      <c r="AV117" s="7" t="str">
        <f>IFERROR(VLOOKUP($AQ117,Mapping!$E$208:$K$236,5,0),"Contracts")</f>
        <v>Contracts</v>
      </c>
      <c r="AW117" s="7" t="str">
        <f>IFERROR(VLOOKUP($AQ117,Mapping!$E$208:$K$236,7,0),"ENDirect")</f>
        <v>ENDirect</v>
      </c>
      <c r="AX117" s="7" t="str">
        <f>IFERROR(HLOOKUP(AV117,'Calc|Weightings'!$U$5:$W$5,1,0),"Excl")</f>
        <v>Contracts</v>
      </c>
      <c r="AY117" s="7" t="str">
        <f>VLOOKUP(AO117,Mapping!$E$11:$I$204,5,0)</f>
        <v>SCS</v>
      </c>
    </row>
    <row r="118" spans="1:51" x14ac:dyDescent="0.3">
      <c r="A118" s="7"/>
      <c r="B118" s="7"/>
      <c r="C118" s="7"/>
      <c r="D118" s="7"/>
      <c r="E118" s="32" t="s">
        <v>549</v>
      </c>
      <c r="F118" s="32"/>
      <c r="G118" s="32">
        <v>80000</v>
      </c>
      <c r="H118" s="32" t="s">
        <v>453</v>
      </c>
      <c r="I118" s="33">
        <v>719.971</v>
      </c>
      <c r="J118" s="170"/>
      <c r="K118" s="7" t="str">
        <f>VLOOKUP($E118,Mapping!$E$11:$I$204,3,0)</f>
        <v>Connections</v>
      </c>
      <c r="L118" s="7" t="str">
        <f>IFERROR(VLOOKUP($G118,Mapping!$E$208:$K$236,5,0),"Contracts")</f>
        <v>Overhead</v>
      </c>
      <c r="M118" s="7" t="str">
        <f>IFERROR(VLOOKUP($G118,Mapping!$E$208:$K$236,7,0),"ENDirect")</f>
        <v>OH</v>
      </c>
      <c r="N118" s="7" t="str">
        <f>IFERROR(HLOOKUP(L118,'Calc|Weightings'!$U$5:$W$5,1,0),"Excl")</f>
        <v>Excl</v>
      </c>
      <c r="O118" s="7" t="str">
        <f>VLOOKUP(E118,Mapping!$E$11:$I$204,5,0)</f>
        <v>SCS</v>
      </c>
      <c r="Q118" s="32" t="s">
        <v>104</v>
      </c>
      <c r="R118" s="32"/>
      <c r="S118" s="32">
        <v>71055</v>
      </c>
      <c r="T118" s="32" t="s">
        <v>465</v>
      </c>
      <c r="U118" s="33">
        <v>26.105</v>
      </c>
      <c r="V118" s="7"/>
      <c r="W118" s="7" t="str">
        <f>VLOOKUP($Q118,Mapping!$E$11:$I$204,3,0)</f>
        <v>Public Lighting</v>
      </c>
      <c r="X118" s="7" t="str">
        <f>IFERROR(VLOOKUP($S118,Mapping!$E$208:$K$236,5,0),"Contracts")</f>
        <v>Contracts</v>
      </c>
      <c r="Y118" s="7" t="str">
        <f>IFERROR(VLOOKUP($S118,Mapping!$E$208:$K$236,7,0),"ENDirect")</f>
        <v>ENDirect</v>
      </c>
      <c r="Z118" s="7" t="str">
        <f>IFERROR(HLOOKUP(X118,'Calc|Weightings'!$U$5:$W$5,1,0),"Excl")</f>
        <v>Contracts</v>
      </c>
      <c r="AA118" s="7" t="str">
        <f>VLOOKUP(Q118,Mapping!$E$11:$I$204,5,0)</f>
        <v>Public Lighting</v>
      </c>
      <c r="AC118" s="35" t="s">
        <v>121</v>
      </c>
      <c r="AD118" s="35"/>
      <c r="AE118" s="35">
        <v>70815</v>
      </c>
      <c r="AF118" s="35" t="s">
        <v>451</v>
      </c>
      <c r="AG118" s="36">
        <v>253.25399999999999</v>
      </c>
      <c r="AI118" s="7" t="str">
        <f>VLOOKUP($AC118,Mapping!$E$11:$I$204,3,0)</f>
        <v>Augmentation</v>
      </c>
      <c r="AJ118" s="7" t="str">
        <f>IFERROR(VLOOKUP($AE118,Mapping!$E$208:$K$236,5,0),"Contracts")</f>
        <v>Materials</v>
      </c>
      <c r="AK118" s="7" t="str">
        <f>IFERROR(VLOOKUP($AE118,Mapping!$E$208:$K$236,7,0),"ENDirect")</f>
        <v>ENDirect</v>
      </c>
      <c r="AL118" s="7" t="str">
        <f>IFERROR(HLOOKUP(AJ118,'Calc|Weightings'!$U$5:$W$5,1,0),"Excl")</f>
        <v>Materials</v>
      </c>
      <c r="AM118" s="7" t="str">
        <f>VLOOKUP(AC118,Mapping!$E$11:$I$204,5,0)</f>
        <v>SCS</v>
      </c>
      <c r="AO118" s="35" t="s">
        <v>528</v>
      </c>
      <c r="AP118" s="35"/>
      <c r="AQ118" s="35">
        <v>72345</v>
      </c>
      <c r="AR118" s="35" t="s">
        <v>588</v>
      </c>
      <c r="AS118" s="121">
        <v>246.8</v>
      </c>
      <c r="AU118" s="7" t="str">
        <f>VLOOKUP($AO118,Mapping!$E$11:$I$204,3,0)</f>
        <v>Connections</v>
      </c>
      <c r="AV118" s="7" t="str">
        <f>IFERROR(VLOOKUP($AQ118,Mapping!$E$208:$K$236,5,0),"Contracts")</f>
        <v>Contracts</v>
      </c>
      <c r="AW118" s="7" t="str">
        <f>IFERROR(VLOOKUP($AQ118,Mapping!$E$208:$K$236,7,0),"ENDirect")</f>
        <v>ENDirect</v>
      </c>
      <c r="AX118" s="7" t="str">
        <f>IFERROR(HLOOKUP(AV118,'Calc|Weightings'!$U$5:$W$5,1,0),"Excl")</f>
        <v>Contracts</v>
      </c>
      <c r="AY118" s="7" t="str">
        <f>VLOOKUP(AO118,Mapping!$E$11:$I$204,5,0)</f>
        <v>SCS</v>
      </c>
    </row>
    <row r="119" spans="1:51" x14ac:dyDescent="0.3">
      <c r="A119" s="7"/>
      <c r="B119" s="7"/>
      <c r="C119" s="7"/>
      <c r="D119" s="7"/>
      <c r="E119" s="32" t="s">
        <v>551</v>
      </c>
      <c r="F119" s="32"/>
      <c r="G119" s="32">
        <v>71000</v>
      </c>
      <c r="H119" s="32" t="s">
        <v>457</v>
      </c>
      <c r="I119" s="33">
        <v>623.01700000000005</v>
      </c>
      <c r="J119" s="170"/>
      <c r="K119" s="7" t="str">
        <f>VLOOKUP($E119,Mapping!$E$11:$I$204,3,0)</f>
        <v>Connections</v>
      </c>
      <c r="L119" s="7" t="str">
        <f>IFERROR(VLOOKUP($G119,Mapping!$E$208:$K$236,5,0),"Contracts")</f>
        <v>Labour</v>
      </c>
      <c r="M119" s="7" t="str">
        <f>IFERROR(VLOOKUP($G119,Mapping!$E$208:$K$236,7,0),"ENDirect")</f>
        <v>ENDirect</v>
      </c>
      <c r="N119" s="7" t="str">
        <f>IFERROR(HLOOKUP(L119,'Calc|Weightings'!$U$5:$W$5,1,0),"Excl")</f>
        <v>Labour</v>
      </c>
      <c r="O119" s="7" t="str">
        <f>VLOOKUP(E119,Mapping!$E$11:$I$204,5,0)</f>
        <v>SCS</v>
      </c>
      <c r="Q119" s="32" t="s">
        <v>104</v>
      </c>
      <c r="R119" s="32"/>
      <c r="S119" s="32">
        <v>80000</v>
      </c>
      <c r="T119" s="32" t="s">
        <v>453</v>
      </c>
      <c r="U119" s="33">
        <v>25.042000000000002</v>
      </c>
      <c r="V119" s="7"/>
      <c r="W119" s="7" t="str">
        <f>VLOOKUP($Q119,Mapping!$E$11:$I$204,3,0)</f>
        <v>Public Lighting</v>
      </c>
      <c r="X119" s="7" t="str">
        <f>IFERROR(VLOOKUP($S119,Mapping!$E$208:$K$236,5,0),"Contracts")</f>
        <v>Overhead</v>
      </c>
      <c r="Y119" s="7" t="str">
        <f>IFERROR(VLOOKUP($S119,Mapping!$E$208:$K$236,7,0),"ENDirect")</f>
        <v>OH</v>
      </c>
      <c r="Z119" s="7" t="str">
        <f>IFERROR(HLOOKUP(X119,'Calc|Weightings'!$U$5:$W$5,1,0),"Excl")</f>
        <v>Excl</v>
      </c>
      <c r="AA119" s="7" t="str">
        <f>VLOOKUP(Q119,Mapping!$E$11:$I$204,5,0)</f>
        <v>Public Lighting</v>
      </c>
      <c r="AC119" s="35" t="s">
        <v>121</v>
      </c>
      <c r="AD119" s="35"/>
      <c r="AE119" s="35">
        <v>71000</v>
      </c>
      <c r="AF119" s="35" t="s">
        <v>457</v>
      </c>
      <c r="AG119" s="36">
        <v>309.93700000000001</v>
      </c>
      <c r="AI119" s="7" t="str">
        <f>VLOOKUP($AC119,Mapping!$E$11:$I$204,3,0)</f>
        <v>Augmentation</v>
      </c>
      <c r="AJ119" s="7" t="str">
        <f>IFERROR(VLOOKUP($AE119,Mapping!$E$208:$K$236,5,0),"Contracts")</f>
        <v>Labour</v>
      </c>
      <c r="AK119" s="7" t="str">
        <f>IFERROR(VLOOKUP($AE119,Mapping!$E$208:$K$236,7,0),"ENDirect")</f>
        <v>ENDirect</v>
      </c>
      <c r="AL119" s="7" t="str">
        <f>IFERROR(HLOOKUP(AJ119,'Calc|Weightings'!$U$5:$W$5,1,0),"Excl")</f>
        <v>Labour</v>
      </c>
      <c r="AM119" s="7" t="str">
        <f>VLOOKUP(AC119,Mapping!$E$11:$I$204,5,0)</f>
        <v>SCS</v>
      </c>
      <c r="AO119" s="35" t="s">
        <v>528</v>
      </c>
      <c r="AP119" s="35"/>
      <c r="AQ119" s="35">
        <v>80000</v>
      </c>
      <c r="AR119" s="35" t="s">
        <v>589</v>
      </c>
      <c r="AS119" s="121">
        <v>143.86120999999991</v>
      </c>
      <c r="AU119" s="7" t="str">
        <f>VLOOKUP($AO119,Mapping!$E$11:$I$204,3,0)</f>
        <v>Connections</v>
      </c>
      <c r="AV119" s="7" t="str">
        <f>IFERROR(VLOOKUP($AQ119,Mapping!$E$208:$K$236,5,0),"Contracts")</f>
        <v>Overhead</v>
      </c>
      <c r="AW119" s="7" t="str">
        <f>IFERROR(VLOOKUP($AQ119,Mapping!$E$208:$K$236,7,0),"ENDirect")</f>
        <v>OH</v>
      </c>
      <c r="AX119" s="7" t="str">
        <f>IFERROR(HLOOKUP(AV119,'Calc|Weightings'!$U$5:$W$5,1,0),"Excl")</f>
        <v>Excl</v>
      </c>
      <c r="AY119" s="7" t="str">
        <f>VLOOKUP(AO119,Mapping!$E$11:$I$204,5,0)</f>
        <v>SCS</v>
      </c>
    </row>
    <row r="120" spans="1:51" x14ac:dyDescent="0.3">
      <c r="A120" s="7"/>
      <c r="B120" s="7"/>
      <c r="C120" s="7"/>
      <c r="D120" s="7"/>
      <c r="E120" s="32" t="s">
        <v>551</v>
      </c>
      <c r="F120" s="32"/>
      <c r="G120" s="32">
        <v>71010</v>
      </c>
      <c r="H120" s="32" t="s">
        <v>462</v>
      </c>
      <c r="I120" s="33">
        <v>336.09100000000001</v>
      </c>
      <c r="J120" s="170"/>
      <c r="K120" s="7" t="str">
        <f>VLOOKUP($E120,Mapping!$E$11:$I$204,3,0)</f>
        <v>Connections</v>
      </c>
      <c r="L120" s="7" t="str">
        <f>IFERROR(VLOOKUP($G120,Mapping!$E$208:$K$236,5,0),"Contracts")</f>
        <v>Labour</v>
      </c>
      <c r="M120" s="7" t="str">
        <f>IFERROR(VLOOKUP($G120,Mapping!$E$208:$K$236,7,0),"ENDirect")</f>
        <v>ENDirect</v>
      </c>
      <c r="N120" s="7" t="str">
        <f>IFERROR(HLOOKUP(L120,'Calc|Weightings'!$U$5:$W$5,1,0),"Excl")</f>
        <v>Labour</v>
      </c>
      <c r="O120" s="7" t="str">
        <f>VLOOKUP(E120,Mapping!$E$11:$I$204,5,0)</f>
        <v>SCS</v>
      </c>
      <c r="Q120" s="32" t="s">
        <v>551</v>
      </c>
      <c r="R120" s="32"/>
      <c r="S120" s="32">
        <v>71000</v>
      </c>
      <c r="T120" s="32" t="s">
        <v>457</v>
      </c>
      <c r="U120" s="33">
        <v>724.62699999999995</v>
      </c>
      <c r="V120" s="7"/>
      <c r="W120" s="7" t="str">
        <f>VLOOKUP($Q120,Mapping!$E$11:$I$204,3,0)</f>
        <v>Connections</v>
      </c>
      <c r="X120" s="7" t="str">
        <f>IFERROR(VLOOKUP($S120,Mapping!$E$208:$K$236,5,0),"Contracts")</f>
        <v>Labour</v>
      </c>
      <c r="Y120" s="7" t="str">
        <f>IFERROR(VLOOKUP($S120,Mapping!$E$208:$K$236,7,0),"ENDirect")</f>
        <v>ENDirect</v>
      </c>
      <c r="Z120" s="7" t="str">
        <f>IFERROR(HLOOKUP(X120,'Calc|Weightings'!$U$5:$W$5,1,0),"Excl")</f>
        <v>Labour</v>
      </c>
      <c r="AA120" s="7" t="str">
        <f>VLOOKUP(Q120,Mapping!$E$11:$I$204,5,0)</f>
        <v>SCS</v>
      </c>
      <c r="AC120" s="35" t="s">
        <v>121</v>
      </c>
      <c r="AD120" s="35"/>
      <c r="AE120" s="35">
        <v>71010</v>
      </c>
      <c r="AF120" s="35" t="s">
        <v>462</v>
      </c>
      <c r="AG120" s="36">
        <v>398.8</v>
      </c>
      <c r="AI120" s="7" t="str">
        <f>VLOOKUP($AC120,Mapping!$E$11:$I$204,3,0)</f>
        <v>Augmentation</v>
      </c>
      <c r="AJ120" s="7" t="str">
        <f>IFERROR(VLOOKUP($AE120,Mapping!$E$208:$K$236,5,0),"Contracts")</f>
        <v>Labour</v>
      </c>
      <c r="AK120" s="7" t="str">
        <f>IFERROR(VLOOKUP($AE120,Mapping!$E$208:$K$236,7,0),"ENDirect")</f>
        <v>ENDirect</v>
      </c>
      <c r="AL120" s="7" t="str">
        <f>IFERROR(HLOOKUP(AJ120,'Calc|Weightings'!$U$5:$W$5,1,0),"Excl")</f>
        <v>Labour</v>
      </c>
      <c r="AM120" s="7" t="str">
        <f>VLOOKUP(AC120,Mapping!$E$11:$I$204,5,0)</f>
        <v>SCS</v>
      </c>
      <c r="AO120" s="35" t="s">
        <v>111</v>
      </c>
      <c r="AP120" s="35"/>
      <c r="AQ120" s="35">
        <v>71000</v>
      </c>
      <c r="AR120" s="35" t="s">
        <v>457</v>
      </c>
      <c r="AS120" s="121">
        <v>575.60640999999976</v>
      </c>
      <c r="AU120" s="7" t="str">
        <f>VLOOKUP($AO120,Mapping!$E$11:$I$204,3,0)</f>
        <v>Connections</v>
      </c>
      <c r="AV120" s="7" t="str">
        <f>IFERROR(VLOOKUP($AQ120,Mapping!$E$208:$K$236,5,0),"Contracts")</f>
        <v>Labour</v>
      </c>
      <c r="AW120" s="7" t="str">
        <f>IFERROR(VLOOKUP($AQ120,Mapping!$E$208:$K$236,7,0),"ENDirect")</f>
        <v>ENDirect</v>
      </c>
      <c r="AX120" s="7" t="str">
        <f>IFERROR(HLOOKUP(AV120,'Calc|Weightings'!$U$5:$W$5,1,0),"Excl")</f>
        <v>Labour</v>
      </c>
      <c r="AY120" s="7" t="str">
        <f>VLOOKUP(AO120,Mapping!$E$11:$I$204,5,0)</f>
        <v>SCS</v>
      </c>
    </row>
    <row r="121" spans="1:51" x14ac:dyDescent="0.3">
      <c r="A121" s="7"/>
      <c r="B121" s="7"/>
      <c r="C121" s="7"/>
      <c r="D121" s="7"/>
      <c r="E121" s="32" t="s">
        <v>551</v>
      </c>
      <c r="F121" s="32"/>
      <c r="G121" s="32">
        <v>71030</v>
      </c>
      <c r="H121" s="32" t="s">
        <v>464</v>
      </c>
      <c r="I121" s="33">
        <v>112.437</v>
      </c>
      <c r="J121" s="170"/>
      <c r="K121" s="7" t="str">
        <f>VLOOKUP($E121,Mapping!$E$11:$I$204,3,0)</f>
        <v>Connections</v>
      </c>
      <c r="L121" s="7" t="str">
        <f>IFERROR(VLOOKUP($G121,Mapping!$E$208:$K$236,5,0),"Contracts")</f>
        <v>Contracts</v>
      </c>
      <c r="M121" s="7" t="str">
        <f>IFERROR(VLOOKUP($G121,Mapping!$E$208:$K$236,7,0),"ENDirect")</f>
        <v>ENDirect</v>
      </c>
      <c r="N121" s="7" t="str">
        <f>IFERROR(HLOOKUP(L121,'Calc|Weightings'!$U$5:$W$5,1,0),"Excl")</f>
        <v>Contracts</v>
      </c>
      <c r="O121" s="7" t="str">
        <f>VLOOKUP(E121,Mapping!$E$11:$I$204,5,0)</f>
        <v>SCS</v>
      </c>
      <c r="Q121" s="32" t="s">
        <v>551</v>
      </c>
      <c r="R121" s="32"/>
      <c r="S121" s="32">
        <v>71010</v>
      </c>
      <c r="T121" s="32" t="s">
        <v>462</v>
      </c>
      <c r="U121" s="33">
        <v>353.33499999999998</v>
      </c>
      <c r="V121" s="7"/>
      <c r="W121" s="7" t="str">
        <f>VLOOKUP($Q121,Mapping!$E$11:$I$204,3,0)</f>
        <v>Connections</v>
      </c>
      <c r="X121" s="7" t="str">
        <f>IFERROR(VLOOKUP($S121,Mapping!$E$208:$K$236,5,0),"Contracts")</f>
        <v>Labour</v>
      </c>
      <c r="Y121" s="7" t="str">
        <f>IFERROR(VLOOKUP($S121,Mapping!$E$208:$K$236,7,0),"ENDirect")</f>
        <v>ENDirect</v>
      </c>
      <c r="Z121" s="7" t="str">
        <f>IFERROR(HLOOKUP(X121,'Calc|Weightings'!$U$5:$W$5,1,0),"Excl")</f>
        <v>Labour</v>
      </c>
      <c r="AA121" s="7" t="str">
        <f>VLOOKUP(Q121,Mapping!$E$11:$I$204,5,0)</f>
        <v>SCS</v>
      </c>
      <c r="AC121" s="35" t="s">
        <v>121</v>
      </c>
      <c r="AD121" s="35"/>
      <c r="AE121" s="35">
        <v>71020</v>
      </c>
      <c r="AF121" s="35" t="s">
        <v>459</v>
      </c>
      <c r="AG121" s="36">
        <v>-7.9779999999999998</v>
      </c>
      <c r="AI121" s="7" t="str">
        <f>VLOOKUP($AC121,Mapping!$E$11:$I$204,3,0)</f>
        <v>Augmentation</v>
      </c>
      <c r="AJ121" s="7" t="str">
        <f>IFERROR(VLOOKUP($AE121,Mapping!$E$208:$K$236,5,0),"Contracts")</f>
        <v>Contracts</v>
      </c>
      <c r="AK121" s="7" t="str">
        <f>IFERROR(VLOOKUP($AE121,Mapping!$E$208:$K$236,7,0),"ENDirect")</f>
        <v>ENDirect</v>
      </c>
      <c r="AL121" s="7" t="str">
        <f>IFERROR(HLOOKUP(AJ121,'Calc|Weightings'!$U$5:$W$5,1,0),"Excl")</f>
        <v>Contracts</v>
      </c>
      <c r="AM121" s="7" t="str">
        <f>VLOOKUP(AC121,Mapping!$E$11:$I$204,5,0)</f>
        <v>SCS</v>
      </c>
      <c r="AO121" s="35" t="s">
        <v>111</v>
      </c>
      <c r="AP121" s="35"/>
      <c r="AQ121" s="35">
        <v>71005</v>
      </c>
      <c r="AR121" s="35" t="s">
        <v>461</v>
      </c>
      <c r="AS121" s="121">
        <v>145.73602</v>
      </c>
      <c r="AU121" s="7" t="str">
        <f>VLOOKUP($AO121,Mapping!$E$11:$I$204,3,0)</f>
        <v>Connections</v>
      </c>
      <c r="AV121" s="7" t="str">
        <f>IFERROR(VLOOKUP($AQ121,Mapping!$E$208:$K$236,5,0),"Contracts")</f>
        <v>Materials</v>
      </c>
      <c r="AW121" s="7" t="str">
        <f>IFERROR(VLOOKUP($AQ121,Mapping!$E$208:$K$236,7,0),"ENDirect")</f>
        <v>ENDirect</v>
      </c>
      <c r="AX121" s="7" t="str">
        <f>IFERROR(HLOOKUP(AV121,'Calc|Weightings'!$U$5:$W$5,1,0),"Excl")</f>
        <v>Materials</v>
      </c>
      <c r="AY121" s="7" t="str">
        <f>VLOOKUP(AO121,Mapping!$E$11:$I$204,5,0)</f>
        <v>SCS</v>
      </c>
    </row>
    <row r="122" spans="1:51" x14ac:dyDescent="0.3">
      <c r="A122" s="7"/>
      <c r="B122" s="7"/>
      <c r="C122" s="7"/>
      <c r="D122" s="7"/>
      <c r="E122" s="32" t="s">
        <v>551</v>
      </c>
      <c r="F122" s="32"/>
      <c r="G122" s="32">
        <v>71055</v>
      </c>
      <c r="H122" s="32" t="s">
        <v>465</v>
      </c>
      <c r="I122" s="33">
        <v>236.726</v>
      </c>
      <c r="J122" s="170"/>
      <c r="K122" s="7" t="str">
        <f>VLOOKUP($E122,Mapping!$E$11:$I$204,3,0)</f>
        <v>Connections</v>
      </c>
      <c r="L122" s="7" t="str">
        <f>IFERROR(VLOOKUP($G122,Mapping!$E$208:$K$236,5,0),"Contracts")</f>
        <v>Contracts</v>
      </c>
      <c r="M122" s="7" t="str">
        <f>IFERROR(VLOOKUP($G122,Mapping!$E$208:$K$236,7,0),"ENDirect")</f>
        <v>ENDirect</v>
      </c>
      <c r="N122" s="7" t="str">
        <f>IFERROR(HLOOKUP(L122,'Calc|Weightings'!$U$5:$W$5,1,0),"Excl")</f>
        <v>Contracts</v>
      </c>
      <c r="O122" s="7" t="str">
        <f>VLOOKUP(E122,Mapping!$E$11:$I$204,5,0)</f>
        <v>SCS</v>
      </c>
      <c r="Q122" s="32" t="s">
        <v>551</v>
      </c>
      <c r="R122" s="32"/>
      <c r="S122" s="32">
        <v>71015</v>
      </c>
      <c r="T122" s="32" t="s">
        <v>463</v>
      </c>
      <c r="U122" s="33">
        <v>110.246</v>
      </c>
      <c r="V122" s="7"/>
      <c r="W122" s="7" t="str">
        <f>VLOOKUP($Q122,Mapping!$E$11:$I$204,3,0)</f>
        <v>Connections</v>
      </c>
      <c r="X122" s="7" t="str">
        <f>IFERROR(VLOOKUP($S122,Mapping!$E$208:$K$236,5,0),"Contracts")</f>
        <v>Materials</v>
      </c>
      <c r="Y122" s="7" t="str">
        <f>IFERROR(VLOOKUP($S122,Mapping!$E$208:$K$236,7,0),"ENDirect")</f>
        <v>ENDirect</v>
      </c>
      <c r="Z122" s="7" t="str">
        <f>IFERROR(HLOOKUP(X122,'Calc|Weightings'!$U$5:$W$5,1,0),"Excl")</f>
        <v>Materials</v>
      </c>
      <c r="AA122" s="7" t="str">
        <f>VLOOKUP(Q122,Mapping!$E$11:$I$204,5,0)</f>
        <v>SCS</v>
      </c>
      <c r="AC122" s="35" t="s">
        <v>121</v>
      </c>
      <c r="AD122" s="35"/>
      <c r="AE122" s="35">
        <v>71030</v>
      </c>
      <c r="AF122" s="35" t="s">
        <v>464</v>
      </c>
      <c r="AG122" s="36">
        <v>67.42</v>
      </c>
      <c r="AI122" s="7" t="str">
        <f>VLOOKUP($AC122,Mapping!$E$11:$I$204,3,0)</f>
        <v>Augmentation</v>
      </c>
      <c r="AJ122" s="7" t="str">
        <f>IFERROR(VLOOKUP($AE122,Mapping!$E$208:$K$236,5,0),"Contracts")</f>
        <v>Contracts</v>
      </c>
      <c r="AK122" s="7" t="str">
        <f>IFERROR(VLOOKUP($AE122,Mapping!$E$208:$K$236,7,0),"ENDirect")</f>
        <v>ENDirect</v>
      </c>
      <c r="AL122" s="7" t="str">
        <f>IFERROR(HLOOKUP(AJ122,'Calc|Weightings'!$U$5:$W$5,1,0),"Excl")</f>
        <v>Contracts</v>
      </c>
      <c r="AM122" s="7" t="str">
        <f>VLOOKUP(AC122,Mapping!$E$11:$I$204,5,0)</f>
        <v>SCS</v>
      </c>
      <c r="AO122" s="35" t="s">
        <v>111</v>
      </c>
      <c r="AP122" s="35"/>
      <c r="AQ122" s="35">
        <v>71006</v>
      </c>
      <c r="AR122" s="35" t="s">
        <v>468</v>
      </c>
      <c r="AS122" s="121">
        <v>401.79</v>
      </c>
      <c r="AU122" s="7" t="str">
        <f>VLOOKUP($AO122,Mapping!$E$11:$I$204,3,0)</f>
        <v>Connections</v>
      </c>
      <c r="AV122" s="7" t="str">
        <f>IFERROR(VLOOKUP($AQ122,Mapping!$E$208:$K$236,5,0),"Contracts")</f>
        <v>Materials</v>
      </c>
      <c r="AW122" s="7" t="str">
        <f>IFERROR(VLOOKUP($AQ122,Mapping!$E$208:$K$236,7,0),"ENDirect")</f>
        <v>ENDirect</v>
      </c>
      <c r="AX122" s="7" t="str">
        <f>IFERROR(HLOOKUP(AV122,'Calc|Weightings'!$U$5:$W$5,1,0),"Excl")</f>
        <v>Materials</v>
      </c>
      <c r="AY122" s="7" t="str">
        <f>VLOOKUP(AO122,Mapping!$E$11:$I$204,5,0)</f>
        <v>SCS</v>
      </c>
    </row>
    <row r="123" spans="1:51" x14ac:dyDescent="0.3">
      <c r="A123" s="7"/>
      <c r="B123" s="7"/>
      <c r="C123" s="7"/>
      <c r="D123" s="7"/>
      <c r="E123" s="32" t="s">
        <v>551</v>
      </c>
      <c r="F123" s="32"/>
      <c r="G123" s="32">
        <v>80000</v>
      </c>
      <c r="H123" s="32" t="s">
        <v>453</v>
      </c>
      <c r="I123" s="33">
        <v>180.518</v>
      </c>
      <c r="J123" s="170"/>
      <c r="K123" s="7" t="str">
        <f>VLOOKUP($E123,Mapping!$E$11:$I$204,3,0)</f>
        <v>Connections</v>
      </c>
      <c r="L123" s="7" t="str">
        <f>IFERROR(VLOOKUP($G123,Mapping!$E$208:$K$236,5,0),"Contracts")</f>
        <v>Overhead</v>
      </c>
      <c r="M123" s="7" t="str">
        <f>IFERROR(VLOOKUP($G123,Mapping!$E$208:$K$236,7,0),"ENDirect")</f>
        <v>OH</v>
      </c>
      <c r="N123" s="7" t="str">
        <f>IFERROR(HLOOKUP(L123,'Calc|Weightings'!$U$5:$W$5,1,0),"Excl")</f>
        <v>Excl</v>
      </c>
      <c r="O123" s="7" t="str">
        <f>VLOOKUP(E123,Mapping!$E$11:$I$204,5,0)</f>
        <v>SCS</v>
      </c>
      <c r="Q123" s="32" t="s">
        <v>551</v>
      </c>
      <c r="R123" s="32"/>
      <c r="S123" s="32">
        <v>71030</v>
      </c>
      <c r="T123" s="32" t="s">
        <v>464</v>
      </c>
      <c r="U123" s="33">
        <v>122.38</v>
      </c>
      <c r="V123" s="7"/>
      <c r="W123" s="7" t="str">
        <f>VLOOKUP($Q123,Mapping!$E$11:$I$204,3,0)</f>
        <v>Connections</v>
      </c>
      <c r="X123" s="7" t="str">
        <f>IFERROR(VLOOKUP($S123,Mapping!$E$208:$K$236,5,0),"Contracts")</f>
        <v>Contracts</v>
      </c>
      <c r="Y123" s="7" t="str">
        <f>IFERROR(VLOOKUP($S123,Mapping!$E$208:$K$236,7,0),"ENDirect")</f>
        <v>ENDirect</v>
      </c>
      <c r="Z123" s="7" t="str">
        <f>IFERROR(HLOOKUP(X123,'Calc|Weightings'!$U$5:$W$5,1,0),"Excl")</f>
        <v>Contracts</v>
      </c>
      <c r="AA123" s="7" t="str">
        <f>VLOOKUP(Q123,Mapping!$E$11:$I$204,5,0)</f>
        <v>SCS</v>
      </c>
      <c r="AC123" s="35" t="s">
        <v>121</v>
      </c>
      <c r="AD123" s="35"/>
      <c r="AE123" s="35">
        <v>71040</v>
      </c>
      <c r="AF123" s="35" t="s">
        <v>460</v>
      </c>
      <c r="AG123" s="36">
        <v>210.59399999999999</v>
      </c>
      <c r="AI123" s="7" t="str">
        <f>VLOOKUP($AC123,Mapping!$E$11:$I$204,3,0)</f>
        <v>Augmentation</v>
      </c>
      <c r="AJ123" s="7" t="str">
        <f>IFERROR(VLOOKUP($AE123,Mapping!$E$208:$K$236,5,0),"Contracts")</f>
        <v>Contracts</v>
      </c>
      <c r="AK123" s="7" t="str">
        <f>IFERROR(VLOOKUP($AE123,Mapping!$E$208:$K$236,7,0),"ENDirect")</f>
        <v>ENDirect</v>
      </c>
      <c r="AL123" s="7" t="str">
        <f>IFERROR(HLOOKUP(AJ123,'Calc|Weightings'!$U$5:$W$5,1,0),"Excl")</f>
        <v>Contracts</v>
      </c>
      <c r="AM123" s="7" t="str">
        <f>VLOOKUP(AC123,Mapping!$E$11:$I$204,5,0)</f>
        <v>SCS</v>
      </c>
      <c r="AO123" s="35" t="s">
        <v>111</v>
      </c>
      <c r="AP123" s="35"/>
      <c r="AQ123" s="35">
        <v>71010</v>
      </c>
      <c r="AR123" s="35" t="s">
        <v>487</v>
      </c>
      <c r="AS123" s="121">
        <v>219.21129999999997</v>
      </c>
      <c r="AU123" s="7" t="str">
        <f>VLOOKUP($AO123,Mapping!$E$11:$I$204,3,0)</f>
        <v>Connections</v>
      </c>
      <c r="AV123" s="7" t="str">
        <f>IFERROR(VLOOKUP($AQ123,Mapping!$E$208:$K$236,5,0),"Contracts")</f>
        <v>Labour</v>
      </c>
      <c r="AW123" s="7" t="str">
        <f>IFERROR(VLOOKUP($AQ123,Mapping!$E$208:$K$236,7,0),"ENDirect")</f>
        <v>ENDirect</v>
      </c>
      <c r="AX123" s="7" t="str">
        <f>IFERROR(HLOOKUP(AV123,'Calc|Weightings'!$U$5:$W$5,1,0),"Excl")</f>
        <v>Labour</v>
      </c>
      <c r="AY123" s="7" t="str">
        <f>VLOOKUP(AO123,Mapping!$E$11:$I$204,5,0)</f>
        <v>SCS</v>
      </c>
    </row>
    <row r="124" spans="1:51" x14ac:dyDescent="0.3">
      <c r="A124" s="7"/>
      <c r="B124" s="7"/>
      <c r="C124" s="7"/>
      <c r="D124" s="7"/>
      <c r="E124" s="32" t="s">
        <v>192</v>
      </c>
      <c r="F124" s="32"/>
      <c r="G124" s="32">
        <v>71020</v>
      </c>
      <c r="H124" s="32" t="s">
        <v>459</v>
      </c>
      <c r="I124" s="33">
        <v>208.84899999999999</v>
      </c>
      <c r="J124" s="170"/>
      <c r="K124" s="7" t="str">
        <f>VLOOKUP($E124,Mapping!$E$11:$I$204,3,0)</f>
        <v>VBRC</v>
      </c>
      <c r="L124" s="7" t="str">
        <f>IFERROR(VLOOKUP($G124,Mapping!$E$208:$K$236,5,0),"Contracts")</f>
        <v>Contracts</v>
      </c>
      <c r="M124" s="7" t="str">
        <f>IFERROR(VLOOKUP($G124,Mapping!$E$208:$K$236,7,0),"ENDirect")</f>
        <v>ENDirect</v>
      </c>
      <c r="N124" s="7" t="str">
        <f>IFERROR(HLOOKUP(L124,'Calc|Weightings'!$U$5:$W$5,1,0),"Excl")</f>
        <v>Contracts</v>
      </c>
      <c r="O124" s="7" t="str">
        <f>VLOOKUP(E124,Mapping!$E$11:$I$204,5,0)</f>
        <v>SCS</v>
      </c>
      <c r="Q124" s="32" t="s">
        <v>551</v>
      </c>
      <c r="R124" s="32"/>
      <c r="S124" s="32">
        <v>71040</v>
      </c>
      <c r="T124" s="32" t="s">
        <v>460</v>
      </c>
      <c r="U124" s="33">
        <v>7.6999999999999999E-2</v>
      </c>
      <c r="V124" s="7"/>
      <c r="W124" s="7" t="str">
        <f>VLOOKUP($Q124,Mapping!$E$11:$I$204,3,0)</f>
        <v>Connections</v>
      </c>
      <c r="X124" s="7" t="str">
        <f>IFERROR(VLOOKUP($S124,Mapping!$E$208:$K$236,5,0),"Contracts")</f>
        <v>Contracts</v>
      </c>
      <c r="Y124" s="7" t="str">
        <f>IFERROR(VLOOKUP($S124,Mapping!$E$208:$K$236,7,0),"ENDirect")</f>
        <v>ENDirect</v>
      </c>
      <c r="Z124" s="7" t="str">
        <f>IFERROR(HLOOKUP(X124,'Calc|Weightings'!$U$5:$W$5,1,0),"Excl")</f>
        <v>Contracts</v>
      </c>
      <c r="AA124" s="7" t="str">
        <f>VLOOKUP(Q124,Mapping!$E$11:$I$204,5,0)</f>
        <v>SCS</v>
      </c>
      <c r="AC124" s="35" t="s">
        <v>121</v>
      </c>
      <c r="AD124" s="35"/>
      <c r="AE124" s="35">
        <v>71055</v>
      </c>
      <c r="AF124" s="35" t="s">
        <v>465</v>
      </c>
      <c r="AG124" s="36">
        <v>166.04900000000001</v>
      </c>
      <c r="AI124" s="7" t="str">
        <f>VLOOKUP($AC124,Mapping!$E$11:$I$204,3,0)</f>
        <v>Augmentation</v>
      </c>
      <c r="AJ124" s="7" t="str">
        <f>IFERROR(VLOOKUP($AE124,Mapping!$E$208:$K$236,5,0),"Contracts")</f>
        <v>Contracts</v>
      </c>
      <c r="AK124" s="7" t="str">
        <f>IFERROR(VLOOKUP($AE124,Mapping!$E$208:$K$236,7,0),"ENDirect")</f>
        <v>ENDirect</v>
      </c>
      <c r="AL124" s="7" t="str">
        <f>IFERROR(HLOOKUP(AJ124,'Calc|Weightings'!$U$5:$W$5,1,0),"Excl")</f>
        <v>Contracts</v>
      </c>
      <c r="AM124" s="7" t="str">
        <f>VLOOKUP(AC124,Mapping!$E$11:$I$204,5,0)</f>
        <v>SCS</v>
      </c>
      <c r="AO124" s="35" t="s">
        <v>111</v>
      </c>
      <c r="AP124" s="35"/>
      <c r="AQ124" s="35">
        <v>71015</v>
      </c>
      <c r="AR124" s="35" t="s">
        <v>585</v>
      </c>
      <c r="AS124" s="121">
        <v>77.776020000000017</v>
      </c>
      <c r="AU124" s="7" t="str">
        <f>VLOOKUP($AO124,Mapping!$E$11:$I$204,3,0)</f>
        <v>Connections</v>
      </c>
      <c r="AV124" s="7" t="str">
        <f>IFERROR(VLOOKUP($AQ124,Mapping!$E$208:$K$236,5,0),"Contracts")</f>
        <v>Materials</v>
      </c>
      <c r="AW124" s="7" t="str">
        <f>IFERROR(VLOOKUP($AQ124,Mapping!$E$208:$K$236,7,0),"ENDirect")</f>
        <v>ENDirect</v>
      </c>
      <c r="AX124" s="7" t="str">
        <f>IFERROR(HLOOKUP(AV124,'Calc|Weightings'!$U$5:$W$5,1,0),"Excl")</f>
        <v>Materials</v>
      </c>
      <c r="AY124" s="7" t="str">
        <f>VLOOKUP(AO124,Mapping!$E$11:$I$204,5,0)</f>
        <v>SCS</v>
      </c>
    </row>
    <row r="125" spans="1:51" x14ac:dyDescent="0.3">
      <c r="A125" s="7"/>
      <c r="B125" s="7"/>
      <c r="C125" s="7"/>
      <c r="D125" s="7"/>
      <c r="E125" s="32" t="s">
        <v>194</v>
      </c>
      <c r="F125" s="32"/>
      <c r="G125" s="32">
        <v>71020</v>
      </c>
      <c r="H125" s="32" t="s">
        <v>459</v>
      </c>
      <c r="I125" s="33">
        <v>-9.86</v>
      </c>
      <c r="J125" s="170"/>
      <c r="K125" s="7" t="str">
        <f>VLOOKUP($E125,Mapping!$E$11:$I$204,3,0)</f>
        <v>Replacement</v>
      </c>
      <c r="L125" s="7" t="str">
        <f>IFERROR(VLOOKUP($G125,Mapping!$E$208:$K$236,5,0),"Contracts")</f>
        <v>Contracts</v>
      </c>
      <c r="M125" s="7" t="str">
        <f>IFERROR(VLOOKUP($G125,Mapping!$E$208:$K$236,7,0),"ENDirect")</f>
        <v>ENDirect</v>
      </c>
      <c r="N125" s="7" t="str">
        <f>IFERROR(HLOOKUP(L125,'Calc|Weightings'!$U$5:$W$5,1,0),"Excl")</f>
        <v>Contracts</v>
      </c>
      <c r="O125" s="7" t="str">
        <f>VLOOKUP(E125,Mapping!$E$11:$I$204,5,0)</f>
        <v>SCS</v>
      </c>
      <c r="Q125" s="32" t="s">
        <v>551</v>
      </c>
      <c r="R125" s="32"/>
      <c r="S125" s="32">
        <v>71055</v>
      </c>
      <c r="T125" s="32" t="s">
        <v>465</v>
      </c>
      <c r="U125" s="33">
        <v>289.40600000000001</v>
      </c>
      <c r="V125" s="7"/>
      <c r="W125" s="7" t="str">
        <f>VLOOKUP($Q125,Mapping!$E$11:$I$204,3,0)</f>
        <v>Connections</v>
      </c>
      <c r="X125" s="7" t="str">
        <f>IFERROR(VLOOKUP($S125,Mapping!$E$208:$K$236,5,0),"Contracts")</f>
        <v>Contracts</v>
      </c>
      <c r="Y125" s="7" t="str">
        <f>IFERROR(VLOOKUP($S125,Mapping!$E$208:$K$236,7,0),"ENDirect")</f>
        <v>ENDirect</v>
      </c>
      <c r="Z125" s="7" t="str">
        <f>IFERROR(HLOOKUP(X125,'Calc|Weightings'!$U$5:$W$5,1,0),"Excl")</f>
        <v>Contracts</v>
      </c>
      <c r="AA125" s="7" t="str">
        <f>VLOOKUP(Q125,Mapping!$E$11:$I$204,5,0)</f>
        <v>SCS</v>
      </c>
      <c r="AC125" s="35" t="s">
        <v>121</v>
      </c>
      <c r="AD125" s="35"/>
      <c r="AE125" s="35">
        <v>72200</v>
      </c>
      <c r="AF125" s="35" t="s">
        <v>455</v>
      </c>
      <c r="AG125" s="36">
        <v>0</v>
      </c>
      <c r="AI125" s="7" t="str">
        <f>VLOOKUP($AC125,Mapping!$E$11:$I$204,3,0)</f>
        <v>Augmentation</v>
      </c>
      <c r="AJ125" s="7" t="str">
        <f>IFERROR(VLOOKUP($AE125,Mapping!$E$208:$K$236,5,0),"Contracts")</f>
        <v>Labour</v>
      </c>
      <c r="AK125" s="7" t="str">
        <f>IFERROR(VLOOKUP($AE125,Mapping!$E$208:$K$236,7,0),"ENDirect")</f>
        <v>ENDirect</v>
      </c>
      <c r="AL125" s="7" t="str">
        <f>IFERROR(HLOOKUP(AJ125,'Calc|Weightings'!$U$5:$W$5,1,0),"Excl")</f>
        <v>Labour</v>
      </c>
      <c r="AM125" s="7" t="str">
        <f>VLOOKUP(AC125,Mapping!$E$11:$I$204,5,0)</f>
        <v>SCS</v>
      </c>
      <c r="AO125" s="35" t="s">
        <v>111</v>
      </c>
      <c r="AP125" s="35"/>
      <c r="AQ125" s="35">
        <v>71020</v>
      </c>
      <c r="AR125" s="35" t="s">
        <v>590</v>
      </c>
      <c r="AS125" s="121">
        <v>6.71</v>
      </c>
      <c r="AU125" s="7" t="str">
        <f>VLOOKUP($AO125,Mapping!$E$11:$I$204,3,0)</f>
        <v>Connections</v>
      </c>
      <c r="AV125" s="7" t="str">
        <f>IFERROR(VLOOKUP($AQ125,Mapping!$E$208:$K$236,5,0),"Contracts")</f>
        <v>Contracts</v>
      </c>
      <c r="AW125" s="7" t="str">
        <f>IFERROR(VLOOKUP($AQ125,Mapping!$E$208:$K$236,7,0),"ENDirect")</f>
        <v>ENDirect</v>
      </c>
      <c r="AX125" s="7" t="str">
        <f>IFERROR(HLOOKUP(AV125,'Calc|Weightings'!$U$5:$W$5,1,0),"Excl")</f>
        <v>Contracts</v>
      </c>
      <c r="AY125" s="7" t="str">
        <f>VLOOKUP(AO125,Mapping!$E$11:$I$204,5,0)</f>
        <v>SCS</v>
      </c>
    </row>
    <row r="126" spans="1:51" x14ac:dyDescent="0.3">
      <c r="A126" s="7"/>
      <c r="B126" s="7"/>
      <c r="C126" s="7"/>
      <c r="D126" s="7"/>
      <c r="E126" s="32" t="s">
        <v>104</v>
      </c>
      <c r="F126" s="32"/>
      <c r="G126" s="32">
        <v>71000</v>
      </c>
      <c r="H126" s="32" t="s">
        <v>457</v>
      </c>
      <c r="I126" s="33">
        <v>127.825</v>
      </c>
      <c r="J126" s="170"/>
      <c r="K126" s="7" t="str">
        <f>VLOOKUP($E126,Mapping!$E$11:$I$204,3,0)</f>
        <v>Public Lighting</v>
      </c>
      <c r="L126" s="7" t="str">
        <f>IFERROR(VLOOKUP($G126,Mapping!$E$208:$K$236,5,0),"Contracts")</f>
        <v>Labour</v>
      </c>
      <c r="M126" s="7" t="str">
        <f>IFERROR(VLOOKUP($G126,Mapping!$E$208:$K$236,7,0),"ENDirect")</f>
        <v>ENDirect</v>
      </c>
      <c r="N126" s="7" t="str">
        <f>IFERROR(HLOOKUP(L126,'Calc|Weightings'!$U$5:$W$5,1,0),"Excl")</f>
        <v>Labour</v>
      </c>
      <c r="O126" s="7" t="str">
        <f>VLOOKUP(E126,Mapping!$E$11:$I$204,5,0)</f>
        <v>Public Lighting</v>
      </c>
      <c r="Q126" s="32" t="s">
        <v>551</v>
      </c>
      <c r="R126" s="32"/>
      <c r="S126" s="32">
        <v>80000</v>
      </c>
      <c r="T126" s="32" t="s">
        <v>453</v>
      </c>
      <c r="U126" s="33">
        <v>277.702</v>
      </c>
      <c r="V126" s="7"/>
      <c r="W126" s="7" t="str">
        <f>VLOOKUP($Q126,Mapping!$E$11:$I$204,3,0)</f>
        <v>Connections</v>
      </c>
      <c r="X126" s="7" t="str">
        <f>IFERROR(VLOOKUP($S126,Mapping!$E$208:$K$236,5,0),"Contracts")</f>
        <v>Overhead</v>
      </c>
      <c r="Y126" s="7" t="str">
        <f>IFERROR(VLOOKUP($S126,Mapping!$E$208:$K$236,7,0),"ENDirect")</f>
        <v>OH</v>
      </c>
      <c r="Z126" s="7" t="str">
        <f>IFERROR(HLOOKUP(X126,'Calc|Weightings'!$U$5:$W$5,1,0),"Excl")</f>
        <v>Excl</v>
      </c>
      <c r="AA126" s="7" t="str">
        <f>VLOOKUP(Q126,Mapping!$E$11:$I$204,5,0)</f>
        <v>SCS</v>
      </c>
      <c r="AC126" s="35" t="s">
        <v>121</v>
      </c>
      <c r="AD126" s="35"/>
      <c r="AE126" s="35">
        <v>80000</v>
      </c>
      <c r="AF126" s="35" t="s">
        <v>453</v>
      </c>
      <c r="AG126" s="36">
        <v>179.03200000000001</v>
      </c>
      <c r="AI126" s="7" t="str">
        <f>VLOOKUP($AC126,Mapping!$E$11:$I$204,3,0)</f>
        <v>Augmentation</v>
      </c>
      <c r="AJ126" s="7" t="str">
        <f>IFERROR(VLOOKUP($AE126,Mapping!$E$208:$K$236,5,0),"Contracts")</f>
        <v>Overhead</v>
      </c>
      <c r="AK126" s="7" t="str">
        <f>IFERROR(VLOOKUP($AE126,Mapping!$E$208:$K$236,7,0),"ENDirect")</f>
        <v>OH</v>
      </c>
      <c r="AL126" s="7" t="str">
        <f>IFERROR(HLOOKUP(AJ126,'Calc|Weightings'!$U$5:$W$5,1,0),"Excl")</f>
        <v>Excl</v>
      </c>
      <c r="AM126" s="7" t="str">
        <f>VLOOKUP(AC126,Mapping!$E$11:$I$204,5,0)</f>
        <v>SCS</v>
      </c>
      <c r="AO126" s="35" t="s">
        <v>111</v>
      </c>
      <c r="AP126" s="35"/>
      <c r="AQ126" s="35">
        <v>71030</v>
      </c>
      <c r="AR126" s="35" t="s">
        <v>464</v>
      </c>
      <c r="AS126" s="121">
        <v>82.28437999999997</v>
      </c>
      <c r="AU126" s="7" t="str">
        <f>VLOOKUP($AO126,Mapping!$E$11:$I$204,3,0)</f>
        <v>Connections</v>
      </c>
      <c r="AV126" s="7" t="str">
        <f>IFERROR(VLOOKUP($AQ126,Mapping!$E$208:$K$236,5,0),"Contracts")</f>
        <v>Contracts</v>
      </c>
      <c r="AW126" s="7" t="str">
        <f>IFERROR(VLOOKUP($AQ126,Mapping!$E$208:$K$236,7,0),"ENDirect")</f>
        <v>ENDirect</v>
      </c>
      <c r="AX126" s="7" t="str">
        <f>IFERROR(HLOOKUP(AV126,'Calc|Weightings'!$U$5:$W$5,1,0),"Excl")</f>
        <v>Contracts</v>
      </c>
      <c r="AY126" s="7" t="str">
        <f>VLOOKUP(AO126,Mapping!$E$11:$I$204,5,0)</f>
        <v>SCS</v>
      </c>
    </row>
    <row r="127" spans="1:51" x14ac:dyDescent="0.3">
      <c r="A127" s="7"/>
      <c r="B127" s="7"/>
      <c r="C127" s="7"/>
      <c r="D127" s="7"/>
      <c r="E127" s="32" t="s">
        <v>104</v>
      </c>
      <c r="F127" s="32"/>
      <c r="G127" s="32">
        <v>71030</v>
      </c>
      <c r="H127" s="32" t="s">
        <v>464</v>
      </c>
      <c r="I127" s="33">
        <v>16.373000000000001</v>
      </c>
      <c r="J127" s="170"/>
      <c r="K127" s="7" t="str">
        <f>VLOOKUP($E127,Mapping!$E$11:$I$204,3,0)</f>
        <v>Public Lighting</v>
      </c>
      <c r="L127" s="7" t="str">
        <f>IFERROR(VLOOKUP($G127,Mapping!$E$208:$K$236,5,0),"Contracts")</f>
        <v>Contracts</v>
      </c>
      <c r="M127" s="7" t="str">
        <f>IFERROR(VLOOKUP($G127,Mapping!$E$208:$K$236,7,0),"ENDirect")</f>
        <v>ENDirect</v>
      </c>
      <c r="N127" s="7" t="str">
        <f>IFERROR(HLOOKUP(L127,'Calc|Weightings'!$U$5:$W$5,1,0),"Excl")</f>
        <v>Contracts</v>
      </c>
      <c r="O127" s="7" t="str">
        <f>VLOOKUP(E127,Mapping!$E$11:$I$204,5,0)</f>
        <v>Public Lighting</v>
      </c>
      <c r="Q127" s="32" t="s">
        <v>111</v>
      </c>
      <c r="R127" s="32"/>
      <c r="S127" s="32">
        <v>71010</v>
      </c>
      <c r="T127" s="32" t="s">
        <v>462</v>
      </c>
      <c r="U127" s="33">
        <v>1867.809</v>
      </c>
      <c r="V127" s="7"/>
      <c r="W127" s="7" t="str">
        <f>VLOOKUP($Q127,Mapping!$E$11:$I$204,3,0)</f>
        <v>Connections</v>
      </c>
      <c r="X127" s="7" t="str">
        <f>IFERROR(VLOOKUP($S127,Mapping!$E$208:$K$236,5,0),"Contracts")</f>
        <v>Labour</v>
      </c>
      <c r="Y127" s="7" t="str">
        <f>IFERROR(VLOOKUP($S127,Mapping!$E$208:$K$236,7,0),"ENDirect")</f>
        <v>ENDirect</v>
      </c>
      <c r="Z127" s="7" t="str">
        <f>IFERROR(HLOOKUP(X127,'Calc|Weightings'!$U$5:$W$5,1,0),"Excl")</f>
        <v>Labour</v>
      </c>
      <c r="AA127" s="7" t="str">
        <f>VLOOKUP(Q127,Mapping!$E$11:$I$204,5,0)</f>
        <v>SCS</v>
      </c>
      <c r="AC127" s="35" t="s">
        <v>552</v>
      </c>
      <c r="AD127" s="35"/>
      <c r="AE127" s="35">
        <v>71000</v>
      </c>
      <c r="AF127" s="35" t="s">
        <v>457</v>
      </c>
      <c r="AG127" s="36">
        <v>1150.694</v>
      </c>
      <c r="AI127" s="7" t="str">
        <f>VLOOKUP($AC127,Mapping!$E$11:$I$204,3,0)</f>
        <v>Connections</v>
      </c>
      <c r="AJ127" s="7" t="str">
        <f>IFERROR(VLOOKUP($AE127,Mapping!$E$208:$K$236,5,0),"Contracts")</f>
        <v>Labour</v>
      </c>
      <c r="AK127" s="7" t="str">
        <f>IFERROR(VLOOKUP($AE127,Mapping!$E$208:$K$236,7,0),"ENDirect")</f>
        <v>ENDirect</v>
      </c>
      <c r="AL127" s="7" t="str">
        <f>IFERROR(HLOOKUP(AJ127,'Calc|Weightings'!$U$5:$W$5,1,0),"Excl")</f>
        <v>Labour</v>
      </c>
      <c r="AM127" s="7" t="str">
        <f>VLOOKUP(AC127,Mapping!$E$11:$I$204,5,0)</f>
        <v>SCS</v>
      </c>
      <c r="AO127" s="35" t="s">
        <v>111</v>
      </c>
      <c r="AP127" s="35"/>
      <c r="AQ127" s="35">
        <v>71040</v>
      </c>
      <c r="AR127" s="35" t="s">
        <v>460</v>
      </c>
      <c r="AS127" s="121">
        <v>-3.517E-2</v>
      </c>
      <c r="AU127" s="7" t="str">
        <f>VLOOKUP($AO127,Mapping!$E$11:$I$204,3,0)</f>
        <v>Connections</v>
      </c>
      <c r="AV127" s="7" t="str">
        <f>IFERROR(VLOOKUP($AQ127,Mapping!$E$208:$K$236,5,0),"Contracts")</f>
        <v>Contracts</v>
      </c>
      <c r="AW127" s="7" t="str">
        <f>IFERROR(VLOOKUP($AQ127,Mapping!$E$208:$K$236,7,0),"ENDirect")</f>
        <v>ENDirect</v>
      </c>
      <c r="AX127" s="7" t="str">
        <f>IFERROR(HLOOKUP(AV127,'Calc|Weightings'!$U$5:$W$5,1,0),"Excl")</f>
        <v>Contracts</v>
      </c>
      <c r="AY127" s="7" t="str">
        <f>VLOOKUP(AO127,Mapping!$E$11:$I$204,5,0)</f>
        <v>SCS</v>
      </c>
    </row>
    <row r="128" spans="1:51" x14ac:dyDescent="0.3">
      <c r="A128" s="7"/>
      <c r="B128" s="7"/>
      <c r="C128" s="7"/>
      <c r="D128" s="7"/>
      <c r="E128" s="32" t="s">
        <v>104</v>
      </c>
      <c r="F128" s="32"/>
      <c r="G128" s="32">
        <v>71040</v>
      </c>
      <c r="H128" s="32" t="s">
        <v>460</v>
      </c>
      <c r="I128" s="33">
        <v>0.23</v>
      </c>
      <c r="J128" s="170"/>
      <c r="K128" s="7" t="str">
        <f>VLOOKUP($E128,Mapping!$E$11:$I$204,3,0)</f>
        <v>Public Lighting</v>
      </c>
      <c r="L128" s="7" t="str">
        <f>IFERROR(VLOOKUP($G128,Mapping!$E$208:$K$236,5,0),"Contracts")</f>
        <v>Contracts</v>
      </c>
      <c r="M128" s="7" t="str">
        <f>IFERROR(VLOOKUP($G128,Mapping!$E$208:$K$236,7,0),"ENDirect")</f>
        <v>ENDirect</v>
      </c>
      <c r="N128" s="7" t="str">
        <f>IFERROR(HLOOKUP(L128,'Calc|Weightings'!$U$5:$W$5,1,0),"Excl")</f>
        <v>Contracts</v>
      </c>
      <c r="O128" s="7" t="str">
        <f>VLOOKUP(E128,Mapping!$E$11:$I$204,5,0)</f>
        <v>Public Lighting</v>
      </c>
      <c r="Q128" s="32" t="s">
        <v>552</v>
      </c>
      <c r="R128" s="32"/>
      <c r="S128" s="32">
        <v>71006</v>
      </c>
      <c r="T128" s="32" t="s">
        <v>468</v>
      </c>
      <c r="U128" s="33">
        <v>704.42399999999998</v>
      </c>
      <c r="V128" s="7"/>
      <c r="W128" s="7" t="str">
        <f>VLOOKUP($Q128,Mapping!$E$11:$I$204,3,0)</f>
        <v>Connections</v>
      </c>
      <c r="X128" s="7" t="str">
        <f>IFERROR(VLOOKUP($S128,Mapping!$E$208:$K$236,5,0),"Contracts")</f>
        <v>Materials</v>
      </c>
      <c r="Y128" s="7" t="str">
        <f>IFERROR(VLOOKUP($S128,Mapping!$E$208:$K$236,7,0),"ENDirect")</f>
        <v>ENDirect</v>
      </c>
      <c r="Z128" s="7" t="str">
        <f>IFERROR(HLOOKUP(X128,'Calc|Weightings'!$U$5:$W$5,1,0),"Excl")</f>
        <v>Materials</v>
      </c>
      <c r="AA128" s="7" t="str">
        <f>VLOOKUP(Q128,Mapping!$E$11:$I$204,5,0)</f>
        <v>SCS</v>
      </c>
      <c r="AC128" s="35" t="s">
        <v>162</v>
      </c>
      <c r="AD128" s="35"/>
      <c r="AE128" s="35">
        <v>71040</v>
      </c>
      <c r="AF128" s="35" t="s">
        <v>460</v>
      </c>
      <c r="AG128" s="36">
        <v>83.296000000000006</v>
      </c>
      <c r="AI128" s="7" t="str">
        <f>VLOOKUP($AC128,Mapping!$E$11:$I$204,3,0)</f>
        <v>Replacement</v>
      </c>
      <c r="AJ128" s="7" t="str">
        <f>IFERROR(VLOOKUP($AE128,Mapping!$E$208:$K$236,5,0),"Contracts")</f>
        <v>Contracts</v>
      </c>
      <c r="AK128" s="7" t="str">
        <f>IFERROR(VLOOKUP($AE128,Mapping!$E$208:$K$236,7,0),"ENDirect")</f>
        <v>ENDirect</v>
      </c>
      <c r="AL128" s="7" t="str">
        <f>IFERROR(HLOOKUP(AJ128,'Calc|Weightings'!$U$5:$W$5,1,0),"Excl")</f>
        <v>Contracts</v>
      </c>
      <c r="AM128" s="7" t="str">
        <f>VLOOKUP(AC128,Mapping!$E$11:$I$204,5,0)</f>
        <v>SCS</v>
      </c>
      <c r="AO128" s="35" t="s">
        <v>111</v>
      </c>
      <c r="AP128" s="35"/>
      <c r="AQ128" s="35">
        <v>71055</v>
      </c>
      <c r="AR128" s="35" t="s">
        <v>465</v>
      </c>
      <c r="AS128" s="121">
        <v>150.45023000000003</v>
      </c>
      <c r="AU128" s="7" t="str">
        <f>VLOOKUP($AO128,Mapping!$E$11:$I$204,3,0)</f>
        <v>Connections</v>
      </c>
      <c r="AV128" s="7" t="str">
        <f>IFERROR(VLOOKUP($AQ128,Mapping!$E$208:$K$236,5,0),"Contracts")</f>
        <v>Contracts</v>
      </c>
      <c r="AW128" s="7" t="str">
        <f>IFERROR(VLOOKUP($AQ128,Mapping!$E$208:$K$236,7,0),"ENDirect")</f>
        <v>ENDirect</v>
      </c>
      <c r="AX128" s="7" t="str">
        <f>IFERROR(HLOOKUP(AV128,'Calc|Weightings'!$U$5:$W$5,1,0),"Excl")</f>
        <v>Contracts</v>
      </c>
      <c r="AY128" s="7" t="str">
        <f>VLOOKUP(AO128,Mapping!$E$11:$I$204,5,0)</f>
        <v>SCS</v>
      </c>
    </row>
    <row r="129" spans="1:51" x14ac:dyDescent="0.3">
      <c r="A129" s="7"/>
      <c r="B129" s="7"/>
      <c r="C129" s="7"/>
      <c r="D129" s="7"/>
      <c r="E129" s="32" t="s">
        <v>104</v>
      </c>
      <c r="F129" s="32"/>
      <c r="G129" s="32">
        <v>71055</v>
      </c>
      <c r="H129" s="32" t="s">
        <v>465</v>
      </c>
      <c r="I129" s="33">
        <v>37.69</v>
      </c>
      <c r="J129" s="170"/>
      <c r="K129" s="7" t="str">
        <f>VLOOKUP($E129,Mapping!$E$11:$I$204,3,0)</f>
        <v>Public Lighting</v>
      </c>
      <c r="L129" s="7" t="str">
        <f>IFERROR(VLOOKUP($G129,Mapping!$E$208:$K$236,5,0),"Contracts")</f>
        <v>Contracts</v>
      </c>
      <c r="M129" s="7" t="str">
        <f>IFERROR(VLOOKUP($G129,Mapping!$E$208:$K$236,7,0),"ENDirect")</f>
        <v>ENDirect</v>
      </c>
      <c r="N129" s="7" t="str">
        <f>IFERROR(HLOOKUP(L129,'Calc|Weightings'!$U$5:$W$5,1,0),"Excl")</f>
        <v>Contracts</v>
      </c>
      <c r="O129" s="7" t="str">
        <f>VLOOKUP(E129,Mapping!$E$11:$I$204,5,0)</f>
        <v>Public Lighting</v>
      </c>
      <c r="Q129" s="32" t="s">
        <v>553</v>
      </c>
      <c r="R129" s="32"/>
      <c r="S129" s="32">
        <v>71000</v>
      </c>
      <c r="T129" s="32" t="s">
        <v>457</v>
      </c>
      <c r="U129" s="33">
        <v>438.60599999999999</v>
      </c>
      <c r="V129" s="7"/>
      <c r="W129" s="7" t="str">
        <f>VLOOKUP($Q129,Mapping!$E$11:$I$204,3,0)</f>
        <v>Connections</v>
      </c>
      <c r="X129" s="7" t="str">
        <f>IFERROR(VLOOKUP($S129,Mapping!$E$208:$K$236,5,0),"Contracts")</f>
        <v>Labour</v>
      </c>
      <c r="Y129" s="7" t="str">
        <f>IFERROR(VLOOKUP($S129,Mapping!$E$208:$K$236,7,0),"ENDirect")</f>
        <v>ENDirect</v>
      </c>
      <c r="Z129" s="7" t="str">
        <f>IFERROR(HLOOKUP(X129,'Calc|Weightings'!$U$5:$W$5,1,0),"Excl")</f>
        <v>Labour</v>
      </c>
      <c r="AA129" s="7" t="str">
        <f>VLOOKUP(Q129,Mapping!$E$11:$I$204,5,0)</f>
        <v>SCS</v>
      </c>
      <c r="AC129" s="35" t="s">
        <v>550</v>
      </c>
      <c r="AD129" s="35"/>
      <c r="AE129" s="35">
        <v>72345</v>
      </c>
      <c r="AF129" s="35" t="s">
        <v>467</v>
      </c>
      <c r="AG129" s="36">
        <v>2635.5010000000002</v>
      </c>
      <c r="AI129" s="7" t="str">
        <f>VLOOKUP($AC129,Mapping!$E$11:$I$204,3,0)</f>
        <v>Connections</v>
      </c>
      <c r="AJ129" s="7" t="str">
        <f>IFERROR(VLOOKUP($AE129,Mapping!$E$208:$K$236,5,0),"Contracts")</f>
        <v>Contracts</v>
      </c>
      <c r="AK129" s="7" t="str">
        <f>IFERROR(VLOOKUP($AE129,Mapping!$E$208:$K$236,7,0),"ENDirect")</f>
        <v>ENDirect</v>
      </c>
      <c r="AL129" s="7" t="str">
        <f>IFERROR(HLOOKUP(AJ129,'Calc|Weightings'!$U$5:$W$5,1,0),"Excl")</f>
        <v>Contracts</v>
      </c>
      <c r="AM129" s="7" t="str">
        <f>VLOOKUP(AC129,Mapping!$E$11:$I$204,5,0)</f>
        <v>SCS</v>
      </c>
      <c r="AO129" s="35" t="s">
        <v>111</v>
      </c>
      <c r="AP129" s="35"/>
      <c r="AQ129" s="35">
        <v>71070</v>
      </c>
      <c r="AR129" s="35" t="s">
        <v>586</v>
      </c>
      <c r="AS129" s="121">
        <v>3549.0568000000007</v>
      </c>
      <c r="AU129" s="7" t="str">
        <f>VLOOKUP($AO129,Mapping!$E$11:$I$204,3,0)</f>
        <v>Connections</v>
      </c>
      <c r="AV129" s="7" t="str">
        <f>IFERROR(VLOOKUP($AQ129,Mapping!$E$208:$K$236,5,0),"Contracts")</f>
        <v>Contracts</v>
      </c>
      <c r="AW129" s="7" t="str">
        <f>IFERROR(VLOOKUP($AQ129,Mapping!$E$208:$K$236,7,0),"ENDirect")</f>
        <v>ENDirect</v>
      </c>
      <c r="AX129" s="7" t="str">
        <f>IFERROR(HLOOKUP(AV129,'Calc|Weightings'!$U$5:$W$5,1,0),"Excl")</f>
        <v>Contracts</v>
      </c>
      <c r="AY129" s="7" t="str">
        <f>VLOOKUP(AO129,Mapping!$E$11:$I$204,5,0)</f>
        <v>SCS</v>
      </c>
    </row>
    <row r="130" spans="1:51" x14ac:dyDescent="0.3">
      <c r="A130" s="7"/>
      <c r="B130" s="7"/>
      <c r="C130" s="7"/>
      <c r="D130" s="7"/>
      <c r="E130" s="32" t="s">
        <v>104</v>
      </c>
      <c r="F130" s="32"/>
      <c r="G130" s="32">
        <v>80000</v>
      </c>
      <c r="H130" s="32" t="s">
        <v>453</v>
      </c>
      <c r="I130" s="33">
        <v>26.352</v>
      </c>
      <c r="J130" s="170"/>
      <c r="K130" s="7" t="str">
        <f>VLOOKUP($E130,Mapping!$E$11:$I$204,3,0)</f>
        <v>Public Lighting</v>
      </c>
      <c r="L130" s="7" t="str">
        <f>IFERROR(VLOOKUP($G130,Mapping!$E$208:$K$236,5,0),"Contracts")</f>
        <v>Overhead</v>
      </c>
      <c r="M130" s="7" t="str">
        <f>IFERROR(VLOOKUP($G130,Mapping!$E$208:$K$236,7,0),"ENDirect")</f>
        <v>OH</v>
      </c>
      <c r="N130" s="7" t="str">
        <f>IFERROR(HLOOKUP(L130,'Calc|Weightings'!$U$5:$W$5,1,0),"Excl")</f>
        <v>Excl</v>
      </c>
      <c r="O130" s="7" t="str">
        <f>VLOOKUP(E130,Mapping!$E$11:$I$204,5,0)</f>
        <v>Public Lighting</v>
      </c>
      <c r="Q130" s="32" t="s">
        <v>553</v>
      </c>
      <c r="R130" s="32"/>
      <c r="S130" s="32">
        <v>71005</v>
      </c>
      <c r="T130" s="32" t="s">
        <v>461</v>
      </c>
      <c r="U130" s="33">
        <v>170.387</v>
      </c>
      <c r="V130" s="7"/>
      <c r="W130" s="7" t="str">
        <f>VLOOKUP($Q130,Mapping!$E$11:$I$204,3,0)</f>
        <v>Connections</v>
      </c>
      <c r="X130" s="7" t="str">
        <f>IFERROR(VLOOKUP($S130,Mapping!$E$208:$K$236,5,0),"Contracts")</f>
        <v>Materials</v>
      </c>
      <c r="Y130" s="7" t="str">
        <f>IFERROR(VLOOKUP($S130,Mapping!$E$208:$K$236,7,0),"ENDirect")</f>
        <v>ENDirect</v>
      </c>
      <c r="Z130" s="7" t="str">
        <f>IFERROR(HLOOKUP(X130,'Calc|Weightings'!$U$5:$W$5,1,0),"Excl")</f>
        <v>Materials</v>
      </c>
      <c r="AA130" s="7" t="str">
        <f>VLOOKUP(Q130,Mapping!$E$11:$I$204,5,0)</f>
        <v>SCS</v>
      </c>
      <c r="AC130" s="35" t="s">
        <v>122</v>
      </c>
      <c r="AD130" s="35"/>
      <c r="AE130" s="35">
        <v>71005</v>
      </c>
      <c r="AF130" s="35" t="s">
        <v>461</v>
      </c>
      <c r="AG130" s="36">
        <v>35.798000000000002</v>
      </c>
      <c r="AI130" s="7" t="str">
        <f>VLOOKUP($AC130,Mapping!$E$11:$I$204,3,0)</f>
        <v>Augmentation</v>
      </c>
      <c r="AJ130" s="7" t="str">
        <f>IFERROR(VLOOKUP($AE130,Mapping!$E$208:$K$236,5,0),"Contracts")</f>
        <v>Materials</v>
      </c>
      <c r="AK130" s="7" t="str">
        <f>IFERROR(VLOOKUP($AE130,Mapping!$E$208:$K$236,7,0),"ENDirect")</f>
        <v>ENDirect</v>
      </c>
      <c r="AL130" s="7" t="str">
        <f>IFERROR(HLOOKUP(AJ130,'Calc|Weightings'!$U$5:$W$5,1,0),"Excl")</f>
        <v>Materials</v>
      </c>
      <c r="AM130" s="7" t="str">
        <f>VLOOKUP(AC130,Mapping!$E$11:$I$204,5,0)</f>
        <v>SCS</v>
      </c>
      <c r="AO130" s="35" t="s">
        <v>111</v>
      </c>
      <c r="AP130" s="35"/>
      <c r="AQ130" s="35">
        <v>71075</v>
      </c>
      <c r="AR130" s="35" t="s">
        <v>587</v>
      </c>
      <c r="AS130" s="121">
        <v>369.74541999999968</v>
      </c>
      <c r="AU130" s="7" t="str">
        <f>VLOOKUP($AO130,Mapping!$E$11:$I$204,3,0)</f>
        <v>Connections</v>
      </c>
      <c r="AV130" s="7" t="str">
        <f>IFERROR(VLOOKUP($AQ130,Mapping!$E$208:$K$236,5,0),"Contracts")</f>
        <v>Contracts</v>
      </c>
      <c r="AW130" s="7" t="str">
        <f>IFERROR(VLOOKUP($AQ130,Mapping!$E$208:$K$236,7,0),"ENDirect")</f>
        <v>ENDirect</v>
      </c>
      <c r="AX130" s="7" t="str">
        <f>IFERROR(HLOOKUP(AV130,'Calc|Weightings'!$U$5:$W$5,1,0),"Excl")</f>
        <v>Contracts</v>
      </c>
      <c r="AY130" s="7" t="str">
        <f>VLOOKUP(AO130,Mapping!$E$11:$I$204,5,0)</f>
        <v>SCS</v>
      </c>
    </row>
    <row r="131" spans="1:51" x14ac:dyDescent="0.3">
      <c r="A131" s="7"/>
      <c r="B131" s="7"/>
      <c r="C131" s="7"/>
      <c r="D131" s="7"/>
      <c r="E131" s="32" t="s">
        <v>113</v>
      </c>
      <c r="F131" s="32"/>
      <c r="G131" s="32">
        <v>71000</v>
      </c>
      <c r="H131" s="32" t="s">
        <v>457</v>
      </c>
      <c r="I131" s="33">
        <v>498.81700000000001</v>
      </c>
      <c r="J131" s="170"/>
      <c r="K131" s="7" t="str">
        <f>VLOOKUP($E131,Mapping!$E$11:$I$204,3,0)</f>
        <v>Connections</v>
      </c>
      <c r="L131" s="7" t="str">
        <f>IFERROR(VLOOKUP($G131,Mapping!$E$208:$K$236,5,0),"Contracts")</f>
        <v>Labour</v>
      </c>
      <c r="M131" s="7" t="str">
        <f>IFERROR(VLOOKUP($G131,Mapping!$E$208:$K$236,7,0),"ENDirect")</f>
        <v>ENDirect</v>
      </c>
      <c r="N131" s="7" t="str">
        <f>IFERROR(HLOOKUP(L131,'Calc|Weightings'!$U$5:$W$5,1,0),"Excl")</f>
        <v>Labour</v>
      </c>
      <c r="O131" s="7" t="str">
        <f>VLOOKUP(E131,Mapping!$E$11:$I$204,5,0)</f>
        <v>SCS</v>
      </c>
      <c r="Q131" s="32" t="s">
        <v>553</v>
      </c>
      <c r="R131" s="32"/>
      <c r="S131" s="32">
        <v>71006</v>
      </c>
      <c r="T131" s="32" t="s">
        <v>468</v>
      </c>
      <c r="U131" s="33">
        <v>93.572000000000003</v>
      </c>
      <c r="V131" s="7"/>
      <c r="W131" s="7" t="str">
        <f>VLOOKUP($Q131,Mapping!$E$11:$I$204,3,0)</f>
        <v>Connections</v>
      </c>
      <c r="X131" s="7" t="str">
        <f>IFERROR(VLOOKUP($S131,Mapping!$E$208:$K$236,5,0),"Contracts")</f>
        <v>Materials</v>
      </c>
      <c r="Y131" s="7" t="str">
        <f>IFERROR(VLOOKUP($S131,Mapping!$E$208:$K$236,7,0),"ENDirect")</f>
        <v>ENDirect</v>
      </c>
      <c r="Z131" s="7" t="str">
        <f>IFERROR(HLOOKUP(X131,'Calc|Weightings'!$U$5:$W$5,1,0),"Excl")</f>
        <v>Materials</v>
      </c>
      <c r="AA131" s="7" t="str">
        <f>VLOOKUP(Q131,Mapping!$E$11:$I$204,5,0)</f>
        <v>SCS</v>
      </c>
      <c r="AC131" s="35" t="s">
        <v>122</v>
      </c>
      <c r="AD131" s="35"/>
      <c r="AE131" s="35">
        <v>71010</v>
      </c>
      <c r="AF131" s="35" t="s">
        <v>462</v>
      </c>
      <c r="AG131" s="36">
        <v>634.03099999999995</v>
      </c>
      <c r="AI131" s="7" t="str">
        <f>VLOOKUP($AC131,Mapping!$E$11:$I$204,3,0)</f>
        <v>Augmentation</v>
      </c>
      <c r="AJ131" s="7" t="str">
        <f>IFERROR(VLOOKUP($AE131,Mapping!$E$208:$K$236,5,0),"Contracts")</f>
        <v>Labour</v>
      </c>
      <c r="AK131" s="7" t="str">
        <f>IFERROR(VLOOKUP($AE131,Mapping!$E$208:$K$236,7,0),"ENDirect")</f>
        <v>ENDirect</v>
      </c>
      <c r="AL131" s="7" t="str">
        <f>IFERROR(HLOOKUP(AJ131,'Calc|Weightings'!$U$5:$W$5,1,0),"Excl")</f>
        <v>Labour</v>
      </c>
      <c r="AM131" s="7" t="str">
        <f>VLOOKUP(AC131,Mapping!$E$11:$I$204,5,0)</f>
        <v>SCS</v>
      </c>
      <c r="AO131" s="35" t="s">
        <v>111</v>
      </c>
      <c r="AP131" s="35"/>
      <c r="AQ131" s="35">
        <v>72345</v>
      </c>
      <c r="AR131" s="35" t="s">
        <v>588</v>
      </c>
      <c r="AS131" s="121">
        <v>43.07</v>
      </c>
      <c r="AU131" s="7" t="str">
        <f>VLOOKUP($AO131,Mapping!$E$11:$I$204,3,0)</f>
        <v>Connections</v>
      </c>
      <c r="AV131" s="7" t="str">
        <f>IFERROR(VLOOKUP($AQ131,Mapping!$E$208:$K$236,5,0),"Contracts")</f>
        <v>Contracts</v>
      </c>
      <c r="AW131" s="7" t="str">
        <f>IFERROR(VLOOKUP($AQ131,Mapping!$E$208:$K$236,7,0),"ENDirect")</f>
        <v>ENDirect</v>
      </c>
      <c r="AX131" s="7" t="str">
        <f>IFERROR(HLOOKUP(AV131,'Calc|Weightings'!$U$5:$W$5,1,0),"Excl")</f>
        <v>Contracts</v>
      </c>
      <c r="AY131" s="7" t="str">
        <f>VLOOKUP(AO131,Mapping!$E$11:$I$204,5,0)</f>
        <v>SCS</v>
      </c>
    </row>
    <row r="132" spans="1:51" x14ac:dyDescent="0.3">
      <c r="A132" s="7"/>
      <c r="B132" s="7"/>
      <c r="C132" s="7"/>
      <c r="D132" s="7"/>
      <c r="E132" s="32" t="s">
        <v>113</v>
      </c>
      <c r="F132" s="32"/>
      <c r="G132" s="32">
        <v>71040</v>
      </c>
      <c r="H132" s="32" t="s">
        <v>460</v>
      </c>
      <c r="I132" s="33">
        <v>0.77600000000000002</v>
      </c>
      <c r="J132" s="170"/>
      <c r="K132" s="7" t="str">
        <f>VLOOKUP($E132,Mapping!$E$11:$I$204,3,0)</f>
        <v>Connections</v>
      </c>
      <c r="L132" s="7" t="str">
        <f>IFERROR(VLOOKUP($G132,Mapping!$E$208:$K$236,5,0),"Contracts")</f>
        <v>Contracts</v>
      </c>
      <c r="M132" s="7" t="str">
        <f>IFERROR(VLOOKUP($G132,Mapping!$E$208:$K$236,7,0),"ENDirect")</f>
        <v>ENDirect</v>
      </c>
      <c r="N132" s="7" t="str">
        <f>IFERROR(HLOOKUP(L132,'Calc|Weightings'!$U$5:$W$5,1,0),"Excl")</f>
        <v>Contracts</v>
      </c>
      <c r="O132" s="7" t="str">
        <f>VLOOKUP(E132,Mapping!$E$11:$I$204,5,0)</f>
        <v>SCS</v>
      </c>
      <c r="Q132" s="32" t="s">
        <v>553</v>
      </c>
      <c r="R132" s="32"/>
      <c r="S132" s="32">
        <v>71010</v>
      </c>
      <c r="T132" s="32" t="s">
        <v>462</v>
      </c>
      <c r="U132" s="33">
        <v>239.959</v>
      </c>
      <c r="V132" s="7"/>
      <c r="W132" s="7" t="str">
        <f>VLOOKUP($Q132,Mapping!$E$11:$I$204,3,0)</f>
        <v>Connections</v>
      </c>
      <c r="X132" s="7" t="str">
        <f>IFERROR(VLOOKUP($S132,Mapping!$E$208:$K$236,5,0),"Contracts")</f>
        <v>Labour</v>
      </c>
      <c r="Y132" s="7" t="str">
        <f>IFERROR(VLOOKUP($S132,Mapping!$E$208:$K$236,7,0),"ENDirect")</f>
        <v>ENDirect</v>
      </c>
      <c r="Z132" s="7" t="str">
        <f>IFERROR(HLOOKUP(X132,'Calc|Weightings'!$U$5:$W$5,1,0),"Excl")</f>
        <v>Labour</v>
      </c>
      <c r="AA132" s="7" t="str">
        <f>VLOOKUP(Q132,Mapping!$E$11:$I$204,5,0)</f>
        <v>SCS</v>
      </c>
      <c r="AC132" s="35" t="s">
        <v>122</v>
      </c>
      <c r="AD132" s="35"/>
      <c r="AE132" s="35">
        <v>71015</v>
      </c>
      <c r="AF132" s="35" t="s">
        <v>463</v>
      </c>
      <c r="AG132" s="36">
        <v>15.368</v>
      </c>
      <c r="AI132" s="7" t="str">
        <f>VLOOKUP($AC132,Mapping!$E$11:$I$204,3,0)</f>
        <v>Augmentation</v>
      </c>
      <c r="AJ132" s="7" t="str">
        <f>IFERROR(VLOOKUP($AE132,Mapping!$E$208:$K$236,5,0),"Contracts")</f>
        <v>Materials</v>
      </c>
      <c r="AK132" s="7" t="str">
        <f>IFERROR(VLOOKUP($AE132,Mapping!$E$208:$K$236,7,0),"ENDirect")</f>
        <v>ENDirect</v>
      </c>
      <c r="AL132" s="7" t="str">
        <f>IFERROR(HLOOKUP(AJ132,'Calc|Weightings'!$U$5:$W$5,1,0),"Excl")</f>
        <v>Materials</v>
      </c>
      <c r="AM132" s="7" t="str">
        <f>VLOOKUP(AC132,Mapping!$E$11:$I$204,5,0)</f>
        <v>SCS</v>
      </c>
      <c r="AO132" s="35" t="s">
        <v>111</v>
      </c>
      <c r="AP132" s="35"/>
      <c r="AQ132" s="35">
        <v>80000</v>
      </c>
      <c r="AR132" s="35" t="s">
        <v>589</v>
      </c>
      <c r="AS132" s="121">
        <v>967.98023000000001</v>
      </c>
      <c r="AU132" s="7" t="str">
        <f>VLOOKUP($AO132,Mapping!$E$11:$I$204,3,0)</f>
        <v>Connections</v>
      </c>
      <c r="AV132" s="7" t="str">
        <f>IFERROR(VLOOKUP($AQ132,Mapping!$E$208:$K$236,5,0),"Contracts")</f>
        <v>Overhead</v>
      </c>
      <c r="AW132" s="7" t="str">
        <f>IFERROR(VLOOKUP($AQ132,Mapping!$E$208:$K$236,7,0),"ENDirect")</f>
        <v>OH</v>
      </c>
      <c r="AX132" s="7" t="str">
        <f>IFERROR(HLOOKUP(AV132,'Calc|Weightings'!$U$5:$W$5,1,0),"Excl")</f>
        <v>Excl</v>
      </c>
      <c r="AY132" s="7" t="str">
        <f>VLOOKUP(AO132,Mapping!$E$11:$I$204,5,0)</f>
        <v>SCS</v>
      </c>
    </row>
    <row r="133" spans="1:51" x14ac:dyDescent="0.3">
      <c r="A133" s="7"/>
      <c r="B133" s="7"/>
      <c r="C133" s="7"/>
      <c r="D133" s="7"/>
      <c r="E133" s="32" t="s">
        <v>113</v>
      </c>
      <c r="F133" s="32"/>
      <c r="G133" s="32">
        <v>80000</v>
      </c>
      <c r="H133" s="32" t="s">
        <v>453</v>
      </c>
      <c r="I133" s="33">
        <v>119.09699999999999</v>
      </c>
      <c r="J133" s="170"/>
      <c r="K133" s="7" t="str">
        <f>VLOOKUP($E133,Mapping!$E$11:$I$204,3,0)</f>
        <v>Connections</v>
      </c>
      <c r="L133" s="7" t="str">
        <f>IFERROR(VLOOKUP($G133,Mapping!$E$208:$K$236,5,0),"Contracts")</f>
        <v>Overhead</v>
      </c>
      <c r="M133" s="7" t="str">
        <f>IFERROR(VLOOKUP($G133,Mapping!$E$208:$K$236,7,0),"ENDirect")</f>
        <v>OH</v>
      </c>
      <c r="N133" s="7" t="str">
        <f>IFERROR(HLOOKUP(L133,'Calc|Weightings'!$U$5:$W$5,1,0),"Excl")</f>
        <v>Excl</v>
      </c>
      <c r="O133" s="7" t="str">
        <f>VLOOKUP(E133,Mapping!$E$11:$I$204,5,0)</f>
        <v>SCS</v>
      </c>
      <c r="Q133" s="32" t="s">
        <v>553</v>
      </c>
      <c r="R133" s="32"/>
      <c r="S133" s="32">
        <v>71015</v>
      </c>
      <c r="T133" s="32" t="s">
        <v>463</v>
      </c>
      <c r="U133" s="33">
        <v>75.036000000000001</v>
      </c>
      <c r="V133" s="7"/>
      <c r="W133" s="7" t="str">
        <f>VLOOKUP($Q133,Mapping!$E$11:$I$204,3,0)</f>
        <v>Connections</v>
      </c>
      <c r="X133" s="7" t="str">
        <f>IFERROR(VLOOKUP($S133,Mapping!$E$208:$K$236,5,0),"Contracts")</f>
        <v>Materials</v>
      </c>
      <c r="Y133" s="7" t="str">
        <f>IFERROR(VLOOKUP($S133,Mapping!$E$208:$K$236,7,0),"ENDirect")</f>
        <v>ENDirect</v>
      </c>
      <c r="Z133" s="7" t="str">
        <f>IFERROR(HLOOKUP(X133,'Calc|Weightings'!$U$5:$W$5,1,0),"Excl")</f>
        <v>Materials</v>
      </c>
      <c r="AA133" s="7" t="str">
        <f>VLOOKUP(Q133,Mapping!$E$11:$I$204,5,0)</f>
        <v>SCS</v>
      </c>
      <c r="AC133" s="35" t="s">
        <v>122</v>
      </c>
      <c r="AD133" s="35"/>
      <c r="AE133" s="35">
        <v>80000</v>
      </c>
      <c r="AF133" s="35" t="s">
        <v>453</v>
      </c>
      <c r="AG133" s="36">
        <v>125.04300000000001</v>
      </c>
      <c r="AI133" s="7" t="str">
        <f>VLOOKUP($AC133,Mapping!$E$11:$I$204,3,0)</f>
        <v>Augmentation</v>
      </c>
      <c r="AJ133" s="7" t="str">
        <f>IFERROR(VLOOKUP($AE133,Mapping!$E$208:$K$236,5,0),"Contracts")</f>
        <v>Overhead</v>
      </c>
      <c r="AK133" s="7" t="str">
        <f>IFERROR(VLOOKUP($AE133,Mapping!$E$208:$K$236,7,0),"ENDirect")</f>
        <v>OH</v>
      </c>
      <c r="AL133" s="7" t="str">
        <f>IFERROR(HLOOKUP(AJ133,'Calc|Weightings'!$U$5:$W$5,1,0),"Excl")</f>
        <v>Excl</v>
      </c>
      <c r="AM133" s="7" t="str">
        <f>VLOOKUP(AC133,Mapping!$E$11:$I$204,5,0)</f>
        <v>SCS</v>
      </c>
      <c r="AO133" s="35" t="s">
        <v>112</v>
      </c>
      <c r="AP133" s="35"/>
      <c r="AQ133" s="35">
        <v>71000</v>
      </c>
      <c r="AR133" s="35" t="s">
        <v>457</v>
      </c>
      <c r="AS133" s="121">
        <v>11.32926</v>
      </c>
      <c r="AU133" s="7" t="str">
        <f>VLOOKUP($AO133,Mapping!$E$11:$I$204,3,0)</f>
        <v>Connections</v>
      </c>
      <c r="AV133" s="7" t="str">
        <f>IFERROR(VLOOKUP($AQ133,Mapping!$E$208:$K$236,5,0),"Contracts")</f>
        <v>Labour</v>
      </c>
      <c r="AW133" s="7" t="str">
        <f>IFERROR(VLOOKUP($AQ133,Mapping!$E$208:$K$236,7,0),"ENDirect")</f>
        <v>ENDirect</v>
      </c>
      <c r="AX133" s="7" t="str">
        <f>IFERROR(HLOOKUP(AV133,'Calc|Weightings'!$U$5:$W$5,1,0),"Excl")</f>
        <v>Labour</v>
      </c>
      <c r="AY133" s="7" t="str">
        <f>VLOOKUP(AO133,Mapping!$E$11:$I$204,5,0)</f>
        <v>SCS</v>
      </c>
    </row>
    <row r="134" spans="1:51" x14ac:dyDescent="0.3">
      <c r="A134" s="7"/>
      <c r="B134" s="7"/>
      <c r="C134" s="7"/>
      <c r="D134" s="7"/>
      <c r="E134" s="32" t="s">
        <v>553</v>
      </c>
      <c r="F134" s="32"/>
      <c r="G134" s="32">
        <v>71000</v>
      </c>
      <c r="H134" s="32" t="s">
        <v>457</v>
      </c>
      <c r="I134" s="33">
        <v>396.96300000000002</v>
      </c>
      <c r="J134" s="170"/>
      <c r="K134" s="7" t="str">
        <f>VLOOKUP($E134,Mapping!$E$11:$I$204,3,0)</f>
        <v>Connections</v>
      </c>
      <c r="L134" s="7" t="str">
        <f>IFERROR(VLOOKUP($G134,Mapping!$E$208:$K$236,5,0),"Contracts")</f>
        <v>Labour</v>
      </c>
      <c r="M134" s="7" t="str">
        <f>IFERROR(VLOOKUP($G134,Mapping!$E$208:$K$236,7,0),"ENDirect")</f>
        <v>ENDirect</v>
      </c>
      <c r="N134" s="7" t="str">
        <f>IFERROR(HLOOKUP(L134,'Calc|Weightings'!$U$5:$W$5,1,0),"Excl")</f>
        <v>Labour</v>
      </c>
      <c r="O134" s="7" t="str">
        <f>VLOOKUP(E134,Mapping!$E$11:$I$204,5,0)</f>
        <v>SCS</v>
      </c>
      <c r="Q134" s="32" t="s">
        <v>553</v>
      </c>
      <c r="R134" s="32"/>
      <c r="S134" s="32">
        <v>71030</v>
      </c>
      <c r="T134" s="32" t="s">
        <v>464</v>
      </c>
      <c r="U134" s="33">
        <v>73.697000000000003</v>
      </c>
      <c r="V134" s="7"/>
      <c r="W134" s="7" t="str">
        <f>VLOOKUP($Q134,Mapping!$E$11:$I$204,3,0)</f>
        <v>Connections</v>
      </c>
      <c r="X134" s="7" t="str">
        <f>IFERROR(VLOOKUP($S134,Mapping!$E$208:$K$236,5,0),"Contracts")</f>
        <v>Contracts</v>
      </c>
      <c r="Y134" s="7" t="str">
        <f>IFERROR(VLOOKUP($S134,Mapping!$E$208:$K$236,7,0),"ENDirect")</f>
        <v>ENDirect</v>
      </c>
      <c r="Z134" s="7" t="str">
        <f>IFERROR(HLOOKUP(X134,'Calc|Weightings'!$U$5:$W$5,1,0),"Excl")</f>
        <v>Contracts</v>
      </c>
      <c r="AA134" s="7" t="str">
        <f>VLOOKUP(Q134,Mapping!$E$11:$I$204,5,0)</f>
        <v>SCS</v>
      </c>
      <c r="AC134" s="35" t="s">
        <v>552</v>
      </c>
      <c r="AD134" s="35"/>
      <c r="AE134" s="35">
        <v>71005</v>
      </c>
      <c r="AF134" s="35" t="s">
        <v>461</v>
      </c>
      <c r="AG134" s="36">
        <v>534.60299999999995</v>
      </c>
      <c r="AI134" s="7" t="str">
        <f>VLOOKUP($AC134,Mapping!$E$11:$I$204,3,0)</f>
        <v>Connections</v>
      </c>
      <c r="AJ134" s="7" t="str">
        <f>IFERROR(VLOOKUP($AE134,Mapping!$E$208:$K$236,5,0),"Contracts")</f>
        <v>Materials</v>
      </c>
      <c r="AK134" s="7" t="str">
        <f>IFERROR(VLOOKUP($AE134,Mapping!$E$208:$K$236,7,0),"ENDirect")</f>
        <v>ENDirect</v>
      </c>
      <c r="AL134" s="7" t="str">
        <f>IFERROR(HLOOKUP(AJ134,'Calc|Weightings'!$U$5:$W$5,1,0),"Excl")</f>
        <v>Materials</v>
      </c>
      <c r="AM134" s="7" t="str">
        <f>VLOOKUP(AC134,Mapping!$E$11:$I$204,5,0)</f>
        <v>SCS</v>
      </c>
      <c r="AO134" s="35" t="s">
        <v>112</v>
      </c>
      <c r="AP134" s="35"/>
      <c r="AQ134" s="35">
        <v>71005</v>
      </c>
      <c r="AR134" s="35" t="s">
        <v>461</v>
      </c>
      <c r="AS134" s="121">
        <v>0.88745000000000007</v>
      </c>
      <c r="AU134" s="7" t="str">
        <f>VLOOKUP($AO134,Mapping!$E$11:$I$204,3,0)</f>
        <v>Connections</v>
      </c>
      <c r="AV134" s="7" t="str">
        <f>IFERROR(VLOOKUP($AQ134,Mapping!$E$208:$K$236,5,0),"Contracts")</f>
        <v>Materials</v>
      </c>
      <c r="AW134" s="7" t="str">
        <f>IFERROR(VLOOKUP($AQ134,Mapping!$E$208:$K$236,7,0),"ENDirect")</f>
        <v>ENDirect</v>
      </c>
      <c r="AX134" s="7" t="str">
        <f>IFERROR(HLOOKUP(AV134,'Calc|Weightings'!$U$5:$W$5,1,0),"Excl")</f>
        <v>Materials</v>
      </c>
      <c r="AY134" s="7" t="str">
        <f>VLOOKUP(AO134,Mapping!$E$11:$I$204,5,0)</f>
        <v>SCS</v>
      </c>
    </row>
    <row r="135" spans="1:51" x14ac:dyDescent="0.3">
      <c r="A135" s="7"/>
      <c r="B135" s="7"/>
      <c r="C135" s="7"/>
      <c r="D135" s="7"/>
      <c r="E135" s="32" t="s">
        <v>553</v>
      </c>
      <c r="F135" s="32"/>
      <c r="G135" s="32">
        <v>71030</v>
      </c>
      <c r="H135" s="32" t="s">
        <v>464</v>
      </c>
      <c r="I135" s="33">
        <v>68.710999999999999</v>
      </c>
      <c r="J135" s="170"/>
      <c r="K135" s="7" t="str">
        <f>VLOOKUP($E135,Mapping!$E$11:$I$204,3,0)</f>
        <v>Connections</v>
      </c>
      <c r="L135" s="7" t="str">
        <f>IFERROR(VLOOKUP($G135,Mapping!$E$208:$K$236,5,0),"Contracts")</f>
        <v>Contracts</v>
      </c>
      <c r="M135" s="7" t="str">
        <f>IFERROR(VLOOKUP($G135,Mapping!$E$208:$K$236,7,0),"ENDirect")</f>
        <v>ENDirect</v>
      </c>
      <c r="N135" s="7" t="str">
        <f>IFERROR(HLOOKUP(L135,'Calc|Weightings'!$U$5:$W$5,1,0),"Excl")</f>
        <v>Contracts</v>
      </c>
      <c r="O135" s="7" t="str">
        <f>VLOOKUP(E135,Mapping!$E$11:$I$204,5,0)</f>
        <v>SCS</v>
      </c>
      <c r="Q135" s="32" t="s">
        <v>553</v>
      </c>
      <c r="R135" s="32"/>
      <c r="S135" s="32">
        <v>71055</v>
      </c>
      <c r="T135" s="32" t="s">
        <v>465</v>
      </c>
      <c r="U135" s="33">
        <v>128.291</v>
      </c>
      <c r="V135" s="7"/>
      <c r="W135" s="7" t="str">
        <f>VLOOKUP($Q135,Mapping!$E$11:$I$204,3,0)</f>
        <v>Connections</v>
      </c>
      <c r="X135" s="7" t="str">
        <f>IFERROR(VLOOKUP($S135,Mapping!$E$208:$K$236,5,0),"Contracts")</f>
        <v>Contracts</v>
      </c>
      <c r="Y135" s="7" t="str">
        <f>IFERROR(VLOOKUP($S135,Mapping!$E$208:$K$236,7,0),"ENDirect")</f>
        <v>ENDirect</v>
      </c>
      <c r="Z135" s="7" t="str">
        <f>IFERROR(HLOOKUP(X135,'Calc|Weightings'!$U$5:$W$5,1,0),"Excl")</f>
        <v>Contracts</v>
      </c>
      <c r="AA135" s="7" t="str">
        <f>VLOOKUP(Q135,Mapping!$E$11:$I$204,5,0)</f>
        <v>SCS</v>
      </c>
      <c r="AC135" s="35" t="s">
        <v>552</v>
      </c>
      <c r="AD135" s="35"/>
      <c r="AE135" s="35">
        <v>71010</v>
      </c>
      <c r="AF135" s="35" t="s">
        <v>462</v>
      </c>
      <c r="AG135" s="36">
        <v>807.02099999999996</v>
      </c>
      <c r="AI135" s="7" t="str">
        <f>VLOOKUP($AC135,Mapping!$E$11:$I$204,3,0)</f>
        <v>Connections</v>
      </c>
      <c r="AJ135" s="7" t="str">
        <f>IFERROR(VLOOKUP($AE135,Mapping!$E$208:$K$236,5,0),"Contracts")</f>
        <v>Labour</v>
      </c>
      <c r="AK135" s="7" t="str">
        <f>IFERROR(VLOOKUP($AE135,Mapping!$E$208:$K$236,7,0),"ENDirect")</f>
        <v>ENDirect</v>
      </c>
      <c r="AL135" s="7" t="str">
        <f>IFERROR(HLOOKUP(AJ135,'Calc|Weightings'!$U$5:$W$5,1,0),"Excl")</f>
        <v>Labour</v>
      </c>
      <c r="AM135" s="7" t="str">
        <f>VLOOKUP(AC135,Mapping!$E$11:$I$204,5,0)</f>
        <v>SCS</v>
      </c>
      <c r="AO135" s="35" t="s">
        <v>112</v>
      </c>
      <c r="AP135" s="35"/>
      <c r="AQ135" s="35">
        <v>71010</v>
      </c>
      <c r="AR135" s="35" t="s">
        <v>487</v>
      </c>
      <c r="AS135" s="121">
        <v>0.72484999999999999</v>
      </c>
      <c r="AU135" s="7" t="str">
        <f>VLOOKUP($AO135,Mapping!$E$11:$I$204,3,0)</f>
        <v>Connections</v>
      </c>
      <c r="AV135" s="7" t="str">
        <f>IFERROR(VLOOKUP($AQ135,Mapping!$E$208:$K$236,5,0),"Contracts")</f>
        <v>Labour</v>
      </c>
      <c r="AW135" s="7" t="str">
        <f>IFERROR(VLOOKUP($AQ135,Mapping!$E$208:$K$236,7,0),"ENDirect")</f>
        <v>ENDirect</v>
      </c>
      <c r="AX135" s="7" t="str">
        <f>IFERROR(HLOOKUP(AV135,'Calc|Weightings'!$U$5:$W$5,1,0),"Excl")</f>
        <v>Labour</v>
      </c>
      <c r="AY135" s="7" t="str">
        <f>VLOOKUP(AO135,Mapping!$E$11:$I$204,5,0)</f>
        <v>SCS</v>
      </c>
    </row>
    <row r="136" spans="1:51" x14ac:dyDescent="0.3">
      <c r="A136" s="7"/>
      <c r="B136" s="7"/>
      <c r="C136" s="7"/>
      <c r="D136" s="7"/>
      <c r="E136" s="32" t="s">
        <v>553</v>
      </c>
      <c r="F136" s="32"/>
      <c r="G136" s="32">
        <v>71040</v>
      </c>
      <c r="H136" s="32" t="s">
        <v>460</v>
      </c>
      <c r="I136" s="33">
        <v>-0.86599999999999999</v>
      </c>
      <c r="J136" s="170"/>
      <c r="K136" s="7" t="str">
        <f>VLOOKUP($E136,Mapping!$E$11:$I$204,3,0)</f>
        <v>Connections</v>
      </c>
      <c r="L136" s="7" t="str">
        <f>IFERROR(VLOOKUP($G136,Mapping!$E$208:$K$236,5,0),"Contracts")</f>
        <v>Contracts</v>
      </c>
      <c r="M136" s="7" t="str">
        <f>IFERROR(VLOOKUP($G136,Mapping!$E$208:$K$236,7,0),"ENDirect")</f>
        <v>ENDirect</v>
      </c>
      <c r="N136" s="7" t="str">
        <f>IFERROR(HLOOKUP(L136,'Calc|Weightings'!$U$5:$W$5,1,0),"Excl")</f>
        <v>Contracts</v>
      </c>
      <c r="O136" s="7" t="str">
        <f>VLOOKUP(E136,Mapping!$E$11:$I$204,5,0)</f>
        <v>SCS</v>
      </c>
      <c r="Q136" s="32" t="s">
        <v>553</v>
      </c>
      <c r="R136" s="32"/>
      <c r="S136" s="32">
        <v>80000</v>
      </c>
      <c r="T136" s="32" t="s">
        <v>453</v>
      </c>
      <c r="U136" s="33">
        <v>154.32</v>
      </c>
      <c r="V136" s="7"/>
      <c r="W136" s="7" t="str">
        <f>VLOOKUP($Q136,Mapping!$E$11:$I$204,3,0)</f>
        <v>Connections</v>
      </c>
      <c r="X136" s="7" t="str">
        <f>IFERROR(VLOOKUP($S136,Mapping!$E$208:$K$236,5,0),"Contracts")</f>
        <v>Overhead</v>
      </c>
      <c r="Y136" s="7" t="str">
        <f>IFERROR(VLOOKUP($S136,Mapping!$E$208:$K$236,7,0),"ENDirect")</f>
        <v>OH</v>
      </c>
      <c r="Z136" s="7" t="str">
        <f>IFERROR(HLOOKUP(X136,'Calc|Weightings'!$U$5:$W$5,1,0),"Excl")</f>
        <v>Excl</v>
      </c>
      <c r="AA136" s="7" t="str">
        <f>VLOOKUP(Q136,Mapping!$E$11:$I$204,5,0)</f>
        <v>SCS</v>
      </c>
      <c r="AC136" s="35" t="s">
        <v>552</v>
      </c>
      <c r="AD136" s="35"/>
      <c r="AE136" s="35">
        <v>71015</v>
      </c>
      <c r="AF136" s="35" t="s">
        <v>463</v>
      </c>
      <c r="AG136" s="36">
        <v>206.02799999999999</v>
      </c>
      <c r="AI136" s="7" t="str">
        <f>VLOOKUP($AC136,Mapping!$E$11:$I$204,3,0)</f>
        <v>Connections</v>
      </c>
      <c r="AJ136" s="7" t="str">
        <f>IFERROR(VLOOKUP($AE136,Mapping!$E$208:$K$236,5,0),"Contracts")</f>
        <v>Materials</v>
      </c>
      <c r="AK136" s="7" t="str">
        <f>IFERROR(VLOOKUP($AE136,Mapping!$E$208:$K$236,7,0),"ENDirect")</f>
        <v>ENDirect</v>
      </c>
      <c r="AL136" s="7" t="str">
        <f>IFERROR(HLOOKUP(AJ136,'Calc|Weightings'!$U$5:$W$5,1,0),"Excl")</f>
        <v>Materials</v>
      </c>
      <c r="AM136" s="7" t="str">
        <f>VLOOKUP(AC136,Mapping!$E$11:$I$204,5,0)</f>
        <v>SCS</v>
      </c>
      <c r="AO136" s="35" t="s">
        <v>112</v>
      </c>
      <c r="AP136" s="35"/>
      <c r="AQ136" s="35">
        <v>71015</v>
      </c>
      <c r="AR136" s="35" t="s">
        <v>585</v>
      </c>
      <c r="AS136" s="121">
        <v>0.78765999999999992</v>
      </c>
      <c r="AU136" s="7" t="str">
        <f>VLOOKUP($AO136,Mapping!$E$11:$I$204,3,0)</f>
        <v>Connections</v>
      </c>
      <c r="AV136" s="7" t="str">
        <f>IFERROR(VLOOKUP($AQ136,Mapping!$E$208:$K$236,5,0),"Contracts")</f>
        <v>Materials</v>
      </c>
      <c r="AW136" s="7" t="str">
        <f>IFERROR(VLOOKUP($AQ136,Mapping!$E$208:$K$236,7,0),"ENDirect")</f>
        <v>ENDirect</v>
      </c>
      <c r="AX136" s="7" t="str">
        <f>IFERROR(HLOOKUP(AV136,'Calc|Weightings'!$U$5:$W$5,1,0),"Excl")</f>
        <v>Materials</v>
      </c>
      <c r="AY136" s="7" t="str">
        <f>VLOOKUP(AO136,Mapping!$E$11:$I$204,5,0)</f>
        <v>SCS</v>
      </c>
    </row>
    <row r="137" spans="1:51" x14ac:dyDescent="0.3">
      <c r="A137" s="7"/>
      <c r="B137" s="7"/>
      <c r="C137" s="7"/>
      <c r="D137" s="7"/>
      <c r="E137" s="32" t="s">
        <v>553</v>
      </c>
      <c r="F137" s="32"/>
      <c r="G137" s="32">
        <v>71055</v>
      </c>
      <c r="H137" s="32" t="s">
        <v>465</v>
      </c>
      <c r="I137" s="33">
        <v>108.86499999999999</v>
      </c>
      <c r="J137" s="170"/>
      <c r="K137" s="7" t="str">
        <f>VLOOKUP($E137,Mapping!$E$11:$I$204,3,0)</f>
        <v>Connections</v>
      </c>
      <c r="L137" s="7" t="str">
        <f>IFERROR(VLOOKUP($G137,Mapping!$E$208:$K$236,5,0),"Contracts")</f>
        <v>Contracts</v>
      </c>
      <c r="M137" s="7" t="str">
        <f>IFERROR(VLOOKUP($G137,Mapping!$E$208:$K$236,7,0),"ENDirect")</f>
        <v>ENDirect</v>
      </c>
      <c r="N137" s="7" t="str">
        <f>IFERROR(HLOOKUP(L137,'Calc|Weightings'!$U$5:$W$5,1,0),"Excl")</f>
        <v>Contracts</v>
      </c>
      <c r="O137" s="7" t="str">
        <f>VLOOKUP(E137,Mapping!$E$11:$I$204,5,0)</f>
        <v>SCS</v>
      </c>
      <c r="Q137" s="32" t="s">
        <v>162</v>
      </c>
      <c r="R137" s="32"/>
      <c r="S137" s="32">
        <v>71000</v>
      </c>
      <c r="T137" s="32" t="s">
        <v>457</v>
      </c>
      <c r="U137" s="33">
        <v>1047.8230000000001</v>
      </c>
      <c r="V137" s="7"/>
      <c r="W137" s="7" t="str">
        <f>VLOOKUP($Q137,Mapping!$E$11:$I$204,3,0)</f>
        <v>Replacement</v>
      </c>
      <c r="X137" s="7" t="str">
        <f>IFERROR(VLOOKUP($S137,Mapping!$E$208:$K$236,5,0),"Contracts")</f>
        <v>Labour</v>
      </c>
      <c r="Y137" s="7" t="str">
        <f>IFERROR(VLOOKUP($S137,Mapping!$E$208:$K$236,7,0),"ENDirect")</f>
        <v>ENDirect</v>
      </c>
      <c r="Z137" s="7" t="str">
        <f>IFERROR(HLOOKUP(X137,'Calc|Weightings'!$U$5:$W$5,1,0),"Excl")</f>
        <v>Labour</v>
      </c>
      <c r="AA137" s="7" t="str">
        <f>VLOOKUP(Q137,Mapping!$E$11:$I$204,5,0)</f>
        <v>SCS</v>
      </c>
      <c r="AC137" s="35" t="s">
        <v>552</v>
      </c>
      <c r="AD137" s="35"/>
      <c r="AE137" s="35">
        <v>71030</v>
      </c>
      <c r="AF137" s="35" t="s">
        <v>464</v>
      </c>
      <c r="AG137" s="36">
        <v>220.703</v>
      </c>
      <c r="AI137" s="7" t="str">
        <f>VLOOKUP($AC137,Mapping!$E$11:$I$204,3,0)</f>
        <v>Connections</v>
      </c>
      <c r="AJ137" s="7" t="str">
        <f>IFERROR(VLOOKUP($AE137,Mapping!$E$208:$K$236,5,0),"Contracts")</f>
        <v>Contracts</v>
      </c>
      <c r="AK137" s="7" t="str">
        <f>IFERROR(VLOOKUP($AE137,Mapping!$E$208:$K$236,7,0),"ENDirect")</f>
        <v>ENDirect</v>
      </c>
      <c r="AL137" s="7" t="str">
        <f>IFERROR(HLOOKUP(AJ137,'Calc|Weightings'!$U$5:$W$5,1,0),"Excl")</f>
        <v>Contracts</v>
      </c>
      <c r="AM137" s="7" t="str">
        <f>VLOOKUP(AC137,Mapping!$E$11:$I$204,5,0)</f>
        <v>SCS</v>
      </c>
      <c r="AO137" s="35" t="s">
        <v>112</v>
      </c>
      <c r="AP137" s="35"/>
      <c r="AQ137" s="35">
        <v>71030</v>
      </c>
      <c r="AR137" s="35" t="s">
        <v>464</v>
      </c>
      <c r="AS137" s="121">
        <v>1.07395</v>
      </c>
      <c r="AU137" s="7" t="str">
        <f>VLOOKUP($AO137,Mapping!$E$11:$I$204,3,0)</f>
        <v>Connections</v>
      </c>
      <c r="AV137" s="7" t="str">
        <f>IFERROR(VLOOKUP($AQ137,Mapping!$E$208:$K$236,5,0),"Contracts")</f>
        <v>Contracts</v>
      </c>
      <c r="AW137" s="7" t="str">
        <f>IFERROR(VLOOKUP($AQ137,Mapping!$E$208:$K$236,7,0),"ENDirect")</f>
        <v>ENDirect</v>
      </c>
      <c r="AX137" s="7" t="str">
        <f>IFERROR(HLOOKUP(AV137,'Calc|Weightings'!$U$5:$W$5,1,0),"Excl")</f>
        <v>Contracts</v>
      </c>
      <c r="AY137" s="7" t="str">
        <f>VLOOKUP(AO137,Mapping!$E$11:$I$204,5,0)</f>
        <v>SCS</v>
      </c>
    </row>
    <row r="138" spans="1:51" x14ac:dyDescent="0.3">
      <c r="A138" s="7"/>
      <c r="B138" s="7"/>
      <c r="C138" s="7"/>
      <c r="D138" s="7"/>
      <c r="E138" s="32" t="s">
        <v>553</v>
      </c>
      <c r="F138" s="32"/>
      <c r="G138" s="32">
        <v>80000</v>
      </c>
      <c r="H138" s="32" t="s">
        <v>453</v>
      </c>
      <c r="I138" s="33">
        <v>114.52500000000001</v>
      </c>
      <c r="J138" s="170"/>
      <c r="K138" s="7" t="str">
        <f>VLOOKUP($E138,Mapping!$E$11:$I$204,3,0)</f>
        <v>Connections</v>
      </c>
      <c r="L138" s="7" t="str">
        <f>IFERROR(VLOOKUP($G138,Mapping!$E$208:$K$236,5,0),"Contracts")</f>
        <v>Overhead</v>
      </c>
      <c r="M138" s="7" t="str">
        <f>IFERROR(VLOOKUP($G138,Mapping!$E$208:$K$236,7,0),"ENDirect")</f>
        <v>OH</v>
      </c>
      <c r="N138" s="7" t="str">
        <f>IFERROR(HLOOKUP(L138,'Calc|Weightings'!$U$5:$W$5,1,0),"Excl")</f>
        <v>Excl</v>
      </c>
      <c r="O138" s="7" t="str">
        <f>VLOOKUP(E138,Mapping!$E$11:$I$204,5,0)</f>
        <v>SCS</v>
      </c>
      <c r="Q138" s="32" t="s">
        <v>162</v>
      </c>
      <c r="R138" s="32"/>
      <c r="S138" s="32">
        <v>71005</v>
      </c>
      <c r="T138" s="32" t="s">
        <v>461</v>
      </c>
      <c r="U138" s="33">
        <v>203.78299999999999</v>
      </c>
      <c r="V138" s="7"/>
      <c r="W138" s="7" t="str">
        <f>VLOOKUP($Q138,Mapping!$E$11:$I$204,3,0)</f>
        <v>Replacement</v>
      </c>
      <c r="X138" s="7" t="str">
        <f>IFERROR(VLOOKUP($S138,Mapping!$E$208:$K$236,5,0),"Contracts")</f>
        <v>Materials</v>
      </c>
      <c r="Y138" s="7" t="str">
        <f>IFERROR(VLOOKUP($S138,Mapping!$E$208:$K$236,7,0),"ENDirect")</f>
        <v>ENDirect</v>
      </c>
      <c r="Z138" s="7" t="str">
        <f>IFERROR(HLOOKUP(X138,'Calc|Weightings'!$U$5:$W$5,1,0),"Excl")</f>
        <v>Materials</v>
      </c>
      <c r="AA138" s="7" t="str">
        <f>VLOOKUP(Q138,Mapping!$E$11:$I$204,5,0)</f>
        <v>SCS</v>
      </c>
      <c r="AC138" s="35" t="s">
        <v>552</v>
      </c>
      <c r="AD138" s="35"/>
      <c r="AE138" s="35">
        <v>71055</v>
      </c>
      <c r="AF138" s="35" t="s">
        <v>465</v>
      </c>
      <c r="AG138" s="36">
        <v>485.11099999999999</v>
      </c>
      <c r="AI138" s="7" t="str">
        <f>VLOOKUP($AC138,Mapping!$E$11:$I$204,3,0)</f>
        <v>Connections</v>
      </c>
      <c r="AJ138" s="7" t="str">
        <f>IFERROR(VLOOKUP($AE138,Mapping!$E$208:$K$236,5,0),"Contracts")</f>
        <v>Contracts</v>
      </c>
      <c r="AK138" s="7" t="str">
        <f>IFERROR(VLOOKUP($AE138,Mapping!$E$208:$K$236,7,0),"ENDirect")</f>
        <v>ENDirect</v>
      </c>
      <c r="AL138" s="7" t="str">
        <f>IFERROR(HLOOKUP(AJ138,'Calc|Weightings'!$U$5:$W$5,1,0),"Excl")</f>
        <v>Contracts</v>
      </c>
      <c r="AM138" s="7" t="str">
        <f>VLOOKUP(AC138,Mapping!$E$11:$I$204,5,0)</f>
        <v>SCS</v>
      </c>
      <c r="AO138" s="35" t="s">
        <v>112</v>
      </c>
      <c r="AP138" s="35"/>
      <c r="AQ138" s="35">
        <v>71055</v>
      </c>
      <c r="AR138" s="35" t="s">
        <v>465</v>
      </c>
      <c r="AS138" s="121">
        <v>1.6128</v>
      </c>
      <c r="AU138" s="7" t="str">
        <f>VLOOKUP($AO138,Mapping!$E$11:$I$204,3,0)</f>
        <v>Connections</v>
      </c>
      <c r="AV138" s="7" t="str">
        <f>IFERROR(VLOOKUP($AQ138,Mapping!$E$208:$K$236,5,0),"Contracts")</f>
        <v>Contracts</v>
      </c>
      <c r="AW138" s="7" t="str">
        <f>IFERROR(VLOOKUP($AQ138,Mapping!$E$208:$K$236,7,0),"ENDirect")</f>
        <v>ENDirect</v>
      </c>
      <c r="AX138" s="7" t="str">
        <f>IFERROR(HLOOKUP(AV138,'Calc|Weightings'!$U$5:$W$5,1,0),"Excl")</f>
        <v>Contracts</v>
      </c>
      <c r="AY138" s="7" t="str">
        <f>VLOOKUP(AO138,Mapping!$E$11:$I$204,5,0)</f>
        <v>SCS</v>
      </c>
    </row>
    <row r="139" spans="1:51" x14ac:dyDescent="0.3">
      <c r="A139" s="7"/>
      <c r="B139" s="7"/>
      <c r="C139" s="7"/>
      <c r="D139" s="7"/>
      <c r="E139" s="32" t="s">
        <v>113</v>
      </c>
      <c r="F139" s="32"/>
      <c r="G139" s="32">
        <v>71030</v>
      </c>
      <c r="H139" s="32" t="s">
        <v>464</v>
      </c>
      <c r="I139" s="33">
        <v>76.215000000000003</v>
      </c>
      <c r="J139" s="170"/>
      <c r="K139" s="7" t="str">
        <f>VLOOKUP($E139,Mapping!$E$11:$I$204,3,0)</f>
        <v>Connections</v>
      </c>
      <c r="L139" s="7" t="str">
        <f>IFERROR(VLOOKUP($G139,Mapping!$E$208:$K$236,5,0),"Contracts")</f>
        <v>Contracts</v>
      </c>
      <c r="M139" s="7" t="str">
        <f>IFERROR(VLOOKUP($G139,Mapping!$E$208:$K$236,7,0),"ENDirect")</f>
        <v>ENDirect</v>
      </c>
      <c r="N139" s="7" t="str">
        <f>IFERROR(HLOOKUP(L139,'Calc|Weightings'!$U$5:$W$5,1,0),"Excl")</f>
        <v>Contracts</v>
      </c>
      <c r="O139" s="7" t="str">
        <f>VLOOKUP(E139,Mapping!$E$11:$I$204,5,0)</f>
        <v>SCS</v>
      </c>
      <c r="Q139" s="32" t="s">
        <v>162</v>
      </c>
      <c r="R139" s="32"/>
      <c r="S139" s="32">
        <v>71015</v>
      </c>
      <c r="T139" s="32" t="s">
        <v>463</v>
      </c>
      <c r="U139" s="33">
        <v>132.71899999999999</v>
      </c>
      <c r="V139" s="7"/>
      <c r="W139" s="7" t="str">
        <f>VLOOKUP($Q139,Mapping!$E$11:$I$204,3,0)</f>
        <v>Replacement</v>
      </c>
      <c r="X139" s="7" t="str">
        <f>IFERROR(VLOOKUP($S139,Mapping!$E$208:$K$236,5,0),"Contracts")</f>
        <v>Materials</v>
      </c>
      <c r="Y139" s="7" t="str">
        <f>IFERROR(VLOOKUP($S139,Mapping!$E$208:$K$236,7,0),"ENDirect")</f>
        <v>ENDirect</v>
      </c>
      <c r="Z139" s="7" t="str">
        <f>IFERROR(HLOOKUP(X139,'Calc|Weightings'!$U$5:$W$5,1,0),"Excl")</f>
        <v>Materials</v>
      </c>
      <c r="AA139" s="7" t="str">
        <f>VLOOKUP(Q139,Mapping!$E$11:$I$204,5,0)</f>
        <v>SCS</v>
      </c>
      <c r="AC139" s="35" t="s">
        <v>552</v>
      </c>
      <c r="AD139" s="35"/>
      <c r="AE139" s="35">
        <v>80000</v>
      </c>
      <c r="AF139" s="35" t="s">
        <v>453</v>
      </c>
      <c r="AG139" s="36">
        <v>525.00599999999997</v>
      </c>
      <c r="AI139" s="7" t="str">
        <f>VLOOKUP($AC139,Mapping!$E$11:$I$204,3,0)</f>
        <v>Connections</v>
      </c>
      <c r="AJ139" s="7" t="str">
        <f>IFERROR(VLOOKUP($AE139,Mapping!$E$208:$K$236,5,0),"Contracts")</f>
        <v>Overhead</v>
      </c>
      <c r="AK139" s="7" t="str">
        <f>IFERROR(VLOOKUP($AE139,Mapping!$E$208:$K$236,7,0),"ENDirect")</f>
        <v>OH</v>
      </c>
      <c r="AL139" s="7" t="str">
        <f>IFERROR(HLOOKUP(AJ139,'Calc|Weightings'!$U$5:$W$5,1,0),"Excl")</f>
        <v>Excl</v>
      </c>
      <c r="AM139" s="7" t="str">
        <f>VLOOKUP(AC139,Mapping!$E$11:$I$204,5,0)</f>
        <v>SCS</v>
      </c>
      <c r="AO139" s="35" t="s">
        <v>112</v>
      </c>
      <c r="AP139" s="35"/>
      <c r="AQ139" s="35">
        <v>71070</v>
      </c>
      <c r="AR139" s="35" t="s">
        <v>586</v>
      </c>
      <c r="AS139" s="121">
        <v>4.7940699999999996</v>
      </c>
      <c r="AU139" s="7" t="str">
        <f>VLOOKUP($AO139,Mapping!$E$11:$I$204,3,0)</f>
        <v>Connections</v>
      </c>
      <c r="AV139" s="7" t="str">
        <f>IFERROR(VLOOKUP($AQ139,Mapping!$E$208:$K$236,5,0),"Contracts")</f>
        <v>Contracts</v>
      </c>
      <c r="AW139" s="7" t="str">
        <f>IFERROR(VLOOKUP($AQ139,Mapping!$E$208:$K$236,7,0),"ENDirect")</f>
        <v>ENDirect</v>
      </c>
      <c r="AX139" s="7" t="str">
        <f>IFERROR(HLOOKUP(AV139,'Calc|Weightings'!$U$5:$W$5,1,0),"Excl")</f>
        <v>Contracts</v>
      </c>
      <c r="AY139" s="7" t="str">
        <f>VLOOKUP(AO139,Mapping!$E$11:$I$204,5,0)</f>
        <v>SCS</v>
      </c>
    </row>
    <row r="140" spans="1:51" x14ac:dyDescent="0.3">
      <c r="A140" s="7"/>
      <c r="B140" s="7"/>
      <c r="C140" s="7"/>
      <c r="D140" s="7"/>
      <c r="E140" s="32" t="s">
        <v>113</v>
      </c>
      <c r="F140" s="32"/>
      <c r="G140" s="32">
        <v>71055</v>
      </c>
      <c r="H140" s="32" t="s">
        <v>465</v>
      </c>
      <c r="I140" s="33">
        <v>133.78899999999999</v>
      </c>
      <c r="J140" s="170"/>
      <c r="K140" s="7" t="str">
        <f>VLOOKUP($E140,Mapping!$E$11:$I$204,3,0)</f>
        <v>Connections</v>
      </c>
      <c r="L140" s="7" t="str">
        <f>IFERROR(VLOOKUP($G140,Mapping!$E$208:$K$236,5,0),"Contracts")</f>
        <v>Contracts</v>
      </c>
      <c r="M140" s="7" t="str">
        <f>IFERROR(VLOOKUP($G140,Mapping!$E$208:$K$236,7,0),"ENDirect")</f>
        <v>ENDirect</v>
      </c>
      <c r="N140" s="7" t="str">
        <f>IFERROR(HLOOKUP(L140,'Calc|Weightings'!$U$5:$W$5,1,0),"Excl")</f>
        <v>Contracts</v>
      </c>
      <c r="O140" s="7" t="str">
        <f>VLOOKUP(E140,Mapping!$E$11:$I$204,5,0)</f>
        <v>SCS</v>
      </c>
      <c r="Q140" s="32" t="s">
        <v>162</v>
      </c>
      <c r="R140" s="32"/>
      <c r="S140" s="32">
        <v>71030</v>
      </c>
      <c r="T140" s="32" t="s">
        <v>464</v>
      </c>
      <c r="U140" s="33">
        <v>166.05199999999999</v>
      </c>
      <c r="V140" s="7"/>
      <c r="W140" s="7" t="str">
        <f>VLOOKUP($Q140,Mapping!$E$11:$I$204,3,0)</f>
        <v>Replacement</v>
      </c>
      <c r="X140" s="7" t="str">
        <f>IFERROR(VLOOKUP($S140,Mapping!$E$208:$K$236,5,0),"Contracts")</f>
        <v>Contracts</v>
      </c>
      <c r="Y140" s="7" t="str">
        <f>IFERROR(VLOOKUP($S140,Mapping!$E$208:$K$236,7,0),"ENDirect")</f>
        <v>ENDirect</v>
      </c>
      <c r="Z140" s="7" t="str">
        <f>IFERROR(HLOOKUP(X140,'Calc|Weightings'!$U$5:$W$5,1,0),"Excl")</f>
        <v>Contracts</v>
      </c>
      <c r="AA140" s="7" t="str">
        <f>VLOOKUP(Q140,Mapping!$E$11:$I$204,5,0)</f>
        <v>SCS</v>
      </c>
      <c r="AC140" s="35" t="s">
        <v>125</v>
      </c>
      <c r="AD140" s="35"/>
      <c r="AE140" s="35">
        <v>71005</v>
      </c>
      <c r="AF140" s="35" t="s">
        <v>461</v>
      </c>
      <c r="AG140" s="36">
        <v>179.58500000000001</v>
      </c>
      <c r="AI140" s="7" t="str">
        <f>VLOOKUP($AC140,Mapping!$E$11:$I$204,3,0)</f>
        <v>Augmentation</v>
      </c>
      <c r="AJ140" s="7" t="str">
        <f>IFERROR(VLOOKUP($AE140,Mapping!$E$208:$K$236,5,0),"Contracts")</f>
        <v>Materials</v>
      </c>
      <c r="AK140" s="7" t="str">
        <f>IFERROR(VLOOKUP($AE140,Mapping!$E$208:$K$236,7,0),"ENDirect")</f>
        <v>ENDirect</v>
      </c>
      <c r="AL140" s="7" t="str">
        <f>IFERROR(HLOOKUP(AJ140,'Calc|Weightings'!$U$5:$W$5,1,0),"Excl")</f>
        <v>Materials</v>
      </c>
      <c r="AM140" s="7" t="str">
        <f>VLOOKUP(AC140,Mapping!$E$11:$I$204,5,0)</f>
        <v>SCS</v>
      </c>
      <c r="AO140" s="35" t="s">
        <v>112</v>
      </c>
      <c r="AP140" s="35"/>
      <c r="AQ140" s="35">
        <v>71075</v>
      </c>
      <c r="AR140" s="35" t="s">
        <v>587</v>
      </c>
      <c r="AS140" s="121">
        <v>0.53885000000000005</v>
      </c>
      <c r="AU140" s="7" t="str">
        <f>VLOOKUP($AO140,Mapping!$E$11:$I$204,3,0)</f>
        <v>Connections</v>
      </c>
      <c r="AV140" s="7" t="str">
        <f>IFERROR(VLOOKUP($AQ140,Mapping!$E$208:$K$236,5,0),"Contracts")</f>
        <v>Contracts</v>
      </c>
      <c r="AW140" s="7" t="str">
        <f>IFERROR(VLOOKUP($AQ140,Mapping!$E$208:$K$236,7,0),"ENDirect")</f>
        <v>ENDirect</v>
      </c>
      <c r="AX140" s="7" t="str">
        <f>IFERROR(HLOOKUP(AV140,'Calc|Weightings'!$U$5:$W$5,1,0),"Excl")</f>
        <v>Contracts</v>
      </c>
      <c r="AY140" s="7" t="str">
        <f>VLOOKUP(AO140,Mapping!$E$11:$I$204,5,0)</f>
        <v>SCS</v>
      </c>
    </row>
    <row r="141" spans="1:51" x14ac:dyDescent="0.3">
      <c r="A141" s="7"/>
      <c r="B141" s="7"/>
      <c r="C141" s="7"/>
      <c r="D141" s="7"/>
      <c r="E141" s="32" t="s">
        <v>115</v>
      </c>
      <c r="F141" s="32"/>
      <c r="G141" s="32">
        <v>71010</v>
      </c>
      <c r="H141" s="32" t="s">
        <v>462</v>
      </c>
      <c r="I141" s="33">
        <v>288.64400000000001</v>
      </c>
      <c r="J141" s="170"/>
      <c r="K141" s="7" t="str">
        <f>VLOOKUP($E141,Mapping!$E$11:$I$204,3,0)</f>
        <v>Connections</v>
      </c>
      <c r="L141" s="7" t="str">
        <f>IFERROR(VLOOKUP($G141,Mapping!$E$208:$K$236,5,0),"Contracts")</f>
        <v>Labour</v>
      </c>
      <c r="M141" s="7" t="str">
        <f>IFERROR(VLOOKUP($G141,Mapping!$E$208:$K$236,7,0),"ENDirect")</f>
        <v>ENDirect</v>
      </c>
      <c r="N141" s="7" t="str">
        <f>IFERROR(HLOOKUP(L141,'Calc|Weightings'!$U$5:$W$5,1,0),"Excl")</f>
        <v>Labour</v>
      </c>
      <c r="O141" s="7" t="str">
        <f>VLOOKUP(E141,Mapping!$E$11:$I$204,5,0)</f>
        <v>SCS</v>
      </c>
      <c r="Q141" s="32" t="s">
        <v>162</v>
      </c>
      <c r="R141" s="32"/>
      <c r="S141" s="32">
        <v>71055</v>
      </c>
      <c r="T141" s="32" t="s">
        <v>465</v>
      </c>
      <c r="U141" s="33">
        <v>419.57900000000001</v>
      </c>
      <c r="V141" s="7"/>
      <c r="W141" s="7" t="str">
        <f>VLOOKUP($Q141,Mapping!$E$11:$I$204,3,0)</f>
        <v>Replacement</v>
      </c>
      <c r="X141" s="7" t="str">
        <f>IFERROR(VLOOKUP($S141,Mapping!$E$208:$K$236,5,0),"Contracts")</f>
        <v>Contracts</v>
      </c>
      <c r="Y141" s="7" t="str">
        <f>IFERROR(VLOOKUP($S141,Mapping!$E$208:$K$236,7,0),"ENDirect")</f>
        <v>ENDirect</v>
      </c>
      <c r="Z141" s="7" t="str">
        <f>IFERROR(HLOOKUP(X141,'Calc|Weightings'!$U$5:$W$5,1,0),"Excl")</f>
        <v>Contracts</v>
      </c>
      <c r="AA141" s="7" t="str">
        <f>VLOOKUP(Q141,Mapping!$E$11:$I$204,5,0)</f>
        <v>SCS</v>
      </c>
      <c r="AC141" s="35" t="s">
        <v>125</v>
      </c>
      <c r="AD141" s="35"/>
      <c r="AE141" s="35">
        <v>71015</v>
      </c>
      <c r="AF141" s="35" t="s">
        <v>463</v>
      </c>
      <c r="AG141" s="36">
        <v>72.453000000000003</v>
      </c>
      <c r="AI141" s="7" t="str">
        <f>VLOOKUP($AC141,Mapping!$E$11:$I$204,3,0)</f>
        <v>Augmentation</v>
      </c>
      <c r="AJ141" s="7" t="str">
        <f>IFERROR(VLOOKUP($AE141,Mapping!$E$208:$K$236,5,0),"Contracts")</f>
        <v>Materials</v>
      </c>
      <c r="AK141" s="7" t="str">
        <f>IFERROR(VLOOKUP($AE141,Mapping!$E$208:$K$236,7,0),"ENDirect")</f>
        <v>ENDirect</v>
      </c>
      <c r="AL141" s="7" t="str">
        <f>IFERROR(HLOOKUP(AJ141,'Calc|Weightings'!$U$5:$W$5,1,0),"Excl")</f>
        <v>Materials</v>
      </c>
      <c r="AM141" s="7" t="str">
        <f>VLOOKUP(AC141,Mapping!$E$11:$I$204,5,0)</f>
        <v>SCS</v>
      </c>
      <c r="AO141" s="35" t="s">
        <v>112</v>
      </c>
      <c r="AP141" s="35"/>
      <c r="AQ141" s="35">
        <v>80000</v>
      </c>
      <c r="AR141" s="35" t="s">
        <v>589</v>
      </c>
      <c r="AS141" s="121">
        <v>3.99139</v>
      </c>
      <c r="AU141" s="7" t="str">
        <f>VLOOKUP($AO141,Mapping!$E$11:$I$204,3,0)</f>
        <v>Connections</v>
      </c>
      <c r="AV141" s="7" t="str">
        <f>IFERROR(VLOOKUP($AQ141,Mapping!$E$208:$K$236,5,0),"Contracts")</f>
        <v>Overhead</v>
      </c>
      <c r="AW141" s="7" t="str">
        <f>IFERROR(VLOOKUP($AQ141,Mapping!$E$208:$K$236,7,0),"ENDirect")</f>
        <v>OH</v>
      </c>
      <c r="AX141" s="7" t="str">
        <f>IFERROR(HLOOKUP(AV141,'Calc|Weightings'!$U$5:$W$5,1,0),"Excl")</f>
        <v>Excl</v>
      </c>
      <c r="AY141" s="7" t="str">
        <f>VLOOKUP(AO141,Mapping!$E$11:$I$204,5,0)</f>
        <v>SCS</v>
      </c>
    </row>
    <row r="142" spans="1:51" x14ac:dyDescent="0.3">
      <c r="A142" s="7"/>
      <c r="B142" s="7"/>
      <c r="C142" s="7"/>
      <c r="D142" s="7"/>
      <c r="E142" s="32" t="s">
        <v>115</v>
      </c>
      <c r="F142" s="32"/>
      <c r="G142" s="32">
        <v>71015</v>
      </c>
      <c r="H142" s="32" t="s">
        <v>463</v>
      </c>
      <c r="I142" s="33">
        <v>58.625999999999998</v>
      </c>
      <c r="J142" s="170"/>
      <c r="K142" s="7" t="str">
        <f>VLOOKUP($E142,Mapping!$E$11:$I$204,3,0)</f>
        <v>Connections</v>
      </c>
      <c r="L142" s="7" t="str">
        <f>IFERROR(VLOOKUP($G142,Mapping!$E$208:$K$236,5,0),"Contracts")</f>
        <v>Materials</v>
      </c>
      <c r="M142" s="7" t="str">
        <f>IFERROR(VLOOKUP($G142,Mapping!$E$208:$K$236,7,0),"ENDirect")</f>
        <v>ENDirect</v>
      </c>
      <c r="N142" s="7" t="str">
        <f>IFERROR(HLOOKUP(L142,'Calc|Weightings'!$U$5:$W$5,1,0),"Excl")</f>
        <v>Materials</v>
      </c>
      <c r="O142" s="7" t="str">
        <f>VLOOKUP(E142,Mapping!$E$11:$I$204,5,0)</f>
        <v>SCS</v>
      </c>
      <c r="Q142" s="32" t="s">
        <v>111</v>
      </c>
      <c r="R142" s="32"/>
      <c r="S142" s="32">
        <v>71015</v>
      </c>
      <c r="T142" s="32" t="s">
        <v>463</v>
      </c>
      <c r="U142" s="33">
        <v>747.50099999999998</v>
      </c>
      <c r="V142" s="7"/>
      <c r="W142" s="7" t="str">
        <f>VLOOKUP($Q142,Mapping!$E$11:$I$204,3,0)</f>
        <v>Connections</v>
      </c>
      <c r="X142" s="7" t="str">
        <f>IFERROR(VLOOKUP($S142,Mapping!$E$208:$K$236,5,0),"Contracts")</f>
        <v>Materials</v>
      </c>
      <c r="Y142" s="7" t="str">
        <f>IFERROR(VLOOKUP($S142,Mapping!$E$208:$K$236,7,0),"ENDirect")</f>
        <v>ENDirect</v>
      </c>
      <c r="Z142" s="7" t="str">
        <f>IFERROR(HLOOKUP(X142,'Calc|Weightings'!$U$5:$W$5,1,0),"Excl")</f>
        <v>Materials</v>
      </c>
      <c r="AA142" s="7" t="str">
        <f>VLOOKUP(Q142,Mapping!$E$11:$I$204,5,0)</f>
        <v>SCS</v>
      </c>
      <c r="AC142" s="35" t="s">
        <v>127</v>
      </c>
      <c r="AD142" s="35"/>
      <c r="AE142" s="35">
        <v>71006</v>
      </c>
      <c r="AF142" s="35" t="s">
        <v>468</v>
      </c>
      <c r="AG142" s="36">
        <v>45.65</v>
      </c>
      <c r="AI142" s="7" t="str">
        <f>VLOOKUP($AC142,Mapping!$E$11:$I$204,3,0)</f>
        <v>Non-network general assets - Other</v>
      </c>
      <c r="AJ142" s="7" t="str">
        <f>IFERROR(VLOOKUP($AE142,Mapping!$E$208:$K$236,5,0),"Contracts")</f>
        <v>Materials</v>
      </c>
      <c r="AK142" s="7" t="str">
        <f>IFERROR(VLOOKUP($AE142,Mapping!$E$208:$K$236,7,0),"ENDirect")</f>
        <v>ENDirect</v>
      </c>
      <c r="AL142" s="7" t="str">
        <f>IFERROR(HLOOKUP(AJ142,'Calc|Weightings'!$U$5:$W$5,1,0),"Excl")</f>
        <v>Materials</v>
      </c>
      <c r="AM142" s="7" t="str">
        <f>VLOOKUP(AC142,Mapping!$E$11:$I$204,5,0)</f>
        <v>SCS</v>
      </c>
      <c r="AO142" s="35" t="s">
        <v>509</v>
      </c>
      <c r="AP142" s="35"/>
      <c r="AQ142" s="35">
        <v>71070</v>
      </c>
      <c r="AR142" s="35" t="s">
        <v>586</v>
      </c>
      <c r="AS142" s="121">
        <v>4.4499999999999993</v>
      </c>
      <c r="AU142" s="7" t="str">
        <f>VLOOKUP($AO142,Mapping!$E$11:$I$204,3,0)</f>
        <v>Connections</v>
      </c>
      <c r="AV142" s="7" t="str">
        <f>IFERROR(VLOOKUP($AQ142,Mapping!$E$208:$K$236,5,0),"Contracts")</f>
        <v>Contracts</v>
      </c>
      <c r="AW142" s="7" t="str">
        <f>IFERROR(VLOOKUP($AQ142,Mapping!$E$208:$K$236,7,0),"ENDirect")</f>
        <v>ENDirect</v>
      </c>
      <c r="AX142" s="7" t="str">
        <f>IFERROR(HLOOKUP(AV142,'Calc|Weightings'!$U$5:$W$5,1,0),"Excl")</f>
        <v>Contracts</v>
      </c>
      <c r="AY142" s="7" t="str">
        <f>VLOOKUP(AO142,Mapping!$E$11:$I$204,5,0)</f>
        <v>SCS</v>
      </c>
    </row>
    <row r="143" spans="1:51" x14ac:dyDescent="0.3">
      <c r="A143" s="7"/>
      <c r="B143" s="7"/>
      <c r="C143" s="7"/>
      <c r="D143" s="7"/>
      <c r="E143" s="32" t="s">
        <v>111</v>
      </c>
      <c r="F143" s="32"/>
      <c r="G143" s="32">
        <v>71000</v>
      </c>
      <c r="H143" s="32" t="s">
        <v>457</v>
      </c>
      <c r="I143" s="33">
        <v>2614.8200000000002</v>
      </c>
      <c r="J143" s="170"/>
      <c r="K143" s="7" t="str">
        <f>VLOOKUP($E143,Mapping!$E$11:$I$204,3,0)</f>
        <v>Connections</v>
      </c>
      <c r="L143" s="7" t="str">
        <f>IFERROR(VLOOKUP($G143,Mapping!$E$208:$K$236,5,0),"Contracts")</f>
        <v>Labour</v>
      </c>
      <c r="M143" s="7" t="str">
        <f>IFERROR(VLOOKUP($G143,Mapping!$E$208:$K$236,7,0),"ENDirect")</f>
        <v>ENDirect</v>
      </c>
      <c r="N143" s="7" t="str">
        <f>IFERROR(HLOOKUP(L143,'Calc|Weightings'!$U$5:$W$5,1,0),"Excl")</f>
        <v>Labour</v>
      </c>
      <c r="O143" s="7" t="str">
        <f>VLOOKUP(E143,Mapping!$E$11:$I$204,5,0)</f>
        <v>SCS</v>
      </c>
      <c r="Q143" s="32" t="s">
        <v>113</v>
      </c>
      <c r="R143" s="32"/>
      <c r="S143" s="32">
        <v>71000</v>
      </c>
      <c r="T143" s="32" t="s">
        <v>457</v>
      </c>
      <c r="U143" s="33">
        <v>694.86900000000003</v>
      </c>
      <c r="V143" s="7"/>
      <c r="W143" s="7" t="str">
        <f>VLOOKUP($Q143,Mapping!$E$11:$I$204,3,0)</f>
        <v>Connections</v>
      </c>
      <c r="X143" s="7" t="str">
        <f>IFERROR(VLOOKUP($S143,Mapping!$E$208:$K$236,5,0),"Contracts")</f>
        <v>Labour</v>
      </c>
      <c r="Y143" s="7" t="str">
        <f>IFERROR(VLOOKUP($S143,Mapping!$E$208:$K$236,7,0),"ENDirect")</f>
        <v>ENDirect</v>
      </c>
      <c r="Z143" s="7" t="str">
        <f>IFERROR(HLOOKUP(X143,'Calc|Weightings'!$U$5:$W$5,1,0),"Excl")</f>
        <v>Labour</v>
      </c>
      <c r="AA143" s="7" t="str">
        <f>VLOOKUP(Q143,Mapping!$E$11:$I$204,5,0)</f>
        <v>SCS</v>
      </c>
      <c r="AC143" s="35" t="s">
        <v>121</v>
      </c>
      <c r="AD143" s="35"/>
      <c r="AE143" s="35">
        <v>71005</v>
      </c>
      <c r="AF143" s="35" t="s">
        <v>461</v>
      </c>
      <c r="AG143" s="36">
        <v>288.74200000000002</v>
      </c>
      <c r="AI143" s="7" t="str">
        <f>VLOOKUP($AC143,Mapping!$E$11:$I$204,3,0)</f>
        <v>Augmentation</v>
      </c>
      <c r="AJ143" s="7" t="str">
        <f>IFERROR(VLOOKUP($AE143,Mapping!$E$208:$K$236,5,0),"Contracts")</f>
        <v>Materials</v>
      </c>
      <c r="AK143" s="7" t="str">
        <f>IFERROR(VLOOKUP($AE143,Mapping!$E$208:$K$236,7,0),"ENDirect")</f>
        <v>ENDirect</v>
      </c>
      <c r="AL143" s="7" t="str">
        <f>IFERROR(HLOOKUP(AJ143,'Calc|Weightings'!$U$5:$W$5,1,0),"Excl")</f>
        <v>Materials</v>
      </c>
      <c r="AM143" s="7" t="str">
        <f>VLOOKUP(AC143,Mapping!$E$11:$I$204,5,0)</f>
        <v>SCS</v>
      </c>
      <c r="AO143" s="35" t="s">
        <v>509</v>
      </c>
      <c r="AP143" s="35"/>
      <c r="AQ143" s="35">
        <v>71075</v>
      </c>
      <c r="AR143" s="35" t="s">
        <v>587</v>
      </c>
      <c r="AS143" s="121">
        <v>0.26689999999999997</v>
      </c>
      <c r="AU143" s="7" t="str">
        <f>VLOOKUP($AO143,Mapping!$E$11:$I$204,3,0)</f>
        <v>Connections</v>
      </c>
      <c r="AV143" s="7" t="str">
        <f>IFERROR(VLOOKUP($AQ143,Mapping!$E$208:$K$236,5,0),"Contracts")</f>
        <v>Contracts</v>
      </c>
      <c r="AW143" s="7" t="str">
        <f>IFERROR(VLOOKUP($AQ143,Mapping!$E$208:$K$236,7,0),"ENDirect")</f>
        <v>ENDirect</v>
      </c>
      <c r="AX143" s="7" t="str">
        <f>IFERROR(HLOOKUP(AV143,'Calc|Weightings'!$U$5:$W$5,1,0),"Excl")</f>
        <v>Contracts</v>
      </c>
      <c r="AY143" s="7" t="str">
        <f>VLOOKUP(AO143,Mapping!$E$11:$I$204,5,0)</f>
        <v>SCS</v>
      </c>
    </row>
    <row r="144" spans="1:51" x14ac:dyDescent="0.3">
      <c r="A144" s="7"/>
      <c r="B144" s="7"/>
      <c r="C144" s="7"/>
      <c r="D144" s="7"/>
      <c r="E144" s="32" t="s">
        <v>111</v>
      </c>
      <c r="F144" s="32"/>
      <c r="G144" s="32">
        <v>71030</v>
      </c>
      <c r="H144" s="32" t="s">
        <v>464</v>
      </c>
      <c r="I144" s="33">
        <v>482.19299999999998</v>
      </c>
      <c r="J144" s="170"/>
      <c r="K144" s="7" t="str">
        <f>VLOOKUP($E144,Mapping!$E$11:$I$204,3,0)</f>
        <v>Connections</v>
      </c>
      <c r="L144" s="7" t="str">
        <f>IFERROR(VLOOKUP($G144,Mapping!$E$208:$K$236,5,0),"Contracts")</f>
        <v>Contracts</v>
      </c>
      <c r="M144" s="7" t="str">
        <f>IFERROR(VLOOKUP($G144,Mapping!$E$208:$K$236,7,0),"ENDirect")</f>
        <v>ENDirect</v>
      </c>
      <c r="N144" s="7" t="str">
        <f>IFERROR(HLOOKUP(L144,'Calc|Weightings'!$U$5:$W$5,1,0),"Excl")</f>
        <v>Contracts</v>
      </c>
      <c r="O144" s="7" t="str">
        <f>VLOOKUP(E144,Mapping!$E$11:$I$204,5,0)</f>
        <v>SCS</v>
      </c>
      <c r="Q144" s="32" t="s">
        <v>113</v>
      </c>
      <c r="R144" s="32"/>
      <c r="S144" s="32">
        <v>71005</v>
      </c>
      <c r="T144" s="32" t="s">
        <v>461</v>
      </c>
      <c r="U144" s="33">
        <v>190.94800000000001</v>
      </c>
      <c r="V144" s="7"/>
      <c r="W144" s="7" t="str">
        <f>VLOOKUP($Q144,Mapping!$E$11:$I$204,3,0)</f>
        <v>Connections</v>
      </c>
      <c r="X144" s="7" t="str">
        <f>IFERROR(VLOOKUP($S144,Mapping!$E$208:$K$236,5,0),"Contracts")</f>
        <v>Materials</v>
      </c>
      <c r="Y144" s="7" t="str">
        <f>IFERROR(VLOOKUP($S144,Mapping!$E$208:$K$236,7,0),"ENDirect")</f>
        <v>ENDirect</v>
      </c>
      <c r="Z144" s="7" t="str">
        <f>IFERROR(HLOOKUP(X144,'Calc|Weightings'!$U$5:$W$5,1,0),"Excl")</f>
        <v>Materials</v>
      </c>
      <c r="AA144" s="7" t="str">
        <f>VLOOKUP(Q144,Mapping!$E$11:$I$204,5,0)</f>
        <v>SCS</v>
      </c>
      <c r="AC144" s="35" t="s">
        <v>121</v>
      </c>
      <c r="AD144" s="35"/>
      <c r="AE144" s="35">
        <v>71015</v>
      </c>
      <c r="AF144" s="35" t="s">
        <v>463</v>
      </c>
      <c r="AG144" s="36">
        <v>27.88</v>
      </c>
      <c r="AI144" s="7" t="str">
        <f>VLOOKUP($AC144,Mapping!$E$11:$I$204,3,0)</f>
        <v>Augmentation</v>
      </c>
      <c r="AJ144" s="7" t="str">
        <f>IFERROR(VLOOKUP($AE144,Mapping!$E$208:$K$236,5,0),"Contracts")</f>
        <v>Materials</v>
      </c>
      <c r="AK144" s="7" t="str">
        <f>IFERROR(VLOOKUP($AE144,Mapping!$E$208:$K$236,7,0),"ENDirect")</f>
        <v>ENDirect</v>
      </c>
      <c r="AL144" s="7" t="str">
        <f>IFERROR(HLOOKUP(AJ144,'Calc|Weightings'!$U$5:$W$5,1,0),"Excl")</f>
        <v>Materials</v>
      </c>
      <c r="AM144" s="7" t="str">
        <f>VLOOKUP(AC144,Mapping!$E$11:$I$204,5,0)</f>
        <v>SCS</v>
      </c>
      <c r="AO144" s="35" t="s">
        <v>509</v>
      </c>
      <c r="AP144" s="35"/>
      <c r="AQ144" s="35">
        <v>80000</v>
      </c>
      <c r="AR144" s="35" t="s">
        <v>589</v>
      </c>
      <c r="AS144" s="121">
        <v>0.87972000000000006</v>
      </c>
      <c r="AU144" s="7" t="str">
        <f>VLOOKUP($AO144,Mapping!$E$11:$I$204,3,0)</f>
        <v>Connections</v>
      </c>
      <c r="AV144" s="7" t="str">
        <f>IFERROR(VLOOKUP($AQ144,Mapping!$E$208:$K$236,5,0),"Contracts")</f>
        <v>Overhead</v>
      </c>
      <c r="AW144" s="7" t="str">
        <f>IFERROR(VLOOKUP($AQ144,Mapping!$E$208:$K$236,7,0),"ENDirect")</f>
        <v>OH</v>
      </c>
      <c r="AX144" s="7" t="str">
        <f>IFERROR(HLOOKUP(AV144,'Calc|Weightings'!$U$5:$W$5,1,0),"Excl")</f>
        <v>Excl</v>
      </c>
      <c r="AY144" s="7" t="str">
        <f>VLOOKUP(AO144,Mapping!$E$11:$I$204,5,0)</f>
        <v>SCS</v>
      </c>
    </row>
    <row r="145" spans="1:51" x14ac:dyDescent="0.3">
      <c r="A145" s="7"/>
      <c r="B145" s="7"/>
      <c r="C145" s="7"/>
      <c r="D145" s="7"/>
      <c r="E145" s="32" t="s">
        <v>111</v>
      </c>
      <c r="F145" s="32"/>
      <c r="G145" s="32">
        <v>80000</v>
      </c>
      <c r="H145" s="32" t="s">
        <v>453</v>
      </c>
      <c r="I145" s="33">
        <v>725.2</v>
      </c>
      <c r="J145" s="170"/>
      <c r="K145" s="7" t="str">
        <f>VLOOKUP($E145,Mapping!$E$11:$I$204,3,0)</f>
        <v>Connections</v>
      </c>
      <c r="L145" s="7" t="str">
        <f>IFERROR(VLOOKUP($G145,Mapping!$E$208:$K$236,5,0),"Contracts")</f>
        <v>Overhead</v>
      </c>
      <c r="M145" s="7" t="str">
        <f>IFERROR(VLOOKUP($G145,Mapping!$E$208:$K$236,7,0),"ENDirect")</f>
        <v>OH</v>
      </c>
      <c r="N145" s="7" t="str">
        <f>IFERROR(HLOOKUP(L145,'Calc|Weightings'!$U$5:$W$5,1,0),"Excl")</f>
        <v>Excl</v>
      </c>
      <c r="O145" s="7" t="str">
        <f>VLOOKUP(E145,Mapping!$E$11:$I$204,5,0)</f>
        <v>SCS</v>
      </c>
      <c r="Q145" s="32" t="s">
        <v>113</v>
      </c>
      <c r="R145" s="32"/>
      <c r="S145" s="32">
        <v>71030</v>
      </c>
      <c r="T145" s="32" t="s">
        <v>464</v>
      </c>
      <c r="U145" s="33">
        <v>116.869</v>
      </c>
      <c r="V145" s="7"/>
      <c r="W145" s="7" t="str">
        <f>VLOOKUP($Q145,Mapping!$E$11:$I$204,3,0)</f>
        <v>Connections</v>
      </c>
      <c r="X145" s="7" t="str">
        <f>IFERROR(VLOOKUP($S145,Mapping!$E$208:$K$236,5,0),"Contracts")</f>
        <v>Contracts</v>
      </c>
      <c r="Y145" s="7" t="str">
        <f>IFERROR(VLOOKUP($S145,Mapping!$E$208:$K$236,7,0),"ENDirect")</f>
        <v>ENDirect</v>
      </c>
      <c r="Z145" s="7" t="str">
        <f>IFERROR(HLOOKUP(X145,'Calc|Weightings'!$U$5:$W$5,1,0),"Excl")</f>
        <v>Contracts</v>
      </c>
      <c r="AA145" s="7" t="str">
        <f>VLOOKUP(Q145,Mapping!$E$11:$I$204,5,0)</f>
        <v>SCS</v>
      </c>
      <c r="AC145" s="35" t="s">
        <v>549</v>
      </c>
      <c r="AD145" s="35"/>
      <c r="AE145" s="35">
        <v>71000</v>
      </c>
      <c r="AF145" s="35" t="s">
        <v>457</v>
      </c>
      <c r="AG145" s="36">
        <v>1348.5150000000001</v>
      </c>
      <c r="AI145" s="7" t="str">
        <f>VLOOKUP($AC145,Mapping!$E$11:$I$204,3,0)</f>
        <v>Connections</v>
      </c>
      <c r="AJ145" s="7" t="str">
        <f>IFERROR(VLOOKUP($AE145,Mapping!$E$208:$K$236,5,0),"Contracts")</f>
        <v>Labour</v>
      </c>
      <c r="AK145" s="7" t="str">
        <f>IFERROR(VLOOKUP($AE145,Mapping!$E$208:$K$236,7,0),"ENDirect")</f>
        <v>ENDirect</v>
      </c>
      <c r="AL145" s="7" t="str">
        <f>IFERROR(HLOOKUP(AJ145,'Calc|Weightings'!$U$5:$W$5,1,0),"Excl")</f>
        <v>Labour</v>
      </c>
      <c r="AM145" s="7" t="str">
        <f>VLOOKUP(AC145,Mapping!$E$11:$I$204,5,0)</f>
        <v>SCS</v>
      </c>
      <c r="AO145" s="35" t="s">
        <v>113</v>
      </c>
      <c r="AP145" s="35"/>
      <c r="AQ145" s="35">
        <v>71000</v>
      </c>
      <c r="AR145" s="35" t="s">
        <v>457</v>
      </c>
      <c r="AS145" s="121">
        <v>-11.259040000000008</v>
      </c>
      <c r="AU145" s="7" t="str">
        <f>VLOOKUP($AO145,Mapping!$E$11:$I$204,3,0)</f>
        <v>Connections</v>
      </c>
      <c r="AV145" s="7" t="str">
        <f>IFERROR(VLOOKUP($AQ145,Mapping!$E$208:$K$236,5,0),"Contracts")</f>
        <v>Labour</v>
      </c>
      <c r="AW145" s="7" t="str">
        <f>IFERROR(VLOOKUP($AQ145,Mapping!$E$208:$K$236,7,0),"ENDirect")</f>
        <v>ENDirect</v>
      </c>
      <c r="AX145" s="7" t="str">
        <f>IFERROR(HLOOKUP(AV145,'Calc|Weightings'!$U$5:$W$5,1,0),"Excl")</f>
        <v>Labour</v>
      </c>
      <c r="AY145" s="7" t="str">
        <f>VLOOKUP(AO145,Mapping!$E$11:$I$204,5,0)</f>
        <v>SCS</v>
      </c>
    </row>
    <row r="146" spans="1:51" x14ac:dyDescent="0.3">
      <c r="A146" s="7"/>
      <c r="B146" s="7"/>
      <c r="C146" s="7"/>
      <c r="D146" s="7"/>
      <c r="E146" s="32" t="s">
        <v>553</v>
      </c>
      <c r="F146" s="32"/>
      <c r="G146" s="32">
        <v>71020</v>
      </c>
      <c r="H146" s="32" t="s">
        <v>459</v>
      </c>
      <c r="I146" s="33">
        <v>-23.494</v>
      </c>
      <c r="J146" s="170"/>
      <c r="K146" s="7" t="str">
        <f>VLOOKUP($E146,Mapping!$E$11:$I$204,3,0)</f>
        <v>Connections</v>
      </c>
      <c r="L146" s="7" t="str">
        <f>IFERROR(VLOOKUP($G146,Mapping!$E$208:$K$236,5,0),"Contracts")</f>
        <v>Contracts</v>
      </c>
      <c r="M146" s="7" t="str">
        <f>IFERROR(VLOOKUP($G146,Mapping!$E$208:$K$236,7,0),"ENDirect")</f>
        <v>ENDirect</v>
      </c>
      <c r="N146" s="7" t="str">
        <f>IFERROR(HLOOKUP(L146,'Calc|Weightings'!$U$5:$W$5,1,0),"Excl")</f>
        <v>Contracts</v>
      </c>
      <c r="O146" s="7" t="str">
        <f>VLOOKUP(E146,Mapping!$E$11:$I$204,5,0)</f>
        <v>SCS</v>
      </c>
      <c r="Q146" s="32" t="s">
        <v>113</v>
      </c>
      <c r="R146" s="32"/>
      <c r="S146" s="32">
        <v>71040</v>
      </c>
      <c r="T146" s="32" t="s">
        <v>460</v>
      </c>
      <c r="U146" s="33">
        <v>2.8000000000000001E-2</v>
      </c>
      <c r="V146" s="7"/>
      <c r="W146" s="7" t="str">
        <f>VLOOKUP($Q146,Mapping!$E$11:$I$204,3,0)</f>
        <v>Connections</v>
      </c>
      <c r="X146" s="7" t="str">
        <f>IFERROR(VLOOKUP($S146,Mapping!$E$208:$K$236,5,0),"Contracts")</f>
        <v>Contracts</v>
      </c>
      <c r="Y146" s="7" t="str">
        <f>IFERROR(VLOOKUP($S146,Mapping!$E$208:$K$236,7,0),"ENDirect")</f>
        <v>ENDirect</v>
      </c>
      <c r="Z146" s="7" t="str">
        <f>IFERROR(HLOOKUP(X146,'Calc|Weightings'!$U$5:$W$5,1,0),"Excl")</f>
        <v>Contracts</v>
      </c>
      <c r="AA146" s="7" t="str">
        <f>VLOOKUP(Q146,Mapping!$E$11:$I$204,5,0)</f>
        <v>SCS</v>
      </c>
      <c r="AC146" s="35" t="s">
        <v>549</v>
      </c>
      <c r="AD146" s="35"/>
      <c r="AE146" s="35">
        <v>71010</v>
      </c>
      <c r="AF146" s="35" t="s">
        <v>462</v>
      </c>
      <c r="AG146" s="36">
        <v>976.77</v>
      </c>
      <c r="AI146" s="7" t="str">
        <f>VLOOKUP($AC146,Mapping!$E$11:$I$204,3,0)</f>
        <v>Connections</v>
      </c>
      <c r="AJ146" s="7" t="str">
        <f>IFERROR(VLOOKUP($AE146,Mapping!$E$208:$K$236,5,0),"Contracts")</f>
        <v>Labour</v>
      </c>
      <c r="AK146" s="7" t="str">
        <f>IFERROR(VLOOKUP($AE146,Mapping!$E$208:$K$236,7,0),"ENDirect")</f>
        <v>ENDirect</v>
      </c>
      <c r="AL146" s="7" t="str">
        <f>IFERROR(HLOOKUP(AJ146,'Calc|Weightings'!$U$5:$W$5,1,0),"Excl")</f>
        <v>Labour</v>
      </c>
      <c r="AM146" s="7" t="str">
        <f>VLOOKUP(AC146,Mapping!$E$11:$I$204,5,0)</f>
        <v>SCS</v>
      </c>
      <c r="AO146" s="35" t="s">
        <v>113</v>
      </c>
      <c r="AP146" s="35"/>
      <c r="AQ146" s="35">
        <v>71005</v>
      </c>
      <c r="AR146" s="35" t="s">
        <v>461</v>
      </c>
      <c r="AS146" s="121">
        <v>11.53007</v>
      </c>
      <c r="AU146" s="7" t="str">
        <f>VLOOKUP($AO146,Mapping!$E$11:$I$204,3,0)</f>
        <v>Connections</v>
      </c>
      <c r="AV146" s="7" t="str">
        <f>IFERROR(VLOOKUP($AQ146,Mapping!$E$208:$K$236,5,0),"Contracts")</f>
        <v>Materials</v>
      </c>
      <c r="AW146" s="7" t="str">
        <f>IFERROR(VLOOKUP($AQ146,Mapping!$E$208:$K$236,7,0),"ENDirect")</f>
        <v>ENDirect</v>
      </c>
      <c r="AX146" s="7" t="str">
        <f>IFERROR(HLOOKUP(AV146,'Calc|Weightings'!$U$5:$W$5,1,0),"Excl")</f>
        <v>Materials</v>
      </c>
      <c r="AY146" s="7" t="str">
        <f>VLOOKUP(AO146,Mapping!$E$11:$I$204,5,0)</f>
        <v>SCS</v>
      </c>
    </row>
    <row r="147" spans="1:51" x14ac:dyDescent="0.3">
      <c r="A147" s="7"/>
      <c r="B147" s="7"/>
      <c r="C147" s="7"/>
      <c r="D147" s="7"/>
      <c r="E147" s="32" t="s">
        <v>116</v>
      </c>
      <c r="F147" s="32"/>
      <c r="G147" s="32">
        <v>71000</v>
      </c>
      <c r="H147" s="32" t="s">
        <v>457</v>
      </c>
      <c r="I147" s="33">
        <v>-6.7590000000000003</v>
      </c>
      <c r="J147" s="170"/>
      <c r="K147" s="7" t="str">
        <f>VLOOKUP($E147,Mapping!$E$11:$I$204,3,0)</f>
        <v>Connections</v>
      </c>
      <c r="L147" s="7" t="str">
        <f>IFERROR(VLOOKUP($G147,Mapping!$E$208:$K$236,5,0),"Contracts")</f>
        <v>Labour</v>
      </c>
      <c r="M147" s="7" t="str">
        <f>IFERROR(VLOOKUP($G147,Mapping!$E$208:$K$236,7,0),"ENDirect")</f>
        <v>ENDirect</v>
      </c>
      <c r="N147" s="7" t="str">
        <f>IFERROR(HLOOKUP(L147,'Calc|Weightings'!$U$5:$W$5,1,0),"Excl")</f>
        <v>Labour</v>
      </c>
      <c r="O147" s="7" t="str">
        <f>VLOOKUP(E147,Mapping!$E$11:$I$204,5,0)</f>
        <v>SCS</v>
      </c>
      <c r="Q147" s="32" t="s">
        <v>113</v>
      </c>
      <c r="R147" s="32"/>
      <c r="S147" s="32">
        <v>71055</v>
      </c>
      <c r="T147" s="32" t="s">
        <v>465</v>
      </c>
      <c r="U147" s="33">
        <v>230.05500000000001</v>
      </c>
      <c r="V147" s="7"/>
      <c r="W147" s="7" t="str">
        <f>VLOOKUP($Q147,Mapping!$E$11:$I$204,3,0)</f>
        <v>Connections</v>
      </c>
      <c r="X147" s="7" t="str">
        <f>IFERROR(VLOOKUP($S147,Mapping!$E$208:$K$236,5,0),"Contracts")</f>
        <v>Contracts</v>
      </c>
      <c r="Y147" s="7" t="str">
        <f>IFERROR(VLOOKUP($S147,Mapping!$E$208:$K$236,7,0),"ENDirect")</f>
        <v>ENDirect</v>
      </c>
      <c r="Z147" s="7" t="str">
        <f>IFERROR(HLOOKUP(X147,'Calc|Weightings'!$U$5:$W$5,1,0),"Excl")</f>
        <v>Contracts</v>
      </c>
      <c r="AA147" s="7" t="str">
        <f>VLOOKUP(Q147,Mapping!$E$11:$I$204,5,0)</f>
        <v>SCS</v>
      </c>
      <c r="AC147" s="35" t="s">
        <v>549</v>
      </c>
      <c r="AD147" s="35"/>
      <c r="AE147" s="35">
        <v>71015</v>
      </c>
      <c r="AF147" s="35" t="s">
        <v>463</v>
      </c>
      <c r="AG147" s="36">
        <v>192.31700000000001</v>
      </c>
      <c r="AI147" s="7" t="str">
        <f>VLOOKUP($AC147,Mapping!$E$11:$I$204,3,0)</f>
        <v>Connections</v>
      </c>
      <c r="AJ147" s="7" t="str">
        <f>IFERROR(VLOOKUP($AE147,Mapping!$E$208:$K$236,5,0),"Contracts")</f>
        <v>Materials</v>
      </c>
      <c r="AK147" s="7" t="str">
        <f>IFERROR(VLOOKUP($AE147,Mapping!$E$208:$K$236,7,0),"ENDirect")</f>
        <v>ENDirect</v>
      </c>
      <c r="AL147" s="7" t="str">
        <f>IFERROR(HLOOKUP(AJ147,'Calc|Weightings'!$U$5:$W$5,1,0),"Excl")</f>
        <v>Materials</v>
      </c>
      <c r="AM147" s="7" t="str">
        <f>VLOOKUP(AC147,Mapping!$E$11:$I$204,5,0)</f>
        <v>SCS</v>
      </c>
      <c r="AO147" s="35" t="s">
        <v>113</v>
      </c>
      <c r="AP147" s="35"/>
      <c r="AQ147" s="35">
        <v>71010</v>
      </c>
      <c r="AR147" s="35" t="s">
        <v>487</v>
      </c>
      <c r="AS147" s="121">
        <v>9.7373200000000004</v>
      </c>
      <c r="AU147" s="7" t="str">
        <f>VLOOKUP($AO147,Mapping!$E$11:$I$204,3,0)</f>
        <v>Connections</v>
      </c>
      <c r="AV147" s="7" t="str">
        <f>IFERROR(VLOOKUP($AQ147,Mapping!$E$208:$K$236,5,0),"Contracts")</f>
        <v>Labour</v>
      </c>
      <c r="AW147" s="7" t="str">
        <f>IFERROR(VLOOKUP($AQ147,Mapping!$E$208:$K$236,7,0),"ENDirect")</f>
        <v>ENDirect</v>
      </c>
      <c r="AX147" s="7" t="str">
        <f>IFERROR(HLOOKUP(AV147,'Calc|Weightings'!$U$5:$W$5,1,0),"Excl")</f>
        <v>Labour</v>
      </c>
      <c r="AY147" s="7" t="str">
        <f>VLOOKUP(AO147,Mapping!$E$11:$I$204,5,0)</f>
        <v>SCS</v>
      </c>
    </row>
    <row r="148" spans="1:51" x14ac:dyDescent="0.3">
      <c r="A148" s="7"/>
      <c r="B148" s="7"/>
      <c r="C148" s="7"/>
      <c r="D148" s="7"/>
      <c r="E148" s="32" t="s">
        <v>116</v>
      </c>
      <c r="F148" s="32"/>
      <c r="G148" s="32">
        <v>71005</v>
      </c>
      <c r="H148" s="32" t="s">
        <v>461</v>
      </c>
      <c r="I148" s="33">
        <v>2E-3</v>
      </c>
      <c r="J148" s="170"/>
      <c r="K148" s="7" t="str">
        <f>VLOOKUP($E148,Mapping!$E$11:$I$204,3,0)</f>
        <v>Connections</v>
      </c>
      <c r="L148" s="7" t="str">
        <f>IFERROR(VLOOKUP($G148,Mapping!$E$208:$K$236,5,0),"Contracts")</f>
        <v>Materials</v>
      </c>
      <c r="M148" s="7" t="str">
        <f>IFERROR(VLOOKUP($G148,Mapping!$E$208:$K$236,7,0),"ENDirect")</f>
        <v>ENDirect</v>
      </c>
      <c r="N148" s="7" t="str">
        <f>IFERROR(HLOOKUP(L148,'Calc|Weightings'!$U$5:$W$5,1,0),"Excl")</f>
        <v>Materials</v>
      </c>
      <c r="O148" s="7" t="str">
        <f>VLOOKUP(E148,Mapping!$E$11:$I$204,5,0)</f>
        <v>SCS</v>
      </c>
      <c r="Q148" s="32" t="s">
        <v>113</v>
      </c>
      <c r="R148" s="32"/>
      <c r="S148" s="32">
        <v>80000</v>
      </c>
      <c r="T148" s="32" t="s">
        <v>453</v>
      </c>
      <c r="U148" s="33">
        <v>218.73699999999999</v>
      </c>
      <c r="V148" s="7"/>
      <c r="W148" s="7" t="str">
        <f>VLOOKUP($Q148,Mapping!$E$11:$I$204,3,0)</f>
        <v>Connections</v>
      </c>
      <c r="X148" s="7" t="str">
        <f>IFERROR(VLOOKUP($S148,Mapping!$E$208:$K$236,5,0),"Contracts")</f>
        <v>Overhead</v>
      </c>
      <c r="Y148" s="7" t="str">
        <f>IFERROR(VLOOKUP($S148,Mapping!$E$208:$K$236,7,0),"ENDirect")</f>
        <v>OH</v>
      </c>
      <c r="Z148" s="7" t="str">
        <f>IFERROR(HLOOKUP(X148,'Calc|Weightings'!$U$5:$W$5,1,0),"Excl")</f>
        <v>Excl</v>
      </c>
      <c r="AA148" s="7" t="str">
        <f>VLOOKUP(Q148,Mapping!$E$11:$I$204,5,0)</f>
        <v>SCS</v>
      </c>
      <c r="AC148" s="35" t="s">
        <v>549</v>
      </c>
      <c r="AD148" s="35"/>
      <c r="AE148" s="35">
        <v>71030</v>
      </c>
      <c r="AF148" s="35" t="s">
        <v>464</v>
      </c>
      <c r="AG148" s="36">
        <v>262.55399999999997</v>
      </c>
      <c r="AI148" s="7" t="str">
        <f>VLOOKUP($AC148,Mapping!$E$11:$I$204,3,0)</f>
        <v>Connections</v>
      </c>
      <c r="AJ148" s="7" t="str">
        <f>IFERROR(VLOOKUP($AE148,Mapping!$E$208:$K$236,5,0),"Contracts")</f>
        <v>Contracts</v>
      </c>
      <c r="AK148" s="7" t="str">
        <f>IFERROR(VLOOKUP($AE148,Mapping!$E$208:$K$236,7,0),"ENDirect")</f>
        <v>ENDirect</v>
      </c>
      <c r="AL148" s="7" t="str">
        <f>IFERROR(HLOOKUP(AJ148,'Calc|Weightings'!$U$5:$W$5,1,0),"Excl")</f>
        <v>Contracts</v>
      </c>
      <c r="AM148" s="7" t="str">
        <f>VLOOKUP(AC148,Mapping!$E$11:$I$204,5,0)</f>
        <v>SCS</v>
      </c>
      <c r="AO148" s="35" t="s">
        <v>113</v>
      </c>
      <c r="AP148" s="35"/>
      <c r="AQ148" s="35">
        <v>71015</v>
      </c>
      <c r="AR148" s="35" t="s">
        <v>585</v>
      </c>
      <c r="AS148" s="121">
        <v>9.4492399999999979</v>
      </c>
      <c r="AU148" s="7" t="str">
        <f>VLOOKUP($AO148,Mapping!$E$11:$I$204,3,0)</f>
        <v>Connections</v>
      </c>
      <c r="AV148" s="7" t="str">
        <f>IFERROR(VLOOKUP($AQ148,Mapping!$E$208:$K$236,5,0),"Contracts")</f>
        <v>Materials</v>
      </c>
      <c r="AW148" s="7" t="str">
        <f>IFERROR(VLOOKUP($AQ148,Mapping!$E$208:$K$236,7,0),"ENDirect")</f>
        <v>ENDirect</v>
      </c>
      <c r="AX148" s="7" t="str">
        <f>IFERROR(HLOOKUP(AV148,'Calc|Weightings'!$U$5:$W$5,1,0),"Excl")</f>
        <v>Materials</v>
      </c>
      <c r="AY148" s="7" t="str">
        <f>VLOOKUP(AO148,Mapping!$E$11:$I$204,5,0)</f>
        <v>SCS</v>
      </c>
    </row>
    <row r="149" spans="1:51" x14ac:dyDescent="0.3">
      <c r="A149" s="7"/>
      <c r="B149" s="7"/>
      <c r="C149" s="7"/>
      <c r="D149" s="7"/>
      <c r="E149" s="32" t="s">
        <v>116</v>
      </c>
      <c r="F149" s="32"/>
      <c r="G149" s="32">
        <v>71010</v>
      </c>
      <c r="H149" s="32" t="s">
        <v>462</v>
      </c>
      <c r="I149" s="33">
        <v>2.3420000000000001</v>
      </c>
      <c r="J149" s="170"/>
      <c r="K149" s="7" t="str">
        <f>VLOOKUP($E149,Mapping!$E$11:$I$204,3,0)</f>
        <v>Connections</v>
      </c>
      <c r="L149" s="7" t="str">
        <f>IFERROR(VLOOKUP($G149,Mapping!$E$208:$K$236,5,0),"Contracts")</f>
        <v>Labour</v>
      </c>
      <c r="M149" s="7" t="str">
        <f>IFERROR(VLOOKUP($G149,Mapping!$E$208:$K$236,7,0),"ENDirect")</f>
        <v>ENDirect</v>
      </c>
      <c r="N149" s="7" t="str">
        <f>IFERROR(HLOOKUP(L149,'Calc|Weightings'!$U$5:$W$5,1,0),"Excl")</f>
        <v>Labour</v>
      </c>
      <c r="O149" s="7" t="str">
        <f>VLOOKUP(E149,Mapping!$E$11:$I$204,5,0)</f>
        <v>SCS</v>
      </c>
      <c r="Q149" s="32" t="s">
        <v>552</v>
      </c>
      <c r="R149" s="32"/>
      <c r="S149" s="32">
        <v>71010</v>
      </c>
      <c r="T149" s="32" t="s">
        <v>462</v>
      </c>
      <c r="U149" s="33">
        <v>1348.0650000000001</v>
      </c>
      <c r="V149" s="7"/>
      <c r="W149" s="7" t="str">
        <f>VLOOKUP($Q149,Mapping!$E$11:$I$204,3,0)</f>
        <v>Connections</v>
      </c>
      <c r="X149" s="7" t="str">
        <f>IFERROR(VLOOKUP($S149,Mapping!$E$208:$K$236,5,0),"Contracts")</f>
        <v>Labour</v>
      </c>
      <c r="Y149" s="7" t="str">
        <f>IFERROR(VLOOKUP($S149,Mapping!$E$208:$K$236,7,0),"ENDirect")</f>
        <v>ENDirect</v>
      </c>
      <c r="Z149" s="7" t="str">
        <f>IFERROR(HLOOKUP(X149,'Calc|Weightings'!$U$5:$W$5,1,0),"Excl")</f>
        <v>Labour</v>
      </c>
      <c r="AA149" s="7" t="str">
        <f>VLOOKUP(Q149,Mapping!$E$11:$I$204,5,0)</f>
        <v>SCS</v>
      </c>
      <c r="AC149" s="35" t="s">
        <v>549</v>
      </c>
      <c r="AD149" s="35"/>
      <c r="AE149" s="35">
        <v>71055</v>
      </c>
      <c r="AF149" s="35" t="s">
        <v>465</v>
      </c>
      <c r="AG149" s="36">
        <v>599.86400000000003</v>
      </c>
      <c r="AI149" s="7" t="str">
        <f>VLOOKUP($AC149,Mapping!$E$11:$I$204,3,0)</f>
        <v>Connections</v>
      </c>
      <c r="AJ149" s="7" t="str">
        <f>IFERROR(VLOOKUP($AE149,Mapping!$E$208:$K$236,5,0),"Contracts")</f>
        <v>Contracts</v>
      </c>
      <c r="AK149" s="7" t="str">
        <f>IFERROR(VLOOKUP($AE149,Mapping!$E$208:$K$236,7,0),"ENDirect")</f>
        <v>ENDirect</v>
      </c>
      <c r="AL149" s="7" t="str">
        <f>IFERROR(HLOOKUP(AJ149,'Calc|Weightings'!$U$5:$W$5,1,0),"Excl")</f>
        <v>Contracts</v>
      </c>
      <c r="AM149" s="7" t="str">
        <f>VLOOKUP(AC149,Mapping!$E$11:$I$204,5,0)</f>
        <v>SCS</v>
      </c>
      <c r="AO149" s="35" t="s">
        <v>113</v>
      </c>
      <c r="AP149" s="35"/>
      <c r="AQ149" s="35">
        <v>71020</v>
      </c>
      <c r="AR149" s="35" t="s">
        <v>590</v>
      </c>
      <c r="AS149" s="121">
        <v>4.3726000000000003</v>
      </c>
      <c r="AU149" s="7" t="str">
        <f>VLOOKUP($AO149,Mapping!$E$11:$I$204,3,0)</f>
        <v>Connections</v>
      </c>
      <c r="AV149" s="7" t="str">
        <f>IFERROR(VLOOKUP($AQ149,Mapping!$E$208:$K$236,5,0),"Contracts")</f>
        <v>Contracts</v>
      </c>
      <c r="AW149" s="7" t="str">
        <f>IFERROR(VLOOKUP($AQ149,Mapping!$E$208:$K$236,7,0),"ENDirect")</f>
        <v>ENDirect</v>
      </c>
      <c r="AX149" s="7" t="str">
        <f>IFERROR(HLOOKUP(AV149,'Calc|Weightings'!$U$5:$W$5,1,0),"Excl")</f>
        <v>Contracts</v>
      </c>
      <c r="AY149" s="7" t="str">
        <f>VLOOKUP(AO149,Mapping!$E$11:$I$204,5,0)</f>
        <v>SCS</v>
      </c>
    </row>
    <row r="150" spans="1:51" x14ac:dyDescent="0.3">
      <c r="A150" s="7"/>
      <c r="B150" s="7"/>
      <c r="C150" s="7"/>
      <c r="D150" s="7"/>
      <c r="E150" s="32" t="s">
        <v>116</v>
      </c>
      <c r="F150" s="32"/>
      <c r="G150" s="32">
        <v>71015</v>
      </c>
      <c r="H150" s="32" t="s">
        <v>463</v>
      </c>
      <c r="I150" s="33">
        <v>2.569</v>
      </c>
      <c r="J150" s="170"/>
      <c r="K150" s="7" t="str">
        <f>VLOOKUP($E150,Mapping!$E$11:$I$204,3,0)</f>
        <v>Connections</v>
      </c>
      <c r="L150" s="7" t="str">
        <f>IFERROR(VLOOKUP($G150,Mapping!$E$208:$K$236,5,0),"Contracts")</f>
        <v>Materials</v>
      </c>
      <c r="M150" s="7" t="str">
        <f>IFERROR(VLOOKUP($G150,Mapping!$E$208:$K$236,7,0),"ENDirect")</f>
        <v>ENDirect</v>
      </c>
      <c r="N150" s="7" t="str">
        <f>IFERROR(HLOOKUP(L150,'Calc|Weightings'!$U$5:$W$5,1,0),"Excl")</f>
        <v>Materials</v>
      </c>
      <c r="O150" s="7" t="str">
        <f>VLOOKUP(E150,Mapping!$E$11:$I$204,5,0)</f>
        <v>SCS</v>
      </c>
      <c r="Q150" s="32" t="s">
        <v>552</v>
      </c>
      <c r="R150" s="32"/>
      <c r="S150" s="32">
        <v>71015</v>
      </c>
      <c r="T150" s="32" t="s">
        <v>463</v>
      </c>
      <c r="U150" s="33">
        <v>404.33199999999999</v>
      </c>
      <c r="V150" s="7"/>
      <c r="W150" s="7" t="str">
        <f>VLOOKUP($Q150,Mapping!$E$11:$I$204,3,0)</f>
        <v>Connections</v>
      </c>
      <c r="X150" s="7" t="str">
        <f>IFERROR(VLOOKUP($S150,Mapping!$E$208:$K$236,5,0),"Contracts")</f>
        <v>Materials</v>
      </c>
      <c r="Y150" s="7" t="str">
        <f>IFERROR(VLOOKUP($S150,Mapping!$E$208:$K$236,7,0),"ENDirect")</f>
        <v>ENDirect</v>
      </c>
      <c r="Z150" s="7" t="str">
        <f>IFERROR(HLOOKUP(X150,'Calc|Weightings'!$U$5:$W$5,1,0),"Excl")</f>
        <v>Materials</v>
      </c>
      <c r="AA150" s="7" t="str">
        <f>VLOOKUP(Q150,Mapping!$E$11:$I$204,5,0)</f>
        <v>SCS</v>
      </c>
      <c r="AC150" s="35" t="s">
        <v>549</v>
      </c>
      <c r="AD150" s="35"/>
      <c r="AE150" s="35">
        <v>80000</v>
      </c>
      <c r="AF150" s="35" t="s">
        <v>453</v>
      </c>
      <c r="AG150" s="36">
        <v>594.875</v>
      </c>
      <c r="AI150" s="7" t="str">
        <f>VLOOKUP($AC150,Mapping!$E$11:$I$204,3,0)</f>
        <v>Connections</v>
      </c>
      <c r="AJ150" s="7" t="str">
        <f>IFERROR(VLOOKUP($AE150,Mapping!$E$208:$K$236,5,0),"Contracts")</f>
        <v>Overhead</v>
      </c>
      <c r="AK150" s="7" t="str">
        <f>IFERROR(VLOOKUP($AE150,Mapping!$E$208:$K$236,7,0),"ENDirect")</f>
        <v>OH</v>
      </c>
      <c r="AL150" s="7" t="str">
        <f>IFERROR(HLOOKUP(AJ150,'Calc|Weightings'!$U$5:$W$5,1,0),"Excl")</f>
        <v>Excl</v>
      </c>
      <c r="AM150" s="7" t="str">
        <f>VLOOKUP(AC150,Mapping!$E$11:$I$204,5,0)</f>
        <v>SCS</v>
      </c>
      <c r="AO150" s="35" t="s">
        <v>113</v>
      </c>
      <c r="AP150" s="35"/>
      <c r="AQ150" s="35">
        <v>71030</v>
      </c>
      <c r="AR150" s="35" t="s">
        <v>464</v>
      </c>
      <c r="AS150" s="121">
        <v>2.6700499999999989</v>
      </c>
      <c r="AU150" s="7" t="str">
        <f>VLOOKUP($AO150,Mapping!$E$11:$I$204,3,0)</f>
        <v>Connections</v>
      </c>
      <c r="AV150" s="7" t="str">
        <f>IFERROR(VLOOKUP($AQ150,Mapping!$E$208:$K$236,5,0),"Contracts")</f>
        <v>Contracts</v>
      </c>
      <c r="AW150" s="7" t="str">
        <f>IFERROR(VLOOKUP($AQ150,Mapping!$E$208:$K$236,7,0),"ENDirect")</f>
        <v>ENDirect</v>
      </c>
      <c r="AX150" s="7" t="str">
        <f>IFERROR(HLOOKUP(AV150,'Calc|Weightings'!$U$5:$W$5,1,0),"Excl")</f>
        <v>Contracts</v>
      </c>
      <c r="AY150" s="7" t="str">
        <f>VLOOKUP(AO150,Mapping!$E$11:$I$204,5,0)</f>
        <v>SCS</v>
      </c>
    </row>
    <row r="151" spans="1:51" x14ac:dyDescent="0.3">
      <c r="A151" s="7"/>
      <c r="B151" s="7"/>
      <c r="C151" s="7"/>
      <c r="D151" s="7"/>
      <c r="E151" s="32" t="s">
        <v>116</v>
      </c>
      <c r="F151" s="32"/>
      <c r="G151" s="32">
        <v>71030</v>
      </c>
      <c r="H151" s="32" t="s">
        <v>464</v>
      </c>
      <c r="I151" s="33">
        <v>0.97799999999999998</v>
      </c>
      <c r="J151" s="170"/>
      <c r="K151" s="7" t="str">
        <f>VLOOKUP($E151,Mapping!$E$11:$I$204,3,0)</f>
        <v>Connections</v>
      </c>
      <c r="L151" s="7" t="str">
        <f>IFERROR(VLOOKUP($G151,Mapping!$E$208:$K$236,5,0),"Contracts")</f>
        <v>Contracts</v>
      </c>
      <c r="M151" s="7" t="str">
        <f>IFERROR(VLOOKUP($G151,Mapping!$E$208:$K$236,7,0),"ENDirect")</f>
        <v>ENDirect</v>
      </c>
      <c r="N151" s="7" t="str">
        <f>IFERROR(HLOOKUP(L151,'Calc|Weightings'!$U$5:$W$5,1,0),"Excl")</f>
        <v>Contracts</v>
      </c>
      <c r="O151" s="7" t="str">
        <f>VLOOKUP(E151,Mapping!$E$11:$I$204,5,0)</f>
        <v>SCS</v>
      </c>
      <c r="Q151" s="32" t="s">
        <v>552</v>
      </c>
      <c r="R151" s="32"/>
      <c r="S151" s="32">
        <v>71040</v>
      </c>
      <c r="T151" s="32" t="s">
        <v>460</v>
      </c>
      <c r="U151" s="33">
        <v>8.9999999999999993E-3</v>
      </c>
      <c r="V151" s="7"/>
      <c r="W151" s="7" t="str">
        <f>VLOOKUP($Q151,Mapping!$E$11:$I$204,3,0)</f>
        <v>Connections</v>
      </c>
      <c r="X151" s="7" t="str">
        <f>IFERROR(VLOOKUP($S151,Mapping!$E$208:$K$236,5,0),"Contracts")</f>
        <v>Contracts</v>
      </c>
      <c r="Y151" s="7" t="str">
        <f>IFERROR(VLOOKUP($S151,Mapping!$E$208:$K$236,7,0),"ENDirect")</f>
        <v>ENDirect</v>
      </c>
      <c r="Z151" s="7" t="str">
        <f>IFERROR(HLOOKUP(X151,'Calc|Weightings'!$U$5:$W$5,1,0),"Excl")</f>
        <v>Contracts</v>
      </c>
      <c r="AA151" s="7" t="str">
        <f>VLOOKUP(Q151,Mapping!$E$11:$I$204,5,0)</f>
        <v>SCS</v>
      </c>
      <c r="AC151" s="35" t="s">
        <v>111</v>
      </c>
      <c r="AD151" s="35"/>
      <c r="AE151" s="35">
        <v>72345</v>
      </c>
      <c r="AF151" s="35" t="s">
        <v>467</v>
      </c>
      <c r="AG151" s="36">
        <v>3787.123</v>
      </c>
      <c r="AI151" s="7" t="str">
        <f>VLOOKUP($AC151,Mapping!$E$11:$I$204,3,0)</f>
        <v>Connections</v>
      </c>
      <c r="AJ151" s="7" t="str">
        <f>IFERROR(VLOOKUP($AE151,Mapping!$E$208:$K$236,5,0),"Contracts")</f>
        <v>Contracts</v>
      </c>
      <c r="AK151" s="7" t="str">
        <f>IFERROR(VLOOKUP($AE151,Mapping!$E$208:$K$236,7,0),"ENDirect")</f>
        <v>ENDirect</v>
      </c>
      <c r="AL151" s="7" t="str">
        <f>IFERROR(HLOOKUP(AJ151,'Calc|Weightings'!$U$5:$W$5,1,0),"Excl")</f>
        <v>Contracts</v>
      </c>
      <c r="AM151" s="7" t="str">
        <f>VLOOKUP(AC151,Mapping!$E$11:$I$204,5,0)</f>
        <v>SCS</v>
      </c>
      <c r="AO151" s="35" t="s">
        <v>113</v>
      </c>
      <c r="AP151" s="35"/>
      <c r="AQ151" s="35">
        <v>71040</v>
      </c>
      <c r="AR151" s="35" t="s">
        <v>460</v>
      </c>
      <c r="AS151" s="121">
        <v>0.11195999999999999</v>
      </c>
      <c r="AU151" s="7" t="str">
        <f>VLOOKUP($AO151,Mapping!$E$11:$I$204,3,0)</f>
        <v>Connections</v>
      </c>
      <c r="AV151" s="7" t="str">
        <f>IFERROR(VLOOKUP($AQ151,Mapping!$E$208:$K$236,5,0),"Contracts")</f>
        <v>Contracts</v>
      </c>
      <c r="AW151" s="7" t="str">
        <f>IFERROR(VLOOKUP($AQ151,Mapping!$E$208:$K$236,7,0),"ENDirect")</f>
        <v>ENDirect</v>
      </c>
      <c r="AX151" s="7" t="str">
        <f>IFERROR(HLOOKUP(AV151,'Calc|Weightings'!$U$5:$W$5,1,0),"Excl")</f>
        <v>Contracts</v>
      </c>
      <c r="AY151" s="7" t="str">
        <f>VLOOKUP(AO151,Mapping!$E$11:$I$204,5,0)</f>
        <v>SCS</v>
      </c>
    </row>
    <row r="152" spans="1:51" x14ac:dyDescent="0.3">
      <c r="A152" s="7"/>
      <c r="B152" s="7"/>
      <c r="C152" s="7"/>
      <c r="D152" s="7"/>
      <c r="E152" s="32" t="s">
        <v>116</v>
      </c>
      <c r="F152" s="32"/>
      <c r="G152" s="32">
        <v>71055</v>
      </c>
      <c r="H152" s="32" t="s">
        <v>465</v>
      </c>
      <c r="I152" s="33">
        <v>1.4630000000000001</v>
      </c>
      <c r="J152" s="170"/>
      <c r="K152" s="7" t="str">
        <f>VLOOKUP($E152,Mapping!$E$11:$I$204,3,0)</f>
        <v>Connections</v>
      </c>
      <c r="L152" s="7" t="str">
        <f>IFERROR(VLOOKUP($G152,Mapping!$E$208:$K$236,5,0),"Contracts")</f>
        <v>Contracts</v>
      </c>
      <c r="M152" s="7" t="str">
        <f>IFERROR(VLOOKUP($G152,Mapping!$E$208:$K$236,7,0),"ENDirect")</f>
        <v>ENDirect</v>
      </c>
      <c r="N152" s="7" t="str">
        <f>IFERROR(HLOOKUP(L152,'Calc|Weightings'!$U$5:$W$5,1,0),"Excl")</f>
        <v>Contracts</v>
      </c>
      <c r="O152" s="7" t="str">
        <f>VLOOKUP(E152,Mapping!$E$11:$I$204,5,0)</f>
        <v>SCS</v>
      </c>
      <c r="Q152" s="32" t="s">
        <v>550</v>
      </c>
      <c r="R152" s="32"/>
      <c r="S152" s="32">
        <v>71005</v>
      </c>
      <c r="T152" s="32" t="s">
        <v>461</v>
      </c>
      <c r="U152" s="33">
        <v>980.41700000000003</v>
      </c>
      <c r="V152" s="7"/>
      <c r="W152" s="7" t="str">
        <f>VLOOKUP($Q152,Mapping!$E$11:$I$204,3,0)</f>
        <v>Connections</v>
      </c>
      <c r="X152" s="7" t="str">
        <f>IFERROR(VLOOKUP($S152,Mapping!$E$208:$K$236,5,0),"Contracts")</f>
        <v>Materials</v>
      </c>
      <c r="Y152" s="7" t="str">
        <f>IFERROR(VLOOKUP($S152,Mapping!$E$208:$K$236,7,0),"ENDirect")</f>
        <v>ENDirect</v>
      </c>
      <c r="Z152" s="7" t="str">
        <f>IFERROR(HLOOKUP(X152,'Calc|Weightings'!$U$5:$W$5,1,0),"Excl")</f>
        <v>Materials</v>
      </c>
      <c r="AA152" s="7" t="str">
        <f>VLOOKUP(Q152,Mapping!$E$11:$I$204,5,0)</f>
        <v>SCS</v>
      </c>
      <c r="AC152" s="35" t="s">
        <v>550</v>
      </c>
      <c r="AD152" s="35"/>
      <c r="AE152" s="35">
        <v>71005</v>
      </c>
      <c r="AF152" s="35" t="s">
        <v>461</v>
      </c>
      <c r="AG152" s="36">
        <v>836.12400000000002</v>
      </c>
      <c r="AI152" s="7" t="str">
        <f>VLOOKUP($AC152,Mapping!$E$11:$I$204,3,0)</f>
        <v>Connections</v>
      </c>
      <c r="AJ152" s="7" t="str">
        <f>IFERROR(VLOOKUP($AE152,Mapping!$E$208:$K$236,5,0),"Contracts")</f>
        <v>Materials</v>
      </c>
      <c r="AK152" s="7" t="str">
        <f>IFERROR(VLOOKUP($AE152,Mapping!$E$208:$K$236,7,0),"ENDirect")</f>
        <v>ENDirect</v>
      </c>
      <c r="AL152" s="7" t="str">
        <f>IFERROR(HLOOKUP(AJ152,'Calc|Weightings'!$U$5:$W$5,1,0),"Excl")</f>
        <v>Materials</v>
      </c>
      <c r="AM152" s="7" t="str">
        <f>VLOOKUP(AC152,Mapping!$E$11:$I$204,5,0)</f>
        <v>SCS</v>
      </c>
      <c r="AO152" s="35" t="s">
        <v>113</v>
      </c>
      <c r="AP152" s="35"/>
      <c r="AQ152" s="35">
        <v>71055</v>
      </c>
      <c r="AR152" s="35" t="s">
        <v>465</v>
      </c>
      <c r="AS152" s="121">
        <v>14.31373</v>
      </c>
      <c r="AU152" s="7" t="str">
        <f>VLOOKUP($AO152,Mapping!$E$11:$I$204,3,0)</f>
        <v>Connections</v>
      </c>
      <c r="AV152" s="7" t="str">
        <f>IFERROR(VLOOKUP($AQ152,Mapping!$E$208:$K$236,5,0),"Contracts")</f>
        <v>Contracts</v>
      </c>
      <c r="AW152" s="7" t="str">
        <f>IFERROR(VLOOKUP($AQ152,Mapping!$E$208:$K$236,7,0),"ENDirect")</f>
        <v>ENDirect</v>
      </c>
      <c r="AX152" s="7" t="str">
        <f>IFERROR(HLOOKUP(AV152,'Calc|Weightings'!$U$5:$W$5,1,0),"Excl")</f>
        <v>Contracts</v>
      </c>
      <c r="AY152" s="7" t="str">
        <f>VLOOKUP(AO152,Mapping!$E$11:$I$204,5,0)</f>
        <v>SCS</v>
      </c>
    </row>
    <row r="153" spans="1:51" x14ac:dyDescent="0.3">
      <c r="A153" s="7"/>
      <c r="B153" s="7"/>
      <c r="C153" s="7"/>
      <c r="D153" s="7"/>
      <c r="E153" s="32" t="s">
        <v>116</v>
      </c>
      <c r="F153" s="32"/>
      <c r="G153" s="32">
        <v>80000</v>
      </c>
      <c r="H153" s="32" t="s">
        <v>453</v>
      </c>
      <c r="I153" s="33">
        <v>1.0049999999999999</v>
      </c>
      <c r="J153" s="170"/>
      <c r="K153" s="7" t="str">
        <f>VLOOKUP($E153,Mapping!$E$11:$I$204,3,0)</f>
        <v>Connections</v>
      </c>
      <c r="L153" s="7" t="str">
        <f>IFERROR(VLOOKUP($G153,Mapping!$E$208:$K$236,5,0),"Contracts")</f>
        <v>Overhead</v>
      </c>
      <c r="M153" s="7" t="str">
        <f>IFERROR(VLOOKUP($G153,Mapping!$E$208:$K$236,7,0),"ENDirect")</f>
        <v>OH</v>
      </c>
      <c r="N153" s="7" t="str">
        <f>IFERROR(HLOOKUP(L153,'Calc|Weightings'!$U$5:$W$5,1,0),"Excl")</f>
        <v>Excl</v>
      </c>
      <c r="O153" s="7" t="str">
        <f>VLOOKUP(E153,Mapping!$E$11:$I$204,5,0)</f>
        <v>SCS</v>
      </c>
      <c r="Q153" s="32" t="s">
        <v>549</v>
      </c>
      <c r="R153" s="32"/>
      <c r="S153" s="32">
        <v>71040</v>
      </c>
      <c r="T153" s="32" t="s">
        <v>460</v>
      </c>
      <c r="U153" s="33">
        <v>-3.9E-2</v>
      </c>
      <c r="V153" s="7"/>
      <c r="W153" s="7" t="str">
        <f>VLOOKUP($Q153,Mapping!$E$11:$I$204,3,0)</f>
        <v>Connections</v>
      </c>
      <c r="X153" s="7" t="str">
        <f>IFERROR(VLOOKUP($S153,Mapping!$E$208:$K$236,5,0),"Contracts")</f>
        <v>Contracts</v>
      </c>
      <c r="Y153" s="7" t="str">
        <f>IFERROR(VLOOKUP($S153,Mapping!$E$208:$K$236,7,0),"ENDirect")</f>
        <v>ENDirect</v>
      </c>
      <c r="Z153" s="7" t="str">
        <f>IFERROR(HLOOKUP(X153,'Calc|Weightings'!$U$5:$W$5,1,0),"Excl")</f>
        <v>Contracts</v>
      </c>
      <c r="AA153" s="7" t="str">
        <f>VLOOKUP(Q153,Mapping!$E$11:$I$204,5,0)</f>
        <v>SCS</v>
      </c>
      <c r="AC153" s="35" t="s">
        <v>550</v>
      </c>
      <c r="AD153" s="35"/>
      <c r="AE153" s="35">
        <v>71006</v>
      </c>
      <c r="AF153" s="35" t="s">
        <v>468</v>
      </c>
      <c r="AG153" s="36">
        <v>2209.837</v>
      </c>
      <c r="AI153" s="7" t="str">
        <f>VLOOKUP($AC153,Mapping!$E$11:$I$204,3,0)</f>
        <v>Connections</v>
      </c>
      <c r="AJ153" s="7" t="str">
        <f>IFERROR(VLOOKUP($AE153,Mapping!$E$208:$K$236,5,0),"Contracts")</f>
        <v>Materials</v>
      </c>
      <c r="AK153" s="7" t="str">
        <f>IFERROR(VLOOKUP($AE153,Mapping!$E$208:$K$236,7,0),"ENDirect")</f>
        <v>ENDirect</v>
      </c>
      <c r="AL153" s="7" t="str">
        <f>IFERROR(HLOOKUP(AJ153,'Calc|Weightings'!$U$5:$W$5,1,0),"Excl")</f>
        <v>Materials</v>
      </c>
      <c r="AM153" s="7" t="str">
        <f>VLOOKUP(AC153,Mapping!$E$11:$I$204,5,0)</f>
        <v>SCS</v>
      </c>
      <c r="AO153" s="35" t="s">
        <v>113</v>
      </c>
      <c r="AP153" s="35"/>
      <c r="AQ153" s="35">
        <v>71070</v>
      </c>
      <c r="AR153" s="35" t="s">
        <v>586</v>
      </c>
      <c r="AS153" s="121">
        <v>447.44194999999996</v>
      </c>
      <c r="AU153" s="7" t="str">
        <f>VLOOKUP($AO153,Mapping!$E$11:$I$204,3,0)</f>
        <v>Connections</v>
      </c>
      <c r="AV153" s="7" t="str">
        <f>IFERROR(VLOOKUP($AQ153,Mapping!$E$208:$K$236,5,0),"Contracts")</f>
        <v>Contracts</v>
      </c>
      <c r="AW153" s="7" t="str">
        <f>IFERROR(VLOOKUP($AQ153,Mapping!$E$208:$K$236,7,0),"ENDirect")</f>
        <v>ENDirect</v>
      </c>
      <c r="AX153" s="7" t="str">
        <f>IFERROR(HLOOKUP(AV153,'Calc|Weightings'!$U$5:$W$5,1,0),"Excl")</f>
        <v>Contracts</v>
      </c>
      <c r="AY153" s="7" t="str">
        <f>VLOOKUP(AO153,Mapping!$E$11:$I$204,5,0)</f>
        <v>SCS</v>
      </c>
    </row>
    <row r="154" spans="1:51" x14ac:dyDescent="0.3">
      <c r="A154" s="7"/>
      <c r="B154" s="7"/>
      <c r="C154" s="7"/>
      <c r="D154" s="7"/>
      <c r="E154" s="32" t="s">
        <v>553</v>
      </c>
      <c r="F154" s="32"/>
      <c r="G154" s="32">
        <v>72345</v>
      </c>
      <c r="H154" s="32" t="s">
        <v>467</v>
      </c>
      <c r="I154" s="33">
        <v>378.20100000000002</v>
      </c>
      <c r="J154" s="170"/>
      <c r="K154" s="7" t="str">
        <f>VLOOKUP($E154,Mapping!$E$11:$I$204,3,0)</f>
        <v>Connections</v>
      </c>
      <c r="L154" s="7" t="str">
        <f>IFERROR(VLOOKUP($G154,Mapping!$E$208:$K$236,5,0),"Contracts")</f>
        <v>Contracts</v>
      </c>
      <c r="M154" s="7" t="str">
        <f>IFERROR(VLOOKUP($G154,Mapping!$E$208:$K$236,7,0),"ENDirect")</f>
        <v>ENDirect</v>
      </c>
      <c r="N154" s="7" t="str">
        <f>IFERROR(HLOOKUP(L154,'Calc|Weightings'!$U$5:$W$5,1,0),"Excl")</f>
        <v>Contracts</v>
      </c>
      <c r="O154" s="7" t="str">
        <f>VLOOKUP(E154,Mapping!$E$11:$I$204,5,0)</f>
        <v>SCS</v>
      </c>
      <c r="Q154" s="32" t="s">
        <v>547</v>
      </c>
      <c r="R154" s="32"/>
      <c r="S154" s="32">
        <v>71000</v>
      </c>
      <c r="T154" s="32" t="s">
        <v>457</v>
      </c>
      <c r="U154" s="33">
        <v>55.453000000000003</v>
      </c>
      <c r="V154" s="7"/>
      <c r="W154" s="7" t="str">
        <f>VLOOKUP($Q154,Mapping!$E$11:$I$204,3,0)</f>
        <v>Connections</v>
      </c>
      <c r="X154" s="7" t="str">
        <f>IFERROR(VLOOKUP($S154,Mapping!$E$208:$K$236,5,0),"Contracts")</f>
        <v>Labour</v>
      </c>
      <c r="Y154" s="7" t="str">
        <f>IFERROR(VLOOKUP($S154,Mapping!$E$208:$K$236,7,0),"ENDirect")</f>
        <v>ENDirect</v>
      </c>
      <c r="Z154" s="7" t="str">
        <f>IFERROR(HLOOKUP(X154,'Calc|Weightings'!$U$5:$W$5,1,0),"Excl")</f>
        <v>Labour</v>
      </c>
      <c r="AA154" s="7" t="str">
        <f>VLOOKUP(Q154,Mapping!$E$11:$I$204,5,0)</f>
        <v>SCS</v>
      </c>
      <c r="AC154" s="35" t="s">
        <v>550</v>
      </c>
      <c r="AD154" s="35"/>
      <c r="AE154" s="35">
        <v>71010</v>
      </c>
      <c r="AF154" s="35" t="s">
        <v>462</v>
      </c>
      <c r="AG154" s="36">
        <v>1538.932</v>
      </c>
      <c r="AI154" s="7" t="str">
        <f>VLOOKUP($AC154,Mapping!$E$11:$I$204,3,0)</f>
        <v>Connections</v>
      </c>
      <c r="AJ154" s="7" t="str">
        <f>IFERROR(VLOOKUP($AE154,Mapping!$E$208:$K$236,5,0),"Contracts")</f>
        <v>Labour</v>
      </c>
      <c r="AK154" s="7" t="str">
        <f>IFERROR(VLOOKUP($AE154,Mapping!$E$208:$K$236,7,0),"ENDirect")</f>
        <v>ENDirect</v>
      </c>
      <c r="AL154" s="7" t="str">
        <f>IFERROR(HLOOKUP(AJ154,'Calc|Weightings'!$U$5:$W$5,1,0),"Excl")</f>
        <v>Labour</v>
      </c>
      <c r="AM154" s="7" t="str">
        <f>VLOOKUP(AC154,Mapping!$E$11:$I$204,5,0)</f>
        <v>SCS</v>
      </c>
      <c r="AO154" s="35" t="s">
        <v>113</v>
      </c>
      <c r="AP154" s="35"/>
      <c r="AQ154" s="35">
        <v>71075</v>
      </c>
      <c r="AR154" s="35" t="s">
        <v>587</v>
      </c>
      <c r="AS154" s="121">
        <v>50.901819999999972</v>
      </c>
      <c r="AU154" s="7" t="str">
        <f>VLOOKUP($AO154,Mapping!$E$11:$I$204,3,0)</f>
        <v>Connections</v>
      </c>
      <c r="AV154" s="7" t="str">
        <f>IFERROR(VLOOKUP($AQ154,Mapping!$E$208:$K$236,5,0),"Contracts")</f>
        <v>Contracts</v>
      </c>
      <c r="AW154" s="7" t="str">
        <f>IFERROR(VLOOKUP($AQ154,Mapping!$E$208:$K$236,7,0),"ENDirect")</f>
        <v>ENDirect</v>
      </c>
      <c r="AX154" s="7" t="str">
        <f>IFERROR(HLOOKUP(AV154,'Calc|Weightings'!$U$5:$W$5,1,0),"Excl")</f>
        <v>Contracts</v>
      </c>
      <c r="AY154" s="7" t="str">
        <f>VLOOKUP(AO154,Mapping!$E$11:$I$204,5,0)</f>
        <v>SCS</v>
      </c>
    </row>
    <row r="155" spans="1:51" x14ac:dyDescent="0.3">
      <c r="A155" s="7"/>
      <c r="B155" s="7"/>
      <c r="C155" s="7"/>
      <c r="D155" s="7"/>
      <c r="E155" s="32" t="s">
        <v>546</v>
      </c>
      <c r="F155" s="32"/>
      <c r="G155" s="32">
        <v>71020</v>
      </c>
      <c r="H155" s="32" t="s">
        <v>459</v>
      </c>
      <c r="I155" s="33">
        <v>-14.194000000000001</v>
      </c>
      <c r="J155" s="170"/>
      <c r="K155" s="7" t="str">
        <f>VLOOKUP($E155,Mapping!$E$11:$I$204,3,0)</f>
        <v>Connections</v>
      </c>
      <c r="L155" s="7" t="str">
        <f>IFERROR(VLOOKUP($G155,Mapping!$E$208:$K$236,5,0),"Contracts")</f>
        <v>Contracts</v>
      </c>
      <c r="M155" s="7" t="str">
        <f>IFERROR(VLOOKUP($G155,Mapping!$E$208:$K$236,7,0),"ENDirect")</f>
        <v>ENDirect</v>
      </c>
      <c r="N155" s="7" t="str">
        <f>IFERROR(HLOOKUP(L155,'Calc|Weightings'!$U$5:$W$5,1,0),"Excl")</f>
        <v>Contracts</v>
      </c>
      <c r="O155" s="7" t="str">
        <f>VLOOKUP(E155,Mapping!$E$11:$I$204,5,0)</f>
        <v>SCS</v>
      </c>
      <c r="Q155" s="32" t="s">
        <v>547</v>
      </c>
      <c r="R155" s="32"/>
      <c r="S155" s="32">
        <v>71030</v>
      </c>
      <c r="T155" s="32" t="s">
        <v>464</v>
      </c>
      <c r="U155" s="33">
        <v>9.7609999999999992</v>
      </c>
      <c r="V155" s="7"/>
      <c r="W155" s="7" t="str">
        <f>VLOOKUP($Q155,Mapping!$E$11:$I$204,3,0)</f>
        <v>Connections</v>
      </c>
      <c r="X155" s="7" t="str">
        <f>IFERROR(VLOOKUP($S155,Mapping!$E$208:$K$236,5,0),"Contracts")</f>
        <v>Contracts</v>
      </c>
      <c r="Y155" s="7" t="str">
        <f>IFERROR(VLOOKUP($S155,Mapping!$E$208:$K$236,7,0),"ENDirect")</f>
        <v>ENDirect</v>
      </c>
      <c r="Z155" s="7" t="str">
        <f>IFERROR(HLOOKUP(X155,'Calc|Weightings'!$U$5:$W$5,1,0),"Excl")</f>
        <v>Contracts</v>
      </c>
      <c r="AA155" s="7" t="str">
        <f>VLOOKUP(Q155,Mapping!$E$11:$I$204,5,0)</f>
        <v>SCS</v>
      </c>
      <c r="AC155" s="35" t="s">
        <v>550</v>
      </c>
      <c r="AD155" s="35"/>
      <c r="AE155" s="35">
        <v>71015</v>
      </c>
      <c r="AF155" s="35" t="s">
        <v>463</v>
      </c>
      <c r="AG155" s="36">
        <v>350.96600000000001</v>
      </c>
      <c r="AI155" s="7" t="str">
        <f>VLOOKUP($AC155,Mapping!$E$11:$I$204,3,0)</f>
        <v>Connections</v>
      </c>
      <c r="AJ155" s="7" t="str">
        <f>IFERROR(VLOOKUP($AE155,Mapping!$E$208:$K$236,5,0),"Contracts")</f>
        <v>Materials</v>
      </c>
      <c r="AK155" s="7" t="str">
        <f>IFERROR(VLOOKUP($AE155,Mapping!$E$208:$K$236,7,0),"ENDirect")</f>
        <v>ENDirect</v>
      </c>
      <c r="AL155" s="7" t="str">
        <f>IFERROR(HLOOKUP(AJ155,'Calc|Weightings'!$U$5:$W$5,1,0),"Excl")</f>
        <v>Materials</v>
      </c>
      <c r="AM155" s="7" t="str">
        <f>VLOOKUP(AC155,Mapping!$E$11:$I$204,5,0)</f>
        <v>SCS</v>
      </c>
      <c r="AO155" s="35" t="s">
        <v>113</v>
      </c>
      <c r="AP155" s="35"/>
      <c r="AQ155" s="35">
        <v>72345</v>
      </c>
      <c r="AR155" s="35" t="s">
        <v>588</v>
      </c>
      <c r="AS155" s="121">
        <v>50.210999999999999</v>
      </c>
      <c r="AU155" s="7" t="str">
        <f>VLOOKUP($AO155,Mapping!$E$11:$I$204,3,0)</f>
        <v>Connections</v>
      </c>
      <c r="AV155" s="7" t="str">
        <f>IFERROR(VLOOKUP($AQ155,Mapping!$E$208:$K$236,5,0),"Contracts")</f>
        <v>Contracts</v>
      </c>
      <c r="AW155" s="7" t="str">
        <f>IFERROR(VLOOKUP($AQ155,Mapping!$E$208:$K$236,7,0),"ENDirect")</f>
        <v>ENDirect</v>
      </c>
      <c r="AX155" s="7" t="str">
        <f>IFERROR(HLOOKUP(AV155,'Calc|Weightings'!$U$5:$W$5,1,0),"Excl")</f>
        <v>Contracts</v>
      </c>
      <c r="AY155" s="7" t="str">
        <f>VLOOKUP(AO155,Mapping!$E$11:$I$204,5,0)</f>
        <v>SCS</v>
      </c>
    </row>
    <row r="156" spans="1:51" x14ac:dyDescent="0.3">
      <c r="A156" s="7"/>
      <c r="B156" s="7"/>
      <c r="C156" s="7"/>
      <c r="D156" s="7"/>
      <c r="E156" s="32" t="s">
        <v>97</v>
      </c>
      <c r="F156" s="32"/>
      <c r="G156" s="32">
        <v>71040</v>
      </c>
      <c r="H156" s="32" t="s">
        <v>460</v>
      </c>
      <c r="I156" s="33">
        <v>-24.49</v>
      </c>
      <c r="J156" s="170"/>
      <c r="K156" s="7" t="str">
        <f>VLOOKUP($E156,Mapping!$E$11:$I$204,3,0)</f>
        <v>Connections</v>
      </c>
      <c r="L156" s="7" t="str">
        <f>IFERROR(VLOOKUP($G156,Mapping!$E$208:$K$236,5,0),"Contracts")</f>
        <v>Contracts</v>
      </c>
      <c r="M156" s="7" t="str">
        <f>IFERROR(VLOOKUP($G156,Mapping!$E$208:$K$236,7,0),"ENDirect")</f>
        <v>ENDirect</v>
      </c>
      <c r="N156" s="7" t="str">
        <f>IFERROR(HLOOKUP(L156,'Calc|Weightings'!$U$5:$W$5,1,0),"Excl")</f>
        <v>Contracts</v>
      </c>
      <c r="O156" s="7" t="str">
        <f>VLOOKUP(E156,Mapping!$E$11:$I$204,5,0)</f>
        <v>SCS</v>
      </c>
      <c r="Q156" s="32" t="s">
        <v>547</v>
      </c>
      <c r="R156" s="32"/>
      <c r="S156" s="32">
        <v>71040</v>
      </c>
      <c r="T156" s="32" t="s">
        <v>460</v>
      </c>
      <c r="U156" s="33">
        <v>-1.9E-2</v>
      </c>
      <c r="V156" s="7"/>
      <c r="W156" s="7" t="str">
        <f>VLOOKUP($Q156,Mapping!$E$11:$I$204,3,0)</f>
        <v>Connections</v>
      </c>
      <c r="X156" s="7" t="str">
        <f>IFERROR(VLOOKUP($S156,Mapping!$E$208:$K$236,5,0),"Contracts")</f>
        <v>Contracts</v>
      </c>
      <c r="Y156" s="7" t="str">
        <f>IFERROR(VLOOKUP($S156,Mapping!$E$208:$K$236,7,0),"ENDirect")</f>
        <v>ENDirect</v>
      </c>
      <c r="Z156" s="7" t="str">
        <f>IFERROR(HLOOKUP(X156,'Calc|Weightings'!$U$5:$W$5,1,0),"Excl")</f>
        <v>Contracts</v>
      </c>
      <c r="AA156" s="7" t="str">
        <f>VLOOKUP(Q156,Mapping!$E$11:$I$204,5,0)</f>
        <v>SCS</v>
      </c>
      <c r="AC156" s="35" t="s">
        <v>145</v>
      </c>
      <c r="AD156" s="35"/>
      <c r="AE156" s="35">
        <v>71000</v>
      </c>
      <c r="AF156" s="35" t="s">
        <v>457</v>
      </c>
      <c r="AG156" s="36">
        <v>1920.27</v>
      </c>
      <c r="AI156" s="7" t="str">
        <f>VLOOKUP($AC156,Mapping!$E$11:$I$204,3,0)</f>
        <v>Augmentation</v>
      </c>
      <c r="AJ156" s="7" t="str">
        <f>IFERROR(VLOOKUP($AE156,Mapping!$E$208:$K$236,5,0),"Contracts")</f>
        <v>Labour</v>
      </c>
      <c r="AK156" s="7" t="str">
        <f>IFERROR(VLOOKUP($AE156,Mapping!$E$208:$K$236,7,0),"ENDirect")</f>
        <v>ENDirect</v>
      </c>
      <c r="AL156" s="7" t="str">
        <f>IFERROR(HLOOKUP(AJ156,'Calc|Weightings'!$U$5:$W$5,1,0),"Excl")</f>
        <v>Labour</v>
      </c>
      <c r="AM156" s="7" t="str">
        <f>VLOOKUP(AC156,Mapping!$E$11:$I$204,5,0)</f>
        <v>SCS</v>
      </c>
      <c r="AO156" s="35" t="s">
        <v>113</v>
      </c>
      <c r="AP156" s="35"/>
      <c r="AQ156" s="35">
        <v>80000</v>
      </c>
      <c r="AR156" s="35" t="s">
        <v>589</v>
      </c>
      <c r="AS156" s="121">
        <v>100.02270000000001</v>
      </c>
      <c r="AU156" s="7" t="str">
        <f>VLOOKUP($AO156,Mapping!$E$11:$I$204,3,0)</f>
        <v>Connections</v>
      </c>
      <c r="AV156" s="7" t="str">
        <f>IFERROR(VLOOKUP($AQ156,Mapping!$E$208:$K$236,5,0),"Contracts")</f>
        <v>Overhead</v>
      </c>
      <c r="AW156" s="7" t="str">
        <f>IFERROR(VLOOKUP($AQ156,Mapping!$E$208:$K$236,7,0),"ENDirect")</f>
        <v>OH</v>
      </c>
      <c r="AX156" s="7" t="str">
        <f>IFERROR(HLOOKUP(AV156,'Calc|Weightings'!$U$5:$W$5,1,0),"Excl")</f>
        <v>Excl</v>
      </c>
      <c r="AY156" s="7" t="str">
        <f>VLOOKUP(AO156,Mapping!$E$11:$I$204,5,0)</f>
        <v>SCS</v>
      </c>
    </row>
    <row r="157" spans="1:51" x14ac:dyDescent="0.3">
      <c r="A157" s="7"/>
      <c r="B157" s="7"/>
      <c r="C157" s="7"/>
      <c r="D157" s="7"/>
      <c r="E157" s="32" t="s">
        <v>210</v>
      </c>
      <c r="F157" s="32"/>
      <c r="G157" s="32">
        <v>72200</v>
      </c>
      <c r="H157" s="32" t="s">
        <v>455</v>
      </c>
      <c r="I157" s="33">
        <v>0</v>
      </c>
      <c r="J157" s="170"/>
      <c r="K157" s="7" t="str">
        <f>VLOOKUP($E157,Mapping!$E$11:$I$204,3,0)</f>
        <v>Replacement</v>
      </c>
      <c r="L157" s="7" t="str">
        <f>IFERROR(VLOOKUP($G157,Mapping!$E$208:$K$236,5,0),"Contracts")</f>
        <v>Labour</v>
      </c>
      <c r="M157" s="7" t="str">
        <f>IFERROR(VLOOKUP($G157,Mapping!$E$208:$K$236,7,0),"ENDirect")</f>
        <v>ENDirect</v>
      </c>
      <c r="N157" s="7" t="str">
        <f>IFERROR(HLOOKUP(L157,'Calc|Weightings'!$U$5:$W$5,1,0),"Excl")</f>
        <v>Labour</v>
      </c>
      <c r="O157" s="7" t="str">
        <f>VLOOKUP(E157,Mapping!$E$11:$I$204,5,0)</f>
        <v>SCS</v>
      </c>
      <c r="Q157" s="32" t="s">
        <v>547</v>
      </c>
      <c r="R157" s="32"/>
      <c r="S157" s="32">
        <v>71055</v>
      </c>
      <c r="T157" s="32" t="s">
        <v>465</v>
      </c>
      <c r="U157" s="33">
        <v>17.768999999999998</v>
      </c>
      <c r="V157" s="7"/>
      <c r="W157" s="7" t="str">
        <f>VLOOKUP($Q157,Mapping!$E$11:$I$204,3,0)</f>
        <v>Connections</v>
      </c>
      <c r="X157" s="7" t="str">
        <f>IFERROR(VLOOKUP($S157,Mapping!$E$208:$K$236,5,0),"Contracts")</f>
        <v>Contracts</v>
      </c>
      <c r="Y157" s="7" t="str">
        <f>IFERROR(VLOOKUP($S157,Mapping!$E$208:$K$236,7,0),"ENDirect")</f>
        <v>ENDirect</v>
      </c>
      <c r="Z157" s="7" t="str">
        <f>IFERROR(HLOOKUP(X157,'Calc|Weightings'!$U$5:$W$5,1,0),"Excl")</f>
        <v>Contracts</v>
      </c>
      <c r="AA157" s="7" t="str">
        <f>VLOOKUP(Q157,Mapping!$E$11:$I$204,5,0)</f>
        <v>SCS</v>
      </c>
      <c r="AC157" s="35" t="s">
        <v>145</v>
      </c>
      <c r="AD157" s="35"/>
      <c r="AE157" s="35">
        <v>71005</v>
      </c>
      <c r="AF157" s="35" t="s">
        <v>461</v>
      </c>
      <c r="AG157" s="36">
        <v>501.154</v>
      </c>
      <c r="AI157" s="7" t="str">
        <f>VLOOKUP($AC157,Mapping!$E$11:$I$204,3,0)</f>
        <v>Augmentation</v>
      </c>
      <c r="AJ157" s="7" t="str">
        <f>IFERROR(VLOOKUP($AE157,Mapping!$E$208:$K$236,5,0),"Contracts")</f>
        <v>Materials</v>
      </c>
      <c r="AK157" s="7" t="str">
        <f>IFERROR(VLOOKUP($AE157,Mapping!$E$208:$K$236,7,0),"ENDirect")</f>
        <v>ENDirect</v>
      </c>
      <c r="AL157" s="7" t="str">
        <f>IFERROR(HLOOKUP(AJ157,'Calc|Weightings'!$U$5:$W$5,1,0),"Excl")</f>
        <v>Materials</v>
      </c>
      <c r="AM157" s="7" t="str">
        <f>VLOOKUP(AC157,Mapping!$E$11:$I$204,5,0)</f>
        <v>SCS</v>
      </c>
      <c r="AO157" s="35" t="s">
        <v>114</v>
      </c>
      <c r="AP157" s="35"/>
      <c r="AQ157" s="35">
        <v>71000</v>
      </c>
      <c r="AR157" s="35" t="s">
        <v>457</v>
      </c>
      <c r="AS157" s="121">
        <v>2.0666599999999997</v>
      </c>
      <c r="AU157" s="7" t="str">
        <f>VLOOKUP($AO157,Mapping!$E$11:$I$204,3,0)</f>
        <v>Connections</v>
      </c>
      <c r="AV157" s="7" t="str">
        <f>IFERROR(VLOOKUP($AQ157,Mapping!$E$208:$K$236,5,0),"Contracts")</f>
        <v>Labour</v>
      </c>
      <c r="AW157" s="7" t="str">
        <f>IFERROR(VLOOKUP($AQ157,Mapping!$E$208:$K$236,7,0),"ENDirect")</f>
        <v>ENDirect</v>
      </c>
      <c r="AX157" s="7" t="str">
        <f>IFERROR(HLOOKUP(AV157,'Calc|Weightings'!$U$5:$W$5,1,0),"Excl")</f>
        <v>Labour</v>
      </c>
      <c r="AY157" s="7" t="str">
        <f>VLOOKUP(AO157,Mapping!$E$11:$I$204,5,0)</f>
        <v>SCS</v>
      </c>
    </row>
    <row r="158" spans="1:51" x14ac:dyDescent="0.3">
      <c r="A158" s="7"/>
      <c r="B158" s="7"/>
      <c r="C158" s="7"/>
      <c r="D158" s="7"/>
      <c r="E158" s="32" t="s">
        <v>553</v>
      </c>
      <c r="F158" s="32"/>
      <c r="G158" s="32">
        <v>71005</v>
      </c>
      <c r="H158" s="32" t="s">
        <v>461</v>
      </c>
      <c r="I158" s="33">
        <v>196.45500000000001</v>
      </c>
      <c r="J158" s="170"/>
      <c r="K158" s="7" t="str">
        <f>VLOOKUP($E158,Mapping!$E$11:$I$204,3,0)</f>
        <v>Connections</v>
      </c>
      <c r="L158" s="7" t="str">
        <f>IFERROR(VLOOKUP($G158,Mapping!$E$208:$K$236,5,0),"Contracts")</f>
        <v>Materials</v>
      </c>
      <c r="M158" s="7" t="str">
        <f>IFERROR(VLOOKUP($G158,Mapping!$E$208:$K$236,7,0),"ENDirect")</f>
        <v>ENDirect</v>
      </c>
      <c r="N158" s="7" t="str">
        <f>IFERROR(HLOOKUP(L158,'Calc|Weightings'!$U$5:$W$5,1,0),"Excl")</f>
        <v>Materials</v>
      </c>
      <c r="O158" s="7" t="str">
        <f>VLOOKUP(E158,Mapping!$E$11:$I$204,5,0)</f>
        <v>SCS</v>
      </c>
      <c r="Q158" s="32" t="s">
        <v>547</v>
      </c>
      <c r="R158" s="32"/>
      <c r="S158" s="32">
        <v>80000</v>
      </c>
      <c r="T158" s="32" t="s">
        <v>453</v>
      </c>
      <c r="U158" s="33">
        <v>32.353000000000002</v>
      </c>
      <c r="V158" s="7"/>
      <c r="W158" s="7" t="str">
        <f>VLOOKUP($Q158,Mapping!$E$11:$I$204,3,0)</f>
        <v>Connections</v>
      </c>
      <c r="X158" s="7" t="str">
        <f>IFERROR(VLOOKUP($S158,Mapping!$E$208:$K$236,5,0),"Contracts")</f>
        <v>Overhead</v>
      </c>
      <c r="Y158" s="7" t="str">
        <f>IFERROR(VLOOKUP($S158,Mapping!$E$208:$K$236,7,0),"ENDirect")</f>
        <v>OH</v>
      </c>
      <c r="Z158" s="7" t="str">
        <f>IFERROR(HLOOKUP(X158,'Calc|Weightings'!$U$5:$W$5,1,0),"Excl")</f>
        <v>Excl</v>
      </c>
      <c r="AA158" s="7" t="str">
        <f>VLOOKUP(Q158,Mapping!$E$11:$I$204,5,0)</f>
        <v>SCS</v>
      </c>
      <c r="AC158" s="35" t="s">
        <v>145</v>
      </c>
      <c r="AD158" s="35"/>
      <c r="AE158" s="35">
        <v>71010</v>
      </c>
      <c r="AF158" s="35" t="s">
        <v>462</v>
      </c>
      <c r="AG158" s="36">
        <v>511.75799999999998</v>
      </c>
      <c r="AI158" s="7" t="str">
        <f>VLOOKUP($AC158,Mapping!$E$11:$I$204,3,0)</f>
        <v>Augmentation</v>
      </c>
      <c r="AJ158" s="7" t="str">
        <f>IFERROR(VLOOKUP($AE158,Mapping!$E$208:$K$236,5,0),"Contracts")</f>
        <v>Labour</v>
      </c>
      <c r="AK158" s="7" t="str">
        <f>IFERROR(VLOOKUP($AE158,Mapping!$E$208:$K$236,7,0),"ENDirect")</f>
        <v>ENDirect</v>
      </c>
      <c r="AL158" s="7" t="str">
        <f>IFERROR(HLOOKUP(AJ158,'Calc|Weightings'!$U$5:$W$5,1,0),"Excl")</f>
        <v>Labour</v>
      </c>
      <c r="AM158" s="7" t="str">
        <f>VLOOKUP(AC158,Mapping!$E$11:$I$204,5,0)</f>
        <v>SCS</v>
      </c>
      <c r="AO158" s="35" t="s">
        <v>114</v>
      </c>
      <c r="AP158" s="35"/>
      <c r="AQ158" s="35">
        <v>71010</v>
      </c>
      <c r="AR158" s="35" t="s">
        <v>487</v>
      </c>
      <c r="AS158" s="121">
        <v>0.68</v>
      </c>
      <c r="AU158" s="7" t="str">
        <f>VLOOKUP($AO158,Mapping!$E$11:$I$204,3,0)</f>
        <v>Connections</v>
      </c>
      <c r="AV158" s="7" t="str">
        <f>IFERROR(VLOOKUP($AQ158,Mapping!$E$208:$K$236,5,0),"Contracts")</f>
        <v>Labour</v>
      </c>
      <c r="AW158" s="7" t="str">
        <f>IFERROR(VLOOKUP($AQ158,Mapping!$E$208:$K$236,7,0),"ENDirect")</f>
        <v>ENDirect</v>
      </c>
      <c r="AX158" s="7" t="str">
        <f>IFERROR(HLOOKUP(AV158,'Calc|Weightings'!$U$5:$W$5,1,0),"Excl")</f>
        <v>Labour</v>
      </c>
      <c r="AY158" s="7" t="str">
        <f>VLOOKUP(AO158,Mapping!$E$11:$I$204,5,0)</f>
        <v>SCS</v>
      </c>
    </row>
    <row r="159" spans="1:51" x14ac:dyDescent="0.3">
      <c r="A159" s="7"/>
      <c r="B159" s="7"/>
      <c r="C159" s="7"/>
      <c r="D159" s="7"/>
      <c r="E159" s="32" t="s">
        <v>190</v>
      </c>
      <c r="F159" s="32"/>
      <c r="G159" s="32">
        <v>71040</v>
      </c>
      <c r="H159" s="32" t="s">
        <v>460</v>
      </c>
      <c r="I159" s="33">
        <v>-19.497</v>
      </c>
      <c r="J159" s="170"/>
      <c r="K159" s="7" t="str">
        <f>VLOOKUP($E159,Mapping!$E$11:$I$204,3,0)</f>
        <v>Replacement</v>
      </c>
      <c r="L159" s="7" t="str">
        <f>IFERROR(VLOOKUP($G159,Mapping!$E$208:$K$236,5,0),"Contracts")</f>
        <v>Contracts</v>
      </c>
      <c r="M159" s="7" t="str">
        <f>IFERROR(VLOOKUP($G159,Mapping!$E$208:$K$236,7,0),"ENDirect")</f>
        <v>ENDirect</v>
      </c>
      <c r="N159" s="7" t="str">
        <f>IFERROR(HLOOKUP(L159,'Calc|Weightings'!$U$5:$W$5,1,0),"Excl")</f>
        <v>Contracts</v>
      </c>
      <c r="O159" s="7" t="str">
        <f>VLOOKUP(E159,Mapping!$E$11:$I$204,5,0)</f>
        <v>SCS</v>
      </c>
      <c r="Q159" s="32" t="s">
        <v>111</v>
      </c>
      <c r="R159" s="32"/>
      <c r="S159" s="32">
        <v>71020</v>
      </c>
      <c r="T159" s="32" t="s">
        <v>459</v>
      </c>
      <c r="U159" s="33">
        <v>88.543999999999997</v>
      </c>
      <c r="V159" s="7"/>
      <c r="W159" s="7" t="str">
        <f>VLOOKUP($Q159,Mapping!$E$11:$I$204,3,0)</f>
        <v>Connections</v>
      </c>
      <c r="X159" s="7" t="str">
        <f>IFERROR(VLOOKUP($S159,Mapping!$E$208:$K$236,5,0),"Contracts")</f>
        <v>Contracts</v>
      </c>
      <c r="Y159" s="7" t="str">
        <f>IFERROR(VLOOKUP($S159,Mapping!$E$208:$K$236,7,0),"ENDirect")</f>
        <v>ENDirect</v>
      </c>
      <c r="Z159" s="7" t="str">
        <f>IFERROR(HLOOKUP(X159,'Calc|Weightings'!$U$5:$W$5,1,0),"Excl")</f>
        <v>Contracts</v>
      </c>
      <c r="AA159" s="7" t="str">
        <f>VLOOKUP(Q159,Mapping!$E$11:$I$204,5,0)</f>
        <v>SCS</v>
      </c>
      <c r="AC159" s="35" t="s">
        <v>145</v>
      </c>
      <c r="AD159" s="35"/>
      <c r="AE159" s="35">
        <v>71015</v>
      </c>
      <c r="AF159" s="35" t="s">
        <v>463</v>
      </c>
      <c r="AG159" s="36">
        <v>401.78899999999999</v>
      </c>
      <c r="AI159" s="7" t="str">
        <f>VLOOKUP($AC159,Mapping!$E$11:$I$204,3,0)</f>
        <v>Augmentation</v>
      </c>
      <c r="AJ159" s="7" t="str">
        <f>IFERROR(VLOOKUP($AE159,Mapping!$E$208:$K$236,5,0),"Contracts")</f>
        <v>Materials</v>
      </c>
      <c r="AK159" s="7" t="str">
        <f>IFERROR(VLOOKUP($AE159,Mapping!$E$208:$K$236,7,0),"ENDirect")</f>
        <v>ENDirect</v>
      </c>
      <c r="AL159" s="7" t="str">
        <f>IFERROR(HLOOKUP(AJ159,'Calc|Weightings'!$U$5:$W$5,1,0),"Excl")</f>
        <v>Materials</v>
      </c>
      <c r="AM159" s="7" t="str">
        <f>VLOOKUP(AC159,Mapping!$E$11:$I$204,5,0)</f>
        <v>SCS</v>
      </c>
      <c r="AO159" s="35" t="s">
        <v>114</v>
      </c>
      <c r="AP159" s="35"/>
      <c r="AQ159" s="35">
        <v>71015</v>
      </c>
      <c r="AR159" s="35" t="s">
        <v>585</v>
      </c>
      <c r="AS159" s="121">
        <v>9.7680000000000003E-2</v>
      </c>
      <c r="AU159" s="7" t="str">
        <f>VLOOKUP($AO159,Mapping!$E$11:$I$204,3,0)</f>
        <v>Connections</v>
      </c>
      <c r="AV159" s="7" t="str">
        <f>IFERROR(VLOOKUP($AQ159,Mapping!$E$208:$K$236,5,0),"Contracts")</f>
        <v>Materials</v>
      </c>
      <c r="AW159" s="7" t="str">
        <f>IFERROR(VLOOKUP($AQ159,Mapping!$E$208:$K$236,7,0),"ENDirect")</f>
        <v>ENDirect</v>
      </c>
      <c r="AX159" s="7" t="str">
        <f>IFERROR(HLOOKUP(AV159,'Calc|Weightings'!$U$5:$W$5,1,0),"Excl")</f>
        <v>Materials</v>
      </c>
      <c r="AY159" s="7" t="str">
        <f>VLOOKUP(AO159,Mapping!$E$11:$I$204,5,0)</f>
        <v>SCS</v>
      </c>
    </row>
    <row r="160" spans="1:51" x14ac:dyDescent="0.3">
      <c r="A160" s="7"/>
      <c r="B160" s="7"/>
      <c r="C160" s="7"/>
      <c r="D160" s="7"/>
      <c r="E160" s="32" t="s">
        <v>550</v>
      </c>
      <c r="F160" s="32"/>
      <c r="G160" s="32">
        <v>72345</v>
      </c>
      <c r="H160" s="32" t="s">
        <v>467</v>
      </c>
      <c r="I160" s="33">
        <v>2631.127</v>
      </c>
      <c r="J160" s="170"/>
      <c r="K160" s="7" t="str">
        <f>VLOOKUP($E160,Mapping!$E$11:$I$204,3,0)</f>
        <v>Connections</v>
      </c>
      <c r="L160" s="7" t="str">
        <f>IFERROR(VLOOKUP($G160,Mapping!$E$208:$K$236,5,0),"Contracts")</f>
        <v>Contracts</v>
      </c>
      <c r="M160" s="7" t="str">
        <f>IFERROR(VLOOKUP($G160,Mapping!$E$208:$K$236,7,0),"ENDirect")</f>
        <v>ENDirect</v>
      </c>
      <c r="N160" s="7" t="str">
        <f>IFERROR(HLOOKUP(L160,'Calc|Weightings'!$U$5:$W$5,1,0),"Excl")</f>
        <v>Contracts</v>
      </c>
      <c r="O160" s="7" t="str">
        <f>VLOOKUP(E160,Mapping!$E$11:$I$204,5,0)</f>
        <v>SCS</v>
      </c>
      <c r="Q160" s="32" t="s">
        <v>125</v>
      </c>
      <c r="R160" s="32"/>
      <c r="S160" s="32">
        <v>71005</v>
      </c>
      <c r="T160" s="32" t="s">
        <v>461</v>
      </c>
      <c r="U160" s="33">
        <v>220.63</v>
      </c>
      <c r="V160" s="7"/>
      <c r="W160" s="7" t="str">
        <f>VLOOKUP($Q160,Mapping!$E$11:$I$204,3,0)</f>
        <v>Augmentation</v>
      </c>
      <c r="X160" s="7" t="str">
        <f>IFERROR(VLOOKUP($S160,Mapping!$E$208:$K$236,5,0),"Contracts")</f>
        <v>Materials</v>
      </c>
      <c r="Y160" s="7" t="str">
        <f>IFERROR(VLOOKUP($S160,Mapping!$E$208:$K$236,7,0),"ENDirect")</f>
        <v>ENDirect</v>
      </c>
      <c r="Z160" s="7" t="str">
        <f>IFERROR(HLOOKUP(X160,'Calc|Weightings'!$U$5:$W$5,1,0),"Excl")</f>
        <v>Materials</v>
      </c>
      <c r="AA160" s="7" t="str">
        <f>VLOOKUP(Q160,Mapping!$E$11:$I$204,5,0)</f>
        <v>SCS</v>
      </c>
      <c r="AC160" s="35" t="s">
        <v>145</v>
      </c>
      <c r="AD160" s="35"/>
      <c r="AE160" s="35">
        <v>71020</v>
      </c>
      <c r="AF160" s="35" t="s">
        <v>459</v>
      </c>
      <c r="AG160" s="36">
        <v>42.168999999999997</v>
      </c>
      <c r="AI160" s="7" t="str">
        <f>VLOOKUP($AC160,Mapping!$E$11:$I$204,3,0)</f>
        <v>Augmentation</v>
      </c>
      <c r="AJ160" s="7" t="str">
        <f>IFERROR(VLOOKUP($AE160,Mapping!$E$208:$K$236,5,0),"Contracts")</f>
        <v>Contracts</v>
      </c>
      <c r="AK160" s="7" t="str">
        <f>IFERROR(VLOOKUP($AE160,Mapping!$E$208:$K$236,7,0),"ENDirect")</f>
        <v>ENDirect</v>
      </c>
      <c r="AL160" s="7" t="str">
        <f>IFERROR(HLOOKUP(AJ160,'Calc|Weightings'!$U$5:$W$5,1,0),"Excl")</f>
        <v>Contracts</v>
      </c>
      <c r="AM160" s="7" t="str">
        <f>VLOOKUP(AC160,Mapping!$E$11:$I$204,5,0)</f>
        <v>SCS</v>
      </c>
      <c r="AO160" s="35" t="s">
        <v>114</v>
      </c>
      <c r="AP160" s="35"/>
      <c r="AQ160" s="35">
        <v>71030</v>
      </c>
      <c r="AR160" s="35" t="s">
        <v>464</v>
      </c>
      <c r="AS160" s="121">
        <v>0.23071000000000003</v>
      </c>
      <c r="AU160" s="7" t="str">
        <f>VLOOKUP($AO160,Mapping!$E$11:$I$204,3,0)</f>
        <v>Connections</v>
      </c>
      <c r="AV160" s="7" t="str">
        <f>IFERROR(VLOOKUP($AQ160,Mapping!$E$208:$K$236,5,0),"Contracts")</f>
        <v>Contracts</v>
      </c>
      <c r="AW160" s="7" t="str">
        <f>IFERROR(VLOOKUP($AQ160,Mapping!$E$208:$K$236,7,0),"ENDirect")</f>
        <v>ENDirect</v>
      </c>
      <c r="AX160" s="7" t="str">
        <f>IFERROR(HLOOKUP(AV160,'Calc|Weightings'!$U$5:$W$5,1,0),"Excl")</f>
        <v>Contracts</v>
      </c>
      <c r="AY160" s="7" t="str">
        <f>VLOOKUP(AO160,Mapping!$E$11:$I$204,5,0)</f>
        <v>SCS</v>
      </c>
    </row>
    <row r="161" spans="1:51" x14ac:dyDescent="0.3">
      <c r="A161" s="7"/>
      <c r="B161" s="7"/>
      <c r="C161" s="7"/>
      <c r="D161" s="7"/>
      <c r="E161" s="32" t="s">
        <v>111</v>
      </c>
      <c r="F161" s="32"/>
      <c r="G161" s="32">
        <v>71005</v>
      </c>
      <c r="H161" s="32" t="s">
        <v>461</v>
      </c>
      <c r="I161" s="33">
        <v>679.73500000000001</v>
      </c>
      <c r="J161" s="170"/>
      <c r="K161" s="7" t="str">
        <f>VLOOKUP($E161,Mapping!$E$11:$I$204,3,0)</f>
        <v>Connections</v>
      </c>
      <c r="L161" s="7" t="str">
        <f>IFERROR(VLOOKUP($G161,Mapping!$E$208:$K$236,5,0),"Contracts")</f>
        <v>Materials</v>
      </c>
      <c r="M161" s="7" t="str">
        <f>IFERROR(VLOOKUP($G161,Mapping!$E$208:$K$236,7,0),"ENDirect")</f>
        <v>ENDirect</v>
      </c>
      <c r="N161" s="7" t="str">
        <f>IFERROR(HLOOKUP(L161,'Calc|Weightings'!$U$5:$W$5,1,0),"Excl")</f>
        <v>Materials</v>
      </c>
      <c r="O161" s="7" t="str">
        <f>VLOOKUP(E161,Mapping!$E$11:$I$204,5,0)</f>
        <v>SCS</v>
      </c>
      <c r="Q161" s="32" t="s">
        <v>546</v>
      </c>
      <c r="R161" s="32"/>
      <c r="S161" s="32">
        <v>71000</v>
      </c>
      <c r="T161" s="32" t="s">
        <v>457</v>
      </c>
      <c r="U161" s="33">
        <v>483.78800000000001</v>
      </c>
      <c r="V161" s="7"/>
      <c r="W161" s="7" t="str">
        <f>VLOOKUP($Q161,Mapping!$E$11:$I$204,3,0)</f>
        <v>Connections</v>
      </c>
      <c r="X161" s="7" t="str">
        <f>IFERROR(VLOOKUP($S161,Mapping!$E$208:$K$236,5,0),"Contracts")</f>
        <v>Labour</v>
      </c>
      <c r="Y161" s="7" t="str">
        <f>IFERROR(VLOOKUP($S161,Mapping!$E$208:$K$236,7,0),"ENDirect")</f>
        <v>ENDirect</v>
      </c>
      <c r="Z161" s="7" t="str">
        <f>IFERROR(HLOOKUP(X161,'Calc|Weightings'!$U$5:$W$5,1,0),"Excl")</f>
        <v>Labour</v>
      </c>
      <c r="AA161" s="7" t="str">
        <f>VLOOKUP(Q161,Mapping!$E$11:$I$204,5,0)</f>
        <v>SCS</v>
      </c>
      <c r="AC161" s="35" t="s">
        <v>145</v>
      </c>
      <c r="AD161" s="35"/>
      <c r="AE161" s="35">
        <v>71030</v>
      </c>
      <c r="AF161" s="35" t="s">
        <v>464</v>
      </c>
      <c r="AG161" s="36">
        <v>213.53299999999999</v>
      </c>
      <c r="AI161" s="7" t="str">
        <f>VLOOKUP($AC161,Mapping!$E$11:$I$204,3,0)</f>
        <v>Augmentation</v>
      </c>
      <c r="AJ161" s="7" t="str">
        <f>IFERROR(VLOOKUP($AE161,Mapping!$E$208:$K$236,5,0),"Contracts")</f>
        <v>Contracts</v>
      </c>
      <c r="AK161" s="7" t="str">
        <f>IFERROR(VLOOKUP($AE161,Mapping!$E$208:$K$236,7,0),"ENDirect")</f>
        <v>ENDirect</v>
      </c>
      <c r="AL161" s="7" t="str">
        <f>IFERROR(HLOOKUP(AJ161,'Calc|Weightings'!$U$5:$W$5,1,0),"Excl")</f>
        <v>Contracts</v>
      </c>
      <c r="AM161" s="7" t="str">
        <f>VLOOKUP(AC161,Mapping!$E$11:$I$204,5,0)</f>
        <v>SCS</v>
      </c>
      <c r="AO161" s="35" t="s">
        <v>114</v>
      </c>
      <c r="AP161" s="35"/>
      <c r="AQ161" s="35">
        <v>71055</v>
      </c>
      <c r="AR161" s="35" t="s">
        <v>465</v>
      </c>
      <c r="AS161" s="121">
        <v>0.45129999999999998</v>
      </c>
      <c r="AU161" s="7" t="str">
        <f>VLOOKUP($AO161,Mapping!$E$11:$I$204,3,0)</f>
        <v>Connections</v>
      </c>
      <c r="AV161" s="7" t="str">
        <f>IFERROR(VLOOKUP($AQ161,Mapping!$E$208:$K$236,5,0),"Contracts")</f>
        <v>Contracts</v>
      </c>
      <c r="AW161" s="7" t="str">
        <f>IFERROR(VLOOKUP($AQ161,Mapping!$E$208:$K$236,7,0),"ENDirect")</f>
        <v>ENDirect</v>
      </c>
      <c r="AX161" s="7" t="str">
        <f>IFERROR(HLOOKUP(AV161,'Calc|Weightings'!$U$5:$W$5,1,0),"Excl")</f>
        <v>Contracts</v>
      </c>
      <c r="AY161" s="7" t="str">
        <f>VLOOKUP(AO161,Mapping!$E$11:$I$204,5,0)</f>
        <v>SCS</v>
      </c>
    </row>
    <row r="162" spans="1:51" x14ac:dyDescent="0.3">
      <c r="A162" s="7"/>
      <c r="B162" s="7"/>
      <c r="C162" s="7"/>
      <c r="D162" s="7"/>
      <c r="E162" s="32" t="s">
        <v>111</v>
      </c>
      <c r="F162" s="32"/>
      <c r="G162" s="32">
        <v>71055</v>
      </c>
      <c r="H162" s="32" t="s">
        <v>465</v>
      </c>
      <c r="I162" s="33">
        <v>926.48400000000004</v>
      </c>
      <c r="J162" s="170"/>
      <c r="K162" s="7" t="str">
        <f>VLOOKUP($E162,Mapping!$E$11:$I$204,3,0)</f>
        <v>Connections</v>
      </c>
      <c r="L162" s="7" t="str">
        <f>IFERROR(VLOOKUP($G162,Mapping!$E$208:$K$236,5,0),"Contracts")</f>
        <v>Contracts</v>
      </c>
      <c r="M162" s="7" t="str">
        <f>IFERROR(VLOOKUP($G162,Mapping!$E$208:$K$236,7,0),"ENDirect")</f>
        <v>ENDirect</v>
      </c>
      <c r="N162" s="7" t="str">
        <f>IFERROR(HLOOKUP(L162,'Calc|Weightings'!$U$5:$W$5,1,0),"Excl")</f>
        <v>Contracts</v>
      </c>
      <c r="O162" s="7" t="str">
        <f>VLOOKUP(E162,Mapping!$E$11:$I$204,5,0)</f>
        <v>SCS</v>
      </c>
      <c r="Q162" s="32" t="s">
        <v>546</v>
      </c>
      <c r="R162" s="32"/>
      <c r="S162" s="32">
        <v>71005</v>
      </c>
      <c r="T162" s="32" t="s">
        <v>461</v>
      </c>
      <c r="U162" s="33">
        <v>140.96799999999999</v>
      </c>
      <c r="V162" s="7"/>
      <c r="W162" s="7" t="str">
        <f>VLOOKUP($Q162,Mapping!$E$11:$I$204,3,0)</f>
        <v>Connections</v>
      </c>
      <c r="X162" s="7" t="str">
        <f>IFERROR(VLOOKUP($S162,Mapping!$E$208:$K$236,5,0),"Contracts")</f>
        <v>Materials</v>
      </c>
      <c r="Y162" s="7" t="str">
        <f>IFERROR(VLOOKUP($S162,Mapping!$E$208:$K$236,7,0),"ENDirect")</f>
        <v>ENDirect</v>
      </c>
      <c r="Z162" s="7" t="str">
        <f>IFERROR(HLOOKUP(X162,'Calc|Weightings'!$U$5:$W$5,1,0),"Excl")</f>
        <v>Materials</v>
      </c>
      <c r="AA162" s="7" t="str">
        <f>VLOOKUP(Q162,Mapping!$E$11:$I$204,5,0)</f>
        <v>SCS</v>
      </c>
      <c r="AC162" s="35" t="s">
        <v>145</v>
      </c>
      <c r="AD162" s="35"/>
      <c r="AE162" s="35">
        <v>71055</v>
      </c>
      <c r="AF162" s="35" t="s">
        <v>465</v>
      </c>
      <c r="AG162" s="36">
        <v>392.34800000000001</v>
      </c>
      <c r="AI162" s="7" t="str">
        <f>VLOOKUP($AC162,Mapping!$E$11:$I$204,3,0)</f>
        <v>Augmentation</v>
      </c>
      <c r="AJ162" s="7" t="str">
        <f>IFERROR(VLOOKUP($AE162,Mapping!$E$208:$K$236,5,0),"Contracts")</f>
        <v>Contracts</v>
      </c>
      <c r="AK162" s="7" t="str">
        <f>IFERROR(VLOOKUP($AE162,Mapping!$E$208:$K$236,7,0),"ENDirect")</f>
        <v>ENDirect</v>
      </c>
      <c r="AL162" s="7" t="str">
        <f>IFERROR(HLOOKUP(AJ162,'Calc|Weightings'!$U$5:$W$5,1,0),"Excl")</f>
        <v>Contracts</v>
      </c>
      <c r="AM162" s="7" t="str">
        <f>VLOOKUP(AC162,Mapping!$E$11:$I$204,5,0)</f>
        <v>SCS</v>
      </c>
      <c r="AO162" s="35" t="s">
        <v>114</v>
      </c>
      <c r="AP162" s="35"/>
      <c r="AQ162" s="35">
        <v>71070</v>
      </c>
      <c r="AR162" s="35" t="s">
        <v>586</v>
      </c>
      <c r="AS162" s="121">
        <v>82.475719999999967</v>
      </c>
      <c r="AU162" s="7" t="str">
        <f>VLOOKUP($AO162,Mapping!$E$11:$I$204,3,0)</f>
        <v>Connections</v>
      </c>
      <c r="AV162" s="7" t="str">
        <f>IFERROR(VLOOKUP($AQ162,Mapping!$E$208:$K$236,5,0),"Contracts")</f>
        <v>Contracts</v>
      </c>
      <c r="AW162" s="7" t="str">
        <f>IFERROR(VLOOKUP($AQ162,Mapping!$E$208:$K$236,7,0),"ENDirect")</f>
        <v>ENDirect</v>
      </c>
      <c r="AX162" s="7" t="str">
        <f>IFERROR(HLOOKUP(AV162,'Calc|Weightings'!$U$5:$W$5,1,0),"Excl")</f>
        <v>Contracts</v>
      </c>
      <c r="AY162" s="7" t="str">
        <f>VLOOKUP(AO162,Mapping!$E$11:$I$204,5,0)</f>
        <v>SCS</v>
      </c>
    </row>
    <row r="163" spans="1:51" x14ac:dyDescent="0.3">
      <c r="A163" s="7"/>
      <c r="B163" s="7"/>
      <c r="C163" s="7"/>
      <c r="D163" s="7"/>
      <c r="E163" s="32" t="s">
        <v>551</v>
      </c>
      <c r="F163" s="32"/>
      <c r="G163" s="32">
        <v>71020</v>
      </c>
      <c r="H163" s="32" t="s">
        <v>459</v>
      </c>
      <c r="I163" s="33">
        <v>4.2469999999999999</v>
      </c>
      <c r="J163" s="170"/>
      <c r="K163" s="7" t="str">
        <f>VLOOKUP($E163,Mapping!$E$11:$I$204,3,0)</f>
        <v>Connections</v>
      </c>
      <c r="L163" s="7" t="str">
        <f>IFERROR(VLOOKUP($G163,Mapping!$E$208:$K$236,5,0),"Contracts")</f>
        <v>Contracts</v>
      </c>
      <c r="M163" s="7" t="str">
        <f>IFERROR(VLOOKUP($G163,Mapping!$E$208:$K$236,7,0),"ENDirect")</f>
        <v>ENDirect</v>
      </c>
      <c r="N163" s="7" t="str">
        <f>IFERROR(HLOOKUP(L163,'Calc|Weightings'!$U$5:$W$5,1,0),"Excl")</f>
        <v>Contracts</v>
      </c>
      <c r="O163" s="7" t="str">
        <f>VLOOKUP(E163,Mapping!$E$11:$I$204,5,0)</f>
        <v>SCS</v>
      </c>
      <c r="Q163" s="32" t="s">
        <v>546</v>
      </c>
      <c r="R163" s="32"/>
      <c r="S163" s="32">
        <v>71010</v>
      </c>
      <c r="T163" s="32" t="s">
        <v>462</v>
      </c>
      <c r="U163" s="33">
        <v>348.65499999999997</v>
      </c>
      <c r="V163" s="7"/>
      <c r="W163" s="7" t="str">
        <f>VLOOKUP($Q163,Mapping!$E$11:$I$204,3,0)</f>
        <v>Connections</v>
      </c>
      <c r="X163" s="7" t="str">
        <f>IFERROR(VLOOKUP($S163,Mapping!$E$208:$K$236,5,0),"Contracts")</f>
        <v>Labour</v>
      </c>
      <c r="Y163" s="7" t="str">
        <f>IFERROR(VLOOKUP($S163,Mapping!$E$208:$K$236,7,0),"ENDirect")</f>
        <v>ENDirect</v>
      </c>
      <c r="Z163" s="7" t="str">
        <f>IFERROR(HLOOKUP(X163,'Calc|Weightings'!$U$5:$W$5,1,0),"Excl")</f>
        <v>Labour</v>
      </c>
      <c r="AA163" s="7" t="str">
        <f>VLOOKUP(Q163,Mapping!$E$11:$I$204,5,0)</f>
        <v>SCS</v>
      </c>
      <c r="AC163" s="35" t="s">
        <v>145</v>
      </c>
      <c r="AD163" s="35"/>
      <c r="AE163" s="35">
        <v>80000</v>
      </c>
      <c r="AF163" s="35" t="s">
        <v>453</v>
      </c>
      <c r="AG163" s="36">
        <v>460.54599999999999</v>
      </c>
      <c r="AI163" s="7" t="str">
        <f>VLOOKUP($AC163,Mapping!$E$11:$I$204,3,0)</f>
        <v>Augmentation</v>
      </c>
      <c r="AJ163" s="7" t="str">
        <f>IFERROR(VLOOKUP($AE163,Mapping!$E$208:$K$236,5,0),"Contracts")</f>
        <v>Overhead</v>
      </c>
      <c r="AK163" s="7" t="str">
        <f>IFERROR(VLOOKUP($AE163,Mapping!$E$208:$K$236,7,0),"ENDirect")</f>
        <v>OH</v>
      </c>
      <c r="AL163" s="7" t="str">
        <f>IFERROR(HLOOKUP(AJ163,'Calc|Weightings'!$U$5:$W$5,1,0),"Excl")</f>
        <v>Excl</v>
      </c>
      <c r="AM163" s="7" t="str">
        <f>VLOOKUP(AC163,Mapping!$E$11:$I$204,5,0)</f>
        <v>SCS</v>
      </c>
      <c r="AO163" s="35" t="s">
        <v>114</v>
      </c>
      <c r="AP163" s="35"/>
      <c r="AQ163" s="35">
        <v>71075</v>
      </c>
      <c r="AR163" s="35" t="s">
        <v>587</v>
      </c>
      <c r="AS163" s="121">
        <v>9.2465600000000006</v>
      </c>
      <c r="AU163" s="7" t="str">
        <f>VLOOKUP($AO163,Mapping!$E$11:$I$204,3,0)</f>
        <v>Connections</v>
      </c>
      <c r="AV163" s="7" t="str">
        <f>IFERROR(VLOOKUP($AQ163,Mapping!$E$208:$K$236,5,0),"Contracts")</f>
        <v>Contracts</v>
      </c>
      <c r="AW163" s="7" t="str">
        <f>IFERROR(VLOOKUP($AQ163,Mapping!$E$208:$K$236,7,0),"ENDirect")</f>
        <v>ENDirect</v>
      </c>
      <c r="AX163" s="7" t="str">
        <f>IFERROR(HLOOKUP(AV163,'Calc|Weightings'!$U$5:$W$5,1,0),"Excl")</f>
        <v>Contracts</v>
      </c>
      <c r="AY163" s="7" t="str">
        <f>VLOOKUP(AO163,Mapping!$E$11:$I$204,5,0)</f>
        <v>SCS</v>
      </c>
    </row>
    <row r="164" spans="1:51" x14ac:dyDescent="0.3">
      <c r="A164" s="7"/>
      <c r="B164" s="7"/>
      <c r="C164" s="7"/>
      <c r="D164" s="7"/>
      <c r="E164" s="32" t="s">
        <v>549</v>
      </c>
      <c r="F164" s="32"/>
      <c r="G164" s="32">
        <v>71040</v>
      </c>
      <c r="H164" s="32" t="s">
        <v>460</v>
      </c>
      <c r="I164" s="33">
        <v>-3.5</v>
      </c>
      <c r="J164" s="170"/>
      <c r="K164" s="7" t="str">
        <f>VLOOKUP($E164,Mapping!$E$11:$I$204,3,0)</f>
        <v>Connections</v>
      </c>
      <c r="L164" s="7" t="str">
        <f>IFERROR(VLOOKUP($G164,Mapping!$E$208:$K$236,5,0),"Contracts")</f>
        <v>Contracts</v>
      </c>
      <c r="M164" s="7" t="str">
        <f>IFERROR(VLOOKUP($G164,Mapping!$E$208:$K$236,7,0),"ENDirect")</f>
        <v>ENDirect</v>
      </c>
      <c r="N164" s="7" t="str">
        <f>IFERROR(HLOOKUP(L164,'Calc|Weightings'!$U$5:$W$5,1,0),"Excl")</f>
        <v>Contracts</v>
      </c>
      <c r="O164" s="7" t="str">
        <f>VLOOKUP(E164,Mapping!$E$11:$I$204,5,0)</f>
        <v>SCS</v>
      </c>
      <c r="Q164" s="32" t="s">
        <v>546</v>
      </c>
      <c r="R164" s="32"/>
      <c r="S164" s="32">
        <v>71015</v>
      </c>
      <c r="T164" s="32" t="s">
        <v>463</v>
      </c>
      <c r="U164" s="33">
        <v>58.139000000000003</v>
      </c>
      <c r="V164" s="7"/>
      <c r="W164" s="7" t="str">
        <f>VLOOKUP($Q164,Mapping!$E$11:$I$204,3,0)</f>
        <v>Connections</v>
      </c>
      <c r="X164" s="7" t="str">
        <f>IFERROR(VLOOKUP($S164,Mapping!$E$208:$K$236,5,0),"Contracts")</f>
        <v>Materials</v>
      </c>
      <c r="Y164" s="7" t="str">
        <f>IFERROR(VLOOKUP($S164,Mapping!$E$208:$K$236,7,0),"ENDirect")</f>
        <v>ENDirect</v>
      </c>
      <c r="Z164" s="7" t="str">
        <f>IFERROR(HLOOKUP(X164,'Calc|Weightings'!$U$5:$W$5,1,0),"Excl")</f>
        <v>Materials</v>
      </c>
      <c r="AA164" s="7" t="str">
        <f>VLOOKUP(Q164,Mapping!$E$11:$I$204,5,0)</f>
        <v>SCS</v>
      </c>
      <c r="AC164" s="35" t="s">
        <v>550</v>
      </c>
      <c r="AD164" s="35"/>
      <c r="AE164" s="35">
        <v>71020</v>
      </c>
      <c r="AF164" s="35" t="s">
        <v>459</v>
      </c>
      <c r="AG164" s="36">
        <v>0.33600000000000002</v>
      </c>
      <c r="AI164" s="7" t="str">
        <f>VLOOKUP($AC164,Mapping!$E$11:$I$204,3,0)</f>
        <v>Connections</v>
      </c>
      <c r="AJ164" s="7" t="str">
        <f>IFERROR(VLOOKUP($AE164,Mapping!$E$208:$K$236,5,0),"Contracts")</f>
        <v>Contracts</v>
      </c>
      <c r="AK164" s="7" t="str">
        <f>IFERROR(VLOOKUP($AE164,Mapping!$E$208:$K$236,7,0),"ENDirect")</f>
        <v>ENDirect</v>
      </c>
      <c r="AL164" s="7" t="str">
        <f>IFERROR(HLOOKUP(AJ164,'Calc|Weightings'!$U$5:$W$5,1,0),"Excl")</f>
        <v>Contracts</v>
      </c>
      <c r="AM164" s="7" t="str">
        <f>VLOOKUP(AC164,Mapping!$E$11:$I$204,5,0)</f>
        <v>SCS</v>
      </c>
      <c r="AO164" s="35" t="s">
        <v>114</v>
      </c>
      <c r="AP164" s="35"/>
      <c r="AQ164" s="35">
        <v>80000</v>
      </c>
      <c r="AR164" s="35" t="s">
        <v>589</v>
      </c>
      <c r="AS164" s="121">
        <v>15.7407</v>
      </c>
      <c r="AU164" s="7" t="str">
        <f>VLOOKUP($AO164,Mapping!$E$11:$I$204,3,0)</f>
        <v>Connections</v>
      </c>
      <c r="AV164" s="7" t="str">
        <f>IFERROR(VLOOKUP($AQ164,Mapping!$E$208:$K$236,5,0),"Contracts")</f>
        <v>Overhead</v>
      </c>
      <c r="AW164" s="7" t="str">
        <f>IFERROR(VLOOKUP($AQ164,Mapping!$E$208:$K$236,7,0),"ENDirect")</f>
        <v>OH</v>
      </c>
      <c r="AX164" s="7" t="str">
        <f>IFERROR(HLOOKUP(AV164,'Calc|Weightings'!$U$5:$W$5,1,0),"Excl")</f>
        <v>Excl</v>
      </c>
      <c r="AY164" s="7" t="str">
        <f>VLOOKUP(AO164,Mapping!$E$11:$I$204,5,0)</f>
        <v>SCS</v>
      </c>
    </row>
    <row r="165" spans="1:51" x14ac:dyDescent="0.3">
      <c r="A165" s="7"/>
      <c r="B165" s="7"/>
      <c r="C165" s="7"/>
      <c r="D165" s="7"/>
      <c r="E165" s="32" t="s">
        <v>550</v>
      </c>
      <c r="F165" s="32"/>
      <c r="G165" s="32">
        <v>71006</v>
      </c>
      <c r="H165" s="32" t="s">
        <v>468</v>
      </c>
      <c r="I165" s="33">
        <v>2349.355</v>
      </c>
      <c r="J165" s="170"/>
      <c r="K165" s="7" t="str">
        <f>VLOOKUP($E165,Mapping!$E$11:$I$204,3,0)</f>
        <v>Connections</v>
      </c>
      <c r="L165" s="7" t="str">
        <f>IFERROR(VLOOKUP($G165,Mapping!$E$208:$K$236,5,0),"Contracts")</f>
        <v>Materials</v>
      </c>
      <c r="M165" s="7" t="str">
        <f>IFERROR(VLOOKUP($G165,Mapping!$E$208:$K$236,7,0),"ENDirect")</f>
        <v>ENDirect</v>
      </c>
      <c r="N165" s="7" t="str">
        <f>IFERROR(HLOOKUP(L165,'Calc|Weightings'!$U$5:$W$5,1,0),"Excl")</f>
        <v>Materials</v>
      </c>
      <c r="O165" s="7" t="str">
        <f>VLOOKUP(E165,Mapping!$E$11:$I$204,5,0)</f>
        <v>SCS</v>
      </c>
      <c r="Q165" s="32" t="s">
        <v>546</v>
      </c>
      <c r="R165" s="32"/>
      <c r="S165" s="32">
        <v>71020</v>
      </c>
      <c r="T165" s="32" t="s">
        <v>459</v>
      </c>
      <c r="U165" s="33">
        <v>-1E-3</v>
      </c>
      <c r="V165" s="7"/>
      <c r="W165" s="7" t="str">
        <f>VLOOKUP($Q165,Mapping!$E$11:$I$204,3,0)</f>
        <v>Connections</v>
      </c>
      <c r="X165" s="7" t="str">
        <f>IFERROR(VLOOKUP($S165,Mapping!$E$208:$K$236,5,0),"Contracts")</f>
        <v>Contracts</v>
      </c>
      <c r="Y165" s="7" t="str">
        <f>IFERROR(VLOOKUP($S165,Mapping!$E$208:$K$236,7,0),"ENDirect")</f>
        <v>ENDirect</v>
      </c>
      <c r="Z165" s="7" t="str">
        <f>IFERROR(HLOOKUP(X165,'Calc|Weightings'!$U$5:$W$5,1,0),"Excl")</f>
        <v>Contracts</v>
      </c>
      <c r="AA165" s="7" t="str">
        <f>VLOOKUP(Q165,Mapping!$E$11:$I$204,5,0)</f>
        <v>SCS</v>
      </c>
      <c r="AC165" s="35" t="s">
        <v>546</v>
      </c>
      <c r="AD165" s="35"/>
      <c r="AE165" s="35">
        <v>71000</v>
      </c>
      <c r="AF165" s="35" t="s">
        <v>457</v>
      </c>
      <c r="AG165" s="36">
        <v>760.16</v>
      </c>
      <c r="AI165" s="7" t="str">
        <f>VLOOKUP($AC165,Mapping!$E$11:$I$204,3,0)</f>
        <v>Connections</v>
      </c>
      <c r="AJ165" s="7" t="str">
        <f>IFERROR(VLOOKUP($AE165,Mapping!$E$208:$K$236,5,0),"Contracts")</f>
        <v>Labour</v>
      </c>
      <c r="AK165" s="7" t="str">
        <f>IFERROR(VLOOKUP($AE165,Mapping!$E$208:$K$236,7,0),"ENDirect")</f>
        <v>ENDirect</v>
      </c>
      <c r="AL165" s="7" t="str">
        <f>IFERROR(HLOOKUP(AJ165,'Calc|Weightings'!$U$5:$W$5,1,0),"Excl")</f>
        <v>Labour</v>
      </c>
      <c r="AM165" s="7" t="str">
        <f>VLOOKUP(AC165,Mapping!$E$11:$I$204,5,0)</f>
        <v>SCS</v>
      </c>
      <c r="AO165" s="35" t="s">
        <v>115</v>
      </c>
      <c r="AP165" s="35"/>
      <c r="AQ165" s="35">
        <v>71000</v>
      </c>
      <c r="AR165" s="35" t="s">
        <v>457</v>
      </c>
      <c r="AS165" s="121">
        <v>-7.5354599999999996</v>
      </c>
      <c r="AU165" s="7" t="str">
        <f>VLOOKUP($AO165,Mapping!$E$11:$I$204,3,0)</f>
        <v>Connections</v>
      </c>
      <c r="AV165" s="7" t="str">
        <f>IFERROR(VLOOKUP($AQ165,Mapping!$E$208:$K$236,5,0),"Contracts")</f>
        <v>Labour</v>
      </c>
      <c r="AW165" s="7" t="str">
        <f>IFERROR(VLOOKUP($AQ165,Mapping!$E$208:$K$236,7,0),"ENDirect")</f>
        <v>ENDirect</v>
      </c>
      <c r="AX165" s="7" t="str">
        <f>IFERROR(HLOOKUP(AV165,'Calc|Weightings'!$U$5:$W$5,1,0),"Excl")</f>
        <v>Labour</v>
      </c>
      <c r="AY165" s="7" t="str">
        <f>VLOOKUP(AO165,Mapping!$E$11:$I$204,5,0)</f>
        <v>SCS</v>
      </c>
    </row>
    <row r="166" spans="1:51" x14ac:dyDescent="0.3">
      <c r="A166" s="7"/>
      <c r="B166" s="7"/>
      <c r="C166" s="7"/>
      <c r="D166" s="7"/>
      <c r="E166" s="32" t="s">
        <v>528</v>
      </c>
      <c r="F166" s="32"/>
      <c r="G166" s="32">
        <v>71020</v>
      </c>
      <c r="H166" s="32" t="s">
        <v>459</v>
      </c>
      <c r="I166" s="33">
        <v>-14.366</v>
      </c>
      <c r="J166" s="170"/>
      <c r="K166" s="7" t="str">
        <f>VLOOKUP($E166,Mapping!$E$11:$I$204,3,0)</f>
        <v>Connections</v>
      </c>
      <c r="L166" s="7" t="str">
        <f>IFERROR(VLOOKUP($G166,Mapping!$E$208:$K$236,5,0),"Contracts")</f>
        <v>Contracts</v>
      </c>
      <c r="M166" s="7" t="str">
        <f>IFERROR(VLOOKUP($G166,Mapping!$E$208:$K$236,7,0),"ENDirect")</f>
        <v>ENDirect</v>
      </c>
      <c r="N166" s="7" t="str">
        <f>IFERROR(HLOOKUP(L166,'Calc|Weightings'!$U$5:$W$5,1,0),"Excl")</f>
        <v>Contracts</v>
      </c>
      <c r="O166" s="7" t="str">
        <f>VLOOKUP(E166,Mapping!$E$11:$I$204,5,0)</f>
        <v>SCS</v>
      </c>
      <c r="Q166" s="32" t="s">
        <v>546</v>
      </c>
      <c r="R166" s="32"/>
      <c r="S166" s="32">
        <v>71030</v>
      </c>
      <c r="T166" s="32" t="s">
        <v>464</v>
      </c>
      <c r="U166" s="33">
        <v>84.316000000000003</v>
      </c>
      <c r="V166" s="7"/>
      <c r="W166" s="7" t="str">
        <f>VLOOKUP($Q166,Mapping!$E$11:$I$204,3,0)</f>
        <v>Connections</v>
      </c>
      <c r="X166" s="7" t="str">
        <f>IFERROR(VLOOKUP($S166,Mapping!$E$208:$K$236,5,0),"Contracts")</f>
        <v>Contracts</v>
      </c>
      <c r="Y166" s="7" t="str">
        <f>IFERROR(VLOOKUP($S166,Mapping!$E$208:$K$236,7,0),"ENDirect")</f>
        <v>ENDirect</v>
      </c>
      <c r="Z166" s="7" t="str">
        <f>IFERROR(HLOOKUP(X166,'Calc|Weightings'!$U$5:$W$5,1,0),"Excl")</f>
        <v>Contracts</v>
      </c>
      <c r="AA166" s="7" t="str">
        <f>VLOOKUP(Q166,Mapping!$E$11:$I$204,5,0)</f>
        <v>SCS</v>
      </c>
      <c r="AC166" s="35" t="s">
        <v>546</v>
      </c>
      <c r="AD166" s="35"/>
      <c r="AE166" s="35">
        <v>71006</v>
      </c>
      <c r="AF166" s="35" t="s">
        <v>468</v>
      </c>
      <c r="AG166" s="36">
        <v>56.706000000000003</v>
      </c>
      <c r="AI166" s="7" t="str">
        <f>VLOOKUP($AC166,Mapping!$E$11:$I$204,3,0)</f>
        <v>Connections</v>
      </c>
      <c r="AJ166" s="7" t="str">
        <f>IFERROR(VLOOKUP($AE166,Mapping!$E$208:$K$236,5,0),"Contracts")</f>
        <v>Materials</v>
      </c>
      <c r="AK166" s="7" t="str">
        <f>IFERROR(VLOOKUP($AE166,Mapping!$E$208:$K$236,7,0),"ENDirect")</f>
        <v>ENDirect</v>
      </c>
      <c r="AL166" s="7" t="str">
        <f>IFERROR(HLOOKUP(AJ166,'Calc|Weightings'!$U$5:$W$5,1,0),"Excl")</f>
        <v>Materials</v>
      </c>
      <c r="AM166" s="7" t="str">
        <f>VLOOKUP(AC166,Mapping!$E$11:$I$204,5,0)</f>
        <v>SCS</v>
      </c>
      <c r="AO166" s="35" t="s">
        <v>115</v>
      </c>
      <c r="AP166" s="35"/>
      <c r="AQ166" s="35">
        <v>71005</v>
      </c>
      <c r="AR166" s="35" t="s">
        <v>461</v>
      </c>
      <c r="AS166" s="121">
        <v>0.67979000000000001</v>
      </c>
      <c r="AU166" s="7" t="str">
        <f>VLOOKUP($AO166,Mapping!$E$11:$I$204,3,0)</f>
        <v>Connections</v>
      </c>
      <c r="AV166" s="7" t="str">
        <f>IFERROR(VLOOKUP($AQ166,Mapping!$E$208:$K$236,5,0),"Contracts")</f>
        <v>Materials</v>
      </c>
      <c r="AW166" s="7" t="str">
        <f>IFERROR(VLOOKUP($AQ166,Mapping!$E$208:$K$236,7,0),"ENDirect")</f>
        <v>ENDirect</v>
      </c>
      <c r="AX166" s="7" t="str">
        <f>IFERROR(HLOOKUP(AV166,'Calc|Weightings'!$U$5:$W$5,1,0),"Excl")</f>
        <v>Materials</v>
      </c>
      <c r="AY166" s="7" t="str">
        <f>VLOOKUP(AO166,Mapping!$E$11:$I$204,5,0)</f>
        <v>SCS</v>
      </c>
    </row>
    <row r="167" spans="1:51" x14ac:dyDescent="0.3">
      <c r="A167" s="7"/>
      <c r="B167" s="7"/>
      <c r="C167" s="7"/>
      <c r="D167" s="7"/>
      <c r="E167" s="32" t="s">
        <v>113</v>
      </c>
      <c r="F167" s="32"/>
      <c r="G167" s="32">
        <v>71020</v>
      </c>
      <c r="H167" s="32" t="s">
        <v>459</v>
      </c>
      <c r="I167" s="33">
        <v>-76.754999999999995</v>
      </c>
      <c r="J167" s="170"/>
      <c r="K167" s="7" t="str">
        <f>VLOOKUP($E167,Mapping!$E$11:$I$204,3,0)</f>
        <v>Connections</v>
      </c>
      <c r="L167" s="7" t="str">
        <f>IFERROR(VLOOKUP($G167,Mapping!$E$208:$K$236,5,0),"Contracts")</f>
        <v>Contracts</v>
      </c>
      <c r="M167" s="7" t="str">
        <f>IFERROR(VLOOKUP($G167,Mapping!$E$208:$K$236,7,0),"ENDirect")</f>
        <v>ENDirect</v>
      </c>
      <c r="N167" s="7" t="str">
        <f>IFERROR(HLOOKUP(L167,'Calc|Weightings'!$U$5:$W$5,1,0),"Excl")</f>
        <v>Contracts</v>
      </c>
      <c r="O167" s="7" t="str">
        <f>VLOOKUP(E167,Mapping!$E$11:$I$204,5,0)</f>
        <v>SCS</v>
      </c>
      <c r="Q167" s="32" t="s">
        <v>546</v>
      </c>
      <c r="R167" s="32"/>
      <c r="S167" s="32">
        <v>71035</v>
      </c>
      <c r="T167" s="32" t="s">
        <v>470</v>
      </c>
      <c r="U167" s="33">
        <v>0</v>
      </c>
      <c r="V167" s="7"/>
      <c r="W167" s="7" t="str">
        <f>VLOOKUP($Q167,Mapping!$E$11:$I$204,3,0)</f>
        <v>Connections</v>
      </c>
      <c r="X167" s="7" t="str">
        <f>IFERROR(VLOOKUP($S167,Mapping!$E$208:$K$236,5,0),"Contracts")</f>
        <v>Contracts</v>
      </c>
      <c r="Y167" s="7" t="str">
        <f>IFERROR(VLOOKUP($S167,Mapping!$E$208:$K$236,7,0),"ENDirect")</f>
        <v>ENDirect</v>
      </c>
      <c r="Z167" s="7" t="str">
        <f>IFERROR(HLOOKUP(X167,'Calc|Weightings'!$U$5:$W$5,1,0),"Excl")</f>
        <v>Contracts</v>
      </c>
      <c r="AA167" s="7" t="str">
        <f>VLOOKUP(Q167,Mapping!$E$11:$I$204,5,0)</f>
        <v>SCS</v>
      </c>
      <c r="AC167" s="35" t="s">
        <v>546</v>
      </c>
      <c r="AD167" s="35"/>
      <c r="AE167" s="35">
        <v>71010</v>
      </c>
      <c r="AF167" s="35" t="s">
        <v>462</v>
      </c>
      <c r="AG167" s="36">
        <v>475.95</v>
      </c>
      <c r="AI167" s="7" t="str">
        <f>VLOOKUP($AC167,Mapping!$E$11:$I$204,3,0)</f>
        <v>Connections</v>
      </c>
      <c r="AJ167" s="7" t="str">
        <f>IFERROR(VLOOKUP($AE167,Mapping!$E$208:$K$236,5,0),"Contracts")</f>
        <v>Labour</v>
      </c>
      <c r="AK167" s="7" t="str">
        <f>IFERROR(VLOOKUP($AE167,Mapping!$E$208:$K$236,7,0),"ENDirect")</f>
        <v>ENDirect</v>
      </c>
      <c r="AL167" s="7" t="str">
        <f>IFERROR(HLOOKUP(AJ167,'Calc|Weightings'!$U$5:$W$5,1,0),"Excl")</f>
        <v>Labour</v>
      </c>
      <c r="AM167" s="7" t="str">
        <f>VLOOKUP(AC167,Mapping!$E$11:$I$204,5,0)</f>
        <v>SCS</v>
      </c>
      <c r="AO167" s="35" t="s">
        <v>115</v>
      </c>
      <c r="AP167" s="35"/>
      <c r="AQ167" s="35">
        <v>71010</v>
      </c>
      <c r="AR167" s="35" t="s">
        <v>487</v>
      </c>
      <c r="AS167" s="121">
        <v>1.53278</v>
      </c>
      <c r="AU167" s="7" t="str">
        <f>VLOOKUP($AO167,Mapping!$E$11:$I$204,3,0)</f>
        <v>Connections</v>
      </c>
      <c r="AV167" s="7" t="str">
        <f>IFERROR(VLOOKUP($AQ167,Mapping!$E$208:$K$236,5,0),"Contracts")</f>
        <v>Labour</v>
      </c>
      <c r="AW167" s="7" t="str">
        <f>IFERROR(VLOOKUP($AQ167,Mapping!$E$208:$K$236,7,0),"ENDirect")</f>
        <v>ENDirect</v>
      </c>
      <c r="AX167" s="7" t="str">
        <f>IFERROR(HLOOKUP(AV167,'Calc|Weightings'!$U$5:$W$5,1,0),"Excl")</f>
        <v>Labour</v>
      </c>
      <c r="AY167" s="7" t="str">
        <f>VLOOKUP(AO167,Mapping!$E$11:$I$204,5,0)</f>
        <v>SCS</v>
      </c>
    </row>
    <row r="168" spans="1:51" x14ac:dyDescent="0.3">
      <c r="A168" s="7"/>
      <c r="B168" s="7"/>
      <c r="C168" s="7"/>
      <c r="D168" s="7"/>
      <c r="E168" s="32" t="s">
        <v>159</v>
      </c>
      <c r="F168" s="32"/>
      <c r="G168" s="32">
        <v>71020</v>
      </c>
      <c r="H168" s="32" t="s">
        <v>459</v>
      </c>
      <c r="I168" s="33">
        <v>-137.72</v>
      </c>
      <c r="J168" s="170"/>
      <c r="K168" s="7" t="str">
        <f>VLOOKUP($E168,Mapping!$E$11:$I$204,3,0)</f>
        <v>Replacement</v>
      </c>
      <c r="L168" s="7" t="str">
        <f>IFERROR(VLOOKUP($G168,Mapping!$E$208:$K$236,5,0),"Contracts")</f>
        <v>Contracts</v>
      </c>
      <c r="M168" s="7" t="str">
        <f>IFERROR(VLOOKUP($G168,Mapping!$E$208:$K$236,7,0),"ENDirect")</f>
        <v>ENDirect</v>
      </c>
      <c r="N168" s="7" t="str">
        <f>IFERROR(HLOOKUP(L168,'Calc|Weightings'!$U$5:$W$5,1,0),"Excl")</f>
        <v>Contracts</v>
      </c>
      <c r="O168" s="7" t="str">
        <f>VLOOKUP(E168,Mapping!$E$11:$I$204,5,0)</f>
        <v>SCS</v>
      </c>
      <c r="Q168" s="32" t="s">
        <v>546</v>
      </c>
      <c r="R168" s="32"/>
      <c r="S168" s="32">
        <v>71040</v>
      </c>
      <c r="T168" s="32" t="s">
        <v>460</v>
      </c>
      <c r="U168" s="33">
        <v>0.11600000000000001</v>
      </c>
      <c r="V168" s="7"/>
      <c r="W168" s="7" t="str">
        <f>VLOOKUP($Q168,Mapping!$E$11:$I$204,3,0)</f>
        <v>Connections</v>
      </c>
      <c r="X168" s="7" t="str">
        <f>IFERROR(VLOOKUP($S168,Mapping!$E$208:$K$236,5,0),"Contracts")</f>
        <v>Contracts</v>
      </c>
      <c r="Y168" s="7" t="str">
        <f>IFERROR(VLOOKUP($S168,Mapping!$E$208:$K$236,7,0),"ENDirect")</f>
        <v>ENDirect</v>
      </c>
      <c r="Z168" s="7" t="str">
        <f>IFERROR(HLOOKUP(X168,'Calc|Weightings'!$U$5:$W$5,1,0),"Excl")</f>
        <v>Contracts</v>
      </c>
      <c r="AA168" s="7" t="str">
        <f>VLOOKUP(Q168,Mapping!$E$11:$I$204,5,0)</f>
        <v>SCS</v>
      </c>
      <c r="AC168" s="35" t="s">
        <v>546</v>
      </c>
      <c r="AD168" s="35"/>
      <c r="AE168" s="35">
        <v>71030</v>
      </c>
      <c r="AF168" s="35" t="s">
        <v>464</v>
      </c>
      <c r="AG168" s="36">
        <v>121.446</v>
      </c>
      <c r="AI168" s="7" t="str">
        <f>VLOOKUP($AC168,Mapping!$E$11:$I$204,3,0)</f>
        <v>Connections</v>
      </c>
      <c r="AJ168" s="7" t="str">
        <f>IFERROR(VLOOKUP($AE168,Mapping!$E$208:$K$236,5,0),"Contracts")</f>
        <v>Contracts</v>
      </c>
      <c r="AK168" s="7" t="str">
        <f>IFERROR(VLOOKUP($AE168,Mapping!$E$208:$K$236,7,0),"ENDirect")</f>
        <v>ENDirect</v>
      </c>
      <c r="AL168" s="7" t="str">
        <f>IFERROR(HLOOKUP(AJ168,'Calc|Weightings'!$U$5:$W$5,1,0),"Excl")</f>
        <v>Contracts</v>
      </c>
      <c r="AM168" s="7" t="str">
        <f>VLOOKUP(AC168,Mapping!$E$11:$I$204,5,0)</f>
        <v>SCS</v>
      </c>
      <c r="AO168" s="35" t="s">
        <v>115</v>
      </c>
      <c r="AP168" s="35"/>
      <c r="AQ168" s="35">
        <v>71015</v>
      </c>
      <c r="AR168" s="35" t="s">
        <v>585</v>
      </c>
      <c r="AS168" s="121">
        <v>4.9840000000000044E-2</v>
      </c>
      <c r="AU168" s="7" t="str">
        <f>VLOOKUP($AO168,Mapping!$E$11:$I$204,3,0)</f>
        <v>Connections</v>
      </c>
      <c r="AV168" s="7" t="str">
        <f>IFERROR(VLOOKUP($AQ168,Mapping!$E$208:$K$236,5,0),"Contracts")</f>
        <v>Materials</v>
      </c>
      <c r="AW168" s="7" t="str">
        <f>IFERROR(VLOOKUP($AQ168,Mapping!$E$208:$K$236,7,0),"ENDirect")</f>
        <v>ENDirect</v>
      </c>
      <c r="AX168" s="7" t="str">
        <f>IFERROR(HLOOKUP(AV168,'Calc|Weightings'!$U$5:$W$5,1,0),"Excl")</f>
        <v>Materials</v>
      </c>
      <c r="AY168" s="7" t="str">
        <f>VLOOKUP(AO168,Mapping!$E$11:$I$204,5,0)</f>
        <v>SCS</v>
      </c>
    </row>
    <row r="169" spans="1:51" x14ac:dyDescent="0.3">
      <c r="A169" s="7"/>
      <c r="B169" s="7"/>
      <c r="C169" s="7"/>
      <c r="D169" s="7"/>
      <c r="E169" s="32" t="s">
        <v>552</v>
      </c>
      <c r="F169" s="32"/>
      <c r="G169" s="32">
        <v>71020</v>
      </c>
      <c r="H169" s="32" t="s">
        <v>459</v>
      </c>
      <c r="I169" s="33">
        <v>-16.736000000000001</v>
      </c>
      <c r="J169" s="170"/>
      <c r="K169" s="7" t="str">
        <f>VLOOKUP($E169,Mapping!$E$11:$I$204,3,0)</f>
        <v>Connections</v>
      </c>
      <c r="L169" s="7" t="str">
        <f>IFERROR(VLOOKUP($G169,Mapping!$E$208:$K$236,5,0),"Contracts")</f>
        <v>Contracts</v>
      </c>
      <c r="M169" s="7" t="str">
        <f>IFERROR(VLOOKUP($G169,Mapping!$E$208:$K$236,7,0),"ENDirect")</f>
        <v>ENDirect</v>
      </c>
      <c r="N169" s="7" t="str">
        <f>IFERROR(HLOOKUP(L169,'Calc|Weightings'!$U$5:$W$5,1,0),"Excl")</f>
        <v>Contracts</v>
      </c>
      <c r="O169" s="7" t="str">
        <f>VLOOKUP(E169,Mapping!$E$11:$I$204,5,0)</f>
        <v>SCS</v>
      </c>
      <c r="Q169" s="32" t="s">
        <v>546</v>
      </c>
      <c r="R169" s="32"/>
      <c r="S169" s="32">
        <v>71055</v>
      </c>
      <c r="T169" s="32" t="s">
        <v>465</v>
      </c>
      <c r="U169" s="33">
        <v>172.95</v>
      </c>
      <c r="V169" s="7"/>
      <c r="W169" s="7" t="str">
        <f>VLOOKUP($Q169,Mapping!$E$11:$I$204,3,0)</f>
        <v>Connections</v>
      </c>
      <c r="X169" s="7" t="str">
        <f>IFERROR(VLOOKUP($S169,Mapping!$E$208:$K$236,5,0),"Contracts")</f>
        <v>Contracts</v>
      </c>
      <c r="Y169" s="7" t="str">
        <f>IFERROR(VLOOKUP($S169,Mapping!$E$208:$K$236,7,0),"ENDirect")</f>
        <v>ENDirect</v>
      </c>
      <c r="Z169" s="7" t="str">
        <f>IFERROR(HLOOKUP(X169,'Calc|Weightings'!$U$5:$W$5,1,0),"Excl")</f>
        <v>Contracts</v>
      </c>
      <c r="AA169" s="7" t="str">
        <f>VLOOKUP(Q169,Mapping!$E$11:$I$204,5,0)</f>
        <v>SCS</v>
      </c>
      <c r="AC169" s="35" t="s">
        <v>546</v>
      </c>
      <c r="AD169" s="35"/>
      <c r="AE169" s="35">
        <v>71055</v>
      </c>
      <c r="AF169" s="35" t="s">
        <v>465</v>
      </c>
      <c r="AG169" s="36">
        <v>266.99900000000002</v>
      </c>
      <c r="AI169" s="7" t="str">
        <f>VLOOKUP($AC169,Mapping!$E$11:$I$204,3,0)</f>
        <v>Connections</v>
      </c>
      <c r="AJ169" s="7" t="str">
        <f>IFERROR(VLOOKUP($AE169,Mapping!$E$208:$K$236,5,0),"Contracts")</f>
        <v>Contracts</v>
      </c>
      <c r="AK169" s="7" t="str">
        <f>IFERROR(VLOOKUP($AE169,Mapping!$E$208:$K$236,7,0),"ENDirect")</f>
        <v>ENDirect</v>
      </c>
      <c r="AL169" s="7" t="str">
        <f>IFERROR(HLOOKUP(AJ169,'Calc|Weightings'!$U$5:$W$5,1,0),"Excl")</f>
        <v>Contracts</v>
      </c>
      <c r="AM169" s="7" t="str">
        <f>VLOOKUP(AC169,Mapping!$E$11:$I$204,5,0)</f>
        <v>SCS</v>
      </c>
      <c r="AO169" s="35" t="s">
        <v>115</v>
      </c>
      <c r="AP169" s="35"/>
      <c r="AQ169" s="35">
        <v>71030</v>
      </c>
      <c r="AR169" s="35" t="s">
        <v>464</v>
      </c>
      <c r="AS169" s="121">
        <v>-0.43392000000000008</v>
      </c>
      <c r="AU169" s="7" t="str">
        <f>VLOOKUP($AO169,Mapping!$E$11:$I$204,3,0)</f>
        <v>Connections</v>
      </c>
      <c r="AV169" s="7" t="str">
        <f>IFERROR(VLOOKUP($AQ169,Mapping!$E$208:$K$236,5,0),"Contracts")</f>
        <v>Contracts</v>
      </c>
      <c r="AW169" s="7" t="str">
        <f>IFERROR(VLOOKUP($AQ169,Mapping!$E$208:$K$236,7,0),"ENDirect")</f>
        <v>ENDirect</v>
      </c>
      <c r="AX169" s="7" t="str">
        <f>IFERROR(HLOOKUP(AV169,'Calc|Weightings'!$U$5:$W$5,1,0),"Excl")</f>
        <v>Contracts</v>
      </c>
      <c r="AY169" s="7" t="str">
        <f>VLOOKUP(AO169,Mapping!$E$11:$I$204,5,0)</f>
        <v>SCS</v>
      </c>
    </row>
    <row r="170" spans="1:51" x14ac:dyDescent="0.3">
      <c r="A170" s="7"/>
      <c r="B170" s="7"/>
      <c r="C170" s="7"/>
      <c r="D170" s="7"/>
      <c r="E170" s="32" t="s">
        <v>111</v>
      </c>
      <c r="F170" s="32"/>
      <c r="G170" s="32">
        <v>71010</v>
      </c>
      <c r="H170" s="32" t="s">
        <v>462</v>
      </c>
      <c r="I170" s="33">
        <v>2155.7809999999999</v>
      </c>
      <c r="J170" s="170"/>
      <c r="K170" s="7" t="str">
        <f>VLOOKUP($E170,Mapping!$E$11:$I$204,3,0)</f>
        <v>Connections</v>
      </c>
      <c r="L170" s="7" t="str">
        <f>IFERROR(VLOOKUP($G170,Mapping!$E$208:$K$236,5,0),"Contracts")</f>
        <v>Labour</v>
      </c>
      <c r="M170" s="7" t="str">
        <f>IFERROR(VLOOKUP($G170,Mapping!$E$208:$K$236,7,0),"ENDirect")</f>
        <v>ENDirect</v>
      </c>
      <c r="N170" s="7" t="str">
        <f>IFERROR(HLOOKUP(L170,'Calc|Weightings'!$U$5:$W$5,1,0),"Excl")</f>
        <v>Labour</v>
      </c>
      <c r="O170" s="7" t="str">
        <f>VLOOKUP(E170,Mapping!$E$11:$I$204,5,0)</f>
        <v>SCS</v>
      </c>
      <c r="Q170" s="32" t="s">
        <v>546</v>
      </c>
      <c r="R170" s="32"/>
      <c r="S170" s="32">
        <v>80000</v>
      </c>
      <c r="T170" s="32" t="s">
        <v>453</v>
      </c>
      <c r="U170" s="33">
        <v>190.624</v>
      </c>
      <c r="V170" s="7"/>
      <c r="W170" s="7" t="str">
        <f>VLOOKUP($Q170,Mapping!$E$11:$I$204,3,0)</f>
        <v>Connections</v>
      </c>
      <c r="X170" s="7" t="str">
        <f>IFERROR(VLOOKUP($S170,Mapping!$E$208:$K$236,5,0),"Contracts")</f>
        <v>Overhead</v>
      </c>
      <c r="Y170" s="7" t="str">
        <f>IFERROR(VLOOKUP($S170,Mapping!$E$208:$K$236,7,0),"ENDirect")</f>
        <v>OH</v>
      </c>
      <c r="Z170" s="7" t="str">
        <f>IFERROR(HLOOKUP(X170,'Calc|Weightings'!$U$5:$W$5,1,0),"Excl")</f>
        <v>Excl</v>
      </c>
      <c r="AA170" s="7" t="str">
        <f>VLOOKUP(Q170,Mapping!$E$11:$I$204,5,0)</f>
        <v>SCS</v>
      </c>
      <c r="AC170" s="35" t="s">
        <v>546</v>
      </c>
      <c r="AD170" s="35"/>
      <c r="AE170" s="35">
        <v>80000</v>
      </c>
      <c r="AF170" s="35" t="s">
        <v>453</v>
      </c>
      <c r="AG170" s="36">
        <v>250.88</v>
      </c>
      <c r="AI170" s="7" t="str">
        <f>VLOOKUP($AC170,Mapping!$E$11:$I$204,3,0)</f>
        <v>Connections</v>
      </c>
      <c r="AJ170" s="7" t="str">
        <f>IFERROR(VLOOKUP($AE170,Mapping!$E$208:$K$236,5,0),"Contracts")</f>
        <v>Overhead</v>
      </c>
      <c r="AK170" s="7" t="str">
        <f>IFERROR(VLOOKUP($AE170,Mapping!$E$208:$K$236,7,0),"ENDirect")</f>
        <v>OH</v>
      </c>
      <c r="AL170" s="7" t="str">
        <f>IFERROR(HLOOKUP(AJ170,'Calc|Weightings'!$U$5:$W$5,1,0),"Excl")</f>
        <v>Excl</v>
      </c>
      <c r="AM170" s="7" t="str">
        <f>VLOOKUP(AC170,Mapping!$E$11:$I$204,5,0)</f>
        <v>SCS</v>
      </c>
      <c r="AO170" s="35" t="s">
        <v>115</v>
      </c>
      <c r="AP170" s="35"/>
      <c r="AQ170" s="35">
        <v>71055</v>
      </c>
      <c r="AR170" s="35" t="s">
        <v>465</v>
      </c>
      <c r="AS170" s="121">
        <v>-0.92471999999999999</v>
      </c>
      <c r="AU170" s="7" t="str">
        <f>VLOOKUP($AO170,Mapping!$E$11:$I$204,3,0)</f>
        <v>Connections</v>
      </c>
      <c r="AV170" s="7" t="str">
        <f>IFERROR(VLOOKUP($AQ170,Mapping!$E$208:$K$236,5,0),"Contracts")</f>
        <v>Contracts</v>
      </c>
      <c r="AW170" s="7" t="str">
        <f>IFERROR(VLOOKUP($AQ170,Mapping!$E$208:$K$236,7,0),"ENDirect")</f>
        <v>ENDirect</v>
      </c>
      <c r="AX170" s="7" t="str">
        <f>IFERROR(HLOOKUP(AV170,'Calc|Weightings'!$U$5:$W$5,1,0),"Excl")</f>
        <v>Contracts</v>
      </c>
      <c r="AY170" s="7" t="str">
        <f>VLOOKUP(AO170,Mapping!$E$11:$I$204,5,0)</f>
        <v>SCS</v>
      </c>
    </row>
    <row r="171" spans="1:51" x14ac:dyDescent="0.3">
      <c r="A171" s="7"/>
      <c r="B171" s="7"/>
      <c r="C171" s="7"/>
      <c r="D171" s="7"/>
      <c r="E171" s="32" t="s">
        <v>111</v>
      </c>
      <c r="F171" s="32"/>
      <c r="G171" s="32">
        <v>71015</v>
      </c>
      <c r="H171" s="32" t="s">
        <v>463</v>
      </c>
      <c r="I171" s="33">
        <v>478.86900000000003</v>
      </c>
      <c r="J171" s="170"/>
      <c r="K171" s="7" t="str">
        <f>VLOOKUP($E171,Mapping!$E$11:$I$204,3,0)</f>
        <v>Connections</v>
      </c>
      <c r="L171" s="7" t="str">
        <f>IFERROR(VLOOKUP($G171,Mapping!$E$208:$K$236,5,0),"Contracts")</f>
        <v>Materials</v>
      </c>
      <c r="M171" s="7" t="str">
        <f>IFERROR(VLOOKUP($G171,Mapping!$E$208:$K$236,7,0),"ENDirect")</f>
        <v>ENDirect</v>
      </c>
      <c r="N171" s="7" t="str">
        <f>IFERROR(HLOOKUP(L171,'Calc|Weightings'!$U$5:$W$5,1,0),"Excl")</f>
        <v>Materials</v>
      </c>
      <c r="O171" s="7" t="str">
        <f>VLOOKUP(E171,Mapping!$E$11:$I$204,5,0)</f>
        <v>SCS</v>
      </c>
      <c r="Q171" s="32" t="s">
        <v>109</v>
      </c>
      <c r="R171" s="32"/>
      <c r="S171" s="32">
        <v>71000</v>
      </c>
      <c r="T171" s="32" t="s">
        <v>457</v>
      </c>
      <c r="U171" s="33">
        <v>1E-3</v>
      </c>
      <c r="V171" s="7"/>
      <c r="W171" s="7" t="str">
        <f>VLOOKUP($Q171,Mapping!$E$11:$I$204,3,0)</f>
        <v>Public Lighting</v>
      </c>
      <c r="X171" s="7" t="str">
        <f>IFERROR(VLOOKUP($S171,Mapping!$E$208:$K$236,5,0),"Contracts")</f>
        <v>Labour</v>
      </c>
      <c r="Y171" s="7" t="str">
        <f>IFERROR(VLOOKUP($S171,Mapping!$E$208:$K$236,7,0),"ENDirect")</f>
        <v>ENDirect</v>
      </c>
      <c r="Z171" s="7" t="str">
        <f>IFERROR(HLOOKUP(X171,'Calc|Weightings'!$U$5:$W$5,1,0),"Excl")</f>
        <v>Labour</v>
      </c>
      <c r="AA171" s="7" t="str">
        <f>VLOOKUP(Q171,Mapping!$E$11:$I$204,5,0)</f>
        <v>Public Lighting</v>
      </c>
      <c r="AC171" s="35" t="s">
        <v>549</v>
      </c>
      <c r="AD171" s="35"/>
      <c r="AE171" s="35">
        <v>71005</v>
      </c>
      <c r="AF171" s="35" t="s">
        <v>461</v>
      </c>
      <c r="AG171" s="36">
        <v>675.44399999999996</v>
      </c>
      <c r="AI171" s="7" t="str">
        <f>VLOOKUP($AC171,Mapping!$E$11:$I$204,3,0)</f>
        <v>Connections</v>
      </c>
      <c r="AJ171" s="7" t="str">
        <f>IFERROR(VLOOKUP($AE171,Mapping!$E$208:$K$236,5,0),"Contracts")</f>
        <v>Materials</v>
      </c>
      <c r="AK171" s="7" t="str">
        <f>IFERROR(VLOOKUP($AE171,Mapping!$E$208:$K$236,7,0),"ENDirect")</f>
        <v>ENDirect</v>
      </c>
      <c r="AL171" s="7" t="str">
        <f>IFERROR(HLOOKUP(AJ171,'Calc|Weightings'!$U$5:$W$5,1,0),"Excl")</f>
        <v>Materials</v>
      </c>
      <c r="AM171" s="7" t="str">
        <f>VLOOKUP(AC171,Mapping!$E$11:$I$204,5,0)</f>
        <v>SCS</v>
      </c>
      <c r="AO171" s="35" t="s">
        <v>115</v>
      </c>
      <c r="AP171" s="35"/>
      <c r="AQ171" s="35">
        <v>71070</v>
      </c>
      <c r="AR171" s="35" t="s">
        <v>586</v>
      </c>
      <c r="AS171" s="121">
        <v>874.96316999999988</v>
      </c>
      <c r="AU171" s="7" t="str">
        <f>VLOOKUP($AO171,Mapping!$E$11:$I$204,3,0)</f>
        <v>Connections</v>
      </c>
      <c r="AV171" s="7" t="str">
        <f>IFERROR(VLOOKUP($AQ171,Mapping!$E$208:$K$236,5,0),"Contracts")</f>
        <v>Contracts</v>
      </c>
      <c r="AW171" s="7" t="str">
        <f>IFERROR(VLOOKUP($AQ171,Mapping!$E$208:$K$236,7,0),"ENDirect")</f>
        <v>ENDirect</v>
      </c>
      <c r="AX171" s="7" t="str">
        <f>IFERROR(HLOOKUP(AV171,'Calc|Weightings'!$U$5:$W$5,1,0),"Excl")</f>
        <v>Contracts</v>
      </c>
      <c r="AY171" s="7" t="str">
        <f>VLOOKUP(AO171,Mapping!$E$11:$I$204,5,0)</f>
        <v>SCS</v>
      </c>
    </row>
    <row r="172" spans="1:51" x14ac:dyDescent="0.3">
      <c r="A172" s="7"/>
      <c r="B172" s="7"/>
      <c r="C172" s="7"/>
      <c r="D172" s="7"/>
      <c r="E172" s="32" t="s">
        <v>548</v>
      </c>
      <c r="F172" s="32"/>
      <c r="G172" s="32">
        <v>71000</v>
      </c>
      <c r="H172" s="32" t="s">
        <v>457</v>
      </c>
      <c r="I172" s="33">
        <v>412.30900000000003</v>
      </c>
      <c r="J172" s="170"/>
      <c r="K172" s="7" t="str">
        <f>VLOOKUP($E172,Mapping!$E$11:$I$204,3,0)</f>
        <v>Connections</v>
      </c>
      <c r="L172" s="7" t="str">
        <f>IFERROR(VLOOKUP($G172,Mapping!$E$208:$K$236,5,0),"Contracts")</f>
        <v>Labour</v>
      </c>
      <c r="M172" s="7" t="str">
        <f>IFERROR(VLOOKUP($G172,Mapping!$E$208:$K$236,7,0),"ENDirect")</f>
        <v>ENDirect</v>
      </c>
      <c r="N172" s="7" t="str">
        <f>IFERROR(HLOOKUP(L172,'Calc|Weightings'!$U$5:$W$5,1,0),"Excl")</f>
        <v>Labour</v>
      </c>
      <c r="O172" s="7" t="str">
        <f>VLOOKUP(E172,Mapping!$E$11:$I$204,5,0)</f>
        <v>SCS</v>
      </c>
      <c r="Q172" s="32" t="s">
        <v>109</v>
      </c>
      <c r="R172" s="32"/>
      <c r="S172" s="32">
        <v>71005</v>
      </c>
      <c r="T172" s="32" t="s">
        <v>461</v>
      </c>
      <c r="U172" s="33">
        <v>1.3819999999999999</v>
      </c>
      <c r="V172" s="7"/>
      <c r="W172" s="7" t="str">
        <f>VLOOKUP($Q172,Mapping!$E$11:$I$204,3,0)</f>
        <v>Public Lighting</v>
      </c>
      <c r="X172" s="7" t="str">
        <f>IFERROR(VLOOKUP($S172,Mapping!$E$208:$K$236,5,0),"Contracts")</f>
        <v>Materials</v>
      </c>
      <c r="Y172" s="7" t="str">
        <f>IFERROR(VLOOKUP($S172,Mapping!$E$208:$K$236,7,0),"ENDirect")</f>
        <v>ENDirect</v>
      </c>
      <c r="Z172" s="7" t="str">
        <f>IFERROR(HLOOKUP(X172,'Calc|Weightings'!$U$5:$W$5,1,0),"Excl")</f>
        <v>Materials</v>
      </c>
      <c r="AA172" s="7" t="str">
        <f>VLOOKUP(Q172,Mapping!$E$11:$I$204,5,0)</f>
        <v>Public Lighting</v>
      </c>
      <c r="AC172" s="35" t="s">
        <v>548</v>
      </c>
      <c r="AD172" s="35"/>
      <c r="AE172" s="35">
        <v>71000</v>
      </c>
      <c r="AF172" s="35" t="s">
        <v>457</v>
      </c>
      <c r="AG172" s="36">
        <v>326.56599999999997</v>
      </c>
      <c r="AI172" s="7" t="str">
        <f>VLOOKUP($AC172,Mapping!$E$11:$I$204,3,0)</f>
        <v>Connections</v>
      </c>
      <c r="AJ172" s="7" t="str">
        <f>IFERROR(VLOOKUP($AE172,Mapping!$E$208:$K$236,5,0),"Contracts")</f>
        <v>Labour</v>
      </c>
      <c r="AK172" s="7" t="str">
        <f>IFERROR(VLOOKUP($AE172,Mapping!$E$208:$K$236,7,0),"ENDirect")</f>
        <v>ENDirect</v>
      </c>
      <c r="AL172" s="7" t="str">
        <f>IFERROR(HLOOKUP(AJ172,'Calc|Weightings'!$U$5:$W$5,1,0),"Excl")</f>
        <v>Labour</v>
      </c>
      <c r="AM172" s="7" t="str">
        <f>VLOOKUP(AC172,Mapping!$E$11:$I$204,5,0)</f>
        <v>SCS</v>
      </c>
      <c r="AO172" s="35" t="s">
        <v>115</v>
      </c>
      <c r="AP172" s="35"/>
      <c r="AQ172" s="35">
        <v>71075</v>
      </c>
      <c r="AR172" s="35" t="s">
        <v>587</v>
      </c>
      <c r="AS172" s="121">
        <v>94.810490000000001</v>
      </c>
      <c r="AU172" s="7" t="str">
        <f>VLOOKUP($AO172,Mapping!$E$11:$I$204,3,0)</f>
        <v>Connections</v>
      </c>
      <c r="AV172" s="7" t="str">
        <f>IFERROR(VLOOKUP($AQ172,Mapping!$E$208:$K$236,5,0),"Contracts")</f>
        <v>Contracts</v>
      </c>
      <c r="AW172" s="7" t="str">
        <f>IFERROR(VLOOKUP($AQ172,Mapping!$E$208:$K$236,7,0),"ENDirect")</f>
        <v>ENDirect</v>
      </c>
      <c r="AX172" s="7" t="str">
        <f>IFERROR(HLOOKUP(AV172,'Calc|Weightings'!$U$5:$W$5,1,0),"Excl")</f>
        <v>Contracts</v>
      </c>
      <c r="AY172" s="7" t="str">
        <f>VLOOKUP(AO172,Mapping!$E$11:$I$204,5,0)</f>
        <v>SCS</v>
      </c>
    </row>
    <row r="173" spans="1:51" x14ac:dyDescent="0.3">
      <c r="A173" s="7"/>
      <c r="B173" s="7"/>
      <c r="C173" s="7"/>
      <c r="D173" s="7"/>
      <c r="E173" s="32" t="s">
        <v>548</v>
      </c>
      <c r="F173" s="32"/>
      <c r="G173" s="32">
        <v>71010</v>
      </c>
      <c r="H173" s="32" t="s">
        <v>462</v>
      </c>
      <c r="I173" s="33">
        <v>1481.5830000000001</v>
      </c>
      <c r="J173" s="170"/>
      <c r="K173" s="7" t="str">
        <f>VLOOKUP($E173,Mapping!$E$11:$I$204,3,0)</f>
        <v>Connections</v>
      </c>
      <c r="L173" s="7" t="str">
        <f>IFERROR(VLOOKUP($G173,Mapping!$E$208:$K$236,5,0),"Contracts")</f>
        <v>Labour</v>
      </c>
      <c r="M173" s="7" t="str">
        <f>IFERROR(VLOOKUP($G173,Mapping!$E$208:$K$236,7,0),"ENDirect")</f>
        <v>ENDirect</v>
      </c>
      <c r="N173" s="7" t="str">
        <f>IFERROR(HLOOKUP(L173,'Calc|Weightings'!$U$5:$W$5,1,0),"Excl")</f>
        <v>Labour</v>
      </c>
      <c r="O173" s="7" t="str">
        <f>VLOOKUP(E173,Mapping!$E$11:$I$204,5,0)</f>
        <v>SCS</v>
      </c>
      <c r="Q173" s="32" t="s">
        <v>109</v>
      </c>
      <c r="R173" s="32"/>
      <c r="S173" s="32">
        <v>71010</v>
      </c>
      <c r="T173" s="32" t="s">
        <v>462</v>
      </c>
      <c r="U173" s="33">
        <v>4.2869999999999999</v>
      </c>
      <c r="V173" s="7"/>
      <c r="W173" s="7" t="str">
        <f>VLOOKUP($Q173,Mapping!$E$11:$I$204,3,0)</f>
        <v>Public Lighting</v>
      </c>
      <c r="X173" s="7" t="str">
        <f>IFERROR(VLOOKUP($S173,Mapping!$E$208:$K$236,5,0),"Contracts")</f>
        <v>Labour</v>
      </c>
      <c r="Y173" s="7" t="str">
        <f>IFERROR(VLOOKUP($S173,Mapping!$E$208:$K$236,7,0),"ENDirect")</f>
        <v>ENDirect</v>
      </c>
      <c r="Z173" s="7" t="str">
        <f>IFERROR(HLOOKUP(X173,'Calc|Weightings'!$U$5:$W$5,1,0),"Excl")</f>
        <v>Labour</v>
      </c>
      <c r="AA173" s="7" t="str">
        <f>VLOOKUP(Q173,Mapping!$E$11:$I$204,5,0)</f>
        <v>Public Lighting</v>
      </c>
      <c r="AC173" s="35" t="s">
        <v>548</v>
      </c>
      <c r="AD173" s="35"/>
      <c r="AE173" s="35">
        <v>71030</v>
      </c>
      <c r="AF173" s="35" t="s">
        <v>464</v>
      </c>
      <c r="AG173" s="36">
        <v>32.067999999999998</v>
      </c>
      <c r="AI173" s="7" t="str">
        <f>VLOOKUP($AC173,Mapping!$E$11:$I$204,3,0)</f>
        <v>Connections</v>
      </c>
      <c r="AJ173" s="7" t="str">
        <f>IFERROR(VLOOKUP($AE173,Mapping!$E$208:$K$236,5,0),"Contracts")</f>
        <v>Contracts</v>
      </c>
      <c r="AK173" s="7" t="str">
        <f>IFERROR(VLOOKUP($AE173,Mapping!$E$208:$K$236,7,0),"ENDirect")</f>
        <v>ENDirect</v>
      </c>
      <c r="AL173" s="7" t="str">
        <f>IFERROR(HLOOKUP(AJ173,'Calc|Weightings'!$U$5:$W$5,1,0),"Excl")</f>
        <v>Contracts</v>
      </c>
      <c r="AM173" s="7" t="str">
        <f>VLOOKUP(AC173,Mapping!$E$11:$I$204,5,0)</f>
        <v>SCS</v>
      </c>
      <c r="AO173" s="35" t="s">
        <v>115</v>
      </c>
      <c r="AP173" s="35"/>
      <c r="AQ173" s="35">
        <v>72345</v>
      </c>
      <c r="AR173" s="35" t="s">
        <v>588</v>
      </c>
      <c r="AS173" s="121">
        <v>279.57900000000001</v>
      </c>
      <c r="AU173" s="7" t="str">
        <f>VLOOKUP($AO173,Mapping!$E$11:$I$204,3,0)</f>
        <v>Connections</v>
      </c>
      <c r="AV173" s="7" t="str">
        <f>IFERROR(VLOOKUP($AQ173,Mapping!$E$208:$K$236,5,0),"Contracts")</f>
        <v>Contracts</v>
      </c>
      <c r="AW173" s="7" t="str">
        <f>IFERROR(VLOOKUP($AQ173,Mapping!$E$208:$K$236,7,0),"ENDirect")</f>
        <v>ENDirect</v>
      </c>
      <c r="AX173" s="7" t="str">
        <f>IFERROR(HLOOKUP(AV173,'Calc|Weightings'!$U$5:$W$5,1,0),"Excl")</f>
        <v>Contracts</v>
      </c>
      <c r="AY173" s="7" t="str">
        <f>VLOOKUP(AO173,Mapping!$E$11:$I$204,5,0)</f>
        <v>SCS</v>
      </c>
    </row>
    <row r="174" spans="1:51" x14ac:dyDescent="0.3">
      <c r="A174" s="7"/>
      <c r="B174" s="7"/>
      <c r="C174" s="7"/>
      <c r="D174" s="7"/>
      <c r="E174" s="32" t="s">
        <v>548</v>
      </c>
      <c r="F174" s="32"/>
      <c r="G174" s="32">
        <v>71030</v>
      </c>
      <c r="H174" s="32" t="s">
        <v>464</v>
      </c>
      <c r="I174" s="33">
        <v>218.161</v>
      </c>
      <c r="J174" s="170"/>
      <c r="K174" s="7" t="str">
        <f>VLOOKUP($E174,Mapping!$E$11:$I$204,3,0)</f>
        <v>Connections</v>
      </c>
      <c r="L174" s="7" t="str">
        <f>IFERROR(VLOOKUP($G174,Mapping!$E$208:$K$236,5,0),"Contracts")</f>
        <v>Contracts</v>
      </c>
      <c r="M174" s="7" t="str">
        <f>IFERROR(VLOOKUP($G174,Mapping!$E$208:$K$236,7,0),"ENDirect")</f>
        <v>ENDirect</v>
      </c>
      <c r="N174" s="7" t="str">
        <f>IFERROR(HLOOKUP(L174,'Calc|Weightings'!$U$5:$W$5,1,0),"Excl")</f>
        <v>Contracts</v>
      </c>
      <c r="O174" s="7" t="str">
        <f>VLOOKUP(E174,Mapping!$E$11:$I$204,5,0)</f>
        <v>SCS</v>
      </c>
      <c r="Q174" s="32" t="s">
        <v>109</v>
      </c>
      <c r="R174" s="32"/>
      <c r="S174" s="32">
        <v>71030</v>
      </c>
      <c r="T174" s="32" t="s">
        <v>464</v>
      </c>
      <c r="U174" s="33">
        <v>0.435</v>
      </c>
      <c r="V174" s="7"/>
      <c r="W174" s="7" t="str">
        <f>VLOOKUP($Q174,Mapping!$E$11:$I$204,3,0)</f>
        <v>Public Lighting</v>
      </c>
      <c r="X174" s="7" t="str">
        <f>IFERROR(VLOOKUP($S174,Mapping!$E$208:$K$236,5,0),"Contracts")</f>
        <v>Contracts</v>
      </c>
      <c r="Y174" s="7" t="str">
        <f>IFERROR(VLOOKUP($S174,Mapping!$E$208:$K$236,7,0),"ENDirect")</f>
        <v>ENDirect</v>
      </c>
      <c r="Z174" s="7" t="str">
        <f>IFERROR(HLOOKUP(X174,'Calc|Weightings'!$U$5:$W$5,1,0),"Excl")</f>
        <v>Contracts</v>
      </c>
      <c r="AA174" s="7" t="str">
        <f>VLOOKUP(Q174,Mapping!$E$11:$I$204,5,0)</f>
        <v>Public Lighting</v>
      </c>
      <c r="AC174" s="35" t="s">
        <v>548</v>
      </c>
      <c r="AD174" s="35"/>
      <c r="AE174" s="35">
        <v>71055</v>
      </c>
      <c r="AF174" s="35" t="s">
        <v>465</v>
      </c>
      <c r="AG174" s="36">
        <v>77.430999999999997</v>
      </c>
      <c r="AI174" s="7" t="str">
        <f>VLOOKUP($AC174,Mapping!$E$11:$I$204,3,0)</f>
        <v>Connections</v>
      </c>
      <c r="AJ174" s="7" t="str">
        <f>IFERROR(VLOOKUP($AE174,Mapping!$E$208:$K$236,5,0),"Contracts")</f>
        <v>Contracts</v>
      </c>
      <c r="AK174" s="7" t="str">
        <f>IFERROR(VLOOKUP($AE174,Mapping!$E$208:$K$236,7,0),"ENDirect")</f>
        <v>ENDirect</v>
      </c>
      <c r="AL174" s="7" t="str">
        <f>IFERROR(HLOOKUP(AJ174,'Calc|Weightings'!$U$5:$W$5,1,0),"Excl")</f>
        <v>Contracts</v>
      </c>
      <c r="AM174" s="7" t="str">
        <f>VLOOKUP(AC174,Mapping!$E$11:$I$204,5,0)</f>
        <v>SCS</v>
      </c>
      <c r="AO174" s="35" t="s">
        <v>115</v>
      </c>
      <c r="AP174" s="35"/>
      <c r="AQ174" s="35">
        <v>80000</v>
      </c>
      <c r="AR174" s="35" t="s">
        <v>589</v>
      </c>
      <c r="AS174" s="121">
        <v>159.96594000000002</v>
      </c>
      <c r="AU174" s="7" t="str">
        <f>VLOOKUP($AO174,Mapping!$E$11:$I$204,3,0)</f>
        <v>Connections</v>
      </c>
      <c r="AV174" s="7" t="str">
        <f>IFERROR(VLOOKUP($AQ174,Mapping!$E$208:$K$236,5,0),"Contracts")</f>
        <v>Overhead</v>
      </c>
      <c r="AW174" s="7" t="str">
        <f>IFERROR(VLOOKUP($AQ174,Mapping!$E$208:$K$236,7,0),"ENDirect")</f>
        <v>OH</v>
      </c>
      <c r="AX174" s="7" t="str">
        <f>IFERROR(HLOOKUP(AV174,'Calc|Weightings'!$U$5:$W$5,1,0),"Excl")</f>
        <v>Excl</v>
      </c>
      <c r="AY174" s="7" t="str">
        <f>VLOOKUP(AO174,Mapping!$E$11:$I$204,5,0)</f>
        <v>SCS</v>
      </c>
    </row>
    <row r="175" spans="1:51" x14ac:dyDescent="0.3">
      <c r="A175" s="7"/>
      <c r="B175" s="7"/>
      <c r="C175" s="7"/>
      <c r="D175" s="7"/>
      <c r="E175" s="32" t="s">
        <v>548</v>
      </c>
      <c r="F175" s="32"/>
      <c r="G175" s="32">
        <v>71055</v>
      </c>
      <c r="H175" s="32" t="s">
        <v>465</v>
      </c>
      <c r="I175" s="33">
        <v>433.50799999999998</v>
      </c>
      <c r="J175" s="170"/>
      <c r="K175" s="7" t="str">
        <f>VLOOKUP($E175,Mapping!$E$11:$I$204,3,0)</f>
        <v>Connections</v>
      </c>
      <c r="L175" s="7" t="str">
        <f>IFERROR(VLOOKUP($G175,Mapping!$E$208:$K$236,5,0),"Contracts")</f>
        <v>Contracts</v>
      </c>
      <c r="M175" s="7" t="str">
        <f>IFERROR(VLOOKUP($G175,Mapping!$E$208:$K$236,7,0),"ENDirect")</f>
        <v>ENDirect</v>
      </c>
      <c r="N175" s="7" t="str">
        <f>IFERROR(HLOOKUP(L175,'Calc|Weightings'!$U$5:$W$5,1,0),"Excl")</f>
        <v>Contracts</v>
      </c>
      <c r="O175" s="7" t="str">
        <f>VLOOKUP(E175,Mapping!$E$11:$I$204,5,0)</f>
        <v>SCS</v>
      </c>
      <c r="Q175" s="32" t="s">
        <v>109</v>
      </c>
      <c r="R175" s="32"/>
      <c r="S175" s="32">
        <v>71055</v>
      </c>
      <c r="T175" s="32" t="s">
        <v>465</v>
      </c>
      <c r="U175" s="33">
        <v>0.55500000000000005</v>
      </c>
      <c r="V175" s="7"/>
      <c r="W175" s="7" t="str">
        <f>VLOOKUP($Q175,Mapping!$E$11:$I$204,3,0)</f>
        <v>Public Lighting</v>
      </c>
      <c r="X175" s="7" t="str">
        <f>IFERROR(VLOOKUP($S175,Mapping!$E$208:$K$236,5,0),"Contracts")</f>
        <v>Contracts</v>
      </c>
      <c r="Y175" s="7" t="str">
        <f>IFERROR(VLOOKUP($S175,Mapping!$E$208:$K$236,7,0),"ENDirect")</f>
        <v>ENDirect</v>
      </c>
      <c r="Z175" s="7" t="str">
        <f>IFERROR(HLOOKUP(X175,'Calc|Weightings'!$U$5:$W$5,1,0),"Excl")</f>
        <v>Contracts</v>
      </c>
      <c r="AA175" s="7" t="str">
        <f>VLOOKUP(Q175,Mapping!$E$11:$I$204,5,0)</f>
        <v>Public Lighting</v>
      </c>
      <c r="AC175" s="35" t="s">
        <v>548</v>
      </c>
      <c r="AD175" s="35"/>
      <c r="AE175" s="35">
        <v>80000</v>
      </c>
      <c r="AF175" s="35" t="s">
        <v>453</v>
      </c>
      <c r="AG175" s="36">
        <v>84.168000000000006</v>
      </c>
      <c r="AI175" s="7" t="str">
        <f>VLOOKUP($AC175,Mapping!$E$11:$I$204,3,0)</f>
        <v>Connections</v>
      </c>
      <c r="AJ175" s="7" t="str">
        <f>IFERROR(VLOOKUP($AE175,Mapping!$E$208:$K$236,5,0),"Contracts")</f>
        <v>Overhead</v>
      </c>
      <c r="AK175" s="7" t="str">
        <f>IFERROR(VLOOKUP($AE175,Mapping!$E$208:$K$236,7,0),"ENDirect")</f>
        <v>OH</v>
      </c>
      <c r="AL175" s="7" t="str">
        <f>IFERROR(HLOOKUP(AJ175,'Calc|Weightings'!$U$5:$W$5,1,0),"Excl")</f>
        <v>Excl</v>
      </c>
      <c r="AM175" s="7" t="str">
        <f>VLOOKUP(AC175,Mapping!$E$11:$I$204,5,0)</f>
        <v>SCS</v>
      </c>
      <c r="AO175" s="35" t="s">
        <v>118</v>
      </c>
      <c r="AP175" s="35"/>
      <c r="AQ175" s="35">
        <v>71000</v>
      </c>
      <c r="AR175" s="35" t="s">
        <v>457</v>
      </c>
      <c r="AS175" s="121">
        <v>15.62772</v>
      </c>
      <c r="AU175" s="7" t="str">
        <f>VLOOKUP($AO175,Mapping!$E$11:$I$204,3,0)</f>
        <v>Connections</v>
      </c>
      <c r="AV175" s="7" t="str">
        <f>IFERROR(VLOOKUP($AQ175,Mapping!$E$208:$K$236,5,0),"Contracts")</f>
        <v>Labour</v>
      </c>
      <c r="AW175" s="7" t="str">
        <f>IFERROR(VLOOKUP($AQ175,Mapping!$E$208:$K$236,7,0),"ENDirect")</f>
        <v>ENDirect</v>
      </c>
      <c r="AX175" s="7" t="str">
        <f>IFERROR(HLOOKUP(AV175,'Calc|Weightings'!$U$5:$W$5,1,0),"Excl")</f>
        <v>Labour</v>
      </c>
      <c r="AY175" s="7" t="str">
        <f>VLOOKUP(AO175,Mapping!$E$11:$I$204,5,0)</f>
        <v>SCS</v>
      </c>
    </row>
    <row r="176" spans="1:51" x14ac:dyDescent="0.3">
      <c r="A176" s="7"/>
      <c r="B176" s="7"/>
      <c r="C176" s="7"/>
      <c r="D176" s="7"/>
      <c r="E176" s="32" t="s">
        <v>548</v>
      </c>
      <c r="F176" s="32"/>
      <c r="G176" s="32">
        <v>80000</v>
      </c>
      <c r="H176" s="32" t="s">
        <v>453</v>
      </c>
      <c r="I176" s="33">
        <v>335.17099999999999</v>
      </c>
      <c r="J176" s="170"/>
      <c r="K176" s="7" t="str">
        <f>VLOOKUP($E176,Mapping!$E$11:$I$204,3,0)</f>
        <v>Connections</v>
      </c>
      <c r="L176" s="7" t="str">
        <f>IFERROR(VLOOKUP($G176,Mapping!$E$208:$K$236,5,0),"Contracts")</f>
        <v>Overhead</v>
      </c>
      <c r="M176" s="7" t="str">
        <f>IFERROR(VLOOKUP($G176,Mapping!$E$208:$K$236,7,0),"ENDirect")</f>
        <v>OH</v>
      </c>
      <c r="N176" s="7" t="str">
        <f>IFERROR(HLOOKUP(L176,'Calc|Weightings'!$U$5:$W$5,1,0),"Excl")</f>
        <v>Excl</v>
      </c>
      <c r="O176" s="7" t="str">
        <f>VLOOKUP(E176,Mapping!$E$11:$I$204,5,0)</f>
        <v>SCS</v>
      </c>
      <c r="Q176" s="32" t="s">
        <v>109</v>
      </c>
      <c r="R176" s="32"/>
      <c r="S176" s="32">
        <v>80000</v>
      </c>
      <c r="T176" s="32" t="s">
        <v>453</v>
      </c>
      <c r="U176" s="33">
        <v>0.89800000000000002</v>
      </c>
      <c r="V176" s="7"/>
      <c r="W176" s="7" t="str">
        <f>VLOOKUP($Q176,Mapping!$E$11:$I$204,3,0)</f>
        <v>Public Lighting</v>
      </c>
      <c r="X176" s="7" t="str">
        <f>IFERROR(VLOOKUP($S176,Mapping!$E$208:$K$236,5,0),"Contracts")</f>
        <v>Overhead</v>
      </c>
      <c r="Y176" s="7" t="str">
        <f>IFERROR(VLOOKUP($S176,Mapping!$E$208:$K$236,7,0),"ENDirect")</f>
        <v>OH</v>
      </c>
      <c r="Z176" s="7" t="str">
        <f>IFERROR(HLOOKUP(X176,'Calc|Weightings'!$U$5:$W$5,1,0),"Excl")</f>
        <v>Excl</v>
      </c>
      <c r="AA176" s="7" t="str">
        <f>VLOOKUP(Q176,Mapping!$E$11:$I$204,5,0)</f>
        <v>Public Lighting</v>
      </c>
      <c r="AC176" s="35" t="s">
        <v>161</v>
      </c>
      <c r="AD176" s="35"/>
      <c r="AE176" s="35">
        <v>71000</v>
      </c>
      <c r="AF176" s="35" t="s">
        <v>457</v>
      </c>
      <c r="AG176" s="36">
        <v>638.46299999999997</v>
      </c>
      <c r="AI176" s="7" t="str">
        <f>VLOOKUP($AC176,Mapping!$E$11:$I$204,3,0)</f>
        <v>Augmentation</v>
      </c>
      <c r="AJ176" s="7" t="str">
        <f>IFERROR(VLOOKUP($AE176,Mapping!$E$208:$K$236,5,0),"Contracts")</f>
        <v>Labour</v>
      </c>
      <c r="AK176" s="7" t="str">
        <f>IFERROR(VLOOKUP($AE176,Mapping!$E$208:$K$236,7,0),"ENDirect")</f>
        <v>ENDirect</v>
      </c>
      <c r="AL176" s="7" t="str">
        <f>IFERROR(HLOOKUP(AJ176,'Calc|Weightings'!$U$5:$W$5,1,0),"Excl")</f>
        <v>Labour</v>
      </c>
      <c r="AM176" s="7" t="str">
        <f>VLOOKUP(AC176,Mapping!$E$11:$I$204,5,0)</f>
        <v>SCS</v>
      </c>
      <c r="AO176" s="35" t="s">
        <v>118</v>
      </c>
      <c r="AP176" s="35"/>
      <c r="AQ176" s="35">
        <v>71005</v>
      </c>
      <c r="AR176" s="35" t="s">
        <v>461</v>
      </c>
      <c r="AS176" s="121">
        <v>15.0908</v>
      </c>
      <c r="AU176" s="7" t="str">
        <f>VLOOKUP($AO176,Mapping!$E$11:$I$204,3,0)</f>
        <v>Connections</v>
      </c>
      <c r="AV176" s="7" t="str">
        <f>IFERROR(VLOOKUP($AQ176,Mapping!$E$208:$K$236,5,0),"Contracts")</f>
        <v>Materials</v>
      </c>
      <c r="AW176" s="7" t="str">
        <f>IFERROR(VLOOKUP($AQ176,Mapping!$E$208:$K$236,7,0),"ENDirect")</f>
        <v>ENDirect</v>
      </c>
      <c r="AX176" s="7" t="str">
        <f>IFERROR(HLOOKUP(AV176,'Calc|Weightings'!$U$5:$W$5,1,0),"Excl")</f>
        <v>Materials</v>
      </c>
      <c r="AY176" s="7" t="str">
        <f>VLOOKUP(AO176,Mapping!$E$11:$I$204,5,0)</f>
        <v>SCS</v>
      </c>
    </row>
    <row r="177" spans="1:51" x14ac:dyDescent="0.3">
      <c r="A177" s="7"/>
      <c r="B177" s="7"/>
      <c r="C177" s="7"/>
      <c r="D177" s="7"/>
      <c r="E177" s="32" t="s">
        <v>111</v>
      </c>
      <c r="F177" s="32"/>
      <c r="G177" s="32">
        <v>72345</v>
      </c>
      <c r="H177" s="32" t="s">
        <v>467</v>
      </c>
      <c r="I177" s="33">
        <v>1060.0719999999999</v>
      </c>
      <c r="J177" s="170"/>
      <c r="K177" s="7" t="str">
        <f>VLOOKUP($E177,Mapping!$E$11:$I$204,3,0)</f>
        <v>Connections</v>
      </c>
      <c r="L177" s="7" t="str">
        <f>IFERROR(VLOOKUP($G177,Mapping!$E$208:$K$236,5,0),"Contracts")</f>
        <v>Contracts</v>
      </c>
      <c r="M177" s="7" t="str">
        <f>IFERROR(VLOOKUP($G177,Mapping!$E$208:$K$236,7,0),"ENDirect")</f>
        <v>ENDirect</v>
      </c>
      <c r="N177" s="7" t="str">
        <f>IFERROR(HLOOKUP(L177,'Calc|Weightings'!$U$5:$W$5,1,0),"Excl")</f>
        <v>Contracts</v>
      </c>
      <c r="O177" s="7" t="str">
        <f>VLOOKUP(E177,Mapping!$E$11:$I$204,5,0)</f>
        <v>SCS</v>
      </c>
      <c r="Q177" s="32" t="s">
        <v>121</v>
      </c>
      <c r="R177" s="32"/>
      <c r="S177" s="32">
        <v>71000</v>
      </c>
      <c r="T177" s="32" t="s">
        <v>457</v>
      </c>
      <c r="U177" s="33">
        <v>698.15800000000002</v>
      </c>
      <c r="V177" s="7"/>
      <c r="W177" s="7" t="str">
        <f>VLOOKUP($Q177,Mapping!$E$11:$I$204,3,0)</f>
        <v>Augmentation</v>
      </c>
      <c r="X177" s="7" t="str">
        <f>IFERROR(VLOOKUP($S177,Mapping!$E$208:$K$236,5,0),"Contracts")</f>
        <v>Labour</v>
      </c>
      <c r="Y177" s="7" t="str">
        <f>IFERROR(VLOOKUP($S177,Mapping!$E$208:$K$236,7,0),"ENDirect")</f>
        <v>ENDirect</v>
      </c>
      <c r="Z177" s="7" t="str">
        <f>IFERROR(HLOOKUP(X177,'Calc|Weightings'!$U$5:$W$5,1,0),"Excl")</f>
        <v>Labour</v>
      </c>
      <c r="AA177" s="7" t="str">
        <f>VLOOKUP(Q177,Mapping!$E$11:$I$204,5,0)</f>
        <v>SCS</v>
      </c>
      <c r="AC177" s="35" t="s">
        <v>161</v>
      </c>
      <c r="AD177" s="35"/>
      <c r="AE177" s="35">
        <v>71005</v>
      </c>
      <c r="AF177" s="35" t="s">
        <v>461</v>
      </c>
      <c r="AG177" s="36">
        <v>345.57900000000001</v>
      </c>
      <c r="AI177" s="7" t="str">
        <f>VLOOKUP($AC177,Mapping!$E$11:$I$204,3,0)</f>
        <v>Augmentation</v>
      </c>
      <c r="AJ177" s="7" t="str">
        <f>IFERROR(VLOOKUP($AE177,Mapping!$E$208:$K$236,5,0),"Contracts")</f>
        <v>Materials</v>
      </c>
      <c r="AK177" s="7" t="str">
        <f>IFERROR(VLOOKUP($AE177,Mapping!$E$208:$K$236,7,0),"ENDirect")</f>
        <v>ENDirect</v>
      </c>
      <c r="AL177" s="7" t="str">
        <f>IFERROR(HLOOKUP(AJ177,'Calc|Weightings'!$U$5:$W$5,1,0),"Excl")</f>
        <v>Materials</v>
      </c>
      <c r="AM177" s="7" t="str">
        <f>VLOOKUP(AC177,Mapping!$E$11:$I$204,5,0)</f>
        <v>SCS</v>
      </c>
      <c r="AO177" s="35" t="s">
        <v>118</v>
      </c>
      <c r="AP177" s="35"/>
      <c r="AQ177" s="35">
        <v>71006</v>
      </c>
      <c r="AR177" s="35" t="s">
        <v>468</v>
      </c>
      <c r="AS177" s="121">
        <v>30.879000000000001</v>
      </c>
      <c r="AU177" s="7" t="str">
        <f>VLOOKUP($AO177,Mapping!$E$11:$I$204,3,0)</f>
        <v>Connections</v>
      </c>
      <c r="AV177" s="7" t="str">
        <f>IFERROR(VLOOKUP($AQ177,Mapping!$E$208:$K$236,5,0),"Contracts")</f>
        <v>Materials</v>
      </c>
      <c r="AW177" s="7" t="str">
        <f>IFERROR(VLOOKUP($AQ177,Mapping!$E$208:$K$236,7,0),"ENDirect")</f>
        <v>ENDirect</v>
      </c>
      <c r="AX177" s="7" t="str">
        <f>IFERROR(HLOOKUP(AV177,'Calc|Weightings'!$U$5:$W$5,1,0),"Excl")</f>
        <v>Materials</v>
      </c>
      <c r="AY177" s="7" t="str">
        <f>VLOOKUP(AO177,Mapping!$E$11:$I$204,5,0)</f>
        <v>SCS</v>
      </c>
    </row>
    <row r="178" spans="1:51" x14ac:dyDescent="0.3">
      <c r="A178" s="7"/>
      <c r="B178" s="7"/>
      <c r="C178" s="7"/>
      <c r="D178" s="7"/>
      <c r="E178" s="32" t="s">
        <v>552</v>
      </c>
      <c r="F178" s="32"/>
      <c r="G178" s="32">
        <v>71000</v>
      </c>
      <c r="H178" s="32" t="s">
        <v>457</v>
      </c>
      <c r="I178" s="33">
        <v>1784.816</v>
      </c>
      <c r="J178" s="170"/>
      <c r="K178" s="7" t="str">
        <f>VLOOKUP($E178,Mapping!$E$11:$I$204,3,0)</f>
        <v>Connections</v>
      </c>
      <c r="L178" s="7" t="str">
        <f>IFERROR(VLOOKUP($G178,Mapping!$E$208:$K$236,5,0),"Contracts")</f>
        <v>Labour</v>
      </c>
      <c r="M178" s="7" t="str">
        <f>IFERROR(VLOOKUP($G178,Mapping!$E$208:$K$236,7,0),"ENDirect")</f>
        <v>ENDirect</v>
      </c>
      <c r="N178" s="7" t="str">
        <f>IFERROR(HLOOKUP(L178,'Calc|Weightings'!$U$5:$W$5,1,0),"Excl")</f>
        <v>Labour</v>
      </c>
      <c r="O178" s="7" t="str">
        <f>VLOOKUP(E178,Mapping!$E$11:$I$204,5,0)</f>
        <v>SCS</v>
      </c>
      <c r="Q178" s="32" t="s">
        <v>121</v>
      </c>
      <c r="R178" s="32"/>
      <c r="S178" s="32">
        <v>71005</v>
      </c>
      <c r="T178" s="32" t="s">
        <v>461</v>
      </c>
      <c r="U178" s="33">
        <v>271.30099999999999</v>
      </c>
      <c r="V178" s="7"/>
      <c r="W178" s="7" t="str">
        <f>VLOOKUP($Q178,Mapping!$E$11:$I$204,3,0)</f>
        <v>Augmentation</v>
      </c>
      <c r="X178" s="7" t="str">
        <f>IFERROR(VLOOKUP($S178,Mapping!$E$208:$K$236,5,0),"Contracts")</f>
        <v>Materials</v>
      </c>
      <c r="Y178" s="7" t="str">
        <f>IFERROR(VLOOKUP($S178,Mapping!$E$208:$K$236,7,0),"ENDirect")</f>
        <v>ENDirect</v>
      </c>
      <c r="Z178" s="7" t="str">
        <f>IFERROR(HLOOKUP(X178,'Calc|Weightings'!$U$5:$W$5,1,0),"Excl")</f>
        <v>Materials</v>
      </c>
      <c r="AA178" s="7" t="str">
        <f>VLOOKUP(Q178,Mapping!$E$11:$I$204,5,0)</f>
        <v>SCS</v>
      </c>
      <c r="AC178" s="35" t="s">
        <v>161</v>
      </c>
      <c r="AD178" s="35"/>
      <c r="AE178" s="35">
        <v>71010</v>
      </c>
      <c r="AF178" s="35" t="s">
        <v>462</v>
      </c>
      <c r="AG178" s="36">
        <v>220.524</v>
      </c>
      <c r="AI178" s="7" t="str">
        <f>VLOOKUP($AC178,Mapping!$E$11:$I$204,3,0)</f>
        <v>Augmentation</v>
      </c>
      <c r="AJ178" s="7" t="str">
        <f>IFERROR(VLOOKUP($AE178,Mapping!$E$208:$K$236,5,0),"Contracts")</f>
        <v>Labour</v>
      </c>
      <c r="AK178" s="7" t="str">
        <f>IFERROR(VLOOKUP($AE178,Mapping!$E$208:$K$236,7,0),"ENDirect")</f>
        <v>ENDirect</v>
      </c>
      <c r="AL178" s="7" t="str">
        <f>IFERROR(HLOOKUP(AJ178,'Calc|Weightings'!$U$5:$W$5,1,0),"Excl")</f>
        <v>Labour</v>
      </c>
      <c r="AM178" s="7" t="str">
        <f>VLOOKUP(AC178,Mapping!$E$11:$I$204,5,0)</f>
        <v>SCS</v>
      </c>
      <c r="AO178" s="35" t="s">
        <v>118</v>
      </c>
      <c r="AP178" s="35"/>
      <c r="AQ178" s="35">
        <v>71010</v>
      </c>
      <c r="AR178" s="35" t="s">
        <v>487</v>
      </c>
      <c r="AS178" s="121">
        <v>9.0160100000000014</v>
      </c>
      <c r="AU178" s="7" t="str">
        <f>VLOOKUP($AO178,Mapping!$E$11:$I$204,3,0)</f>
        <v>Connections</v>
      </c>
      <c r="AV178" s="7" t="str">
        <f>IFERROR(VLOOKUP($AQ178,Mapping!$E$208:$K$236,5,0),"Contracts")</f>
        <v>Labour</v>
      </c>
      <c r="AW178" s="7" t="str">
        <f>IFERROR(VLOOKUP($AQ178,Mapping!$E$208:$K$236,7,0),"ENDirect")</f>
        <v>ENDirect</v>
      </c>
      <c r="AX178" s="7" t="str">
        <f>IFERROR(HLOOKUP(AV178,'Calc|Weightings'!$U$5:$W$5,1,0),"Excl")</f>
        <v>Labour</v>
      </c>
      <c r="AY178" s="7" t="str">
        <f>VLOOKUP(AO178,Mapping!$E$11:$I$204,5,0)</f>
        <v>SCS</v>
      </c>
    </row>
    <row r="179" spans="1:51" x14ac:dyDescent="0.3">
      <c r="A179" s="7"/>
      <c r="B179" s="7"/>
      <c r="C179" s="7"/>
      <c r="D179" s="7"/>
      <c r="E179" s="32" t="s">
        <v>552</v>
      </c>
      <c r="F179" s="32"/>
      <c r="G179" s="32">
        <v>71005</v>
      </c>
      <c r="H179" s="32" t="s">
        <v>461</v>
      </c>
      <c r="I179" s="33">
        <v>1095.9580000000001</v>
      </c>
      <c r="J179" s="170"/>
      <c r="K179" s="7" t="str">
        <f>VLOOKUP($E179,Mapping!$E$11:$I$204,3,0)</f>
        <v>Connections</v>
      </c>
      <c r="L179" s="7" t="str">
        <f>IFERROR(VLOOKUP($G179,Mapping!$E$208:$K$236,5,0),"Contracts")</f>
        <v>Materials</v>
      </c>
      <c r="M179" s="7" t="str">
        <f>IFERROR(VLOOKUP($G179,Mapping!$E$208:$K$236,7,0),"ENDirect")</f>
        <v>ENDirect</v>
      </c>
      <c r="N179" s="7" t="str">
        <f>IFERROR(HLOOKUP(L179,'Calc|Weightings'!$U$5:$W$5,1,0),"Excl")</f>
        <v>Materials</v>
      </c>
      <c r="O179" s="7" t="str">
        <f>VLOOKUP(E179,Mapping!$E$11:$I$204,5,0)</f>
        <v>SCS</v>
      </c>
      <c r="Q179" s="32" t="s">
        <v>121</v>
      </c>
      <c r="R179" s="32"/>
      <c r="S179" s="32">
        <v>71010</v>
      </c>
      <c r="T179" s="32" t="s">
        <v>462</v>
      </c>
      <c r="U179" s="33">
        <v>1113.337</v>
      </c>
      <c r="V179" s="7"/>
      <c r="W179" s="7" t="str">
        <f>VLOOKUP($Q179,Mapping!$E$11:$I$204,3,0)</f>
        <v>Augmentation</v>
      </c>
      <c r="X179" s="7" t="str">
        <f>IFERROR(VLOOKUP($S179,Mapping!$E$208:$K$236,5,0),"Contracts")</f>
        <v>Labour</v>
      </c>
      <c r="Y179" s="7" t="str">
        <f>IFERROR(VLOOKUP($S179,Mapping!$E$208:$K$236,7,0),"ENDirect")</f>
        <v>ENDirect</v>
      </c>
      <c r="Z179" s="7" t="str">
        <f>IFERROR(HLOOKUP(X179,'Calc|Weightings'!$U$5:$W$5,1,0),"Excl")</f>
        <v>Labour</v>
      </c>
      <c r="AA179" s="7" t="str">
        <f>VLOOKUP(Q179,Mapping!$E$11:$I$204,5,0)</f>
        <v>SCS</v>
      </c>
      <c r="AC179" s="35" t="s">
        <v>161</v>
      </c>
      <c r="AD179" s="35"/>
      <c r="AE179" s="35">
        <v>71015</v>
      </c>
      <c r="AF179" s="35" t="s">
        <v>463</v>
      </c>
      <c r="AG179" s="36">
        <v>38.337000000000003</v>
      </c>
      <c r="AI179" s="7" t="str">
        <f>VLOOKUP($AC179,Mapping!$E$11:$I$204,3,0)</f>
        <v>Augmentation</v>
      </c>
      <c r="AJ179" s="7" t="str">
        <f>IFERROR(VLOOKUP($AE179,Mapping!$E$208:$K$236,5,0),"Contracts")</f>
        <v>Materials</v>
      </c>
      <c r="AK179" s="7" t="str">
        <f>IFERROR(VLOOKUP($AE179,Mapping!$E$208:$K$236,7,0),"ENDirect")</f>
        <v>ENDirect</v>
      </c>
      <c r="AL179" s="7" t="str">
        <f>IFERROR(HLOOKUP(AJ179,'Calc|Weightings'!$U$5:$W$5,1,0),"Excl")</f>
        <v>Materials</v>
      </c>
      <c r="AM179" s="7" t="str">
        <f>VLOOKUP(AC179,Mapping!$E$11:$I$204,5,0)</f>
        <v>SCS</v>
      </c>
      <c r="AO179" s="35" t="s">
        <v>118</v>
      </c>
      <c r="AP179" s="35"/>
      <c r="AQ179" s="35">
        <v>71015</v>
      </c>
      <c r="AR179" s="35" t="s">
        <v>585</v>
      </c>
      <c r="AS179" s="121">
        <v>1.6014099999999998</v>
      </c>
      <c r="AU179" s="7" t="str">
        <f>VLOOKUP($AO179,Mapping!$E$11:$I$204,3,0)</f>
        <v>Connections</v>
      </c>
      <c r="AV179" s="7" t="str">
        <f>IFERROR(VLOOKUP($AQ179,Mapping!$E$208:$K$236,5,0),"Contracts")</f>
        <v>Materials</v>
      </c>
      <c r="AW179" s="7" t="str">
        <f>IFERROR(VLOOKUP($AQ179,Mapping!$E$208:$K$236,7,0),"ENDirect")</f>
        <v>ENDirect</v>
      </c>
      <c r="AX179" s="7" t="str">
        <f>IFERROR(HLOOKUP(AV179,'Calc|Weightings'!$U$5:$W$5,1,0),"Excl")</f>
        <v>Materials</v>
      </c>
      <c r="AY179" s="7" t="str">
        <f>VLOOKUP(AO179,Mapping!$E$11:$I$204,5,0)</f>
        <v>SCS</v>
      </c>
    </row>
    <row r="180" spans="1:51" x14ac:dyDescent="0.3">
      <c r="A180" s="7"/>
      <c r="B180" s="7"/>
      <c r="C180" s="7"/>
      <c r="D180" s="7"/>
      <c r="E180" s="32" t="s">
        <v>552</v>
      </c>
      <c r="F180" s="32"/>
      <c r="G180" s="32">
        <v>71010</v>
      </c>
      <c r="H180" s="32" t="s">
        <v>462</v>
      </c>
      <c r="I180" s="33">
        <v>1531.7360000000001</v>
      </c>
      <c r="J180" s="170"/>
      <c r="K180" s="7" t="str">
        <f>VLOOKUP($E180,Mapping!$E$11:$I$204,3,0)</f>
        <v>Connections</v>
      </c>
      <c r="L180" s="7" t="str">
        <f>IFERROR(VLOOKUP($G180,Mapping!$E$208:$K$236,5,0),"Contracts")</f>
        <v>Labour</v>
      </c>
      <c r="M180" s="7" t="str">
        <f>IFERROR(VLOOKUP($G180,Mapping!$E$208:$K$236,7,0),"ENDirect")</f>
        <v>ENDirect</v>
      </c>
      <c r="N180" s="7" t="str">
        <f>IFERROR(HLOOKUP(L180,'Calc|Weightings'!$U$5:$W$5,1,0),"Excl")</f>
        <v>Labour</v>
      </c>
      <c r="O180" s="7" t="str">
        <f>VLOOKUP(E180,Mapping!$E$11:$I$204,5,0)</f>
        <v>SCS</v>
      </c>
      <c r="Q180" s="32" t="s">
        <v>121</v>
      </c>
      <c r="R180" s="32"/>
      <c r="S180" s="32">
        <v>71015</v>
      </c>
      <c r="T180" s="32" t="s">
        <v>463</v>
      </c>
      <c r="U180" s="33">
        <v>183.32599999999999</v>
      </c>
      <c r="V180" s="7"/>
      <c r="W180" s="7" t="str">
        <f>VLOOKUP($Q180,Mapping!$E$11:$I$204,3,0)</f>
        <v>Augmentation</v>
      </c>
      <c r="X180" s="7" t="str">
        <f>IFERROR(VLOOKUP($S180,Mapping!$E$208:$K$236,5,0),"Contracts")</f>
        <v>Materials</v>
      </c>
      <c r="Y180" s="7" t="str">
        <f>IFERROR(VLOOKUP($S180,Mapping!$E$208:$K$236,7,0),"ENDirect")</f>
        <v>ENDirect</v>
      </c>
      <c r="Z180" s="7" t="str">
        <f>IFERROR(HLOOKUP(X180,'Calc|Weightings'!$U$5:$W$5,1,0),"Excl")</f>
        <v>Materials</v>
      </c>
      <c r="AA180" s="7" t="str">
        <f>VLOOKUP(Q180,Mapping!$E$11:$I$204,5,0)</f>
        <v>SCS</v>
      </c>
      <c r="AC180" s="35" t="s">
        <v>161</v>
      </c>
      <c r="AD180" s="35"/>
      <c r="AE180" s="35">
        <v>71030</v>
      </c>
      <c r="AF180" s="35" t="s">
        <v>464</v>
      </c>
      <c r="AG180" s="36">
        <v>30.585999999999999</v>
      </c>
      <c r="AI180" s="7" t="str">
        <f>VLOOKUP($AC180,Mapping!$E$11:$I$204,3,0)</f>
        <v>Augmentation</v>
      </c>
      <c r="AJ180" s="7" t="str">
        <f>IFERROR(VLOOKUP($AE180,Mapping!$E$208:$K$236,5,0),"Contracts")</f>
        <v>Contracts</v>
      </c>
      <c r="AK180" s="7" t="str">
        <f>IFERROR(VLOOKUP($AE180,Mapping!$E$208:$K$236,7,0),"ENDirect")</f>
        <v>ENDirect</v>
      </c>
      <c r="AL180" s="7" t="str">
        <f>IFERROR(HLOOKUP(AJ180,'Calc|Weightings'!$U$5:$W$5,1,0),"Excl")</f>
        <v>Contracts</v>
      </c>
      <c r="AM180" s="7" t="str">
        <f>VLOOKUP(AC180,Mapping!$E$11:$I$204,5,0)</f>
        <v>SCS</v>
      </c>
      <c r="AO180" s="35" t="s">
        <v>118</v>
      </c>
      <c r="AP180" s="35"/>
      <c r="AQ180" s="35">
        <v>71030</v>
      </c>
      <c r="AR180" s="35" t="s">
        <v>464</v>
      </c>
      <c r="AS180" s="121">
        <v>2.9642699999999991</v>
      </c>
      <c r="AU180" s="7" t="str">
        <f>VLOOKUP($AO180,Mapping!$E$11:$I$204,3,0)</f>
        <v>Connections</v>
      </c>
      <c r="AV180" s="7" t="str">
        <f>IFERROR(VLOOKUP($AQ180,Mapping!$E$208:$K$236,5,0),"Contracts")</f>
        <v>Contracts</v>
      </c>
      <c r="AW180" s="7" t="str">
        <f>IFERROR(VLOOKUP($AQ180,Mapping!$E$208:$K$236,7,0),"ENDirect")</f>
        <v>ENDirect</v>
      </c>
      <c r="AX180" s="7" t="str">
        <f>IFERROR(HLOOKUP(AV180,'Calc|Weightings'!$U$5:$W$5,1,0),"Excl")</f>
        <v>Contracts</v>
      </c>
      <c r="AY180" s="7" t="str">
        <f>VLOOKUP(AO180,Mapping!$E$11:$I$204,5,0)</f>
        <v>SCS</v>
      </c>
    </row>
    <row r="181" spans="1:51" x14ac:dyDescent="0.3">
      <c r="A181" s="7"/>
      <c r="B181" s="7"/>
      <c r="C181" s="7"/>
      <c r="D181" s="7"/>
      <c r="E181" s="32" t="s">
        <v>552</v>
      </c>
      <c r="F181" s="32"/>
      <c r="G181" s="32">
        <v>71015</v>
      </c>
      <c r="H181" s="32" t="s">
        <v>463</v>
      </c>
      <c r="I181" s="33">
        <v>285.00799999999998</v>
      </c>
      <c r="J181" s="170"/>
      <c r="K181" s="7" t="str">
        <f>VLOOKUP($E181,Mapping!$E$11:$I$204,3,0)</f>
        <v>Connections</v>
      </c>
      <c r="L181" s="7" t="str">
        <f>IFERROR(VLOOKUP($G181,Mapping!$E$208:$K$236,5,0),"Contracts")</f>
        <v>Materials</v>
      </c>
      <c r="M181" s="7" t="str">
        <f>IFERROR(VLOOKUP($G181,Mapping!$E$208:$K$236,7,0),"ENDirect")</f>
        <v>ENDirect</v>
      </c>
      <c r="N181" s="7" t="str">
        <f>IFERROR(HLOOKUP(L181,'Calc|Weightings'!$U$5:$W$5,1,0),"Excl")</f>
        <v>Materials</v>
      </c>
      <c r="O181" s="7" t="str">
        <f>VLOOKUP(E181,Mapping!$E$11:$I$204,5,0)</f>
        <v>SCS</v>
      </c>
      <c r="Q181" s="32" t="s">
        <v>121</v>
      </c>
      <c r="R181" s="32"/>
      <c r="S181" s="32">
        <v>71020</v>
      </c>
      <c r="T181" s="32" t="s">
        <v>459</v>
      </c>
      <c r="U181" s="33">
        <v>293.19200000000001</v>
      </c>
      <c r="V181" s="7"/>
      <c r="W181" s="7" t="str">
        <f>VLOOKUP($Q181,Mapping!$E$11:$I$204,3,0)</f>
        <v>Augmentation</v>
      </c>
      <c r="X181" s="7" t="str">
        <f>IFERROR(VLOOKUP($S181,Mapping!$E$208:$K$236,5,0),"Contracts")</f>
        <v>Contracts</v>
      </c>
      <c r="Y181" s="7" t="str">
        <f>IFERROR(VLOOKUP($S181,Mapping!$E$208:$K$236,7,0),"ENDirect")</f>
        <v>ENDirect</v>
      </c>
      <c r="Z181" s="7" t="str">
        <f>IFERROR(HLOOKUP(X181,'Calc|Weightings'!$U$5:$W$5,1,0),"Excl")</f>
        <v>Contracts</v>
      </c>
      <c r="AA181" s="7" t="str">
        <f>VLOOKUP(Q181,Mapping!$E$11:$I$204,5,0)</f>
        <v>SCS</v>
      </c>
      <c r="AC181" s="35" t="s">
        <v>161</v>
      </c>
      <c r="AD181" s="35"/>
      <c r="AE181" s="35">
        <v>71055</v>
      </c>
      <c r="AF181" s="35" t="s">
        <v>465</v>
      </c>
      <c r="AG181" s="36">
        <v>70.225999999999999</v>
      </c>
      <c r="AI181" s="7" t="str">
        <f>VLOOKUP($AC181,Mapping!$E$11:$I$204,3,0)</f>
        <v>Augmentation</v>
      </c>
      <c r="AJ181" s="7" t="str">
        <f>IFERROR(VLOOKUP($AE181,Mapping!$E$208:$K$236,5,0),"Contracts")</f>
        <v>Contracts</v>
      </c>
      <c r="AK181" s="7" t="str">
        <f>IFERROR(VLOOKUP($AE181,Mapping!$E$208:$K$236,7,0),"ENDirect")</f>
        <v>ENDirect</v>
      </c>
      <c r="AL181" s="7" t="str">
        <f>IFERROR(HLOOKUP(AJ181,'Calc|Weightings'!$U$5:$W$5,1,0),"Excl")</f>
        <v>Contracts</v>
      </c>
      <c r="AM181" s="7" t="str">
        <f>VLOOKUP(AC181,Mapping!$E$11:$I$204,5,0)</f>
        <v>SCS</v>
      </c>
      <c r="AO181" s="35" t="s">
        <v>118</v>
      </c>
      <c r="AP181" s="35"/>
      <c r="AQ181" s="35">
        <v>71055</v>
      </c>
      <c r="AR181" s="35" t="s">
        <v>465</v>
      </c>
      <c r="AS181" s="121">
        <v>1.0121399999999996</v>
      </c>
      <c r="AU181" s="7" t="str">
        <f>VLOOKUP($AO181,Mapping!$E$11:$I$204,3,0)</f>
        <v>Connections</v>
      </c>
      <c r="AV181" s="7" t="str">
        <f>IFERROR(VLOOKUP($AQ181,Mapping!$E$208:$K$236,5,0),"Contracts")</f>
        <v>Contracts</v>
      </c>
      <c r="AW181" s="7" t="str">
        <f>IFERROR(VLOOKUP($AQ181,Mapping!$E$208:$K$236,7,0),"ENDirect")</f>
        <v>ENDirect</v>
      </c>
      <c r="AX181" s="7" t="str">
        <f>IFERROR(HLOOKUP(AV181,'Calc|Weightings'!$U$5:$W$5,1,0),"Excl")</f>
        <v>Contracts</v>
      </c>
      <c r="AY181" s="7" t="str">
        <f>VLOOKUP(AO181,Mapping!$E$11:$I$204,5,0)</f>
        <v>SCS</v>
      </c>
    </row>
    <row r="182" spans="1:51" x14ac:dyDescent="0.3">
      <c r="A182" s="7"/>
      <c r="B182" s="7"/>
      <c r="C182" s="7"/>
      <c r="D182" s="7"/>
      <c r="E182" s="32" t="s">
        <v>552</v>
      </c>
      <c r="F182" s="32"/>
      <c r="G182" s="32">
        <v>71030</v>
      </c>
      <c r="H182" s="32" t="s">
        <v>464</v>
      </c>
      <c r="I182" s="33">
        <v>387.04700000000003</v>
      </c>
      <c r="J182" s="170"/>
      <c r="K182" s="7" t="str">
        <f>VLOOKUP($E182,Mapping!$E$11:$I$204,3,0)</f>
        <v>Connections</v>
      </c>
      <c r="L182" s="7" t="str">
        <f>IFERROR(VLOOKUP($G182,Mapping!$E$208:$K$236,5,0),"Contracts")</f>
        <v>Contracts</v>
      </c>
      <c r="M182" s="7" t="str">
        <f>IFERROR(VLOOKUP($G182,Mapping!$E$208:$K$236,7,0),"ENDirect")</f>
        <v>ENDirect</v>
      </c>
      <c r="N182" s="7" t="str">
        <f>IFERROR(HLOOKUP(L182,'Calc|Weightings'!$U$5:$W$5,1,0),"Excl")</f>
        <v>Contracts</v>
      </c>
      <c r="O182" s="7" t="str">
        <f>VLOOKUP(E182,Mapping!$E$11:$I$204,5,0)</f>
        <v>SCS</v>
      </c>
      <c r="Q182" s="32" t="s">
        <v>121</v>
      </c>
      <c r="R182" s="32"/>
      <c r="S182" s="32">
        <v>71030</v>
      </c>
      <c r="T182" s="32" t="s">
        <v>464</v>
      </c>
      <c r="U182" s="33">
        <v>214.40700000000001</v>
      </c>
      <c r="V182" s="7"/>
      <c r="W182" s="7" t="str">
        <f>VLOOKUP($Q182,Mapping!$E$11:$I$204,3,0)</f>
        <v>Augmentation</v>
      </c>
      <c r="X182" s="7" t="str">
        <f>IFERROR(VLOOKUP($S182,Mapping!$E$208:$K$236,5,0),"Contracts")</f>
        <v>Contracts</v>
      </c>
      <c r="Y182" s="7" t="str">
        <f>IFERROR(VLOOKUP($S182,Mapping!$E$208:$K$236,7,0),"ENDirect")</f>
        <v>ENDirect</v>
      </c>
      <c r="Z182" s="7" t="str">
        <f>IFERROR(HLOOKUP(X182,'Calc|Weightings'!$U$5:$W$5,1,0),"Excl")</f>
        <v>Contracts</v>
      </c>
      <c r="AA182" s="7" t="str">
        <f>VLOOKUP(Q182,Mapping!$E$11:$I$204,5,0)</f>
        <v>SCS</v>
      </c>
      <c r="AC182" s="35" t="s">
        <v>161</v>
      </c>
      <c r="AD182" s="35"/>
      <c r="AE182" s="35">
        <v>80000</v>
      </c>
      <c r="AF182" s="35" t="s">
        <v>453</v>
      </c>
      <c r="AG182" s="36">
        <v>69.721999999999994</v>
      </c>
      <c r="AI182" s="7" t="str">
        <f>VLOOKUP($AC182,Mapping!$E$11:$I$204,3,0)</f>
        <v>Augmentation</v>
      </c>
      <c r="AJ182" s="7" t="str">
        <f>IFERROR(VLOOKUP($AE182,Mapping!$E$208:$K$236,5,0),"Contracts")</f>
        <v>Overhead</v>
      </c>
      <c r="AK182" s="7" t="str">
        <f>IFERROR(VLOOKUP($AE182,Mapping!$E$208:$K$236,7,0),"ENDirect")</f>
        <v>OH</v>
      </c>
      <c r="AL182" s="7" t="str">
        <f>IFERROR(HLOOKUP(AJ182,'Calc|Weightings'!$U$5:$W$5,1,0),"Excl")</f>
        <v>Excl</v>
      </c>
      <c r="AM182" s="7" t="str">
        <f>VLOOKUP(AC182,Mapping!$E$11:$I$204,5,0)</f>
        <v>SCS</v>
      </c>
      <c r="AO182" s="35" t="s">
        <v>118</v>
      </c>
      <c r="AP182" s="35"/>
      <c r="AQ182" s="35">
        <v>71070</v>
      </c>
      <c r="AR182" s="35" t="s">
        <v>586</v>
      </c>
      <c r="AS182" s="121">
        <v>242.56345000000002</v>
      </c>
      <c r="AU182" s="7" t="str">
        <f>VLOOKUP($AO182,Mapping!$E$11:$I$204,3,0)</f>
        <v>Connections</v>
      </c>
      <c r="AV182" s="7" t="str">
        <f>IFERROR(VLOOKUP($AQ182,Mapping!$E$208:$K$236,5,0),"Contracts")</f>
        <v>Contracts</v>
      </c>
      <c r="AW182" s="7" t="str">
        <f>IFERROR(VLOOKUP($AQ182,Mapping!$E$208:$K$236,7,0),"ENDirect")</f>
        <v>ENDirect</v>
      </c>
      <c r="AX182" s="7" t="str">
        <f>IFERROR(HLOOKUP(AV182,'Calc|Weightings'!$U$5:$W$5,1,0),"Excl")</f>
        <v>Contracts</v>
      </c>
      <c r="AY182" s="7" t="str">
        <f>VLOOKUP(AO182,Mapping!$E$11:$I$204,5,0)</f>
        <v>SCS</v>
      </c>
    </row>
    <row r="183" spans="1:51" x14ac:dyDescent="0.3">
      <c r="A183" s="7"/>
      <c r="B183" s="7"/>
      <c r="C183" s="7"/>
      <c r="D183" s="7"/>
      <c r="E183" s="32" t="s">
        <v>552</v>
      </c>
      <c r="F183" s="32"/>
      <c r="G183" s="32">
        <v>71055</v>
      </c>
      <c r="H183" s="32" t="s">
        <v>465</v>
      </c>
      <c r="I183" s="33">
        <v>773.803</v>
      </c>
      <c r="J183" s="170"/>
      <c r="K183" s="7" t="str">
        <f>VLOOKUP($E183,Mapping!$E$11:$I$204,3,0)</f>
        <v>Connections</v>
      </c>
      <c r="L183" s="7" t="str">
        <f>IFERROR(VLOOKUP($G183,Mapping!$E$208:$K$236,5,0),"Contracts")</f>
        <v>Contracts</v>
      </c>
      <c r="M183" s="7" t="str">
        <f>IFERROR(VLOOKUP($G183,Mapping!$E$208:$K$236,7,0),"ENDirect")</f>
        <v>ENDirect</v>
      </c>
      <c r="N183" s="7" t="str">
        <f>IFERROR(HLOOKUP(L183,'Calc|Weightings'!$U$5:$W$5,1,0),"Excl")</f>
        <v>Contracts</v>
      </c>
      <c r="O183" s="7" t="str">
        <f>VLOOKUP(E183,Mapping!$E$11:$I$204,5,0)</f>
        <v>SCS</v>
      </c>
      <c r="Q183" s="32" t="s">
        <v>121</v>
      </c>
      <c r="R183" s="32"/>
      <c r="S183" s="32">
        <v>71040</v>
      </c>
      <c r="T183" s="32" t="s">
        <v>460</v>
      </c>
      <c r="U183" s="33">
        <v>-211.73400000000001</v>
      </c>
      <c r="V183" s="7"/>
      <c r="W183" s="7" t="str">
        <f>VLOOKUP($Q183,Mapping!$E$11:$I$204,3,0)</f>
        <v>Augmentation</v>
      </c>
      <c r="X183" s="7" t="str">
        <f>IFERROR(VLOOKUP($S183,Mapping!$E$208:$K$236,5,0),"Contracts")</f>
        <v>Contracts</v>
      </c>
      <c r="Y183" s="7" t="str">
        <f>IFERROR(VLOOKUP($S183,Mapping!$E$208:$K$236,7,0),"ENDirect")</f>
        <v>ENDirect</v>
      </c>
      <c r="Z183" s="7" t="str">
        <f>IFERROR(HLOOKUP(X183,'Calc|Weightings'!$U$5:$W$5,1,0),"Excl")</f>
        <v>Contracts</v>
      </c>
      <c r="AA183" s="7" t="str">
        <f>VLOOKUP(Q183,Mapping!$E$11:$I$204,5,0)</f>
        <v>SCS</v>
      </c>
      <c r="AC183" s="35" t="s">
        <v>162</v>
      </c>
      <c r="AD183" s="35"/>
      <c r="AE183" s="35">
        <v>71000</v>
      </c>
      <c r="AF183" s="35" t="s">
        <v>457</v>
      </c>
      <c r="AG183" s="36">
        <v>2882.5659999999998</v>
      </c>
      <c r="AI183" s="7" t="str">
        <f>VLOOKUP($AC183,Mapping!$E$11:$I$204,3,0)</f>
        <v>Replacement</v>
      </c>
      <c r="AJ183" s="7" t="str">
        <f>IFERROR(VLOOKUP($AE183,Mapping!$E$208:$K$236,5,0),"Contracts")</f>
        <v>Labour</v>
      </c>
      <c r="AK183" s="7" t="str">
        <f>IFERROR(VLOOKUP($AE183,Mapping!$E$208:$K$236,7,0),"ENDirect")</f>
        <v>ENDirect</v>
      </c>
      <c r="AL183" s="7" t="str">
        <f>IFERROR(HLOOKUP(AJ183,'Calc|Weightings'!$U$5:$W$5,1,0),"Excl")</f>
        <v>Labour</v>
      </c>
      <c r="AM183" s="7" t="str">
        <f>VLOOKUP(AC183,Mapping!$E$11:$I$204,5,0)</f>
        <v>SCS</v>
      </c>
      <c r="AO183" s="35" t="s">
        <v>118</v>
      </c>
      <c r="AP183" s="35"/>
      <c r="AQ183" s="35">
        <v>71075</v>
      </c>
      <c r="AR183" s="35" t="s">
        <v>587</v>
      </c>
      <c r="AS183" s="121">
        <v>26.765600000000003</v>
      </c>
      <c r="AU183" s="7" t="str">
        <f>VLOOKUP($AO183,Mapping!$E$11:$I$204,3,0)</f>
        <v>Connections</v>
      </c>
      <c r="AV183" s="7" t="str">
        <f>IFERROR(VLOOKUP($AQ183,Mapping!$E$208:$K$236,5,0),"Contracts")</f>
        <v>Contracts</v>
      </c>
      <c r="AW183" s="7" t="str">
        <f>IFERROR(VLOOKUP($AQ183,Mapping!$E$208:$K$236,7,0),"ENDirect")</f>
        <v>ENDirect</v>
      </c>
      <c r="AX183" s="7" t="str">
        <f>IFERROR(HLOOKUP(AV183,'Calc|Weightings'!$U$5:$W$5,1,0),"Excl")</f>
        <v>Contracts</v>
      </c>
      <c r="AY183" s="7" t="str">
        <f>VLOOKUP(AO183,Mapping!$E$11:$I$204,5,0)</f>
        <v>SCS</v>
      </c>
    </row>
    <row r="184" spans="1:51" x14ac:dyDescent="0.3">
      <c r="A184" s="7"/>
      <c r="B184" s="7"/>
      <c r="C184" s="7"/>
      <c r="D184" s="7"/>
      <c r="E184" s="32" t="s">
        <v>552</v>
      </c>
      <c r="F184" s="32"/>
      <c r="G184" s="32">
        <v>80000</v>
      </c>
      <c r="H184" s="32" t="s">
        <v>453</v>
      </c>
      <c r="I184" s="33">
        <v>644.36699999999996</v>
      </c>
      <c r="J184" s="170"/>
      <c r="K184" s="7" t="str">
        <f>VLOOKUP($E184,Mapping!$E$11:$I$204,3,0)</f>
        <v>Connections</v>
      </c>
      <c r="L184" s="7" t="str">
        <f>IFERROR(VLOOKUP($G184,Mapping!$E$208:$K$236,5,0),"Contracts")</f>
        <v>Overhead</v>
      </c>
      <c r="M184" s="7" t="str">
        <f>IFERROR(VLOOKUP($G184,Mapping!$E$208:$K$236,7,0),"ENDirect")</f>
        <v>OH</v>
      </c>
      <c r="N184" s="7" t="str">
        <f>IFERROR(HLOOKUP(L184,'Calc|Weightings'!$U$5:$W$5,1,0),"Excl")</f>
        <v>Excl</v>
      </c>
      <c r="O184" s="7" t="str">
        <f>VLOOKUP(E184,Mapping!$E$11:$I$204,5,0)</f>
        <v>SCS</v>
      </c>
      <c r="Q184" s="32" t="s">
        <v>121</v>
      </c>
      <c r="R184" s="32"/>
      <c r="S184" s="32">
        <v>71055</v>
      </c>
      <c r="T184" s="32" t="s">
        <v>465</v>
      </c>
      <c r="U184" s="33">
        <v>562.25800000000004</v>
      </c>
      <c r="V184" s="7"/>
      <c r="W184" s="7" t="str">
        <f>VLOOKUP($Q184,Mapping!$E$11:$I$204,3,0)</f>
        <v>Augmentation</v>
      </c>
      <c r="X184" s="7" t="str">
        <f>IFERROR(VLOOKUP($S184,Mapping!$E$208:$K$236,5,0),"Contracts")</f>
        <v>Contracts</v>
      </c>
      <c r="Y184" s="7" t="str">
        <f>IFERROR(VLOOKUP($S184,Mapping!$E$208:$K$236,7,0),"ENDirect")</f>
        <v>ENDirect</v>
      </c>
      <c r="Z184" s="7" t="str">
        <f>IFERROR(HLOOKUP(X184,'Calc|Weightings'!$U$5:$W$5,1,0),"Excl")</f>
        <v>Contracts</v>
      </c>
      <c r="AA184" s="7" t="str">
        <f>VLOOKUP(Q184,Mapping!$E$11:$I$204,5,0)</f>
        <v>SCS</v>
      </c>
      <c r="AC184" s="35" t="s">
        <v>162</v>
      </c>
      <c r="AD184" s="35"/>
      <c r="AE184" s="35">
        <v>71005</v>
      </c>
      <c r="AF184" s="35" t="s">
        <v>461</v>
      </c>
      <c r="AG184" s="36">
        <v>550.18499999999995</v>
      </c>
      <c r="AI184" s="7" t="str">
        <f>VLOOKUP($AC184,Mapping!$E$11:$I$204,3,0)</f>
        <v>Replacement</v>
      </c>
      <c r="AJ184" s="7" t="str">
        <f>IFERROR(VLOOKUP($AE184,Mapping!$E$208:$K$236,5,0),"Contracts")</f>
        <v>Materials</v>
      </c>
      <c r="AK184" s="7" t="str">
        <f>IFERROR(VLOOKUP($AE184,Mapping!$E$208:$K$236,7,0),"ENDirect")</f>
        <v>ENDirect</v>
      </c>
      <c r="AL184" s="7" t="str">
        <f>IFERROR(HLOOKUP(AJ184,'Calc|Weightings'!$U$5:$W$5,1,0),"Excl")</f>
        <v>Materials</v>
      </c>
      <c r="AM184" s="7" t="str">
        <f>VLOOKUP(AC184,Mapping!$E$11:$I$204,5,0)</f>
        <v>SCS</v>
      </c>
      <c r="AO184" s="35" t="s">
        <v>118</v>
      </c>
      <c r="AP184" s="35"/>
      <c r="AQ184" s="35">
        <v>80000</v>
      </c>
      <c r="AR184" s="35" t="s">
        <v>589</v>
      </c>
      <c r="AS184" s="121">
        <v>60.33147000000001</v>
      </c>
      <c r="AU184" s="7" t="str">
        <f>VLOOKUP($AO184,Mapping!$E$11:$I$204,3,0)</f>
        <v>Connections</v>
      </c>
      <c r="AV184" s="7" t="str">
        <f>IFERROR(VLOOKUP($AQ184,Mapping!$E$208:$K$236,5,0),"Contracts")</f>
        <v>Overhead</v>
      </c>
      <c r="AW184" s="7" t="str">
        <f>IFERROR(VLOOKUP($AQ184,Mapping!$E$208:$K$236,7,0),"ENDirect")</f>
        <v>OH</v>
      </c>
      <c r="AX184" s="7" t="str">
        <f>IFERROR(HLOOKUP(AV184,'Calc|Weightings'!$U$5:$W$5,1,0),"Excl")</f>
        <v>Excl</v>
      </c>
      <c r="AY184" s="7" t="str">
        <f>VLOOKUP(AO184,Mapping!$E$11:$I$204,5,0)</f>
        <v>SCS</v>
      </c>
    </row>
    <row r="185" spans="1:51" x14ac:dyDescent="0.3">
      <c r="A185" s="7"/>
      <c r="B185" s="7"/>
      <c r="C185" s="7"/>
      <c r="D185" s="7"/>
      <c r="E185" s="32" t="s">
        <v>111</v>
      </c>
      <c r="F185" s="32"/>
      <c r="G185" s="32">
        <v>71020</v>
      </c>
      <c r="H185" s="32" t="s">
        <v>459</v>
      </c>
      <c r="I185" s="33">
        <v>-70.647999999999996</v>
      </c>
      <c r="J185" s="170"/>
      <c r="K185" s="7" t="str">
        <f>VLOOKUP($E185,Mapping!$E$11:$I$204,3,0)</f>
        <v>Connections</v>
      </c>
      <c r="L185" s="7" t="str">
        <f>IFERROR(VLOOKUP($G185,Mapping!$E$208:$K$236,5,0),"Contracts")</f>
        <v>Contracts</v>
      </c>
      <c r="M185" s="7" t="str">
        <f>IFERROR(VLOOKUP($G185,Mapping!$E$208:$K$236,7,0),"ENDirect")</f>
        <v>ENDirect</v>
      </c>
      <c r="N185" s="7" t="str">
        <f>IFERROR(HLOOKUP(L185,'Calc|Weightings'!$U$5:$W$5,1,0),"Excl")</f>
        <v>Contracts</v>
      </c>
      <c r="O185" s="7" t="str">
        <f>VLOOKUP(E185,Mapping!$E$11:$I$204,5,0)</f>
        <v>SCS</v>
      </c>
      <c r="Q185" s="32" t="s">
        <v>121</v>
      </c>
      <c r="R185" s="32"/>
      <c r="S185" s="32">
        <v>80000</v>
      </c>
      <c r="T185" s="32" t="s">
        <v>453</v>
      </c>
      <c r="U185" s="33">
        <v>416.39499999999998</v>
      </c>
      <c r="V185" s="7"/>
      <c r="W185" s="7" t="str">
        <f>VLOOKUP($Q185,Mapping!$E$11:$I$204,3,0)</f>
        <v>Augmentation</v>
      </c>
      <c r="X185" s="7" t="str">
        <f>IFERROR(VLOOKUP($S185,Mapping!$E$208:$K$236,5,0),"Contracts")</f>
        <v>Overhead</v>
      </c>
      <c r="Y185" s="7" t="str">
        <f>IFERROR(VLOOKUP($S185,Mapping!$E$208:$K$236,7,0),"ENDirect")</f>
        <v>OH</v>
      </c>
      <c r="Z185" s="7" t="str">
        <f>IFERROR(HLOOKUP(X185,'Calc|Weightings'!$U$5:$W$5,1,0),"Excl")</f>
        <v>Excl</v>
      </c>
      <c r="AA185" s="7" t="str">
        <f>VLOOKUP(Q185,Mapping!$E$11:$I$204,5,0)</f>
        <v>SCS</v>
      </c>
      <c r="AC185" s="35" t="s">
        <v>162</v>
      </c>
      <c r="AD185" s="35"/>
      <c r="AE185" s="35">
        <v>71015</v>
      </c>
      <c r="AF185" s="35" t="s">
        <v>463</v>
      </c>
      <c r="AG185" s="36">
        <v>245.428</v>
      </c>
      <c r="AI185" s="7" t="str">
        <f>VLOOKUP($AC185,Mapping!$E$11:$I$204,3,0)</f>
        <v>Replacement</v>
      </c>
      <c r="AJ185" s="7" t="str">
        <f>IFERROR(VLOOKUP($AE185,Mapping!$E$208:$K$236,5,0),"Contracts")</f>
        <v>Materials</v>
      </c>
      <c r="AK185" s="7" t="str">
        <f>IFERROR(VLOOKUP($AE185,Mapping!$E$208:$K$236,7,0),"ENDirect")</f>
        <v>ENDirect</v>
      </c>
      <c r="AL185" s="7" t="str">
        <f>IFERROR(HLOOKUP(AJ185,'Calc|Weightings'!$U$5:$W$5,1,0),"Excl")</f>
        <v>Materials</v>
      </c>
      <c r="AM185" s="7" t="str">
        <f>VLOOKUP(AC185,Mapping!$E$11:$I$204,5,0)</f>
        <v>SCS</v>
      </c>
      <c r="AO185" s="35" t="s">
        <v>119</v>
      </c>
      <c r="AP185" s="35"/>
      <c r="AQ185" s="35">
        <v>71000</v>
      </c>
      <c r="AR185" s="35" t="s">
        <v>457</v>
      </c>
      <c r="AS185" s="121">
        <v>-0.84332999999999991</v>
      </c>
      <c r="AU185" s="7" t="str">
        <f>VLOOKUP($AO185,Mapping!$E$11:$I$204,3,0)</f>
        <v>Connections</v>
      </c>
      <c r="AV185" s="7" t="str">
        <f>IFERROR(VLOOKUP($AQ185,Mapping!$E$208:$K$236,5,0),"Contracts")</f>
        <v>Labour</v>
      </c>
      <c r="AW185" s="7" t="str">
        <f>IFERROR(VLOOKUP($AQ185,Mapping!$E$208:$K$236,7,0),"ENDirect")</f>
        <v>ENDirect</v>
      </c>
      <c r="AX185" s="7" t="str">
        <f>IFERROR(HLOOKUP(AV185,'Calc|Weightings'!$U$5:$W$5,1,0),"Excl")</f>
        <v>Labour</v>
      </c>
      <c r="AY185" s="7" t="str">
        <f>VLOOKUP(AO185,Mapping!$E$11:$I$204,5,0)</f>
        <v>SCS</v>
      </c>
    </row>
    <row r="186" spans="1:51" x14ac:dyDescent="0.3">
      <c r="A186" s="7"/>
      <c r="B186" s="7"/>
      <c r="C186" s="7"/>
      <c r="D186" s="7"/>
      <c r="E186" s="32" t="s">
        <v>551</v>
      </c>
      <c r="F186" s="32"/>
      <c r="G186" s="32">
        <v>71040</v>
      </c>
      <c r="H186" s="32" t="s">
        <v>460</v>
      </c>
      <c r="I186" s="33">
        <v>0.14899999999999999</v>
      </c>
      <c r="J186" s="170"/>
      <c r="K186" s="7" t="str">
        <f>VLOOKUP($E186,Mapping!$E$11:$I$204,3,0)</f>
        <v>Connections</v>
      </c>
      <c r="L186" s="7" t="str">
        <f>IFERROR(VLOOKUP($G186,Mapping!$E$208:$K$236,5,0),"Contracts")</f>
        <v>Contracts</v>
      </c>
      <c r="M186" s="7" t="str">
        <f>IFERROR(VLOOKUP($G186,Mapping!$E$208:$K$236,7,0),"ENDirect")</f>
        <v>ENDirect</v>
      </c>
      <c r="N186" s="7" t="str">
        <f>IFERROR(HLOOKUP(L186,'Calc|Weightings'!$U$5:$W$5,1,0),"Excl")</f>
        <v>Contracts</v>
      </c>
      <c r="O186" s="7" t="str">
        <f>VLOOKUP(E186,Mapping!$E$11:$I$204,5,0)</f>
        <v>SCS</v>
      </c>
      <c r="Q186" s="32" t="s">
        <v>550</v>
      </c>
      <c r="R186" s="32"/>
      <c r="S186" s="32">
        <v>71040</v>
      </c>
      <c r="T186" s="32" t="s">
        <v>460</v>
      </c>
      <c r="U186" s="33">
        <v>-1.7000000000000001E-2</v>
      </c>
      <c r="V186" s="7"/>
      <c r="W186" s="7" t="str">
        <f>VLOOKUP($Q186,Mapping!$E$11:$I$204,3,0)</f>
        <v>Connections</v>
      </c>
      <c r="X186" s="7" t="str">
        <f>IFERROR(VLOOKUP($S186,Mapping!$E$208:$K$236,5,0),"Contracts")</f>
        <v>Contracts</v>
      </c>
      <c r="Y186" s="7" t="str">
        <f>IFERROR(VLOOKUP($S186,Mapping!$E$208:$K$236,7,0),"ENDirect")</f>
        <v>ENDirect</v>
      </c>
      <c r="Z186" s="7" t="str">
        <f>IFERROR(HLOOKUP(X186,'Calc|Weightings'!$U$5:$W$5,1,0),"Excl")</f>
        <v>Contracts</v>
      </c>
      <c r="AA186" s="7" t="str">
        <f>VLOOKUP(Q186,Mapping!$E$11:$I$204,5,0)</f>
        <v>SCS</v>
      </c>
      <c r="AC186" s="35" t="s">
        <v>162</v>
      </c>
      <c r="AD186" s="35"/>
      <c r="AE186" s="35">
        <v>71030</v>
      </c>
      <c r="AF186" s="35" t="s">
        <v>464</v>
      </c>
      <c r="AG186" s="36">
        <v>276.577</v>
      </c>
      <c r="AI186" s="7" t="str">
        <f>VLOOKUP($AC186,Mapping!$E$11:$I$204,3,0)</f>
        <v>Replacement</v>
      </c>
      <c r="AJ186" s="7" t="str">
        <f>IFERROR(VLOOKUP($AE186,Mapping!$E$208:$K$236,5,0),"Contracts")</f>
        <v>Contracts</v>
      </c>
      <c r="AK186" s="7" t="str">
        <f>IFERROR(VLOOKUP($AE186,Mapping!$E$208:$K$236,7,0),"ENDirect")</f>
        <v>ENDirect</v>
      </c>
      <c r="AL186" s="7" t="str">
        <f>IFERROR(HLOOKUP(AJ186,'Calc|Weightings'!$U$5:$W$5,1,0),"Excl")</f>
        <v>Contracts</v>
      </c>
      <c r="AM186" s="7" t="str">
        <f>VLOOKUP(AC186,Mapping!$E$11:$I$204,5,0)</f>
        <v>SCS</v>
      </c>
      <c r="AO186" s="35" t="s">
        <v>119</v>
      </c>
      <c r="AP186" s="35"/>
      <c r="AQ186" s="35">
        <v>71010</v>
      </c>
      <c r="AR186" s="35" t="s">
        <v>487</v>
      </c>
      <c r="AS186" s="121">
        <v>3.3399999999999997E-3</v>
      </c>
      <c r="AU186" s="7" t="str">
        <f>VLOOKUP($AO186,Mapping!$E$11:$I$204,3,0)</f>
        <v>Connections</v>
      </c>
      <c r="AV186" s="7" t="str">
        <f>IFERROR(VLOOKUP($AQ186,Mapping!$E$208:$K$236,5,0),"Contracts")</f>
        <v>Labour</v>
      </c>
      <c r="AW186" s="7" t="str">
        <f>IFERROR(VLOOKUP($AQ186,Mapping!$E$208:$K$236,7,0),"ENDirect")</f>
        <v>ENDirect</v>
      </c>
      <c r="AX186" s="7" t="str">
        <f>IFERROR(HLOOKUP(AV186,'Calc|Weightings'!$U$5:$W$5,1,0),"Excl")</f>
        <v>Labour</v>
      </c>
      <c r="AY186" s="7" t="str">
        <f>VLOOKUP(AO186,Mapping!$E$11:$I$204,5,0)</f>
        <v>SCS</v>
      </c>
    </row>
    <row r="187" spans="1:51" x14ac:dyDescent="0.3">
      <c r="A187" s="7"/>
      <c r="B187" s="7"/>
      <c r="C187" s="7"/>
      <c r="D187" s="7"/>
      <c r="E187" s="32" t="s">
        <v>118</v>
      </c>
      <c r="F187" s="32"/>
      <c r="G187" s="32">
        <v>71020</v>
      </c>
      <c r="H187" s="32" t="s">
        <v>459</v>
      </c>
      <c r="I187" s="33">
        <v>-1.4259999999999999</v>
      </c>
      <c r="J187" s="170"/>
      <c r="K187" s="7" t="str">
        <f>VLOOKUP($E187,Mapping!$E$11:$I$204,3,0)</f>
        <v>Connections</v>
      </c>
      <c r="L187" s="7" t="str">
        <f>IFERROR(VLOOKUP($G187,Mapping!$E$208:$K$236,5,0),"Contracts")</f>
        <v>Contracts</v>
      </c>
      <c r="M187" s="7" t="str">
        <f>IFERROR(VLOOKUP($G187,Mapping!$E$208:$K$236,7,0),"ENDirect")</f>
        <v>ENDirect</v>
      </c>
      <c r="N187" s="7" t="str">
        <f>IFERROR(HLOOKUP(L187,'Calc|Weightings'!$U$5:$W$5,1,0),"Excl")</f>
        <v>Contracts</v>
      </c>
      <c r="O187" s="7" t="str">
        <f>VLOOKUP(E187,Mapping!$E$11:$I$204,5,0)</f>
        <v>SCS</v>
      </c>
      <c r="Q187" s="32" t="s">
        <v>528</v>
      </c>
      <c r="R187" s="32"/>
      <c r="S187" s="32">
        <v>71000</v>
      </c>
      <c r="T187" s="32" t="s">
        <v>457</v>
      </c>
      <c r="U187" s="33">
        <v>443.22699999999998</v>
      </c>
      <c r="V187" s="7"/>
      <c r="W187" s="7" t="str">
        <f>VLOOKUP($Q187,Mapping!$E$11:$I$204,3,0)</f>
        <v>Connections</v>
      </c>
      <c r="X187" s="7" t="str">
        <f>IFERROR(VLOOKUP($S187,Mapping!$E$208:$K$236,5,0),"Contracts")</f>
        <v>Labour</v>
      </c>
      <c r="Y187" s="7" t="str">
        <f>IFERROR(VLOOKUP($S187,Mapping!$E$208:$K$236,7,0),"ENDirect")</f>
        <v>ENDirect</v>
      </c>
      <c r="Z187" s="7" t="str">
        <f>IFERROR(HLOOKUP(X187,'Calc|Weightings'!$U$5:$W$5,1,0),"Excl")</f>
        <v>Labour</v>
      </c>
      <c r="AA187" s="7" t="str">
        <f>VLOOKUP(Q187,Mapping!$E$11:$I$204,5,0)</f>
        <v>SCS</v>
      </c>
      <c r="AC187" s="35" t="s">
        <v>162</v>
      </c>
      <c r="AD187" s="35"/>
      <c r="AE187" s="35">
        <v>71055</v>
      </c>
      <c r="AF187" s="35" t="s">
        <v>465</v>
      </c>
      <c r="AG187" s="36">
        <v>342.53</v>
      </c>
      <c r="AI187" s="7" t="str">
        <f>VLOOKUP($AC187,Mapping!$E$11:$I$204,3,0)</f>
        <v>Replacement</v>
      </c>
      <c r="AJ187" s="7" t="str">
        <f>IFERROR(VLOOKUP($AE187,Mapping!$E$208:$K$236,5,0),"Contracts")</f>
        <v>Contracts</v>
      </c>
      <c r="AK187" s="7" t="str">
        <f>IFERROR(VLOOKUP($AE187,Mapping!$E$208:$K$236,7,0),"ENDirect")</f>
        <v>ENDirect</v>
      </c>
      <c r="AL187" s="7" t="str">
        <f>IFERROR(HLOOKUP(AJ187,'Calc|Weightings'!$U$5:$W$5,1,0),"Excl")</f>
        <v>Contracts</v>
      </c>
      <c r="AM187" s="7" t="str">
        <f>VLOOKUP(AC187,Mapping!$E$11:$I$204,5,0)</f>
        <v>SCS</v>
      </c>
      <c r="AO187" s="35" t="s">
        <v>119</v>
      </c>
      <c r="AP187" s="35"/>
      <c r="AQ187" s="35">
        <v>71015</v>
      </c>
      <c r="AR187" s="35" t="s">
        <v>585</v>
      </c>
      <c r="AS187" s="121">
        <v>-2.308E-2</v>
      </c>
      <c r="AU187" s="7" t="str">
        <f>VLOOKUP($AO187,Mapping!$E$11:$I$204,3,0)</f>
        <v>Connections</v>
      </c>
      <c r="AV187" s="7" t="str">
        <f>IFERROR(VLOOKUP($AQ187,Mapping!$E$208:$K$236,5,0),"Contracts")</f>
        <v>Materials</v>
      </c>
      <c r="AW187" s="7" t="str">
        <f>IFERROR(VLOOKUP($AQ187,Mapping!$E$208:$K$236,7,0),"ENDirect")</f>
        <v>ENDirect</v>
      </c>
      <c r="AX187" s="7" t="str">
        <f>IFERROR(HLOOKUP(AV187,'Calc|Weightings'!$U$5:$W$5,1,0),"Excl")</f>
        <v>Materials</v>
      </c>
      <c r="AY187" s="7" t="str">
        <f>VLOOKUP(AO187,Mapping!$E$11:$I$204,5,0)</f>
        <v>SCS</v>
      </c>
    </row>
    <row r="188" spans="1:51" x14ac:dyDescent="0.3">
      <c r="A188" s="7"/>
      <c r="B188" s="7"/>
      <c r="C188" s="7"/>
      <c r="D188" s="7"/>
      <c r="E188" s="32" t="s">
        <v>552</v>
      </c>
      <c r="F188" s="32"/>
      <c r="G188" s="32">
        <v>71006</v>
      </c>
      <c r="H188" s="32" t="s">
        <v>468</v>
      </c>
      <c r="I188" s="33">
        <v>873.98199999999997</v>
      </c>
      <c r="J188" s="170"/>
      <c r="K188" s="7" t="str">
        <f>VLOOKUP($E188,Mapping!$E$11:$I$204,3,0)</f>
        <v>Connections</v>
      </c>
      <c r="L188" s="7" t="str">
        <f>IFERROR(VLOOKUP($G188,Mapping!$E$208:$K$236,5,0),"Contracts")</f>
        <v>Materials</v>
      </c>
      <c r="M188" s="7" t="str">
        <f>IFERROR(VLOOKUP($G188,Mapping!$E$208:$K$236,7,0),"ENDirect")</f>
        <v>ENDirect</v>
      </c>
      <c r="N188" s="7" t="str">
        <f>IFERROR(HLOOKUP(L188,'Calc|Weightings'!$U$5:$W$5,1,0),"Excl")</f>
        <v>Materials</v>
      </c>
      <c r="O188" s="7" t="str">
        <f>VLOOKUP(E188,Mapping!$E$11:$I$204,5,0)</f>
        <v>SCS</v>
      </c>
      <c r="Q188" s="32" t="s">
        <v>528</v>
      </c>
      <c r="R188" s="32"/>
      <c r="S188" s="32">
        <v>71005</v>
      </c>
      <c r="T188" s="32" t="s">
        <v>461</v>
      </c>
      <c r="U188" s="33">
        <v>123.303</v>
      </c>
      <c r="V188" s="7"/>
      <c r="W188" s="7" t="str">
        <f>VLOOKUP($Q188,Mapping!$E$11:$I$204,3,0)</f>
        <v>Connections</v>
      </c>
      <c r="X188" s="7" t="str">
        <f>IFERROR(VLOOKUP($S188,Mapping!$E$208:$K$236,5,0),"Contracts")</f>
        <v>Materials</v>
      </c>
      <c r="Y188" s="7" t="str">
        <f>IFERROR(VLOOKUP($S188,Mapping!$E$208:$K$236,7,0),"ENDirect")</f>
        <v>ENDirect</v>
      </c>
      <c r="Z188" s="7" t="str">
        <f>IFERROR(HLOOKUP(X188,'Calc|Weightings'!$U$5:$W$5,1,0),"Excl")</f>
        <v>Materials</v>
      </c>
      <c r="AA188" s="7" t="str">
        <f>VLOOKUP(Q188,Mapping!$E$11:$I$204,5,0)</f>
        <v>SCS</v>
      </c>
      <c r="AC188" s="35" t="s">
        <v>162</v>
      </c>
      <c r="AD188" s="35"/>
      <c r="AE188" s="35">
        <v>80000</v>
      </c>
      <c r="AF188" s="35" t="s">
        <v>453</v>
      </c>
      <c r="AG188" s="36">
        <v>641.18899999999996</v>
      </c>
      <c r="AI188" s="7" t="str">
        <f>VLOOKUP($AC188,Mapping!$E$11:$I$204,3,0)</f>
        <v>Replacement</v>
      </c>
      <c r="AJ188" s="7" t="str">
        <f>IFERROR(VLOOKUP($AE188,Mapping!$E$208:$K$236,5,0),"Contracts")</f>
        <v>Overhead</v>
      </c>
      <c r="AK188" s="7" t="str">
        <f>IFERROR(VLOOKUP($AE188,Mapping!$E$208:$K$236,7,0),"ENDirect")</f>
        <v>OH</v>
      </c>
      <c r="AL188" s="7" t="str">
        <f>IFERROR(HLOOKUP(AJ188,'Calc|Weightings'!$U$5:$W$5,1,0),"Excl")</f>
        <v>Excl</v>
      </c>
      <c r="AM188" s="7" t="str">
        <f>VLOOKUP(AC188,Mapping!$E$11:$I$204,5,0)</f>
        <v>SCS</v>
      </c>
      <c r="AO188" s="35" t="s">
        <v>119</v>
      </c>
      <c r="AP188" s="35"/>
      <c r="AQ188" s="35">
        <v>71030</v>
      </c>
      <c r="AR188" s="35" t="s">
        <v>464</v>
      </c>
      <c r="AS188" s="121">
        <v>-7.1289999999999992E-2</v>
      </c>
      <c r="AU188" s="7" t="str">
        <f>VLOOKUP($AO188,Mapping!$E$11:$I$204,3,0)</f>
        <v>Connections</v>
      </c>
      <c r="AV188" s="7" t="str">
        <f>IFERROR(VLOOKUP($AQ188,Mapping!$E$208:$K$236,5,0),"Contracts")</f>
        <v>Contracts</v>
      </c>
      <c r="AW188" s="7" t="str">
        <f>IFERROR(VLOOKUP($AQ188,Mapping!$E$208:$K$236,7,0),"ENDirect")</f>
        <v>ENDirect</v>
      </c>
      <c r="AX188" s="7" t="str">
        <f>IFERROR(HLOOKUP(AV188,'Calc|Weightings'!$U$5:$W$5,1,0),"Excl")</f>
        <v>Contracts</v>
      </c>
      <c r="AY188" s="7" t="str">
        <f>VLOOKUP(AO188,Mapping!$E$11:$I$204,5,0)</f>
        <v>SCS</v>
      </c>
    </row>
    <row r="189" spans="1:51" x14ac:dyDescent="0.3">
      <c r="A189" s="7"/>
      <c r="B189" s="7"/>
      <c r="C189" s="7"/>
      <c r="D189" s="7"/>
      <c r="E189" s="32" t="s">
        <v>116</v>
      </c>
      <c r="F189" s="32"/>
      <c r="G189" s="32">
        <v>71020</v>
      </c>
      <c r="H189" s="32" t="s">
        <v>459</v>
      </c>
      <c r="I189" s="33">
        <v>0</v>
      </c>
      <c r="J189" s="170"/>
      <c r="K189" s="7" t="str">
        <f>VLOOKUP($E189,Mapping!$E$11:$I$204,3,0)</f>
        <v>Connections</v>
      </c>
      <c r="L189" s="7" t="str">
        <f>IFERROR(VLOOKUP($G189,Mapping!$E$208:$K$236,5,0),"Contracts")</f>
        <v>Contracts</v>
      </c>
      <c r="M189" s="7" t="str">
        <f>IFERROR(VLOOKUP($G189,Mapping!$E$208:$K$236,7,0),"ENDirect")</f>
        <v>ENDirect</v>
      </c>
      <c r="N189" s="7" t="str">
        <f>IFERROR(HLOOKUP(L189,'Calc|Weightings'!$U$5:$W$5,1,0),"Excl")</f>
        <v>Contracts</v>
      </c>
      <c r="O189" s="7" t="str">
        <f>VLOOKUP(E189,Mapping!$E$11:$I$204,5,0)</f>
        <v>SCS</v>
      </c>
      <c r="Q189" s="32" t="s">
        <v>528</v>
      </c>
      <c r="R189" s="32"/>
      <c r="S189" s="32">
        <v>71010</v>
      </c>
      <c r="T189" s="32" t="s">
        <v>462</v>
      </c>
      <c r="U189" s="33">
        <v>246.05199999999999</v>
      </c>
      <c r="V189" s="7"/>
      <c r="W189" s="7" t="str">
        <f>VLOOKUP($Q189,Mapping!$E$11:$I$204,3,0)</f>
        <v>Connections</v>
      </c>
      <c r="X189" s="7" t="str">
        <f>IFERROR(VLOOKUP($S189,Mapping!$E$208:$K$236,5,0),"Contracts")</f>
        <v>Labour</v>
      </c>
      <c r="Y189" s="7" t="str">
        <f>IFERROR(VLOOKUP($S189,Mapping!$E$208:$K$236,7,0),"ENDirect")</f>
        <v>ENDirect</v>
      </c>
      <c r="Z189" s="7" t="str">
        <f>IFERROR(HLOOKUP(X189,'Calc|Weightings'!$U$5:$W$5,1,0),"Excl")</f>
        <v>Labour</v>
      </c>
      <c r="AA189" s="7" t="str">
        <f>VLOOKUP(Q189,Mapping!$E$11:$I$204,5,0)</f>
        <v>SCS</v>
      </c>
      <c r="AC189" s="35" t="s">
        <v>126</v>
      </c>
      <c r="AD189" s="35"/>
      <c r="AE189" s="35">
        <v>71040</v>
      </c>
      <c r="AF189" s="35" t="s">
        <v>460</v>
      </c>
      <c r="AG189" s="36">
        <v>-109.339</v>
      </c>
      <c r="AI189" s="7" t="str">
        <f>VLOOKUP($AC189,Mapping!$E$11:$I$204,3,0)</f>
        <v>Augmentation</v>
      </c>
      <c r="AJ189" s="7" t="str">
        <f>IFERROR(VLOOKUP($AE189,Mapping!$E$208:$K$236,5,0),"Contracts")</f>
        <v>Contracts</v>
      </c>
      <c r="AK189" s="7" t="str">
        <f>IFERROR(VLOOKUP($AE189,Mapping!$E$208:$K$236,7,0),"ENDirect")</f>
        <v>ENDirect</v>
      </c>
      <c r="AL189" s="7" t="str">
        <f>IFERROR(HLOOKUP(AJ189,'Calc|Weightings'!$U$5:$W$5,1,0),"Excl")</f>
        <v>Contracts</v>
      </c>
      <c r="AM189" s="7" t="str">
        <f>VLOOKUP(AC189,Mapping!$E$11:$I$204,5,0)</f>
        <v>SCS</v>
      </c>
      <c r="AO189" s="35" t="s">
        <v>119</v>
      </c>
      <c r="AP189" s="35"/>
      <c r="AQ189" s="35">
        <v>71055</v>
      </c>
      <c r="AR189" s="35" t="s">
        <v>465</v>
      </c>
      <c r="AS189" s="121">
        <v>-0.15497</v>
      </c>
      <c r="AU189" s="7" t="str">
        <f>VLOOKUP($AO189,Mapping!$E$11:$I$204,3,0)</f>
        <v>Connections</v>
      </c>
      <c r="AV189" s="7" t="str">
        <f>IFERROR(VLOOKUP($AQ189,Mapping!$E$208:$K$236,5,0),"Contracts")</f>
        <v>Contracts</v>
      </c>
      <c r="AW189" s="7" t="str">
        <f>IFERROR(VLOOKUP($AQ189,Mapping!$E$208:$K$236,7,0),"ENDirect")</f>
        <v>ENDirect</v>
      </c>
      <c r="AX189" s="7" t="str">
        <f>IFERROR(HLOOKUP(AV189,'Calc|Weightings'!$U$5:$W$5,1,0),"Excl")</f>
        <v>Contracts</v>
      </c>
      <c r="AY189" s="7" t="str">
        <f>VLOOKUP(AO189,Mapping!$E$11:$I$204,5,0)</f>
        <v>SCS</v>
      </c>
    </row>
    <row r="190" spans="1:51" x14ac:dyDescent="0.3">
      <c r="A190" s="7"/>
      <c r="B190" s="7"/>
      <c r="C190" s="7"/>
      <c r="D190" s="7"/>
      <c r="E190" s="32" t="s">
        <v>115</v>
      </c>
      <c r="F190" s="32"/>
      <c r="G190" s="32">
        <v>71020</v>
      </c>
      <c r="H190" s="32" t="s">
        <v>459</v>
      </c>
      <c r="I190" s="33">
        <v>-4.4969999999999999</v>
      </c>
      <c r="J190" s="170"/>
      <c r="K190" s="7" t="str">
        <f>VLOOKUP($E190,Mapping!$E$11:$I$204,3,0)</f>
        <v>Connections</v>
      </c>
      <c r="L190" s="7" t="str">
        <f>IFERROR(VLOOKUP($G190,Mapping!$E$208:$K$236,5,0),"Contracts")</f>
        <v>Contracts</v>
      </c>
      <c r="M190" s="7" t="str">
        <f>IFERROR(VLOOKUP($G190,Mapping!$E$208:$K$236,7,0),"ENDirect")</f>
        <v>ENDirect</v>
      </c>
      <c r="N190" s="7" t="str">
        <f>IFERROR(HLOOKUP(L190,'Calc|Weightings'!$U$5:$W$5,1,0),"Excl")</f>
        <v>Contracts</v>
      </c>
      <c r="O190" s="7" t="str">
        <f>VLOOKUP(E190,Mapping!$E$11:$I$204,5,0)</f>
        <v>SCS</v>
      </c>
      <c r="Q190" s="32" t="s">
        <v>528</v>
      </c>
      <c r="R190" s="32"/>
      <c r="S190" s="32">
        <v>71015</v>
      </c>
      <c r="T190" s="32" t="s">
        <v>463</v>
      </c>
      <c r="U190" s="33">
        <v>63.633000000000003</v>
      </c>
      <c r="V190" s="7"/>
      <c r="W190" s="7" t="str">
        <f>VLOOKUP($Q190,Mapping!$E$11:$I$204,3,0)</f>
        <v>Connections</v>
      </c>
      <c r="X190" s="7" t="str">
        <f>IFERROR(VLOOKUP($S190,Mapping!$E$208:$K$236,5,0),"Contracts")</f>
        <v>Materials</v>
      </c>
      <c r="Y190" s="7" t="str">
        <f>IFERROR(VLOOKUP($S190,Mapping!$E$208:$K$236,7,0),"ENDirect")</f>
        <v>ENDirect</v>
      </c>
      <c r="Z190" s="7" t="str">
        <f>IFERROR(HLOOKUP(X190,'Calc|Weightings'!$U$5:$W$5,1,0),"Excl")</f>
        <v>Materials</v>
      </c>
      <c r="AA190" s="7" t="str">
        <f>VLOOKUP(Q190,Mapping!$E$11:$I$204,5,0)</f>
        <v>SCS</v>
      </c>
      <c r="AC190" s="35" t="s">
        <v>547</v>
      </c>
      <c r="AD190" s="35"/>
      <c r="AE190" s="35">
        <v>71000</v>
      </c>
      <c r="AF190" s="35" t="s">
        <v>457</v>
      </c>
      <c r="AG190" s="36">
        <v>143.76499999999999</v>
      </c>
      <c r="AI190" s="7" t="str">
        <f>VLOOKUP($AC190,Mapping!$E$11:$I$204,3,0)</f>
        <v>Connections</v>
      </c>
      <c r="AJ190" s="7" t="str">
        <f>IFERROR(VLOOKUP($AE190,Mapping!$E$208:$K$236,5,0),"Contracts")</f>
        <v>Labour</v>
      </c>
      <c r="AK190" s="7" t="str">
        <f>IFERROR(VLOOKUP($AE190,Mapping!$E$208:$K$236,7,0),"ENDirect")</f>
        <v>ENDirect</v>
      </c>
      <c r="AL190" s="7" t="str">
        <f>IFERROR(HLOOKUP(AJ190,'Calc|Weightings'!$U$5:$W$5,1,0),"Excl")</f>
        <v>Labour</v>
      </c>
      <c r="AM190" s="7" t="str">
        <f>VLOOKUP(AC190,Mapping!$E$11:$I$204,5,0)</f>
        <v>SCS</v>
      </c>
      <c r="AO190" s="35" t="s">
        <v>119</v>
      </c>
      <c r="AP190" s="35"/>
      <c r="AQ190" s="35">
        <v>71070</v>
      </c>
      <c r="AR190" s="35" t="s">
        <v>586</v>
      </c>
      <c r="AS190" s="121">
        <v>78.060259999999985</v>
      </c>
      <c r="AU190" s="7" t="str">
        <f>VLOOKUP($AO190,Mapping!$E$11:$I$204,3,0)</f>
        <v>Connections</v>
      </c>
      <c r="AV190" s="7" t="str">
        <f>IFERROR(VLOOKUP($AQ190,Mapping!$E$208:$K$236,5,0),"Contracts")</f>
        <v>Contracts</v>
      </c>
      <c r="AW190" s="7" t="str">
        <f>IFERROR(VLOOKUP($AQ190,Mapping!$E$208:$K$236,7,0),"ENDirect")</f>
        <v>ENDirect</v>
      </c>
      <c r="AX190" s="7" t="str">
        <f>IFERROR(HLOOKUP(AV190,'Calc|Weightings'!$U$5:$W$5,1,0),"Excl")</f>
        <v>Contracts</v>
      </c>
      <c r="AY190" s="7" t="str">
        <f>VLOOKUP(AO190,Mapping!$E$11:$I$204,5,0)</f>
        <v>SCS</v>
      </c>
    </row>
    <row r="191" spans="1:51" x14ac:dyDescent="0.3">
      <c r="A191" s="7"/>
      <c r="B191" s="7"/>
      <c r="C191" s="7"/>
      <c r="D191" s="7"/>
      <c r="E191" s="32" t="s">
        <v>234</v>
      </c>
      <c r="F191" s="32"/>
      <c r="G191" s="32">
        <v>71020</v>
      </c>
      <c r="H191" s="32" t="s">
        <v>459</v>
      </c>
      <c r="I191" s="33">
        <v>79.97</v>
      </c>
      <c r="J191" s="170"/>
      <c r="K191" s="7" t="str">
        <f>VLOOKUP($E191,Mapping!$E$11:$I$204,3,0)</f>
        <v>Replacement</v>
      </c>
      <c r="L191" s="7" t="str">
        <f>IFERROR(VLOOKUP($G191,Mapping!$E$208:$K$236,5,0),"Contracts")</f>
        <v>Contracts</v>
      </c>
      <c r="M191" s="7" t="str">
        <f>IFERROR(VLOOKUP($G191,Mapping!$E$208:$K$236,7,0),"ENDirect")</f>
        <v>ENDirect</v>
      </c>
      <c r="N191" s="7" t="str">
        <f>IFERROR(HLOOKUP(L191,'Calc|Weightings'!$U$5:$W$5,1,0),"Excl")</f>
        <v>Contracts</v>
      </c>
      <c r="O191" s="7" t="str">
        <f>VLOOKUP(E191,Mapping!$E$11:$I$204,5,0)</f>
        <v>SCS</v>
      </c>
      <c r="Q191" s="32" t="s">
        <v>528</v>
      </c>
      <c r="R191" s="32"/>
      <c r="S191" s="32">
        <v>71030</v>
      </c>
      <c r="T191" s="32" t="s">
        <v>464</v>
      </c>
      <c r="U191" s="33">
        <v>71.995999999999995</v>
      </c>
      <c r="V191" s="7"/>
      <c r="W191" s="7" t="str">
        <f>VLOOKUP($Q191,Mapping!$E$11:$I$204,3,0)</f>
        <v>Connections</v>
      </c>
      <c r="X191" s="7" t="str">
        <f>IFERROR(VLOOKUP($S191,Mapping!$E$208:$K$236,5,0),"Contracts")</f>
        <v>Contracts</v>
      </c>
      <c r="Y191" s="7" t="str">
        <f>IFERROR(VLOOKUP($S191,Mapping!$E$208:$K$236,7,0),"ENDirect")</f>
        <v>ENDirect</v>
      </c>
      <c r="Z191" s="7" t="str">
        <f>IFERROR(HLOOKUP(X191,'Calc|Weightings'!$U$5:$W$5,1,0),"Excl")</f>
        <v>Contracts</v>
      </c>
      <c r="AA191" s="7" t="str">
        <f>VLOOKUP(Q191,Mapping!$E$11:$I$204,5,0)</f>
        <v>SCS</v>
      </c>
      <c r="AC191" s="35" t="s">
        <v>97</v>
      </c>
      <c r="AD191" s="35"/>
      <c r="AE191" s="35">
        <v>71010</v>
      </c>
      <c r="AF191" s="35" t="s">
        <v>462</v>
      </c>
      <c r="AG191" s="36">
        <v>7400.0069999999996</v>
      </c>
      <c r="AI191" s="7" t="str">
        <f>VLOOKUP($AC191,Mapping!$E$11:$I$204,3,0)</f>
        <v>Connections</v>
      </c>
      <c r="AJ191" s="7" t="str">
        <f>IFERROR(VLOOKUP($AE191,Mapping!$E$208:$K$236,5,0),"Contracts")</f>
        <v>Labour</v>
      </c>
      <c r="AK191" s="7" t="str">
        <f>IFERROR(VLOOKUP($AE191,Mapping!$E$208:$K$236,7,0),"ENDirect")</f>
        <v>ENDirect</v>
      </c>
      <c r="AL191" s="7" t="str">
        <f>IFERROR(HLOOKUP(AJ191,'Calc|Weightings'!$U$5:$W$5,1,0),"Excl")</f>
        <v>Labour</v>
      </c>
      <c r="AM191" s="7" t="str">
        <f>VLOOKUP(AC191,Mapping!$E$11:$I$204,5,0)</f>
        <v>SCS</v>
      </c>
      <c r="AO191" s="35" t="s">
        <v>119</v>
      </c>
      <c r="AP191" s="35"/>
      <c r="AQ191" s="35">
        <v>71075</v>
      </c>
      <c r="AR191" s="35" t="s">
        <v>587</v>
      </c>
      <c r="AS191" s="121">
        <v>7.8988000000000005</v>
      </c>
      <c r="AU191" s="7" t="str">
        <f>VLOOKUP($AO191,Mapping!$E$11:$I$204,3,0)</f>
        <v>Connections</v>
      </c>
      <c r="AV191" s="7" t="str">
        <f>IFERROR(VLOOKUP($AQ191,Mapping!$E$208:$K$236,5,0),"Contracts")</f>
        <v>Contracts</v>
      </c>
      <c r="AW191" s="7" t="str">
        <f>IFERROR(VLOOKUP($AQ191,Mapping!$E$208:$K$236,7,0),"ENDirect")</f>
        <v>ENDirect</v>
      </c>
      <c r="AX191" s="7" t="str">
        <f>IFERROR(HLOOKUP(AV191,'Calc|Weightings'!$U$5:$W$5,1,0),"Excl")</f>
        <v>Contracts</v>
      </c>
      <c r="AY191" s="7" t="str">
        <f>VLOOKUP(AO191,Mapping!$E$11:$I$204,5,0)</f>
        <v>SCS</v>
      </c>
    </row>
    <row r="192" spans="1:51" x14ac:dyDescent="0.3">
      <c r="A192" s="7"/>
      <c r="B192" s="7"/>
      <c r="C192" s="7"/>
      <c r="D192" s="7"/>
      <c r="E192" s="32" t="s">
        <v>111</v>
      </c>
      <c r="F192" s="32"/>
      <c r="G192" s="32">
        <v>71006</v>
      </c>
      <c r="H192" s="32" t="s">
        <v>468</v>
      </c>
      <c r="I192" s="33">
        <v>149.85400000000001</v>
      </c>
      <c r="J192" s="170"/>
      <c r="K192" s="7" t="str">
        <f>VLOOKUP($E192,Mapping!$E$11:$I$204,3,0)</f>
        <v>Connections</v>
      </c>
      <c r="L192" s="7" t="str">
        <f>IFERROR(VLOOKUP($G192,Mapping!$E$208:$K$236,5,0),"Contracts")</f>
        <v>Materials</v>
      </c>
      <c r="M192" s="7" t="str">
        <f>IFERROR(VLOOKUP($G192,Mapping!$E$208:$K$236,7,0),"ENDirect")</f>
        <v>ENDirect</v>
      </c>
      <c r="N192" s="7" t="str">
        <f>IFERROR(HLOOKUP(L192,'Calc|Weightings'!$U$5:$W$5,1,0),"Excl")</f>
        <v>Materials</v>
      </c>
      <c r="O192" s="7" t="str">
        <f>VLOOKUP(E192,Mapping!$E$11:$I$204,5,0)</f>
        <v>SCS</v>
      </c>
      <c r="Q192" s="32" t="s">
        <v>528</v>
      </c>
      <c r="R192" s="32"/>
      <c r="S192" s="32">
        <v>71040</v>
      </c>
      <c r="T192" s="32" t="s">
        <v>460</v>
      </c>
      <c r="U192" s="33">
        <v>1.6E-2</v>
      </c>
      <c r="V192" s="7"/>
      <c r="W192" s="7" t="str">
        <f>VLOOKUP($Q192,Mapping!$E$11:$I$204,3,0)</f>
        <v>Connections</v>
      </c>
      <c r="X192" s="7" t="str">
        <f>IFERROR(VLOOKUP($S192,Mapping!$E$208:$K$236,5,0),"Contracts")</f>
        <v>Contracts</v>
      </c>
      <c r="Y192" s="7" t="str">
        <f>IFERROR(VLOOKUP($S192,Mapping!$E$208:$K$236,7,0),"ENDirect")</f>
        <v>ENDirect</v>
      </c>
      <c r="Z192" s="7" t="str">
        <f>IFERROR(HLOOKUP(X192,'Calc|Weightings'!$U$5:$W$5,1,0),"Excl")</f>
        <v>Contracts</v>
      </c>
      <c r="AA192" s="7" t="str">
        <f>VLOOKUP(Q192,Mapping!$E$11:$I$204,5,0)</f>
        <v>SCS</v>
      </c>
      <c r="AC192" s="35" t="s">
        <v>528</v>
      </c>
      <c r="AD192" s="35"/>
      <c r="AE192" s="35">
        <v>71000</v>
      </c>
      <c r="AF192" s="35" t="s">
        <v>457</v>
      </c>
      <c r="AG192" s="36">
        <v>363.22</v>
      </c>
      <c r="AI192" s="7" t="str">
        <f>VLOOKUP($AC192,Mapping!$E$11:$I$204,3,0)</f>
        <v>Connections</v>
      </c>
      <c r="AJ192" s="7" t="str">
        <f>IFERROR(VLOOKUP($AE192,Mapping!$E$208:$K$236,5,0),"Contracts")</f>
        <v>Labour</v>
      </c>
      <c r="AK192" s="7" t="str">
        <f>IFERROR(VLOOKUP($AE192,Mapping!$E$208:$K$236,7,0),"ENDirect")</f>
        <v>ENDirect</v>
      </c>
      <c r="AL192" s="7" t="str">
        <f>IFERROR(HLOOKUP(AJ192,'Calc|Weightings'!$U$5:$W$5,1,0),"Excl")</f>
        <v>Labour</v>
      </c>
      <c r="AM192" s="7" t="str">
        <f>VLOOKUP(AC192,Mapping!$E$11:$I$204,5,0)</f>
        <v>SCS</v>
      </c>
      <c r="AO192" s="35" t="s">
        <v>119</v>
      </c>
      <c r="AP192" s="35"/>
      <c r="AQ192" s="35">
        <v>80000</v>
      </c>
      <c r="AR192" s="35" t="s">
        <v>589</v>
      </c>
      <c r="AS192" s="121">
        <v>14.654969999999999</v>
      </c>
      <c r="AU192" s="7" t="str">
        <f>VLOOKUP($AO192,Mapping!$E$11:$I$204,3,0)</f>
        <v>Connections</v>
      </c>
      <c r="AV192" s="7" t="str">
        <f>IFERROR(VLOOKUP($AQ192,Mapping!$E$208:$K$236,5,0),"Contracts")</f>
        <v>Overhead</v>
      </c>
      <c r="AW192" s="7" t="str">
        <f>IFERROR(VLOOKUP($AQ192,Mapping!$E$208:$K$236,7,0),"ENDirect")</f>
        <v>OH</v>
      </c>
      <c r="AX192" s="7" t="str">
        <f>IFERROR(HLOOKUP(AV192,'Calc|Weightings'!$U$5:$W$5,1,0),"Excl")</f>
        <v>Excl</v>
      </c>
      <c r="AY192" s="7" t="str">
        <f>VLOOKUP(AO192,Mapping!$E$11:$I$204,5,0)</f>
        <v>SCS</v>
      </c>
    </row>
    <row r="193" spans="1:51" x14ac:dyDescent="0.3">
      <c r="A193" s="7"/>
      <c r="B193" s="7"/>
      <c r="C193" s="7"/>
      <c r="D193" s="7"/>
      <c r="E193" s="32" t="s">
        <v>552</v>
      </c>
      <c r="F193" s="32"/>
      <c r="G193" s="32">
        <v>71040</v>
      </c>
      <c r="H193" s="32" t="s">
        <v>460</v>
      </c>
      <c r="I193" s="33">
        <v>-0.71</v>
      </c>
      <c r="J193" s="170"/>
      <c r="K193" s="7" t="str">
        <f>VLOOKUP($E193,Mapping!$E$11:$I$204,3,0)</f>
        <v>Connections</v>
      </c>
      <c r="L193" s="7" t="str">
        <f>IFERROR(VLOOKUP($G193,Mapping!$E$208:$K$236,5,0),"Contracts")</f>
        <v>Contracts</v>
      </c>
      <c r="M193" s="7" t="str">
        <f>IFERROR(VLOOKUP($G193,Mapping!$E$208:$K$236,7,0),"ENDirect")</f>
        <v>ENDirect</v>
      </c>
      <c r="N193" s="7" t="str">
        <f>IFERROR(HLOOKUP(L193,'Calc|Weightings'!$U$5:$W$5,1,0),"Excl")</f>
        <v>Contracts</v>
      </c>
      <c r="O193" s="7" t="str">
        <f>VLOOKUP(E193,Mapping!$E$11:$I$204,5,0)</f>
        <v>SCS</v>
      </c>
      <c r="Q193" s="32" t="s">
        <v>528</v>
      </c>
      <c r="R193" s="32"/>
      <c r="S193" s="32">
        <v>71055</v>
      </c>
      <c r="T193" s="32" t="s">
        <v>465</v>
      </c>
      <c r="U193" s="33">
        <v>152.63</v>
      </c>
      <c r="V193" s="7"/>
      <c r="W193" s="7" t="str">
        <f>VLOOKUP($Q193,Mapping!$E$11:$I$204,3,0)</f>
        <v>Connections</v>
      </c>
      <c r="X193" s="7" t="str">
        <f>IFERROR(VLOOKUP($S193,Mapping!$E$208:$K$236,5,0),"Contracts")</f>
        <v>Contracts</v>
      </c>
      <c r="Y193" s="7" t="str">
        <f>IFERROR(VLOOKUP($S193,Mapping!$E$208:$K$236,7,0),"ENDirect")</f>
        <v>ENDirect</v>
      </c>
      <c r="Z193" s="7" t="str">
        <f>IFERROR(HLOOKUP(X193,'Calc|Weightings'!$U$5:$W$5,1,0),"Excl")</f>
        <v>Contracts</v>
      </c>
      <c r="AA193" s="7" t="str">
        <f>VLOOKUP(Q193,Mapping!$E$11:$I$204,5,0)</f>
        <v>SCS</v>
      </c>
      <c r="AC193" s="35" t="s">
        <v>528</v>
      </c>
      <c r="AD193" s="35"/>
      <c r="AE193" s="35">
        <v>71015</v>
      </c>
      <c r="AF193" s="35" t="s">
        <v>463</v>
      </c>
      <c r="AG193" s="36">
        <v>31.956</v>
      </c>
      <c r="AI193" s="7" t="str">
        <f>VLOOKUP($AC193,Mapping!$E$11:$I$204,3,0)</f>
        <v>Connections</v>
      </c>
      <c r="AJ193" s="7" t="str">
        <f>IFERROR(VLOOKUP($AE193,Mapping!$E$208:$K$236,5,0),"Contracts")</f>
        <v>Materials</v>
      </c>
      <c r="AK193" s="7" t="str">
        <f>IFERROR(VLOOKUP($AE193,Mapping!$E$208:$K$236,7,0),"ENDirect")</f>
        <v>ENDirect</v>
      </c>
      <c r="AL193" s="7" t="str">
        <f>IFERROR(HLOOKUP(AJ193,'Calc|Weightings'!$U$5:$W$5,1,0),"Excl")</f>
        <v>Materials</v>
      </c>
      <c r="AM193" s="7" t="str">
        <f>VLOOKUP(AC193,Mapping!$E$11:$I$204,5,0)</f>
        <v>SCS</v>
      </c>
      <c r="AO193" s="35" t="s">
        <v>121</v>
      </c>
      <c r="AP193" s="35"/>
      <c r="AQ193" s="35">
        <v>71000</v>
      </c>
      <c r="AR193" s="35" t="s">
        <v>457</v>
      </c>
      <c r="AS193" s="121">
        <v>420.44371999999998</v>
      </c>
      <c r="AU193" s="7" t="str">
        <f>VLOOKUP($AO193,Mapping!$E$11:$I$204,3,0)</f>
        <v>Augmentation</v>
      </c>
      <c r="AV193" s="7" t="str">
        <f>IFERROR(VLOOKUP($AQ193,Mapping!$E$208:$K$236,5,0),"Contracts")</f>
        <v>Labour</v>
      </c>
      <c r="AW193" s="7" t="str">
        <f>IFERROR(VLOOKUP($AQ193,Mapping!$E$208:$K$236,7,0),"ENDirect")</f>
        <v>ENDirect</v>
      </c>
      <c r="AX193" s="7" t="str">
        <f>IFERROR(HLOOKUP(AV193,'Calc|Weightings'!$U$5:$W$5,1,0),"Excl")</f>
        <v>Labour</v>
      </c>
      <c r="AY193" s="7" t="str">
        <f>VLOOKUP(AO193,Mapping!$E$11:$I$204,5,0)</f>
        <v>SCS</v>
      </c>
    </row>
    <row r="194" spans="1:51" x14ac:dyDescent="0.3">
      <c r="A194" s="7"/>
      <c r="B194" s="7"/>
      <c r="C194" s="7"/>
      <c r="D194" s="7"/>
      <c r="E194" s="32" t="s">
        <v>126</v>
      </c>
      <c r="F194" s="32"/>
      <c r="G194" s="32">
        <v>70815</v>
      </c>
      <c r="H194" s="32" t="s">
        <v>451</v>
      </c>
      <c r="I194" s="33">
        <v>203.785</v>
      </c>
      <c r="J194" s="170"/>
      <c r="K194" s="7" t="str">
        <f>VLOOKUP($E194,Mapping!$E$11:$I$204,3,0)</f>
        <v>Augmentation</v>
      </c>
      <c r="L194" s="7" t="str">
        <f>IFERROR(VLOOKUP($G194,Mapping!$E$208:$K$236,5,0),"Contracts")</f>
        <v>Materials</v>
      </c>
      <c r="M194" s="7" t="str">
        <f>IFERROR(VLOOKUP($G194,Mapping!$E$208:$K$236,7,0),"ENDirect")</f>
        <v>ENDirect</v>
      </c>
      <c r="N194" s="7" t="str">
        <f>IFERROR(HLOOKUP(L194,'Calc|Weightings'!$U$5:$W$5,1,0),"Excl")</f>
        <v>Materials</v>
      </c>
      <c r="O194" s="7" t="str">
        <f>VLOOKUP(E194,Mapping!$E$11:$I$204,5,0)</f>
        <v>SCS</v>
      </c>
      <c r="Q194" s="32" t="s">
        <v>528</v>
      </c>
      <c r="R194" s="32"/>
      <c r="S194" s="32">
        <v>80000</v>
      </c>
      <c r="T194" s="32" t="s">
        <v>453</v>
      </c>
      <c r="U194" s="33">
        <v>154.70599999999999</v>
      </c>
      <c r="V194" s="7"/>
      <c r="W194" s="7" t="str">
        <f>VLOOKUP($Q194,Mapping!$E$11:$I$204,3,0)</f>
        <v>Connections</v>
      </c>
      <c r="X194" s="7" t="str">
        <f>IFERROR(VLOOKUP($S194,Mapping!$E$208:$K$236,5,0),"Contracts")</f>
        <v>Overhead</v>
      </c>
      <c r="Y194" s="7" t="str">
        <f>IFERROR(VLOOKUP($S194,Mapping!$E$208:$K$236,7,0),"ENDirect")</f>
        <v>OH</v>
      </c>
      <c r="Z194" s="7" t="str">
        <f>IFERROR(HLOOKUP(X194,'Calc|Weightings'!$U$5:$W$5,1,0),"Excl")</f>
        <v>Excl</v>
      </c>
      <c r="AA194" s="7" t="str">
        <f>VLOOKUP(Q194,Mapping!$E$11:$I$204,5,0)</f>
        <v>SCS</v>
      </c>
      <c r="AC194" s="35" t="s">
        <v>528</v>
      </c>
      <c r="AD194" s="35"/>
      <c r="AE194" s="35">
        <v>71020</v>
      </c>
      <c r="AF194" s="35" t="s">
        <v>459</v>
      </c>
      <c r="AG194" s="36">
        <v>1.6E-2</v>
      </c>
      <c r="AI194" s="7" t="str">
        <f>VLOOKUP($AC194,Mapping!$E$11:$I$204,3,0)</f>
        <v>Connections</v>
      </c>
      <c r="AJ194" s="7" t="str">
        <f>IFERROR(VLOOKUP($AE194,Mapping!$E$208:$K$236,5,0),"Contracts")</f>
        <v>Contracts</v>
      </c>
      <c r="AK194" s="7" t="str">
        <f>IFERROR(VLOOKUP($AE194,Mapping!$E$208:$K$236,7,0),"ENDirect")</f>
        <v>ENDirect</v>
      </c>
      <c r="AL194" s="7" t="str">
        <f>IFERROR(HLOOKUP(AJ194,'Calc|Weightings'!$U$5:$W$5,1,0),"Excl")</f>
        <v>Contracts</v>
      </c>
      <c r="AM194" s="7" t="str">
        <f>VLOOKUP(AC194,Mapping!$E$11:$I$204,5,0)</f>
        <v>SCS</v>
      </c>
      <c r="AO194" s="35" t="s">
        <v>121</v>
      </c>
      <c r="AP194" s="35"/>
      <c r="AQ194" s="35">
        <v>71005</v>
      </c>
      <c r="AR194" s="35" t="s">
        <v>461</v>
      </c>
      <c r="AS194" s="121">
        <v>78.698569999999989</v>
      </c>
      <c r="AU194" s="7" t="str">
        <f>VLOOKUP($AO194,Mapping!$E$11:$I$204,3,0)</f>
        <v>Augmentation</v>
      </c>
      <c r="AV194" s="7" t="str">
        <f>IFERROR(VLOOKUP($AQ194,Mapping!$E$208:$K$236,5,0),"Contracts")</f>
        <v>Materials</v>
      </c>
      <c r="AW194" s="7" t="str">
        <f>IFERROR(VLOOKUP($AQ194,Mapping!$E$208:$K$236,7,0),"ENDirect")</f>
        <v>ENDirect</v>
      </c>
      <c r="AX194" s="7" t="str">
        <f>IFERROR(HLOOKUP(AV194,'Calc|Weightings'!$U$5:$W$5,1,0),"Excl")</f>
        <v>Materials</v>
      </c>
      <c r="AY194" s="7" t="str">
        <f>VLOOKUP(AO194,Mapping!$E$11:$I$204,5,0)</f>
        <v>SCS</v>
      </c>
    </row>
    <row r="195" spans="1:51" x14ac:dyDescent="0.3">
      <c r="A195" s="7"/>
      <c r="B195" s="7"/>
      <c r="C195" s="7"/>
      <c r="D195" s="7"/>
      <c r="E195" s="32" t="s">
        <v>126</v>
      </c>
      <c r="F195" s="32"/>
      <c r="G195" s="32">
        <v>71020</v>
      </c>
      <c r="H195" s="32" t="s">
        <v>459</v>
      </c>
      <c r="I195" s="33">
        <v>430.61099999999999</v>
      </c>
      <c r="J195" s="170"/>
      <c r="K195" s="7" t="str">
        <f>VLOOKUP($E195,Mapping!$E$11:$I$204,3,0)</f>
        <v>Augmentation</v>
      </c>
      <c r="L195" s="7" t="str">
        <f>IFERROR(VLOOKUP($G195,Mapping!$E$208:$K$236,5,0),"Contracts")</f>
        <v>Contracts</v>
      </c>
      <c r="M195" s="7" t="str">
        <f>IFERROR(VLOOKUP($G195,Mapping!$E$208:$K$236,7,0),"ENDirect")</f>
        <v>ENDirect</v>
      </c>
      <c r="N195" s="7" t="str">
        <f>IFERROR(HLOOKUP(L195,'Calc|Weightings'!$U$5:$W$5,1,0),"Excl")</f>
        <v>Contracts</v>
      </c>
      <c r="O195" s="7" t="str">
        <f>VLOOKUP(E195,Mapping!$E$11:$I$204,5,0)</f>
        <v>SCS</v>
      </c>
      <c r="Q195" s="32" t="s">
        <v>147</v>
      </c>
      <c r="R195" s="32"/>
      <c r="S195" s="32">
        <v>71000</v>
      </c>
      <c r="T195" s="32" t="s">
        <v>457</v>
      </c>
      <c r="U195" s="33">
        <v>69.510000000000005</v>
      </c>
      <c r="V195" s="7"/>
      <c r="W195" s="7" t="str">
        <f>VLOOKUP($Q195,Mapping!$E$11:$I$204,3,0)</f>
        <v>Augmentation</v>
      </c>
      <c r="X195" s="7" t="str">
        <f>IFERROR(VLOOKUP($S195,Mapping!$E$208:$K$236,5,0),"Contracts")</f>
        <v>Labour</v>
      </c>
      <c r="Y195" s="7" t="str">
        <f>IFERROR(VLOOKUP($S195,Mapping!$E$208:$K$236,7,0),"ENDirect")</f>
        <v>ENDirect</v>
      </c>
      <c r="Z195" s="7" t="str">
        <f>IFERROR(HLOOKUP(X195,'Calc|Weightings'!$U$5:$W$5,1,0),"Excl")</f>
        <v>Labour</v>
      </c>
      <c r="AA195" s="7" t="str">
        <f>VLOOKUP(Q195,Mapping!$E$11:$I$204,5,0)</f>
        <v>SCS</v>
      </c>
      <c r="AC195" s="35" t="s">
        <v>528</v>
      </c>
      <c r="AD195" s="35"/>
      <c r="AE195" s="35">
        <v>71030</v>
      </c>
      <c r="AF195" s="35" t="s">
        <v>464</v>
      </c>
      <c r="AG195" s="36">
        <v>55.548000000000002</v>
      </c>
      <c r="AI195" s="7" t="str">
        <f>VLOOKUP($AC195,Mapping!$E$11:$I$204,3,0)</f>
        <v>Connections</v>
      </c>
      <c r="AJ195" s="7" t="str">
        <f>IFERROR(VLOOKUP($AE195,Mapping!$E$208:$K$236,5,0),"Contracts")</f>
        <v>Contracts</v>
      </c>
      <c r="AK195" s="7" t="str">
        <f>IFERROR(VLOOKUP($AE195,Mapping!$E$208:$K$236,7,0),"ENDirect")</f>
        <v>ENDirect</v>
      </c>
      <c r="AL195" s="7" t="str">
        <f>IFERROR(HLOOKUP(AJ195,'Calc|Weightings'!$U$5:$W$5,1,0),"Excl")</f>
        <v>Contracts</v>
      </c>
      <c r="AM195" s="7" t="str">
        <f>VLOOKUP(AC195,Mapping!$E$11:$I$204,5,0)</f>
        <v>SCS</v>
      </c>
      <c r="AO195" s="35" t="s">
        <v>121</v>
      </c>
      <c r="AP195" s="35"/>
      <c r="AQ195" s="35">
        <v>71010</v>
      </c>
      <c r="AR195" s="35" t="s">
        <v>487</v>
      </c>
      <c r="AS195" s="121">
        <v>278.61129</v>
      </c>
      <c r="AU195" s="7" t="str">
        <f>VLOOKUP($AO195,Mapping!$E$11:$I$204,3,0)</f>
        <v>Augmentation</v>
      </c>
      <c r="AV195" s="7" t="str">
        <f>IFERROR(VLOOKUP($AQ195,Mapping!$E$208:$K$236,5,0),"Contracts")</f>
        <v>Labour</v>
      </c>
      <c r="AW195" s="7" t="str">
        <f>IFERROR(VLOOKUP($AQ195,Mapping!$E$208:$K$236,7,0),"ENDirect")</f>
        <v>ENDirect</v>
      </c>
      <c r="AX195" s="7" t="str">
        <f>IFERROR(HLOOKUP(AV195,'Calc|Weightings'!$U$5:$W$5,1,0),"Excl")</f>
        <v>Labour</v>
      </c>
      <c r="AY195" s="7" t="str">
        <f>VLOOKUP(AO195,Mapping!$E$11:$I$204,5,0)</f>
        <v>SCS</v>
      </c>
    </row>
    <row r="196" spans="1:51" x14ac:dyDescent="0.3">
      <c r="A196" s="7"/>
      <c r="B196" s="7"/>
      <c r="C196" s="7"/>
      <c r="D196" s="7"/>
      <c r="E196" s="32" t="s">
        <v>126</v>
      </c>
      <c r="F196" s="32"/>
      <c r="G196" s="32">
        <v>71010</v>
      </c>
      <c r="H196" s="32" t="s">
        <v>462</v>
      </c>
      <c r="I196" s="33">
        <v>2152.5880000000002</v>
      </c>
      <c r="J196" s="170"/>
      <c r="K196" s="7" t="str">
        <f>VLOOKUP($E196,Mapping!$E$11:$I$204,3,0)</f>
        <v>Augmentation</v>
      </c>
      <c r="L196" s="7" t="str">
        <f>IFERROR(VLOOKUP($G196,Mapping!$E$208:$K$236,5,0),"Contracts")</f>
        <v>Labour</v>
      </c>
      <c r="M196" s="7" t="str">
        <f>IFERROR(VLOOKUP($G196,Mapping!$E$208:$K$236,7,0),"ENDirect")</f>
        <v>ENDirect</v>
      </c>
      <c r="N196" s="7" t="str">
        <f>IFERROR(HLOOKUP(L196,'Calc|Weightings'!$U$5:$W$5,1,0),"Excl")</f>
        <v>Labour</v>
      </c>
      <c r="O196" s="7" t="str">
        <f>VLOOKUP(E196,Mapping!$E$11:$I$204,5,0)</f>
        <v>SCS</v>
      </c>
      <c r="Q196" s="32" t="s">
        <v>147</v>
      </c>
      <c r="R196" s="32"/>
      <c r="S196" s="32">
        <v>71010</v>
      </c>
      <c r="T196" s="32" t="s">
        <v>462</v>
      </c>
      <c r="U196" s="33">
        <v>10.638999999999999</v>
      </c>
      <c r="V196" s="7"/>
      <c r="W196" s="7" t="str">
        <f>VLOOKUP($Q196,Mapping!$E$11:$I$204,3,0)</f>
        <v>Augmentation</v>
      </c>
      <c r="X196" s="7" t="str">
        <f>IFERROR(VLOOKUP($S196,Mapping!$E$208:$K$236,5,0),"Contracts")</f>
        <v>Labour</v>
      </c>
      <c r="Y196" s="7" t="str">
        <f>IFERROR(VLOOKUP($S196,Mapping!$E$208:$K$236,7,0),"ENDirect")</f>
        <v>ENDirect</v>
      </c>
      <c r="Z196" s="7" t="str">
        <f>IFERROR(HLOOKUP(X196,'Calc|Weightings'!$U$5:$W$5,1,0),"Excl")</f>
        <v>Labour</v>
      </c>
      <c r="AA196" s="7" t="str">
        <f>VLOOKUP(Q196,Mapping!$E$11:$I$204,5,0)</f>
        <v>SCS</v>
      </c>
      <c r="AC196" s="35" t="s">
        <v>528</v>
      </c>
      <c r="AD196" s="35"/>
      <c r="AE196" s="35">
        <v>71055</v>
      </c>
      <c r="AF196" s="35" t="s">
        <v>465</v>
      </c>
      <c r="AG196" s="36">
        <v>109.751</v>
      </c>
      <c r="AI196" s="7" t="str">
        <f>VLOOKUP($AC196,Mapping!$E$11:$I$204,3,0)</f>
        <v>Connections</v>
      </c>
      <c r="AJ196" s="7" t="str">
        <f>IFERROR(VLOOKUP($AE196,Mapping!$E$208:$K$236,5,0),"Contracts")</f>
        <v>Contracts</v>
      </c>
      <c r="AK196" s="7" t="str">
        <f>IFERROR(VLOOKUP($AE196,Mapping!$E$208:$K$236,7,0),"ENDirect")</f>
        <v>ENDirect</v>
      </c>
      <c r="AL196" s="7" t="str">
        <f>IFERROR(HLOOKUP(AJ196,'Calc|Weightings'!$U$5:$W$5,1,0),"Excl")</f>
        <v>Contracts</v>
      </c>
      <c r="AM196" s="7" t="str">
        <f>VLOOKUP(AC196,Mapping!$E$11:$I$204,5,0)</f>
        <v>SCS</v>
      </c>
      <c r="AO196" s="35" t="s">
        <v>121</v>
      </c>
      <c r="AP196" s="35"/>
      <c r="AQ196" s="35">
        <v>71015</v>
      </c>
      <c r="AR196" s="35" t="s">
        <v>585</v>
      </c>
      <c r="AS196" s="121">
        <v>65.834349999999986</v>
      </c>
      <c r="AU196" s="7" t="str">
        <f>VLOOKUP($AO196,Mapping!$E$11:$I$204,3,0)</f>
        <v>Augmentation</v>
      </c>
      <c r="AV196" s="7" t="str">
        <f>IFERROR(VLOOKUP($AQ196,Mapping!$E$208:$K$236,5,0),"Contracts")</f>
        <v>Materials</v>
      </c>
      <c r="AW196" s="7" t="str">
        <f>IFERROR(VLOOKUP($AQ196,Mapping!$E$208:$K$236,7,0),"ENDirect")</f>
        <v>ENDirect</v>
      </c>
      <c r="AX196" s="7" t="str">
        <f>IFERROR(HLOOKUP(AV196,'Calc|Weightings'!$U$5:$W$5,1,0),"Excl")</f>
        <v>Materials</v>
      </c>
      <c r="AY196" s="7" t="str">
        <f>VLOOKUP(AO196,Mapping!$E$11:$I$204,5,0)</f>
        <v>SCS</v>
      </c>
    </row>
    <row r="197" spans="1:51" x14ac:dyDescent="0.3">
      <c r="A197" s="7"/>
      <c r="B197" s="7"/>
      <c r="C197" s="7"/>
      <c r="D197" s="7"/>
      <c r="E197" s="32" t="s">
        <v>126</v>
      </c>
      <c r="F197" s="32"/>
      <c r="G197" s="32">
        <v>71005</v>
      </c>
      <c r="H197" s="32" t="s">
        <v>461</v>
      </c>
      <c r="I197" s="33">
        <v>696.70899999999995</v>
      </c>
      <c r="J197" s="170"/>
      <c r="K197" s="7" t="str">
        <f>VLOOKUP($E197,Mapping!$E$11:$I$204,3,0)</f>
        <v>Augmentation</v>
      </c>
      <c r="L197" s="7" t="str">
        <f>IFERROR(VLOOKUP($G197,Mapping!$E$208:$K$236,5,0),"Contracts")</f>
        <v>Materials</v>
      </c>
      <c r="M197" s="7" t="str">
        <f>IFERROR(VLOOKUP($G197,Mapping!$E$208:$K$236,7,0),"ENDirect")</f>
        <v>ENDirect</v>
      </c>
      <c r="N197" s="7" t="str">
        <f>IFERROR(HLOOKUP(L197,'Calc|Weightings'!$U$5:$W$5,1,0),"Excl")</f>
        <v>Materials</v>
      </c>
      <c r="O197" s="7" t="str">
        <f>VLOOKUP(E197,Mapping!$E$11:$I$204,5,0)</f>
        <v>SCS</v>
      </c>
      <c r="Q197" s="32" t="s">
        <v>147</v>
      </c>
      <c r="R197" s="32"/>
      <c r="S197" s="32">
        <v>71015</v>
      </c>
      <c r="T197" s="32" t="s">
        <v>463</v>
      </c>
      <c r="U197" s="33">
        <v>16.462</v>
      </c>
      <c r="V197" s="7"/>
      <c r="W197" s="7" t="str">
        <f>VLOOKUP($Q197,Mapping!$E$11:$I$204,3,0)</f>
        <v>Augmentation</v>
      </c>
      <c r="X197" s="7" t="str">
        <f>IFERROR(VLOOKUP($S197,Mapping!$E$208:$K$236,5,0),"Contracts")</f>
        <v>Materials</v>
      </c>
      <c r="Y197" s="7" t="str">
        <f>IFERROR(VLOOKUP($S197,Mapping!$E$208:$K$236,7,0),"ENDirect")</f>
        <v>ENDirect</v>
      </c>
      <c r="Z197" s="7" t="str">
        <f>IFERROR(HLOOKUP(X197,'Calc|Weightings'!$U$5:$W$5,1,0),"Excl")</f>
        <v>Materials</v>
      </c>
      <c r="AA197" s="7" t="str">
        <f>VLOOKUP(Q197,Mapping!$E$11:$I$204,5,0)</f>
        <v>SCS</v>
      </c>
      <c r="AC197" s="35" t="s">
        <v>528</v>
      </c>
      <c r="AD197" s="35"/>
      <c r="AE197" s="35">
        <v>80000</v>
      </c>
      <c r="AF197" s="35" t="s">
        <v>453</v>
      </c>
      <c r="AG197" s="36">
        <v>118.387</v>
      </c>
      <c r="AI197" s="7" t="str">
        <f>VLOOKUP($AC197,Mapping!$E$11:$I$204,3,0)</f>
        <v>Connections</v>
      </c>
      <c r="AJ197" s="7" t="str">
        <f>IFERROR(VLOOKUP($AE197,Mapping!$E$208:$K$236,5,0),"Contracts")</f>
        <v>Overhead</v>
      </c>
      <c r="AK197" s="7" t="str">
        <f>IFERROR(VLOOKUP($AE197,Mapping!$E$208:$K$236,7,0),"ENDirect")</f>
        <v>OH</v>
      </c>
      <c r="AL197" s="7" t="str">
        <f>IFERROR(HLOOKUP(AJ197,'Calc|Weightings'!$U$5:$W$5,1,0),"Excl")</f>
        <v>Excl</v>
      </c>
      <c r="AM197" s="7" t="str">
        <f>VLOOKUP(AC197,Mapping!$E$11:$I$204,5,0)</f>
        <v>SCS</v>
      </c>
      <c r="AO197" s="35" t="s">
        <v>121</v>
      </c>
      <c r="AP197" s="35"/>
      <c r="AQ197" s="35">
        <v>71030</v>
      </c>
      <c r="AR197" s="35" t="s">
        <v>464</v>
      </c>
      <c r="AS197" s="121">
        <v>12.759209999999999</v>
      </c>
      <c r="AU197" s="7" t="str">
        <f>VLOOKUP($AO197,Mapping!$E$11:$I$204,3,0)</f>
        <v>Augmentation</v>
      </c>
      <c r="AV197" s="7" t="str">
        <f>IFERROR(VLOOKUP($AQ197,Mapping!$E$208:$K$236,5,0),"Contracts")</f>
        <v>Contracts</v>
      </c>
      <c r="AW197" s="7" t="str">
        <f>IFERROR(VLOOKUP($AQ197,Mapping!$E$208:$K$236,7,0),"ENDirect")</f>
        <v>ENDirect</v>
      </c>
      <c r="AX197" s="7" t="str">
        <f>IFERROR(HLOOKUP(AV197,'Calc|Weightings'!$U$5:$W$5,1,0),"Excl")</f>
        <v>Contracts</v>
      </c>
      <c r="AY197" s="7" t="str">
        <f>VLOOKUP(AO197,Mapping!$E$11:$I$204,5,0)</f>
        <v>SCS</v>
      </c>
    </row>
    <row r="198" spans="1:51" x14ac:dyDescent="0.3">
      <c r="A198" s="7"/>
      <c r="B198" s="7"/>
      <c r="C198" s="7"/>
      <c r="D198" s="7"/>
      <c r="E198" s="32" t="s">
        <v>126</v>
      </c>
      <c r="F198" s="32"/>
      <c r="G198" s="32">
        <v>71015</v>
      </c>
      <c r="H198" s="32" t="s">
        <v>463</v>
      </c>
      <c r="I198" s="33">
        <v>27.29</v>
      </c>
      <c r="J198" s="170"/>
      <c r="K198" s="7" t="str">
        <f>VLOOKUP($E198,Mapping!$E$11:$I$204,3,0)</f>
        <v>Augmentation</v>
      </c>
      <c r="L198" s="7" t="str">
        <f>IFERROR(VLOOKUP($G198,Mapping!$E$208:$K$236,5,0),"Contracts")</f>
        <v>Materials</v>
      </c>
      <c r="M198" s="7" t="str">
        <f>IFERROR(VLOOKUP($G198,Mapping!$E$208:$K$236,7,0),"ENDirect")</f>
        <v>ENDirect</v>
      </c>
      <c r="N198" s="7" t="str">
        <f>IFERROR(HLOOKUP(L198,'Calc|Weightings'!$U$5:$W$5,1,0),"Excl")</f>
        <v>Materials</v>
      </c>
      <c r="O198" s="7" t="str">
        <f>VLOOKUP(E198,Mapping!$E$11:$I$204,5,0)</f>
        <v>SCS</v>
      </c>
      <c r="Q198" s="32" t="s">
        <v>147</v>
      </c>
      <c r="R198" s="32"/>
      <c r="S198" s="32">
        <v>71030</v>
      </c>
      <c r="T198" s="32" t="s">
        <v>464</v>
      </c>
      <c r="U198" s="33">
        <v>10.837</v>
      </c>
      <c r="V198" s="7"/>
      <c r="W198" s="7" t="str">
        <f>VLOOKUP($Q198,Mapping!$E$11:$I$204,3,0)</f>
        <v>Augmentation</v>
      </c>
      <c r="X198" s="7" t="str">
        <f>IFERROR(VLOOKUP($S198,Mapping!$E$208:$K$236,5,0),"Contracts")</f>
        <v>Contracts</v>
      </c>
      <c r="Y198" s="7" t="str">
        <f>IFERROR(VLOOKUP($S198,Mapping!$E$208:$K$236,7,0),"ENDirect")</f>
        <v>ENDirect</v>
      </c>
      <c r="Z198" s="7" t="str">
        <f>IFERROR(HLOOKUP(X198,'Calc|Weightings'!$U$5:$W$5,1,0),"Excl")</f>
        <v>Contracts</v>
      </c>
      <c r="AA198" s="7" t="str">
        <f>VLOOKUP(Q198,Mapping!$E$11:$I$204,5,0)</f>
        <v>SCS</v>
      </c>
      <c r="AC198" s="35" t="s">
        <v>111</v>
      </c>
      <c r="AD198" s="35"/>
      <c r="AE198" s="35">
        <v>71006</v>
      </c>
      <c r="AF198" s="35" t="s">
        <v>468</v>
      </c>
      <c r="AG198" s="36">
        <v>141.68</v>
      </c>
      <c r="AI198" s="7" t="str">
        <f>VLOOKUP($AC198,Mapping!$E$11:$I$204,3,0)</f>
        <v>Connections</v>
      </c>
      <c r="AJ198" s="7" t="str">
        <f>IFERROR(VLOOKUP($AE198,Mapping!$E$208:$K$236,5,0),"Contracts")</f>
        <v>Materials</v>
      </c>
      <c r="AK198" s="7" t="str">
        <f>IFERROR(VLOOKUP($AE198,Mapping!$E$208:$K$236,7,0),"ENDirect")</f>
        <v>ENDirect</v>
      </c>
      <c r="AL198" s="7" t="str">
        <f>IFERROR(HLOOKUP(AJ198,'Calc|Weightings'!$U$5:$W$5,1,0),"Excl")</f>
        <v>Materials</v>
      </c>
      <c r="AM198" s="7" t="str">
        <f>VLOOKUP(AC198,Mapping!$E$11:$I$204,5,0)</f>
        <v>SCS</v>
      </c>
      <c r="AO198" s="35" t="s">
        <v>121</v>
      </c>
      <c r="AP198" s="35"/>
      <c r="AQ198" s="35">
        <v>71055</v>
      </c>
      <c r="AR198" s="35" t="s">
        <v>465</v>
      </c>
      <c r="AS198" s="121">
        <v>44.56515000000001</v>
      </c>
      <c r="AU198" s="7" t="str">
        <f>VLOOKUP($AO198,Mapping!$E$11:$I$204,3,0)</f>
        <v>Augmentation</v>
      </c>
      <c r="AV198" s="7" t="str">
        <f>IFERROR(VLOOKUP($AQ198,Mapping!$E$208:$K$236,5,0),"Contracts")</f>
        <v>Contracts</v>
      </c>
      <c r="AW198" s="7" t="str">
        <f>IFERROR(VLOOKUP($AQ198,Mapping!$E$208:$K$236,7,0),"ENDirect")</f>
        <v>ENDirect</v>
      </c>
      <c r="AX198" s="7" t="str">
        <f>IFERROR(HLOOKUP(AV198,'Calc|Weightings'!$U$5:$W$5,1,0),"Excl")</f>
        <v>Contracts</v>
      </c>
      <c r="AY198" s="7" t="str">
        <f>VLOOKUP(AO198,Mapping!$E$11:$I$204,5,0)</f>
        <v>SCS</v>
      </c>
    </row>
    <row r="199" spans="1:51" x14ac:dyDescent="0.3">
      <c r="A199" s="7"/>
      <c r="B199" s="7"/>
      <c r="C199" s="7"/>
      <c r="D199" s="7"/>
      <c r="E199" s="32" t="s">
        <v>126</v>
      </c>
      <c r="F199" s="32"/>
      <c r="G199" s="32">
        <v>71045</v>
      </c>
      <c r="H199" s="32" t="s">
        <v>469</v>
      </c>
      <c r="I199" s="33">
        <v>1442.8</v>
      </c>
      <c r="J199" s="170"/>
      <c r="K199" s="7" t="str">
        <f>VLOOKUP($E199,Mapping!$E$11:$I$204,3,0)</f>
        <v>Augmentation</v>
      </c>
      <c r="L199" s="7" t="str">
        <f>IFERROR(VLOOKUP($G199,Mapping!$E$208:$K$236,5,0),"Contracts")</f>
        <v>Materials</v>
      </c>
      <c r="M199" s="7" t="str">
        <f>IFERROR(VLOOKUP($G199,Mapping!$E$208:$K$236,7,0),"ENDirect")</f>
        <v>ENDirect</v>
      </c>
      <c r="N199" s="7" t="str">
        <f>IFERROR(HLOOKUP(L199,'Calc|Weightings'!$U$5:$W$5,1,0),"Excl")</f>
        <v>Materials</v>
      </c>
      <c r="O199" s="7" t="str">
        <f>VLOOKUP(E199,Mapping!$E$11:$I$204,5,0)</f>
        <v>SCS</v>
      </c>
      <c r="Q199" s="32" t="s">
        <v>147</v>
      </c>
      <c r="R199" s="32"/>
      <c r="S199" s="32">
        <v>71040</v>
      </c>
      <c r="T199" s="32" t="s">
        <v>460</v>
      </c>
      <c r="U199" s="33">
        <v>-0.15</v>
      </c>
      <c r="V199" s="7"/>
      <c r="W199" s="7" t="str">
        <f>VLOOKUP($Q199,Mapping!$E$11:$I$204,3,0)</f>
        <v>Augmentation</v>
      </c>
      <c r="X199" s="7" t="str">
        <f>IFERROR(VLOOKUP($S199,Mapping!$E$208:$K$236,5,0),"Contracts")</f>
        <v>Contracts</v>
      </c>
      <c r="Y199" s="7" t="str">
        <f>IFERROR(VLOOKUP($S199,Mapping!$E$208:$K$236,7,0),"ENDirect")</f>
        <v>ENDirect</v>
      </c>
      <c r="Z199" s="7" t="str">
        <f>IFERROR(HLOOKUP(X199,'Calc|Weightings'!$U$5:$W$5,1,0),"Excl")</f>
        <v>Contracts</v>
      </c>
      <c r="AA199" s="7" t="str">
        <f>VLOOKUP(Q199,Mapping!$E$11:$I$204,5,0)</f>
        <v>SCS</v>
      </c>
      <c r="AC199" s="35" t="s">
        <v>549</v>
      </c>
      <c r="AD199" s="35"/>
      <c r="AE199" s="35">
        <v>72345</v>
      </c>
      <c r="AF199" s="35" t="s">
        <v>467</v>
      </c>
      <c r="AG199" s="36">
        <v>285.572</v>
      </c>
      <c r="AI199" s="7" t="str">
        <f>VLOOKUP($AC199,Mapping!$E$11:$I$204,3,0)</f>
        <v>Connections</v>
      </c>
      <c r="AJ199" s="7" t="str">
        <f>IFERROR(VLOOKUP($AE199,Mapping!$E$208:$K$236,5,0),"Contracts")</f>
        <v>Contracts</v>
      </c>
      <c r="AK199" s="7" t="str">
        <f>IFERROR(VLOOKUP($AE199,Mapping!$E$208:$K$236,7,0),"ENDirect")</f>
        <v>ENDirect</v>
      </c>
      <c r="AL199" s="7" t="str">
        <f>IFERROR(HLOOKUP(AJ199,'Calc|Weightings'!$U$5:$W$5,1,0),"Excl")</f>
        <v>Contracts</v>
      </c>
      <c r="AM199" s="7" t="str">
        <f>VLOOKUP(AC199,Mapping!$E$11:$I$204,5,0)</f>
        <v>SCS</v>
      </c>
      <c r="AO199" s="35" t="s">
        <v>121</v>
      </c>
      <c r="AP199" s="35"/>
      <c r="AQ199" s="35">
        <v>71130</v>
      </c>
      <c r="AR199" s="35" t="s">
        <v>592</v>
      </c>
      <c r="AS199" s="121">
        <v>103.45523999999999</v>
      </c>
      <c r="AU199" s="7" t="str">
        <f>VLOOKUP($AO199,Mapping!$E$11:$I$204,3,0)</f>
        <v>Augmentation</v>
      </c>
      <c r="AV199" s="7" t="str">
        <f>IFERROR(VLOOKUP($AQ199,Mapping!$E$208:$K$236,5,0),"Contracts")</f>
        <v>Contracts</v>
      </c>
      <c r="AW199" s="7" t="str">
        <f>IFERROR(VLOOKUP($AQ199,Mapping!$E$208:$K$236,7,0),"ENDirect")</f>
        <v>ENDirect</v>
      </c>
      <c r="AX199" s="7" t="str">
        <f>IFERROR(HLOOKUP(AV199,'Calc|Weightings'!$U$5:$W$5,1,0),"Excl")</f>
        <v>Contracts</v>
      </c>
      <c r="AY199" s="7" t="str">
        <f>VLOOKUP(AO199,Mapping!$E$11:$I$204,5,0)</f>
        <v>SCS</v>
      </c>
    </row>
    <row r="200" spans="1:51" x14ac:dyDescent="0.3">
      <c r="A200" s="7"/>
      <c r="B200" s="7"/>
      <c r="C200" s="7"/>
      <c r="D200" s="7"/>
      <c r="E200" s="32" t="s">
        <v>113</v>
      </c>
      <c r="F200" s="32"/>
      <c r="G200" s="32">
        <v>71005</v>
      </c>
      <c r="H200" s="32" t="s">
        <v>461</v>
      </c>
      <c r="I200" s="33">
        <v>142.65700000000001</v>
      </c>
      <c r="J200" s="170"/>
      <c r="K200" s="7" t="str">
        <f>VLOOKUP($E200,Mapping!$E$11:$I$204,3,0)</f>
        <v>Connections</v>
      </c>
      <c r="L200" s="7" t="str">
        <f>IFERROR(VLOOKUP($G200,Mapping!$E$208:$K$236,5,0),"Contracts")</f>
        <v>Materials</v>
      </c>
      <c r="M200" s="7" t="str">
        <f>IFERROR(VLOOKUP($G200,Mapping!$E$208:$K$236,7,0),"ENDirect")</f>
        <v>ENDirect</v>
      </c>
      <c r="N200" s="7" t="str">
        <f>IFERROR(HLOOKUP(L200,'Calc|Weightings'!$U$5:$W$5,1,0),"Excl")</f>
        <v>Materials</v>
      </c>
      <c r="O200" s="7" t="str">
        <f>VLOOKUP(E200,Mapping!$E$11:$I$204,5,0)</f>
        <v>SCS</v>
      </c>
      <c r="Q200" s="32" t="s">
        <v>147</v>
      </c>
      <c r="R200" s="32"/>
      <c r="S200" s="32">
        <v>71055</v>
      </c>
      <c r="T200" s="32" t="s">
        <v>465</v>
      </c>
      <c r="U200" s="33">
        <v>25.321000000000002</v>
      </c>
      <c r="V200" s="7"/>
      <c r="W200" s="7" t="str">
        <f>VLOOKUP($Q200,Mapping!$E$11:$I$204,3,0)</f>
        <v>Augmentation</v>
      </c>
      <c r="X200" s="7" t="str">
        <f>IFERROR(VLOOKUP($S200,Mapping!$E$208:$K$236,5,0),"Contracts")</f>
        <v>Contracts</v>
      </c>
      <c r="Y200" s="7" t="str">
        <f>IFERROR(VLOOKUP($S200,Mapping!$E$208:$K$236,7,0),"ENDirect")</f>
        <v>ENDirect</v>
      </c>
      <c r="Z200" s="7" t="str">
        <f>IFERROR(HLOOKUP(X200,'Calc|Weightings'!$U$5:$W$5,1,0),"Excl")</f>
        <v>Contracts</v>
      </c>
      <c r="AA200" s="7" t="str">
        <f>VLOOKUP(Q200,Mapping!$E$11:$I$204,5,0)</f>
        <v>SCS</v>
      </c>
      <c r="AC200" s="35" t="s">
        <v>192</v>
      </c>
      <c r="AD200" s="35"/>
      <c r="AE200" s="35">
        <v>71000</v>
      </c>
      <c r="AF200" s="35" t="s">
        <v>457</v>
      </c>
      <c r="AG200" s="36">
        <v>2767.4940000000001</v>
      </c>
      <c r="AI200" s="7" t="str">
        <f>VLOOKUP($AC200,Mapping!$E$11:$I$204,3,0)</f>
        <v>VBRC</v>
      </c>
      <c r="AJ200" s="7" t="str">
        <f>IFERROR(VLOOKUP($AE200,Mapping!$E$208:$K$236,5,0),"Contracts")</f>
        <v>Labour</v>
      </c>
      <c r="AK200" s="7" t="str">
        <f>IFERROR(VLOOKUP($AE200,Mapping!$E$208:$K$236,7,0),"ENDirect")</f>
        <v>ENDirect</v>
      </c>
      <c r="AL200" s="7" t="str">
        <f>IFERROR(HLOOKUP(AJ200,'Calc|Weightings'!$U$5:$W$5,1,0),"Excl")</f>
        <v>Labour</v>
      </c>
      <c r="AM200" s="7" t="str">
        <f>VLOOKUP(AC200,Mapping!$E$11:$I$204,5,0)</f>
        <v>SCS</v>
      </c>
      <c r="AO200" s="35" t="s">
        <v>121</v>
      </c>
      <c r="AP200" s="35"/>
      <c r="AQ200" s="35">
        <v>71140</v>
      </c>
      <c r="AR200" s="35" t="s">
        <v>593</v>
      </c>
      <c r="AS200" s="121">
        <v>2.8439999999999999</v>
      </c>
      <c r="AU200" s="7" t="str">
        <f>VLOOKUP($AO200,Mapping!$E$11:$I$204,3,0)</f>
        <v>Augmentation</v>
      </c>
      <c r="AV200" s="7" t="str">
        <f>IFERROR(VLOOKUP($AQ200,Mapping!$E$208:$K$236,5,0),"Contracts")</f>
        <v>Contracts</v>
      </c>
      <c r="AW200" s="7" t="str">
        <f>IFERROR(VLOOKUP($AQ200,Mapping!$E$208:$K$236,7,0),"ENDirect")</f>
        <v>ENDirect</v>
      </c>
      <c r="AX200" s="7" t="str">
        <f>IFERROR(HLOOKUP(AV200,'Calc|Weightings'!$U$5:$W$5,1,0),"Excl")</f>
        <v>Contracts</v>
      </c>
      <c r="AY200" s="7" t="str">
        <f>VLOOKUP(AO200,Mapping!$E$11:$I$204,5,0)</f>
        <v>SCS</v>
      </c>
    </row>
    <row r="201" spans="1:51" x14ac:dyDescent="0.3">
      <c r="A201" s="7"/>
      <c r="B201" s="7"/>
      <c r="C201" s="7"/>
      <c r="D201" s="7"/>
      <c r="E201" s="32" t="s">
        <v>118</v>
      </c>
      <c r="F201" s="32"/>
      <c r="G201" s="32">
        <v>71000</v>
      </c>
      <c r="H201" s="32" t="s">
        <v>457</v>
      </c>
      <c r="I201" s="33">
        <v>218.273</v>
      </c>
      <c r="J201" s="170"/>
      <c r="K201" s="7" t="str">
        <f>VLOOKUP($E201,Mapping!$E$11:$I$204,3,0)</f>
        <v>Connections</v>
      </c>
      <c r="L201" s="7" t="str">
        <f>IFERROR(VLOOKUP($G201,Mapping!$E$208:$K$236,5,0),"Contracts")</f>
        <v>Labour</v>
      </c>
      <c r="M201" s="7" t="str">
        <f>IFERROR(VLOOKUP($G201,Mapping!$E$208:$K$236,7,0),"ENDirect")</f>
        <v>ENDirect</v>
      </c>
      <c r="N201" s="7" t="str">
        <f>IFERROR(HLOOKUP(L201,'Calc|Weightings'!$U$5:$W$5,1,0),"Excl")</f>
        <v>Labour</v>
      </c>
      <c r="O201" s="7" t="str">
        <f>VLOOKUP(E201,Mapping!$E$11:$I$204,5,0)</f>
        <v>SCS</v>
      </c>
      <c r="Q201" s="32" t="s">
        <v>147</v>
      </c>
      <c r="R201" s="32"/>
      <c r="S201" s="32">
        <v>80000</v>
      </c>
      <c r="T201" s="32" t="s">
        <v>453</v>
      </c>
      <c r="U201" s="33">
        <v>26.047999999999998</v>
      </c>
      <c r="V201" s="7"/>
      <c r="W201" s="7" t="str">
        <f>VLOOKUP($Q201,Mapping!$E$11:$I$204,3,0)</f>
        <v>Augmentation</v>
      </c>
      <c r="X201" s="7" t="str">
        <f>IFERROR(VLOOKUP($S201,Mapping!$E$208:$K$236,5,0),"Contracts")</f>
        <v>Overhead</v>
      </c>
      <c r="Y201" s="7" t="str">
        <f>IFERROR(VLOOKUP($S201,Mapping!$E$208:$K$236,7,0),"ENDirect")</f>
        <v>OH</v>
      </c>
      <c r="Z201" s="7" t="str">
        <f>IFERROR(HLOOKUP(X201,'Calc|Weightings'!$U$5:$W$5,1,0),"Excl")</f>
        <v>Excl</v>
      </c>
      <c r="AA201" s="7" t="str">
        <f>VLOOKUP(Q201,Mapping!$E$11:$I$204,5,0)</f>
        <v>SCS</v>
      </c>
      <c r="AC201" s="35" t="s">
        <v>192</v>
      </c>
      <c r="AD201" s="35"/>
      <c r="AE201" s="35">
        <v>71005</v>
      </c>
      <c r="AF201" s="35" t="s">
        <v>461</v>
      </c>
      <c r="AG201" s="36">
        <v>939.41099999999994</v>
      </c>
      <c r="AI201" s="7" t="str">
        <f>VLOOKUP($AC201,Mapping!$E$11:$I$204,3,0)</f>
        <v>VBRC</v>
      </c>
      <c r="AJ201" s="7" t="str">
        <f>IFERROR(VLOOKUP($AE201,Mapping!$E$208:$K$236,5,0),"Contracts")</f>
        <v>Materials</v>
      </c>
      <c r="AK201" s="7" t="str">
        <f>IFERROR(VLOOKUP($AE201,Mapping!$E$208:$K$236,7,0),"ENDirect")</f>
        <v>ENDirect</v>
      </c>
      <c r="AL201" s="7" t="str">
        <f>IFERROR(HLOOKUP(AJ201,'Calc|Weightings'!$U$5:$W$5,1,0),"Excl")</f>
        <v>Materials</v>
      </c>
      <c r="AM201" s="7" t="str">
        <f>VLOOKUP(AC201,Mapping!$E$11:$I$204,5,0)</f>
        <v>SCS</v>
      </c>
      <c r="AO201" s="35" t="s">
        <v>121</v>
      </c>
      <c r="AP201" s="35"/>
      <c r="AQ201" s="35">
        <v>80000</v>
      </c>
      <c r="AR201" s="35" t="s">
        <v>589</v>
      </c>
      <c r="AS201" s="121">
        <v>186.39192</v>
      </c>
      <c r="AU201" s="7" t="str">
        <f>VLOOKUP($AO201,Mapping!$E$11:$I$204,3,0)</f>
        <v>Augmentation</v>
      </c>
      <c r="AV201" s="7" t="str">
        <f>IFERROR(VLOOKUP($AQ201,Mapping!$E$208:$K$236,5,0),"Contracts")</f>
        <v>Overhead</v>
      </c>
      <c r="AW201" s="7" t="str">
        <f>IFERROR(VLOOKUP($AQ201,Mapping!$E$208:$K$236,7,0),"ENDirect")</f>
        <v>OH</v>
      </c>
      <c r="AX201" s="7" t="str">
        <f>IFERROR(HLOOKUP(AV201,'Calc|Weightings'!$U$5:$W$5,1,0),"Excl")</f>
        <v>Excl</v>
      </c>
      <c r="AY201" s="7" t="str">
        <f>VLOOKUP(AO201,Mapping!$E$11:$I$204,5,0)</f>
        <v>SCS</v>
      </c>
    </row>
    <row r="202" spans="1:51" x14ac:dyDescent="0.3">
      <c r="A202" s="7"/>
      <c r="B202" s="7"/>
      <c r="C202" s="7"/>
      <c r="D202" s="7"/>
      <c r="E202" s="32" t="s">
        <v>118</v>
      </c>
      <c r="F202" s="32"/>
      <c r="G202" s="32">
        <v>71040</v>
      </c>
      <c r="H202" s="32" t="s">
        <v>460</v>
      </c>
      <c r="I202" s="33">
        <v>0.33200000000000002</v>
      </c>
      <c r="J202" s="170"/>
      <c r="K202" s="7" t="str">
        <f>VLOOKUP($E202,Mapping!$E$11:$I$204,3,0)</f>
        <v>Connections</v>
      </c>
      <c r="L202" s="7" t="str">
        <f>IFERROR(VLOOKUP($G202,Mapping!$E$208:$K$236,5,0),"Contracts")</f>
        <v>Contracts</v>
      </c>
      <c r="M202" s="7" t="str">
        <f>IFERROR(VLOOKUP($G202,Mapping!$E$208:$K$236,7,0),"ENDirect")</f>
        <v>ENDirect</v>
      </c>
      <c r="N202" s="7" t="str">
        <f>IFERROR(HLOOKUP(L202,'Calc|Weightings'!$U$5:$W$5,1,0),"Excl")</f>
        <v>Contracts</v>
      </c>
      <c r="O202" s="7" t="str">
        <f>VLOOKUP(E202,Mapping!$E$11:$I$204,5,0)</f>
        <v>SCS</v>
      </c>
      <c r="Q202" s="32" t="s">
        <v>161</v>
      </c>
      <c r="R202" s="32"/>
      <c r="S202" s="32">
        <v>71010</v>
      </c>
      <c r="T202" s="32" t="s">
        <v>462</v>
      </c>
      <c r="U202" s="33">
        <v>57.341999999999999</v>
      </c>
      <c r="V202" s="7"/>
      <c r="W202" s="7" t="str">
        <f>VLOOKUP($Q202,Mapping!$E$11:$I$204,3,0)</f>
        <v>Augmentation</v>
      </c>
      <c r="X202" s="7" t="str">
        <f>IFERROR(VLOOKUP($S202,Mapping!$E$208:$K$236,5,0),"Contracts")</f>
        <v>Labour</v>
      </c>
      <c r="Y202" s="7" t="str">
        <f>IFERROR(VLOOKUP($S202,Mapping!$E$208:$K$236,7,0),"ENDirect")</f>
        <v>ENDirect</v>
      </c>
      <c r="Z202" s="7" t="str">
        <f>IFERROR(HLOOKUP(X202,'Calc|Weightings'!$U$5:$W$5,1,0),"Excl")</f>
        <v>Labour</v>
      </c>
      <c r="AA202" s="7" t="str">
        <f>VLOOKUP(Q202,Mapping!$E$11:$I$204,5,0)</f>
        <v>SCS</v>
      </c>
      <c r="AC202" s="35" t="s">
        <v>192</v>
      </c>
      <c r="AD202" s="35"/>
      <c r="AE202" s="35">
        <v>71010</v>
      </c>
      <c r="AF202" s="35" t="s">
        <v>462</v>
      </c>
      <c r="AG202" s="36">
        <v>1224.3869999999999</v>
      </c>
      <c r="AI202" s="7" t="str">
        <f>VLOOKUP($AC202,Mapping!$E$11:$I$204,3,0)</f>
        <v>VBRC</v>
      </c>
      <c r="AJ202" s="7" t="str">
        <f>IFERROR(VLOOKUP($AE202,Mapping!$E$208:$K$236,5,0),"Contracts")</f>
        <v>Labour</v>
      </c>
      <c r="AK202" s="7" t="str">
        <f>IFERROR(VLOOKUP($AE202,Mapping!$E$208:$K$236,7,0),"ENDirect")</f>
        <v>ENDirect</v>
      </c>
      <c r="AL202" s="7" t="str">
        <f>IFERROR(HLOOKUP(AJ202,'Calc|Weightings'!$U$5:$W$5,1,0),"Excl")</f>
        <v>Labour</v>
      </c>
      <c r="AM202" s="7" t="str">
        <f>VLOOKUP(AC202,Mapping!$E$11:$I$204,5,0)</f>
        <v>SCS</v>
      </c>
      <c r="AO202" s="35" t="s">
        <v>122</v>
      </c>
      <c r="AP202" s="35"/>
      <c r="AQ202" s="35">
        <v>70815</v>
      </c>
      <c r="AR202" s="35" t="s">
        <v>594</v>
      </c>
      <c r="AS202" s="121">
        <v>12.379790000000002</v>
      </c>
      <c r="AU202" s="7" t="str">
        <f>VLOOKUP($AO202,Mapping!$E$11:$I$204,3,0)</f>
        <v>Augmentation</v>
      </c>
      <c r="AV202" s="7" t="str">
        <f>IFERROR(VLOOKUP($AQ202,Mapping!$E$208:$K$236,5,0),"Contracts")</f>
        <v>Materials</v>
      </c>
      <c r="AW202" s="7" t="str">
        <f>IFERROR(VLOOKUP($AQ202,Mapping!$E$208:$K$236,7,0),"ENDirect")</f>
        <v>ENDirect</v>
      </c>
      <c r="AX202" s="7" t="str">
        <f>IFERROR(HLOOKUP(AV202,'Calc|Weightings'!$U$5:$W$5,1,0),"Excl")</f>
        <v>Materials</v>
      </c>
      <c r="AY202" s="7" t="str">
        <f>VLOOKUP(AO202,Mapping!$E$11:$I$204,5,0)</f>
        <v>SCS</v>
      </c>
    </row>
    <row r="203" spans="1:51" x14ac:dyDescent="0.3">
      <c r="A203" s="7"/>
      <c r="B203" s="7"/>
      <c r="C203" s="7"/>
      <c r="D203" s="7"/>
      <c r="E203" s="32" t="s">
        <v>118</v>
      </c>
      <c r="F203" s="32"/>
      <c r="G203" s="32">
        <v>80000</v>
      </c>
      <c r="H203" s="32" t="s">
        <v>453</v>
      </c>
      <c r="I203" s="33">
        <v>52.890999999999998</v>
      </c>
      <c r="J203" s="170"/>
      <c r="K203" s="7" t="str">
        <f>VLOOKUP($E203,Mapping!$E$11:$I$204,3,0)</f>
        <v>Connections</v>
      </c>
      <c r="L203" s="7" t="str">
        <f>IFERROR(VLOOKUP($G203,Mapping!$E$208:$K$236,5,0),"Contracts")</f>
        <v>Overhead</v>
      </c>
      <c r="M203" s="7" t="str">
        <f>IFERROR(VLOOKUP($G203,Mapping!$E$208:$K$236,7,0),"ENDirect")</f>
        <v>OH</v>
      </c>
      <c r="N203" s="7" t="str">
        <f>IFERROR(HLOOKUP(L203,'Calc|Weightings'!$U$5:$W$5,1,0),"Excl")</f>
        <v>Excl</v>
      </c>
      <c r="O203" s="7" t="str">
        <f>VLOOKUP(E203,Mapping!$E$11:$I$204,5,0)</f>
        <v>SCS</v>
      </c>
      <c r="Q203" s="32" t="s">
        <v>161</v>
      </c>
      <c r="R203" s="32"/>
      <c r="S203" s="32">
        <v>71020</v>
      </c>
      <c r="T203" s="32" t="s">
        <v>459</v>
      </c>
      <c r="U203" s="33">
        <v>-4.3999999999999997E-2</v>
      </c>
      <c r="V203" s="7"/>
      <c r="W203" s="7" t="str">
        <f>VLOOKUP($Q203,Mapping!$E$11:$I$204,3,0)</f>
        <v>Augmentation</v>
      </c>
      <c r="X203" s="7" t="str">
        <f>IFERROR(VLOOKUP($S203,Mapping!$E$208:$K$236,5,0),"Contracts")</f>
        <v>Contracts</v>
      </c>
      <c r="Y203" s="7" t="str">
        <f>IFERROR(VLOOKUP($S203,Mapping!$E$208:$K$236,7,0),"ENDirect")</f>
        <v>ENDirect</v>
      </c>
      <c r="Z203" s="7" t="str">
        <f>IFERROR(HLOOKUP(X203,'Calc|Weightings'!$U$5:$W$5,1,0),"Excl")</f>
        <v>Contracts</v>
      </c>
      <c r="AA203" s="7" t="str">
        <f>VLOOKUP(Q203,Mapping!$E$11:$I$204,5,0)</f>
        <v>SCS</v>
      </c>
      <c r="AC203" s="35" t="s">
        <v>192</v>
      </c>
      <c r="AD203" s="35"/>
      <c r="AE203" s="35">
        <v>71015</v>
      </c>
      <c r="AF203" s="35" t="s">
        <v>463</v>
      </c>
      <c r="AG203" s="36">
        <v>865.15700000000004</v>
      </c>
      <c r="AI203" s="7" t="str">
        <f>VLOOKUP($AC203,Mapping!$E$11:$I$204,3,0)</f>
        <v>VBRC</v>
      </c>
      <c r="AJ203" s="7" t="str">
        <f>IFERROR(VLOOKUP($AE203,Mapping!$E$208:$K$236,5,0),"Contracts")</f>
        <v>Materials</v>
      </c>
      <c r="AK203" s="7" t="str">
        <f>IFERROR(VLOOKUP($AE203,Mapping!$E$208:$K$236,7,0),"ENDirect")</f>
        <v>ENDirect</v>
      </c>
      <c r="AL203" s="7" t="str">
        <f>IFERROR(HLOOKUP(AJ203,'Calc|Weightings'!$U$5:$W$5,1,0),"Excl")</f>
        <v>Materials</v>
      </c>
      <c r="AM203" s="7" t="str">
        <f>VLOOKUP(AC203,Mapping!$E$11:$I$204,5,0)</f>
        <v>SCS</v>
      </c>
      <c r="AO203" s="35" t="s">
        <v>122</v>
      </c>
      <c r="AP203" s="35"/>
      <c r="AQ203" s="35">
        <v>71000</v>
      </c>
      <c r="AR203" s="35" t="s">
        <v>457</v>
      </c>
      <c r="AS203" s="121">
        <v>-754.76543000000004</v>
      </c>
      <c r="AU203" s="7" t="str">
        <f>VLOOKUP($AO203,Mapping!$E$11:$I$204,3,0)</f>
        <v>Augmentation</v>
      </c>
      <c r="AV203" s="7" t="str">
        <f>IFERROR(VLOOKUP($AQ203,Mapping!$E$208:$K$236,5,0),"Contracts")</f>
        <v>Labour</v>
      </c>
      <c r="AW203" s="7" t="str">
        <f>IFERROR(VLOOKUP($AQ203,Mapping!$E$208:$K$236,7,0),"ENDirect")</f>
        <v>ENDirect</v>
      </c>
      <c r="AX203" s="7" t="str">
        <f>IFERROR(HLOOKUP(AV203,'Calc|Weightings'!$U$5:$W$5,1,0),"Excl")</f>
        <v>Labour</v>
      </c>
      <c r="AY203" s="7" t="str">
        <f>VLOOKUP(AO203,Mapping!$E$11:$I$204,5,0)</f>
        <v>SCS</v>
      </c>
    </row>
    <row r="204" spans="1:51" x14ac:dyDescent="0.3">
      <c r="A204" s="7"/>
      <c r="B204" s="7"/>
      <c r="C204" s="7"/>
      <c r="D204" s="7"/>
      <c r="E204" s="32" t="s">
        <v>103</v>
      </c>
      <c r="F204" s="32"/>
      <c r="G204" s="32">
        <v>71000</v>
      </c>
      <c r="H204" s="32" t="s">
        <v>457</v>
      </c>
      <c r="I204" s="33">
        <v>48.591999999999999</v>
      </c>
      <c r="J204" s="170"/>
      <c r="K204" s="7" t="str">
        <f>VLOOKUP($E204,Mapping!$E$11:$I$204,3,0)</f>
        <v>Public Lighting</v>
      </c>
      <c r="L204" s="7" t="str">
        <f>IFERROR(VLOOKUP($G204,Mapping!$E$208:$K$236,5,0),"Contracts")</f>
        <v>Labour</v>
      </c>
      <c r="M204" s="7" t="str">
        <f>IFERROR(VLOOKUP($G204,Mapping!$E$208:$K$236,7,0),"ENDirect")</f>
        <v>ENDirect</v>
      </c>
      <c r="N204" s="7" t="str">
        <f>IFERROR(HLOOKUP(L204,'Calc|Weightings'!$U$5:$W$5,1,0),"Excl")</f>
        <v>Labour</v>
      </c>
      <c r="O204" s="7" t="str">
        <f>VLOOKUP(E204,Mapping!$E$11:$I$204,5,0)</f>
        <v>Public Lighting</v>
      </c>
      <c r="Q204" s="32" t="s">
        <v>161</v>
      </c>
      <c r="R204" s="32"/>
      <c r="S204" s="32">
        <v>71030</v>
      </c>
      <c r="T204" s="32" t="s">
        <v>464</v>
      </c>
      <c r="U204" s="33">
        <v>25.555</v>
      </c>
      <c r="V204" s="7"/>
      <c r="W204" s="7" t="str">
        <f>VLOOKUP($Q204,Mapping!$E$11:$I$204,3,0)</f>
        <v>Augmentation</v>
      </c>
      <c r="X204" s="7" t="str">
        <f>IFERROR(VLOOKUP($S204,Mapping!$E$208:$K$236,5,0),"Contracts")</f>
        <v>Contracts</v>
      </c>
      <c r="Y204" s="7" t="str">
        <f>IFERROR(VLOOKUP($S204,Mapping!$E$208:$K$236,7,0),"ENDirect")</f>
        <v>ENDirect</v>
      </c>
      <c r="Z204" s="7" t="str">
        <f>IFERROR(HLOOKUP(X204,'Calc|Weightings'!$U$5:$W$5,1,0),"Excl")</f>
        <v>Contracts</v>
      </c>
      <c r="AA204" s="7" t="str">
        <f>VLOOKUP(Q204,Mapping!$E$11:$I$204,5,0)</f>
        <v>SCS</v>
      </c>
      <c r="AC204" s="35" t="s">
        <v>192</v>
      </c>
      <c r="AD204" s="35"/>
      <c r="AE204" s="35">
        <v>71030</v>
      </c>
      <c r="AF204" s="35" t="s">
        <v>464</v>
      </c>
      <c r="AG204" s="36">
        <v>377.71899999999999</v>
      </c>
      <c r="AI204" s="7" t="str">
        <f>VLOOKUP($AC204,Mapping!$E$11:$I$204,3,0)</f>
        <v>VBRC</v>
      </c>
      <c r="AJ204" s="7" t="str">
        <f>IFERROR(VLOOKUP($AE204,Mapping!$E$208:$K$236,5,0),"Contracts")</f>
        <v>Contracts</v>
      </c>
      <c r="AK204" s="7" t="str">
        <f>IFERROR(VLOOKUP($AE204,Mapping!$E$208:$K$236,7,0),"ENDirect")</f>
        <v>ENDirect</v>
      </c>
      <c r="AL204" s="7" t="str">
        <f>IFERROR(HLOOKUP(AJ204,'Calc|Weightings'!$U$5:$W$5,1,0),"Excl")</f>
        <v>Contracts</v>
      </c>
      <c r="AM204" s="7" t="str">
        <f>VLOOKUP(AC204,Mapping!$E$11:$I$204,5,0)</f>
        <v>SCS</v>
      </c>
      <c r="AO204" s="35" t="s">
        <v>122</v>
      </c>
      <c r="AP204" s="35"/>
      <c r="AQ204" s="35">
        <v>71005</v>
      </c>
      <c r="AR204" s="35" t="s">
        <v>461</v>
      </c>
      <c r="AS204" s="121">
        <v>18.686319999999998</v>
      </c>
      <c r="AU204" s="7" t="str">
        <f>VLOOKUP($AO204,Mapping!$E$11:$I$204,3,0)</f>
        <v>Augmentation</v>
      </c>
      <c r="AV204" s="7" t="str">
        <f>IFERROR(VLOOKUP($AQ204,Mapping!$E$208:$K$236,5,0),"Contracts")</f>
        <v>Materials</v>
      </c>
      <c r="AW204" s="7" t="str">
        <f>IFERROR(VLOOKUP($AQ204,Mapping!$E$208:$K$236,7,0),"ENDirect")</f>
        <v>ENDirect</v>
      </c>
      <c r="AX204" s="7" t="str">
        <f>IFERROR(HLOOKUP(AV204,'Calc|Weightings'!$U$5:$W$5,1,0),"Excl")</f>
        <v>Materials</v>
      </c>
      <c r="AY204" s="7" t="str">
        <f>VLOOKUP(AO204,Mapping!$E$11:$I$204,5,0)</f>
        <v>SCS</v>
      </c>
    </row>
    <row r="205" spans="1:51" x14ac:dyDescent="0.3">
      <c r="A205" s="7"/>
      <c r="B205" s="7"/>
      <c r="C205" s="7"/>
      <c r="D205" s="7"/>
      <c r="E205" s="32" t="s">
        <v>103</v>
      </c>
      <c r="F205" s="32"/>
      <c r="G205" s="32">
        <v>71030</v>
      </c>
      <c r="H205" s="32" t="s">
        <v>464</v>
      </c>
      <c r="I205" s="33">
        <v>6.4489999999999998</v>
      </c>
      <c r="J205" s="170"/>
      <c r="K205" s="7" t="str">
        <f>VLOOKUP($E205,Mapping!$E$11:$I$204,3,0)</f>
        <v>Public Lighting</v>
      </c>
      <c r="L205" s="7" t="str">
        <f>IFERROR(VLOOKUP($G205,Mapping!$E$208:$K$236,5,0),"Contracts")</f>
        <v>Contracts</v>
      </c>
      <c r="M205" s="7" t="str">
        <f>IFERROR(VLOOKUP($G205,Mapping!$E$208:$K$236,7,0),"ENDirect")</f>
        <v>ENDirect</v>
      </c>
      <c r="N205" s="7" t="str">
        <f>IFERROR(HLOOKUP(L205,'Calc|Weightings'!$U$5:$W$5,1,0),"Excl")</f>
        <v>Contracts</v>
      </c>
      <c r="O205" s="7" t="str">
        <f>VLOOKUP(E205,Mapping!$E$11:$I$204,5,0)</f>
        <v>Public Lighting</v>
      </c>
      <c r="Q205" s="32" t="s">
        <v>161</v>
      </c>
      <c r="R205" s="32"/>
      <c r="S205" s="32">
        <v>71055</v>
      </c>
      <c r="T205" s="32" t="s">
        <v>465</v>
      </c>
      <c r="U205" s="33">
        <v>75.370999999999995</v>
      </c>
      <c r="V205" s="7"/>
      <c r="W205" s="7" t="str">
        <f>VLOOKUP($Q205,Mapping!$E$11:$I$204,3,0)</f>
        <v>Augmentation</v>
      </c>
      <c r="X205" s="7" t="str">
        <f>IFERROR(VLOOKUP($S205,Mapping!$E$208:$K$236,5,0),"Contracts")</f>
        <v>Contracts</v>
      </c>
      <c r="Y205" s="7" t="str">
        <f>IFERROR(VLOOKUP($S205,Mapping!$E$208:$K$236,7,0),"ENDirect")</f>
        <v>ENDirect</v>
      </c>
      <c r="Z205" s="7" t="str">
        <f>IFERROR(HLOOKUP(X205,'Calc|Weightings'!$U$5:$W$5,1,0),"Excl")</f>
        <v>Contracts</v>
      </c>
      <c r="AA205" s="7" t="str">
        <f>VLOOKUP(Q205,Mapping!$E$11:$I$204,5,0)</f>
        <v>SCS</v>
      </c>
      <c r="AC205" s="35" t="s">
        <v>192</v>
      </c>
      <c r="AD205" s="35"/>
      <c r="AE205" s="35">
        <v>71055</v>
      </c>
      <c r="AF205" s="35" t="s">
        <v>465</v>
      </c>
      <c r="AG205" s="36">
        <v>443.71199999999999</v>
      </c>
      <c r="AI205" s="7" t="str">
        <f>VLOOKUP($AC205,Mapping!$E$11:$I$204,3,0)</f>
        <v>VBRC</v>
      </c>
      <c r="AJ205" s="7" t="str">
        <f>IFERROR(VLOOKUP($AE205,Mapping!$E$208:$K$236,5,0),"Contracts")</f>
        <v>Contracts</v>
      </c>
      <c r="AK205" s="7" t="str">
        <f>IFERROR(VLOOKUP($AE205,Mapping!$E$208:$K$236,7,0),"ENDirect")</f>
        <v>ENDirect</v>
      </c>
      <c r="AL205" s="7" t="str">
        <f>IFERROR(HLOOKUP(AJ205,'Calc|Weightings'!$U$5:$W$5,1,0),"Excl")</f>
        <v>Contracts</v>
      </c>
      <c r="AM205" s="7" t="str">
        <f>VLOOKUP(AC205,Mapping!$E$11:$I$204,5,0)</f>
        <v>SCS</v>
      </c>
      <c r="AO205" s="35" t="s">
        <v>122</v>
      </c>
      <c r="AP205" s="35"/>
      <c r="AQ205" s="35">
        <v>71010</v>
      </c>
      <c r="AR205" s="35" t="s">
        <v>487</v>
      </c>
      <c r="AS205" s="121">
        <v>-226.55101000000002</v>
      </c>
      <c r="AU205" s="7" t="str">
        <f>VLOOKUP($AO205,Mapping!$E$11:$I$204,3,0)</f>
        <v>Augmentation</v>
      </c>
      <c r="AV205" s="7" t="str">
        <f>IFERROR(VLOOKUP($AQ205,Mapping!$E$208:$K$236,5,0),"Contracts")</f>
        <v>Labour</v>
      </c>
      <c r="AW205" s="7" t="str">
        <f>IFERROR(VLOOKUP($AQ205,Mapping!$E$208:$K$236,7,0),"ENDirect")</f>
        <v>ENDirect</v>
      </c>
      <c r="AX205" s="7" t="str">
        <f>IFERROR(HLOOKUP(AV205,'Calc|Weightings'!$U$5:$W$5,1,0),"Excl")</f>
        <v>Labour</v>
      </c>
      <c r="AY205" s="7" t="str">
        <f>VLOOKUP(AO205,Mapping!$E$11:$I$204,5,0)</f>
        <v>SCS</v>
      </c>
    </row>
    <row r="206" spans="1:51" x14ac:dyDescent="0.3">
      <c r="A206" s="7"/>
      <c r="B206" s="7"/>
      <c r="C206" s="7"/>
      <c r="D206" s="7"/>
      <c r="E206" s="32" t="s">
        <v>103</v>
      </c>
      <c r="F206" s="32"/>
      <c r="G206" s="32">
        <v>71040</v>
      </c>
      <c r="H206" s="32" t="s">
        <v>460</v>
      </c>
      <c r="I206" s="33">
        <v>5.2999999999999999E-2</v>
      </c>
      <c r="J206" s="170"/>
      <c r="K206" s="7" t="str">
        <f>VLOOKUP($E206,Mapping!$E$11:$I$204,3,0)</f>
        <v>Public Lighting</v>
      </c>
      <c r="L206" s="7" t="str">
        <f>IFERROR(VLOOKUP($G206,Mapping!$E$208:$K$236,5,0),"Contracts")</f>
        <v>Contracts</v>
      </c>
      <c r="M206" s="7" t="str">
        <f>IFERROR(VLOOKUP($G206,Mapping!$E$208:$K$236,7,0),"ENDirect")</f>
        <v>ENDirect</v>
      </c>
      <c r="N206" s="7" t="str">
        <f>IFERROR(HLOOKUP(L206,'Calc|Weightings'!$U$5:$W$5,1,0),"Excl")</f>
        <v>Contracts</v>
      </c>
      <c r="O206" s="7" t="str">
        <f>VLOOKUP(E206,Mapping!$E$11:$I$204,5,0)</f>
        <v>Public Lighting</v>
      </c>
      <c r="Q206" s="32" t="s">
        <v>161</v>
      </c>
      <c r="R206" s="32"/>
      <c r="S206" s="32">
        <v>80000</v>
      </c>
      <c r="T206" s="32" t="s">
        <v>453</v>
      </c>
      <c r="U206" s="33">
        <v>53.835000000000001</v>
      </c>
      <c r="V206" s="7"/>
      <c r="W206" s="7" t="str">
        <f>VLOOKUP($Q206,Mapping!$E$11:$I$204,3,0)</f>
        <v>Augmentation</v>
      </c>
      <c r="X206" s="7" t="str">
        <f>IFERROR(VLOOKUP($S206,Mapping!$E$208:$K$236,5,0),"Contracts")</f>
        <v>Overhead</v>
      </c>
      <c r="Y206" s="7" t="str">
        <f>IFERROR(VLOOKUP($S206,Mapping!$E$208:$K$236,7,0),"ENDirect")</f>
        <v>OH</v>
      </c>
      <c r="Z206" s="7" t="str">
        <f>IFERROR(HLOOKUP(X206,'Calc|Weightings'!$U$5:$W$5,1,0),"Excl")</f>
        <v>Excl</v>
      </c>
      <c r="AA206" s="7" t="str">
        <f>VLOOKUP(Q206,Mapping!$E$11:$I$204,5,0)</f>
        <v>SCS</v>
      </c>
      <c r="AC206" s="35" t="s">
        <v>192</v>
      </c>
      <c r="AD206" s="35"/>
      <c r="AE206" s="35">
        <v>80000</v>
      </c>
      <c r="AF206" s="35" t="s">
        <v>453</v>
      </c>
      <c r="AG206" s="36">
        <v>873.19299999999998</v>
      </c>
      <c r="AI206" s="7" t="str">
        <f>VLOOKUP($AC206,Mapping!$E$11:$I$204,3,0)</f>
        <v>VBRC</v>
      </c>
      <c r="AJ206" s="7" t="str">
        <f>IFERROR(VLOOKUP($AE206,Mapping!$E$208:$K$236,5,0),"Contracts")</f>
        <v>Overhead</v>
      </c>
      <c r="AK206" s="7" t="str">
        <f>IFERROR(VLOOKUP($AE206,Mapping!$E$208:$K$236,7,0),"ENDirect")</f>
        <v>OH</v>
      </c>
      <c r="AL206" s="7" t="str">
        <f>IFERROR(HLOOKUP(AJ206,'Calc|Weightings'!$U$5:$W$5,1,0),"Excl")</f>
        <v>Excl</v>
      </c>
      <c r="AM206" s="7" t="str">
        <f>VLOOKUP(AC206,Mapping!$E$11:$I$204,5,0)</f>
        <v>SCS</v>
      </c>
      <c r="AO206" s="35" t="s">
        <v>122</v>
      </c>
      <c r="AP206" s="35"/>
      <c r="AQ206" s="35">
        <v>71015</v>
      </c>
      <c r="AR206" s="35" t="s">
        <v>585</v>
      </c>
      <c r="AS206" s="121">
        <v>11.247459999999998</v>
      </c>
      <c r="AU206" s="7" t="str">
        <f>VLOOKUP($AO206,Mapping!$E$11:$I$204,3,0)</f>
        <v>Augmentation</v>
      </c>
      <c r="AV206" s="7" t="str">
        <f>IFERROR(VLOOKUP($AQ206,Mapping!$E$208:$K$236,5,0),"Contracts")</f>
        <v>Materials</v>
      </c>
      <c r="AW206" s="7" t="str">
        <f>IFERROR(VLOOKUP($AQ206,Mapping!$E$208:$K$236,7,0),"ENDirect")</f>
        <v>ENDirect</v>
      </c>
      <c r="AX206" s="7" t="str">
        <f>IFERROR(HLOOKUP(AV206,'Calc|Weightings'!$U$5:$W$5,1,0),"Excl")</f>
        <v>Materials</v>
      </c>
      <c r="AY206" s="7" t="str">
        <f>VLOOKUP(AO206,Mapping!$E$11:$I$204,5,0)</f>
        <v>SCS</v>
      </c>
    </row>
    <row r="207" spans="1:51" x14ac:dyDescent="0.3">
      <c r="A207" s="7"/>
      <c r="B207" s="7"/>
      <c r="C207" s="7"/>
      <c r="D207" s="7"/>
      <c r="E207" s="32" t="s">
        <v>103</v>
      </c>
      <c r="F207" s="32"/>
      <c r="G207" s="32">
        <v>80000</v>
      </c>
      <c r="H207" s="32" t="s">
        <v>453</v>
      </c>
      <c r="I207" s="33">
        <v>10.084</v>
      </c>
      <c r="J207" s="170"/>
      <c r="K207" s="7" t="str">
        <f>VLOOKUP($E207,Mapping!$E$11:$I$204,3,0)</f>
        <v>Public Lighting</v>
      </c>
      <c r="L207" s="7" t="str">
        <f>IFERROR(VLOOKUP($G207,Mapping!$E$208:$K$236,5,0),"Contracts")</f>
        <v>Overhead</v>
      </c>
      <c r="M207" s="7" t="str">
        <f>IFERROR(VLOOKUP($G207,Mapping!$E$208:$K$236,7,0),"ENDirect")</f>
        <v>OH</v>
      </c>
      <c r="N207" s="7" t="str">
        <f>IFERROR(HLOOKUP(L207,'Calc|Weightings'!$U$5:$W$5,1,0),"Excl")</f>
        <v>Excl</v>
      </c>
      <c r="O207" s="7" t="str">
        <f>VLOOKUP(E207,Mapping!$E$11:$I$204,5,0)</f>
        <v>Public Lighting</v>
      </c>
      <c r="Q207" s="32" t="s">
        <v>97</v>
      </c>
      <c r="R207" s="32"/>
      <c r="S207" s="32">
        <v>71000</v>
      </c>
      <c r="T207" s="32" t="s">
        <v>457</v>
      </c>
      <c r="U207" s="33">
        <v>1054.5719999999999</v>
      </c>
      <c r="V207" s="7"/>
      <c r="W207" s="7" t="str">
        <f>VLOOKUP($Q207,Mapping!$E$11:$I$204,3,0)</f>
        <v>Connections</v>
      </c>
      <c r="X207" s="7" t="str">
        <f>IFERROR(VLOOKUP($S207,Mapping!$E$208:$K$236,5,0),"Contracts")</f>
        <v>Labour</v>
      </c>
      <c r="Y207" s="7" t="str">
        <f>IFERROR(VLOOKUP($S207,Mapping!$E$208:$K$236,7,0),"ENDirect")</f>
        <v>ENDirect</v>
      </c>
      <c r="Z207" s="7" t="str">
        <f>IFERROR(HLOOKUP(X207,'Calc|Weightings'!$U$5:$W$5,1,0),"Excl")</f>
        <v>Labour</v>
      </c>
      <c r="AA207" s="7" t="str">
        <f>VLOOKUP(Q207,Mapping!$E$11:$I$204,5,0)</f>
        <v>SCS</v>
      </c>
      <c r="AC207" s="35" t="s">
        <v>115</v>
      </c>
      <c r="AD207" s="35"/>
      <c r="AE207" s="35">
        <v>71000</v>
      </c>
      <c r="AF207" s="35" t="s">
        <v>457</v>
      </c>
      <c r="AG207" s="36">
        <v>206.726</v>
      </c>
      <c r="AI207" s="7" t="str">
        <f>VLOOKUP($AC207,Mapping!$E$11:$I$204,3,0)</f>
        <v>Connections</v>
      </c>
      <c r="AJ207" s="7" t="str">
        <f>IFERROR(VLOOKUP($AE207,Mapping!$E$208:$K$236,5,0),"Contracts")</f>
        <v>Labour</v>
      </c>
      <c r="AK207" s="7" t="str">
        <f>IFERROR(VLOOKUP($AE207,Mapping!$E$208:$K$236,7,0),"ENDirect")</f>
        <v>ENDirect</v>
      </c>
      <c r="AL207" s="7" t="str">
        <f>IFERROR(HLOOKUP(AJ207,'Calc|Weightings'!$U$5:$W$5,1,0),"Excl")</f>
        <v>Labour</v>
      </c>
      <c r="AM207" s="7" t="str">
        <f>VLOOKUP(AC207,Mapping!$E$11:$I$204,5,0)</f>
        <v>SCS</v>
      </c>
      <c r="AO207" s="35" t="s">
        <v>122</v>
      </c>
      <c r="AP207" s="35"/>
      <c r="AQ207" s="35">
        <v>71030</v>
      </c>
      <c r="AR207" s="35" t="s">
        <v>464</v>
      </c>
      <c r="AS207" s="121">
        <v>-58.556460000000001</v>
      </c>
      <c r="AU207" s="7" t="str">
        <f>VLOOKUP($AO207,Mapping!$E$11:$I$204,3,0)</f>
        <v>Augmentation</v>
      </c>
      <c r="AV207" s="7" t="str">
        <f>IFERROR(VLOOKUP($AQ207,Mapping!$E$208:$K$236,5,0),"Contracts")</f>
        <v>Contracts</v>
      </c>
      <c r="AW207" s="7" t="str">
        <f>IFERROR(VLOOKUP($AQ207,Mapping!$E$208:$K$236,7,0),"ENDirect")</f>
        <v>ENDirect</v>
      </c>
      <c r="AX207" s="7" t="str">
        <f>IFERROR(HLOOKUP(AV207,'Calc|Weightings'!$U$5:$W$5,1,0),"Excl")</f>
        <v>Contracts</v>
      </c>
      <c r="AY207" s="7" t="str">
        <f>VLOOKUP(AO207,Mapping!$E$11:$I$204,5,0)</f>
        <v>SCS</v>
      </c>
    </row>
    <row r="208" spans="1:51" x14ac:dyDescent="0.3">
      <c r="A208" s="7"/>
      <c r="B208" s="7"/>
      <c r="C208" s="7"/>
      <c r="D208" s="7"/>
      <c r="E208" s="32" t="s">
        <v>528</v>
      </c>
      <c r="F208" s="32"/>
      <c r="G208" s="32">
        <v>71040</v>
      </c>
      <c r="H208" s="32" t="s">
        <v>460</v>
      </c>
      <c r="I208" s="33">
        <v>-5.508</v>
      </c>
      <c r="J208" s="170"/>
      <c r="K208" s="7" t="str">
        <f>VLOOKUP($E208,Mapping!$E$11:$I$204,3,0)</f>
        <v>Connections</v>
      </c>
      <c r="L208" s="7" t="str">
        <f>IFERROR(VLOOKUP($G208,Mapping!$E$208:$K$236,5,0),"Contracts")</f>
        <v>Contracts</v>
      </c>
      <c r="M208" s="7" t="str">
        <f>IFERROR(VLOOKUP($G208,Mapping!$E$208:$K$236,7,0),"ENDirect")</f>
        <v>ENDirect</v>
      </c>
      <c r="N208" s="7" t="str">
        <f>IFERROR(HLOOKUP(L208,'Calc|Weightings'!$U$5:$W$5,1,0),"Excl")</f>
        <v>Contracts</v>
      </c>
      <c r="O208" s="7" t="str">
        <f>VLOOKUP(E208,Mapping!$E$11:$I$204,5,0)</f>
        <v>SCS</v>
      </c>
      <c r="Q208" s="32" t="s">
        <v>97</v>
      </c>
      <c r="R208" s="32"/>
      <c r="S208" s="32">
        <v>71010</v>
      </c>
      <c r="T208" s="32" t="s">
        <v>462</v>
      </c>
      <c r="U208" s="33">
        <v>6682.7939999999999</v>
      </c>
      <c r="V208" s="7"/>
      <c r="W208" s="7" t="str">
        <f>VLOOKUP($Q208,Mapping!$E$11:$I$204,3,0)</f>
        <v>Connections</v>
      </c>
      <c r="X208" s="7" t="str">
        <f>IFERROR(VLOOKUP($S208,Mapping!$E$208:$K$236,5,0),"Contracts")</f>
        <v>Labour</v>
      </c>
      <c r="Y208" s="7" t="str">
        <f>IFERROR(VLOOKUP($S208,Mapping!$E$208:$K$236,7,0),"ENDirect")</f>
        <v>ENDirect</v>
      </c>
      <c r="Z208" s="7" t="str">
        <f>IFERROR(HLOOKUP(X208,'Calc|Weightings'!$U$5:$W$5,1,0),"Excl")</f>
        <v>Labour</v>
      </c>
      <c r="AA208" s="7" t="str">
        <f>VLOOKUP(Q208,Mapping!$E$11:$I$204,5,0)</f>
        <v>SCS</v>
      </c>
      <c r="AC208" s="35" t="s">
        <v>115</v>
      </c>
      <c r="AD208" s="35"/>
      <c r="AE208" s="35">
        <v>71030</v>
      </c>
      <c r="AF208" s="35" t="s">
        <v>464</v>
      </c>
      <c r="AG208" s="36">
        <v>31.141999999999999</v>
      </c>
      <c r="AI208" s="7" t="str">
        <f>VLOOKUP($AC208,Mapping!$E$11:$I$204,3,0)</f>
        <v>Connections</v>
      </c>
      <c r="AJ208" s="7" t="str">
        <f>IFERROR(VLOOKUP($AE208,Mapping!$E$208:$K$236,5,0),"Contracts")</f>
        <v>Contracts</v>
      </c>
      <c r="AK208" s="7" t="str">
        <f>IFERROR(VLOOKUP($AE208,Mapping!$E$208:$K$236,7,0),"ENDirect")</f>
        <v>ENDirect</v>
      </c>
      <c r="AL208" s="7" t="str">
        <f>IFERROR(HLOOKUP(AJ208,'Calc|Weightings'!$U$5:$W$5,1,0),"Excl")</f>
        <v>Contracts</v>
      </c>
      <c r="AM208" s="7" t="str">
        <f>VLOOKUP(AC208,Mapping!$E$11:$I$204,5,0)</f>
        <v>SCS</v>
      </c>
      <c r="AO208" s="35" t="s">
        <v>122</v>
      </c>
      <c r="AP208" s="35"/>
      <c r="AQ208" s="35">
        <v>71055</v>
      </c>
      <c r="AR208" s="35" t="s">
        <v>465</v>
      </c>
      <c r="AS208" s="121">
        <v>191.62072000000001</v>
      </c>
      <c r="AU208" s="7" t="str">
        <f>VLOOKUP($AO208,Mapping!$E$11:$I$204,3,0)</f>
        <v>Augmentation</v>
      </c>
      <c r="AV208" s="7" t="str">
        <f>IFERROR(VLOOKUP($AQ208,Mapping!$E$208:$K$236,5,0),"Contracts")</f>
        <v>Contracts</v>
      </c>
      <c r="AW208" s="7" t="str">
        <f>IFERROR(VLOOKUP($AQ208,Mapping!$E$208:$K$236,7,0),"ENDirect")</f>
        <v>ENDirect</v>
      </c>
      <c r="AX208" s="7" t="str">
        <f>IFERROR(HLOOKUP(AV208,'Calc|Weightings'!$U$5:$W$5,1,0),"Excl")</f>
        <v>Contracts</v>
      </c>
      <c r="AY208" s="7" t="str">
        <f>VLOOKUP(AO208,Mapping!$E$11:$I$204,5,0)</f>
        <v>SCS</v>
      </c>
    </row>
    <row r="209" spans="1:51" x14ac:dyDescent="0.3">
      <c r="A209" s="7"/>
      <c r="B209" s="7"/>
      <c r="C209" s="7"/>
      <c r="D209" s="7"/>
      <c r="E209" s="32" t="s">
        <v>162</v>
      </c>
      <c r="F209" s="32"/>
      <c r="G209" s="32">
        <v>71000</v>
      </c>
      <c r="H209" s="32" t="s">
        <v>457</v>
      </c>
      <c r="I209" s="33">
        <v>1294.57</v>
      </c>
      <c r="J209" s="170"/>
      <c r="K209" s="7" t="str">
        <f>VLOOKUP($E209,Mapping!$E$11:$I$204,3,0)</f>
        <v>Replacement</v>
      </c>
      <c r="L209" s="7" t="str">
        <f>IFERROR(VLOOKUP($G209,Mapping!$E$208:$K$236,5,0),"Contracts")</f>
        <v>Labour</v>
      </c>
      <c r="M209" s="7" t="str">
        <f>IFERROR(VLOOKUP($G209,Mapping!$E$208:$K$236,7,0),"ENDirect")</f>
        <v>ENDirect</v>
      </c>
      <c r="N209" s="7" t="str">
        <f>IFERROR(HLOOKUP(L209,'Calc|Weightings'!$U$5:$W$5,1,0),"Excl")</f>
        <v>Labour</v>
      </c>
      <c r="O209" s="7" t="str">
        <f>VLOOKUP(E209,Mapping!$E$11:$I$204,5,0)</f>
        <v>SCS</v>
      </c>
      <c r="Q209" s="32" t="s">
        <v>97</v>
      </c>
      <c r="R209" s="32"/>
      <c r="S209" s="32">
        <v>71015</v>
      </c>
      <c r="T209" s="32" t="s">
        <v>463</v>
      </c>
      <c r="U209" s="33">
        <v>127.07</v>
      </c>
      <c r="V209" s="7"/>
      <c r="W209" s="7" t="str">
        <f>VLOOKUP($Q209,Mapping!$E$11:$I$204,3,0)</f>
        <v>Connections</v>
      </c>
      <c r="X209" s="7" t="str">
        <f>IFERROR(VLOOKUP($S209,Mapping!$E$208:$K$236,5,0),"Contracts")</f>
        <v>Materials</v>
      </c>
      <c r="Y209" s="7" t="str">
        <f>IFERROR(VLOOKUP($S209,Mapping!$E$208:$K$236,7,0),"ENDirect")</f>
        <v>ENDirect</v>
      </c>
      <c r="Z209" s="7" t="str">
        <f>IFERROR(HLOOKUP(X209,'Calc|Weightings'!$U$5:$W$5,1,0),"Excl")</f>
        <v>Materials</v>
      </c>
      <c r="AA209" s="7" t="str">
        <f>VLOOKUP(Q209,Mapping!$E$11:$I$204,5,0)</f>
        <v>SCS</v>
      </c>
      <c r="AC209" s="35" t="s">
        <v>115</v>
      </c>
      <c r="AD209" s="35"/>
      <c r="AE209" s="35">
        <v>71055</v>
      </c>
      <c r="AF209" s="35" t="s">
        <v>465</v>
      </c>
      <c r="AG209" s="36">
        <v>60.329000000000001</v>
      </c>
      <c r="AI209" s="7" t="str">
        <f>VLOOKUP($AC209,Mapping!$E$11:$I$204,3,0)</f>
        <v>Connections</v>
      </c>
      <c r="AJ209" s="7" t="str">
        <f>IFERROR(VLOOKUP($AE209,Mapping!$E$208:$K$236,5,0),"Contracts")</f>
        <v>Contracts</v>
      </c>
      <c r="AK209" s="7" t="str">
        <f>IFERROR(VLOOKUP($AE209,Mapping!$E$208:$K$236,7,0),"ENDirect")</f>
        <v>ENDirect</v>
      </c>
      <c r="AL209" s="7" t="str">
        <f>IFERROR(HLOOKUP(AJ209,'Calc|Weightings'!$U$5:$W$5,1,0),"Excl")</f>
        <v>Contracts</v>
      </c>
      <c r="AM209" s="7" t="str">
        <f>VLOOKUP(AC209,Mapping!$E$11:$I$204,5,0)</f>
        <v>SCS</v>
      </c>
      <c r="AO209" s="35" t="s">
        <v>122</v>
      </c>
      <c r="AP209" s="35"/>
      <c r="AQ209" s="35">
        <v>71130</v>
      </c>
      <c r="AR209" s="35" t="s">
        <v>592</v>
      </c>
      <c r="AS209" s="121">
        <v>7.3659999999999997</v>
      </c>
      <c r="AU209" s="7" t="str">
        <f>VLOOKUP($AO209,Mapping!$E$11:$I$204,3,0)</f>
        <v>Augmentation</v>
      </c>
      <c r="AV209" s="7" t="str">
        <f>IFERROR(VLOOKUP($AQ209,Mapping!$E$208:$K$236,5,0),"Contracts")</f>
        <v>Contracts</v>
      </c>
      <c r="AW209" s="7" t="str">
        <f>IFERROR(VLOOKUP($AQ209,Mapping!$E$208:$K$236,7,0),"ENDirect")</f>
        <v>ENDirect</v>
      </c>
      <c r="AX209" s="7" t="str">
        <f>IFERROR(HLOOKUP(AV209,'Calc|Weightings'!$U$5:$W$5,1,0),"Excl")</f>
        <v>Contracts</v>
      </c>
      <c r="AY209" s="7" t="str">
        <f>VLOOKUP(AO209,Mapping!$E$11:$I$204,5,0)</f>
        <v>SCS</v>
      </c>
    </row>
    <row r="210" spans="1:51" x14ac:dyDescent="0.3">
      <c r="A210" s="7"/>
      <c r="B210" s="7"/>
      <c r="C210" s="7"/>
      <c r="D210" s="7"/>
      <c r="E210" s="32" t="s">
        <v>162</v>
      </c>
      <c r="F210" s="32"/>
      <c r="G210" s="32">
        <v>71030</v>
      </c>
      <c r="H210" s="32" t="s">
        <v>464</v>
      </c>
      <c r="I210" s="33">
        <v>262.61900000000003</v>
      </c>
      <c r="J210" s="170"/>
      <c r="K210" s="7" t="str">
        <f>VLOOKUP($E210,Mapping!$E$11:$I$204,3,0)</f>
        <v>Replacement</v>
      </c>
      <c r="L210" s="7" t="str">
        <f>IFERROR(VLOOKUP($G210,Mapping!$E$208:$K$236,5,0),"Contracts")</f>
        <v>Contracts</v>
      </c>
      <c r="M210" s="7" t="str">
        <f>IFERROR(VLOOKUP($G210,Mapping!$E$208:$K$236,7,0),"ENDirect")</f>
        <v>ENDirect</v>
      </c>
      <c r="N210" s="7" t="str">
        <f>IFERROR(HLOOKUP(L210,'Calc|Weightings'!$U$5:$W$5,1,0),"Excl")</f>
        <v>Contracts</v>
      </c>
      <c r="O210" s="7" t="str">
        <f>VLOOKUP(E210,Mapping!$E$11:$I$204,5,0)</f>
        <v>SCS</v>
      </c>
      <c r="Q210" s="32" t="s">
        <v>97</v>
      </c>
      <c r="R210" s="32"/>
      <c r="S210" s="32">
        <v>71020</v>
      </c>
      <c r="T210" s="32" t="s">
        <v>459</v>
      </c>
      <c r="U210" s="33">
        <v>0.79700000000000004</v>
      </c>
      <c r="V210" s="7"/>
      <c r="W210" s="7" t="str">
        <f>VLOOKUP($Q210,Mapping!$E$11:$I$204,3,0)</f>
        <v>Connections</v>
      </c>
      <c r="X210" s="7" t="str">
        <f>IFERROR(VLOOKUP($S210,Mapping!$E$208:$K$236,5,0),"Contracts")</f>
        <v>Contracts</v>
      </c>
      <c r="Y210" s="7" t="str">
        <f>IFERROR(VLOOKUP($S210,Mapping!$E$208:$K$236,7,0),"ENDirect")</f>
        <v>ENDirect</v>
      </c>
      <c r="Z210" s="7" t="str">
        <f>IFERROR(HLOOKUP(X210,'Calc|Weightings'!$U$5:$W$5,1,0),"Excl")</f>
        <v>Contracts</v>
      </c>
      <c r="AA210" s="7" t="str">
        <f>VLOOKUP(Q210,Mapping!$E$11:$I$204,5,0)</f>
        <v>SCS</v>
      </c>
      <c r="AC210" s="35" t="s">
        <v>115</v>
      </c>
      <c r="AD210" s="35"/>
      <c r="AE210" s="35">
        <v>80000</v>
      </c>
      <c r="AF210" s="35" t="s">
        <v>453</v>
      </c>
      <c r="AG210" s="36">
        <v>67.028999999999996</v>
      </c>
      <c r="AI210" s="7" t="str">
        <f>VLOOKUP($AC210,Mapping!$E$11:$I$204,3,0)</f>
        <v>Connections</v>
      </c>
      <c r="AJ210" s="7" t="str">
        <f>IFERROR(VLOOKUP($AE210,Mapping!$E$208:$K$236,5,0),"Contracts")</f>
        <v>Overhead</v>
      </c>
      <c r="AK210" s="7" t="str">
        <f>IFERROR(VLOOKUP($AE210,Mapping!$E$208:$K$236,7,0),"ENDirect")</f>
        <v>OH</v>
      </c>
      <c r="AL210" s="7" t="str">
        <f>IFERROR(HLOOKUP(AJ210,'Calc|Weightings'!$U$5:$W$5,1,0),"Excl")</f>
        <v>Excl</v>
      </c>
      <c r="AM210" s="7" t="str">
        <f>VLOOKUP(AC210,Mapping!$E$11:$I$204,5,0)</f>
        <v>SCS</v>
      </c>
      <c r="AO210" s="35" t="s">
        <v>122</v>
      </c>
      <c r="AP210" s="35"/>
      <c r="AQ210" s="35">
        <v>80000</v>
      </c>
      <c r="AR210" s="35" t="s">
        <v>589</v>
      </c>
      <c r="AS210" s="121">
        <v>-153.33987999999999</v>
      </c>
      <c r="AU210" s="7" t="str">
        <f>VLOOKUP($AO210,Mapping!$E$11:$I$204,3,0)</f>
        <v>Augmentation</v>
      </c>
      <c r="AV210" s="7" t="str">
        <f>IFERROR(VLOOKUP($AQ210,Mapping!$E$208:$K$236,5,0),"Contracts")</f>
        <v>Overhead</v>
      </c>
      <c r="AW210" s="7" t="str">
        <f>IFERROR(VLOOKUP($AQ210,Mapping!$E$208:$K$236,7,0),"ENDirect")</f>
        <v>OH</v>
      </c>
      <c r="AX210" s="7" t="str">
        <f>IFERROR(HLOOKUP(AV210,'Calc|Weightings'!$U$5:$W$5,1,0),"Excl")</f>
        <v>Excl</v>
      </c>
      <c r="AY210" s="7" t="str">
        <f>VLOOKUP(AO210,Mapping!$E$11:$I$204,5,0)</f>
        <v>SCS</v>
      </c>
    </row>
    <row r="211" spans="1:51" x14ac:dyDescent="0.3">
      <c r="A211" s="7"/>
      <c r="B211" s="7"/>
      <c r="C211" s="7"/>
      <c r="D211" s="7"/>
      <c r="E211" s="32" t="s">
        <v>162</v>
      </c>
      <c r="F211" s="32"/>
      <c r="G211" s="32">
        <v>80000</v>
      </c>
      <c r="H211" s="32" t="s">
        <v>453</v>
      </c>
      <c r="I211" s="33">
        <v>365.06200000000001</v>
      </c>
      <c r="J211" s="170"/>
      <c r="K211" s="7" t="str">
        <f>VLOOKUP($E211,Mapping!$E$11:$I$204,3,0)</f>
        <v>Replacement</v>
      </c>
      <c r="L211" s="7" t="str">
        <f>IFERROR(VLOOKUP($G211,Mapping!$E$208:$K$236,5,0),"Contracts")</f>
        <v>Overhead</v>
      </c>
      <c r="M211" s="7" t="str">
        <f>IFERROR(VLOOKUP($G211,Mapping!$E$208:$K$236,7,0),"ENDirect")</f>
        <v>OH</v>
      </c>
      <c r="N211" s="7" t="str">
        <f>IFERROR(HLOOKUP(L211,'Calc|Weightings'!$U$5:$W$5,1,0),"Excl")</f>
        <v>Excl</v>
      </c>
      <c r="O211" s="7" t="str">
        <f>VLOOKUP(E211,Mapping!$E$11:$I$204,5,0)</f>
        <v>SCS</v>
      </c>
      <c r="Q211" s="32" t="s">
        <v>97</v>
      </c>
      <c r="R211" s="32"/>
      <c r="S211" s="32">
        <v>71030</v>
      </c>
      <c r="T211" s="32" t="s">
        <v>464</v>
      </c>
      <c r="U211" s="33">
        <v>827.24400000000003</v>
      </c>
      <c r="V211" s="7"/>
      <c r="W211" s="7" t="str">
        <f>VLOOKUP($Q211,Mapping!$E$11:$I$204,3,0)</f>
        <v>Connections</v>
      </c>
      <c r="X211" s="7" t="str">
        <f>IFERROR(VLOOKUP($S211,Mapping!$E$208:$K$236,5,0),"Contracts")</f>
        <v>Contracts</v>
      </c>
      <c r="Y211" s="7" t="str">
        <f>IFERROR(VLOOKUP($S211,Mapping!$E$208:$K$236,7,0),"ENDirect")</f>
        <v>ENDirect</v>
      </c>
      <c r="Z211" s="7" t="str">
        <f>IFERROR(HLOOKUP(X211,'Calc|Weightings'!$U$5:$W$5,1,0),"Excl")</f>
        <v>Contracts</v>
      </c>
      <c r="AA211" s="7" t="str">
        <f>VLOOKUP(Q211,Mapping!$E$11:$I$204,5,0)</f>
        <v>SCS</v>
      </c>
      <c r="AC211" s="35" t="s">
        <v>553</v>
      </c>
      <c r="AD211" s="35"/>
      <c r="AE211" s="35">
        <v>71000</v>
      </c>
      <c r="AF211" s="35" t="s">
        <v>457</v>
      </c>
      <c r="AG211" s="36">
        <v>401.58100000000002</v>
      </c>
      <c r="AI211" s="7" t="str">
        <f>VLOOKUP($AC211,Mapping!$E$11:$I$204,3,0)</f>
        <v>Connections</v>
      </c>
      <c r="AJ211" s="7" t="str">
        <f>IFERROR(VLOOKUP($AE211,Mapping!$E$208:$K$236,5,0),"Contracts")</f>
        <v>Labour</v>
      </c>
      <c r="AK211" s="7" t="str">
        <f>IFERROR(VLOOKUP($AE211,Mapping!$E$208:$K$236,7,0),"ENDirect")</f>
        <v>ENDirect</v>
      </c>
      <c r="AL211" s="7" t="str">
        <f>IFERROR(HLOOKUP(AJ211,'Calc|Weightings'!$U$5:$W$5,1,0),"Excl")</f>
        <v>Labour</v>
      </c>
      <c r="AM211" s="7" t="str">
        <f>VLOOKUP(AC211,Mapping!$E$11:$I$204,5,0)</f>
        <v>SCS</v>
      </c>
      <c r="AO211" s="35" t="s">
        <v>123</v>
      </c>
      <c r="AP211" s="35"/>
      <c r="AQ211" s="35">
        <v>70815</v>
      </c>
      <c r="AR211" s="35" t="s">
        <v>594</v>
      </c>
      <c r="AS211" s="121">
        <v>-177.53004999999982</v>
      </c>
      <c r="AU211" s="7" t="str">
        <f>VLOOKUP($AO211,Mapping!$E$11:$I$204,3,0)</f>
        <v>Augmentation</v>
      </c>
      <c r="AV211" s="7" t="str">
        <f>IFERROR(VLOOKUP($AQ211,Mapping!$E$208:$K$236,5,0),"Contracts")</f>
        <v>Materials</v>
      </c>
      <c r="AW211" s="7" t="str">
        <f>IFERROR(VLOOKUP($AQ211,Mapping!$E$208:$K$236,7,0),"ENDirect")</f>
        <v>ENDirect</v>
      </c>
      <c r="AX211" s="7" t="str">
        <f>IFERROR(HLOOKUP(AV211,'Calc|Weightings'!$U$5:$W$5,1,0),"Excl")</f>
        <v>Materials</v>
      </c>
      <c r="AY211" s="7" t="str">
        <f>VLOOKUP(AO211,Mapping!$E$11:$I$204,5,0)</f>
        <v>SCS</v>
      </c>
    </row>
    <row r="212" spans="1:51" x14ac:dyDescent="0.3">
      <c r="A212" s="7"/>
      <c r="B212" s="7"/>
      <c r="C212" s="7"/>
      <c r="D212" s="7"/>
      <c r="E212" s="32" t="s">
        <v>210</v>
      </c>
      <c r="F212" s="32"/>
      <c r="G212" s="32">
        <v>71045</v>
      </c>
      <c r="H212" s="32" t="s">
        <v>469</v>
      </c>
      <c r="I212" s="33">
        <v>607.97900000000004</v>
      </c>
      <c r="J212" s="170"/>
      <c r="K212" s="7" t="str">
        <f>VLOOKUP($E212,Mapping!$E$11:$I$204,3,0)</f>
        <v>Replacement</v>
      </c>
      <c r="L212" s="7" t="str">
        <f>IFERROR(VLOOKUP($G212,Mapping!$E$208:$K$236,5,0),"Contracts")</f>
        <v>Materials</v>
      </c>
      <c r="M212" s="7" t="str">
        <f>IFERROR(VLOOKUP($G212,Mapping!$E$208:$K$236,7,0),"ENDirect")</f>
        <v>ENDirect</v>
      </c>
      <c r="N212" s="7" t="str">
        <f>IFERROR(HLOOKUP(L212,'Calc|Weightings'!$U$5:$W$5,1,0),"Excl")</f>
        <v>Materials</v>
      </c>
      <c r="O212" s="7" t="str">
        <f>VLOOKUP(E212,Mapping!$E$11:$I$204,5,0)</f>
        <v>SCS</v>
      </c>
      <c r="Q212" s="32" t="s">
        <v>97</v>
      </c>
      <c r="R212" s="32"/>
      <c r="S212" s="32">
        <v>71055</v>
      </c>
      <c r="T212" s="32" t="s">
        <v>465</v>
      </c>
      <c r="U212" s="33">
        <v>1772.3409999999999</v>
      </c>
      <c r="V212" s="7"/>
      <c r="W212" s="7" t="str">
        <f>VLOOKUP($Q212,Mapping!$E$11:$I$204,3,0)</f>
        <v>Connections</v>
      </c>
      <c r="X212" s="7" t="str">
        <f>IFERROR(VLOOKUP($S212,Mapping!$E$208:$K$236,5,0),"Contracts")</f>
        <v>Contracts</v>
      </c>
      <c r="Y212" s="7" t="str">
        <f>IFERROR(VLOOKUP($S212,Mapping!$E$208:$K$236,7,0),"ENDirect")</f>
        <v>ENDirect</v>
      </c>
      <c r="Z212" s="7" t="str">
        <f>IFERROR(HLOOKUP(X212,'Calc|Weightings'!$U$5:$W$5,1,0),"Excl")</f>
        <v>Contracts</v>
      </c>
      <c r="AA212" s="7" t="str">
        <f>VLOOKUP(Q212,Mapping!$E$11:$I$204,5,0)</f>
        <v>SCS</v>
      </c>
      <c r="AC212" s="35" t="s">
        <v>553</v>
      </c>
      <c r="AD212" s="35"/>
      <c r="AE212" s="35">
        <v>71010</v>
      </c>
      <c r="AF212" s="35" t="s">
        <v>462</v>
      </c>
      <c r="AG212" s="36">
        <v>120.73099999999999</v>
      </c>
      <c r="AI212" s="7" t="str">
        <f>VLOOKUP($AC212,Mapping!$E$11:$I$204,3,0)</f>
        <v>Connections</v>
      </c>
      <c r="AJ212" s="7" t="str">
        <f>IFERROR(VLOOKUP($AE212,Mapping!$E$208:$K$236,5,0),"Contracts")</f>
        <v>Labour</v>
      </c>
      <c r="AK212" s="7" t="str">
        <f>IFERROR(VLOOKUP($AE212,Mapping!$E$208:$K$236,7,0),"ENDirect")</f>
        <v>ENDirect</v>
      </c>
      <c r="AL212" s="7" t="str">
        <f>IFERROR(HLOOKUP(AJ212,'Calc|Weightings'!$U$5:$W$5,1,0),"Excl")</f>
        <v>Labour</v>
      </c>
      <c r="AM212" s="7" t="str">
        <f>VLOOKUP(AC212,Mapping!$E$11:$I$204,5,0)</f>
        <v>SCS</v>
      </c>
      <c r="AO212" s="35" t="s">
        <v>123</v>
      </c>
      <c r="AP212" s="35"/>
      <c r="AQ212" s="35">
        <v>71000</v>
      </c>
      <c r="AR212" s="35" t="s">
        <v>457</v>
      </c>
      <c r="AS212" s="121">
        <v>-3.6830199999999982</v>
      </c>
      <c r="AU212" s="7" t="str">
        <f>VLOOKUP($AO212,Mapping!$E$11:$I$204,3,0)</f>
        <v>Augmentation</v>
      </c>
      <c r="AV212" s="7" t="str">
        <f>IFERROR(VLOOKUP($AQ212,Mapping!$E$208:$K$236,5,0),"Contracts")</f>
        <v>Labour</v>
      </c>
      <c r="AW212" s="7" t="str">
        <f>IFERROR(VLOOKUP($AQ212,Mapping!$E$208:$K$236,7,0),"ENDirect")</f>
        <v>ENDirect</v>
      </c>
      <c r="AX212" s="7" t="str">
        <f>IFERROR(HLOOKUP(AV212,'Calc|Weightings'!$U$5:$W$5,1,0),"Excl")</f>
        <v>Labour</v>
      </c>
      <c r="AY212" s="7" t="str">
        <f>VLOOKUP(AO212,Mapping!$E$11:$I$204,5,0)</f>
        <v>SCS</v>
      </c>
    </row>
    <row r="213" spans="1:51" x14ac:dyDescent="0.3">
      <c r="A213" s="7"/>
      <c r="B213" s="7"/>
      <c r="C213" s="7"/>
      <c r="D213" s="7"/>
      <c r="E213" s="32" t="s">
        <v>118</v>
      </c>
      <c r="F213" s="32"/>
      <c r="G213" s="32">
        <v>71030</v>
      </c>
      <c r="H213" s="32" t="s">
        <v>464</v>
      </c>
      <c r="I213" s="33">
        <v>33.436</v>
      </c>
      <c r="J213" s="170"/>
      <c r="K213" s="7" t="str">
        <f>VLOOKUP($E213,Mapping!$E$11:$I$204,3,0)</f>
        <v>Connections</v>
      </c>
      <c r="L213" s="7" t="str">
        <f>IFERROR(VLOOKUP($G213,Mapping!$E$208:$K$236,5,0),"Contracts")</f>
        <v>Contracts</v>
      </c>
      <c r="M213" s="7" t="str">
        <f>IFERROR(VLOOKUP($G213,Mapping!$E$208:$K$236,7,0),"ENDirect")</f>
        <v>ENDirect</v>
      </c>
      <c r="N213" s="7" t="str">
        <f>IFERROR(HLOOKUP(L213,'Calc|Weightings'!$U$5:$W$5,1,0),"Excl")</f>
        <v>Contracts</v>
      </c>
      <c r="O213" s="7" t="str">
        <f>VLOOKUP(E213,Mapping!$E$11:$I$204,5,0)</f>
        <v>SCS</v>
      </c>
      <c r="Q213" s="32" t="s">
        <v>97</v>
      </c>
      <c r="R213" s="32"/>
      <c r="S213" s="32">
        <v>80000</v>
      </c>
      <c r="T213" s="32" t="s">
        <v>453</v>
      </c>
      <c r="U213" s="33">
        <v>1610.587</v>
      </c>
      <c r="V213" s="7"/>
      <c r="W213" s="7" t="str">
        <f>VLOOKUP($Q213,Mapping!$E$11:$I$204,3,0)</f>
        <v>Connections</v>
      </c>
      <c r="X213" s="7" t="str">
        <f>IFERROR(VLOOKUP($S213,Mapping!$E$208:$K$236,5,0),"Contracts")</f>
        <v>Overhead</v>
      </c>
      <c r="Y213" s="7" t="str">
        <f>IFERROR(VLOOKUP($S213,Mapping!$E$208:$K$236,7,0),"ENDirect")</f>
        <v>OH</v>
      </c>
      <c r="Z213" s="7" t="str">
        <f>IFERROR(HLOOKUP(X213,'Calc|Weightings'!$U$5:$W$5,1,0),"Excl")</f>
        <v>Excl</v>
      </c>
      <c r="AA213" s="7" t="str">
        <f>VLOOKUP(Q213,Mapping!$E$11:$I$204,5,0)</f>
        <v>SCS</v>
      </c>
      <c r="AC213" s="35" t="s">
        <v>553</v>
      </c>
      <c r="AD213" s="35"/>
      <c r="AE213" s="35">
        <v>71015</v>
      </c>
      <c r="AF213" s="35" t="s">
        <v>463</v>
      </c>
      <c r="AG213" s="36">
        <v>49.104999999999997</v>
      </c>
      <c r="AI213" s="7" t="str">
        <f>VLOOKUP($AC213,Mapping!$E$11:$I$204,3,0)</f>
        <v>Connections</v>
      </c>
      <c r="AJ213" s="7" t="str">
        <f>IFERROR(VLOOKUP($AE213,Mapping!$E$208:$K$236,5,0),"Contracts")</f>
        <v>Materials</v>
      </c>
      <c r="AK213" s="7" t="str">
        <f>IFERROR(VLOOKUP($AE213,Mapping!$E$208:$K$236,7,0),"ENDirect")</f>
        <v>ENDirect</v>
      </c>
      <c r="AL213" s="7" t="str">
        <f>IFERROR(HLOOKUP(AJ213,'Calc|Weightings'!$U$5:$W$5,1,0),"Excl")</f>
        <v>Materials</v>
      </c>
      <c r="AM213" s="7" t="str">
        <f>VLOOKUP(AC213,Mapping!$E$11:$I$204,5,0)</f>
        <v>SCS</v>
      </c>
      <c r="AO213" s="35" t="s">
        <v>123</v>
      </c>
      <c r="AP213" s="35"/>
      <c r="AQ213" s="35">
        <v>71005</v>
      </c>
      <c r="AR213" s="35" t="s">
        <v>461</v>
      </c>
      <c r="AS213" s="121">
        <v>-3.3243499999999986</v>
      </c>
      <c r="AU213" s="7" t="str">
        <f>VLOOKUP($AO213,Mapping!$E$11:$I$204,3,0)</f>
        <v>Augmentation</v>
      </c>
      <c r="AV213" s="7" t="str">
        <f>IFERROR(VLOOKUP($AQ213,Mapping!$E$208:$K$236,5,0),"Contracts")</f>
        <v>Materials</v>
      </c>
      <c r="AW213" s="7" t="str">
        <f>IFERROR(VLOOKUP($AQ213,Mapping!$E$208:$K$236,7,0),"ENDirect")</f>
        <v>ENDirect</v>
      </c>
      <c r="AX213" s="7" t="str">
        <f>IFERROR(HLOOKUP(AV213,'Calc|Weightings'!$U$5:$W$5,1,0),"Excl")</f>
        <v>Materials</v>
      </c>
      <c r="AY213" s="7" t="str">
        <f>VLOOKUP(AO213,Mapping!$E$11:$I$204,5,0)</f>
        <v>SCS</v>
      </c>
    </row>
    <row r="214" spans="1:51" x14ac:dyDescent="0.3">
      <c r="A214" s="7"/>
      <c r="B214" s="7"/>
      <c r="C214" s="7"/>
      <c r="D214" s="7"/>
      <c r="E214" s="32" t="s">
        <v>118</v>
      </c>
      <c r="F214" s="32"/>
      <c r="G214" s="32">
        <v>71055</v>
      </c>
      <c r="H214" s="32" t="s">
        <v>465</v>
      </c>
      <c r="I214" s="33">
        <v>51.280999999999999</v>
      </c>
      <c r="J214" s="170"/>
      <c r="K214" s="7" t="str">
        <f>VLOOKUP($E214,Mapping!$E$11:$I$204,3,0)</f>
        <v>Connections</v>
      </c>
      <c r="L214" s="7" t="str">
        <f>IFERROR(VLOOKUP($G214,Mapping!$E$208:$K$236,5,0),"Contracts")</f>
        <v>Contracts</v>
      </c>
      <c r="M214" s="7" t="str">
        <f>IFERROR(VLOOKUP($G214,Mapping!$E$208:$K$236,7,0),"ENDirect")</f>
        <v>ENDirect</v>
      </c>
      <c r="N214" s="7" t="str">
        <f>IFERROR(HLOOKUP(L214,'Calc|Weightings'!$U$5:$W$5,1,0),"Excl")</f>
        <v>Contracts</v>
      </c>
      <c r="O214" s="7" t="str">
        <f>VLOOKUP(E214,Mapping!$E$11:$I$204,5,0)</f>
        <v>SCS</v>
      </c>
      <c r="Q214" s="32" t="s">
        <v>104</v>
      </c>
      <c r="R214" s="32"/>
      <c r="S214" s="32">
        <v>72345</v>
      </c>
      <c r="T214" s="32" t="s">
        <v>467</v>
      </c>
      <c r="U214" s="33">
        <v>2730.3890000000001</v>
      </c>
      <c r="V214" s="7"/>
      <c r="W214" s="7" t="str">
        <f>VLOOKUP($Q214,Mapping!$E$11:$I$204,3,0)</f>
        <v>Public Lighting</v>
      </c>
      <c r="X214" s="7" t="str">
        <f>IFERROR(VLOOKUP($S214,Mapping!$E$208:$K$236,5,0),"Contracts")</f>
        <v>Contracts</v>
      </c>
      <c r="Y214" s="7" t="str">
        <f>IFERROR(VLOOKUP($S214,Mapping!$E$208:$K$236,7,0),"ENDirect")</f>
        <v>ENDirect</v>
      </c>
      <c r="Z214" s="7" t="str">
        <f>IFERROR(HLOOKUP(X214,'Calc|Weightings'!$U$5:$W$5,1,0),"Excl")</f>
        <v>Contracts</v>
      </c>
      <c r="AA214" s="7" t="str">
        <f>VLOOKUP(Q214,Mapping!$E$11:$I$204,5,0)</f>
        <v>Public Lighting</v>
      </c>
      <c r="AC214" s="35" t="s">
        <v>553</v>
      </c>
      <c r="AD214" s="35"/>
      <c r="AE214" s="35">
        <v>71030</v>
      </c>
      <c r="AF214" s="35" t="s">
        <v>464</v>
      </c>
      <c r="AG214" s="36">
        <v>55.021999999999998</v>
      </c>
      <c r="AI214" s="7" t="str">
        <f>VLOOKUP($AC214,Mapping!$E$11:$I$204,3,0)</f>
        <v>Connections</v>
      </c>
      <c r="AJ214" s="7" t="str">
        <f>IFERROR(VLOOKUP($AE214,Mapping!$E$208:$K$236,5,0),"Contracts")</f>
        <v>Contracts</v>
      </c>
      <c r="AK214" s="7" t="str">
        <f>IFERROR(VLOOKUP($AE214,Mapping!$E$208:$K$236,7,0),"ENDirect")</f>
        <v>ENDirect</v>
      </c>
      <c r="AL214" s="7" t="str">
        <f>IFERROR(HLOOKUP(AJ214,'Calc|Weightings'!$U$5:$W$5,1,0),"Excl")</f>
        <v>Contracts</v>
      </c>
      <c r="AM214" s="7" t="str">
        <f>VLOOKUP(AC214,Mapping!$E$11:$I$204,5,0)</f>
        <v>SCS</v>
      </c>
      <c r="AO214" s="35" t="s">
        <v>123</v>
      </c>
      <c r="AP214" s="35"/>
      <c r="AQ214" s="35">
        <v>71006</v>
      </c>
      <c r="AR214" s="35" t="s">
        <v>468</v>
      </c>
      <c r="AS214" s="121">
        <v>531.53499999999997</v>
      </c>
      <c r="AU214" s="7" t="str">
        <f>VLOOKUP($AO214,Mapping!$E$11:$I$204,3,0)</f>
        <v>Augmentation</v>
      </c>
      <c r="AV214" s="7" t="str">
        <f>IFERROR(VLOOKUP($AQ214,Mapping!$E$208:$K$236,5,0),"Contracts")</f>
        <v>Materials</v>
      </c>
      <c r="AW214" s="7" t="str">
        <f>IFERROR(VLOOKUP($AQ214,Mapping!$E$208:$K$236,7,0),"ENDirect")</f>
        <v>ENDirect</v>
      </c>
      <c r="AX214" s="7" t="str">
        <f>IFERROR(HLOOKUP(AV214,'Calc|Weightings'!$U$5:$W$5,1,0),"Excl")</f>
        <v>Materials</v>
      </c>
      <c r="AY214" s="7" t="str">
        <f>VLOOKUP(AO214,Mapping!$E$11:$I$204,5,0)</f>
        <v>SCS</v>
      </c>
    </row>
    <row r="215" spans="1:51" x14ac:dyDescent="0.3">
      <c r="A215" s="7"/>
      <c r="B215" s="7"/>
      <c r="C215" s="7"/>
      <c r="D215" s="7"/>
      <c r="E215" s="32" t="s">
        <v>104</v>
      </c>
      <c r="F215" s="32"/>
      <c r="G215" s="32">
        <v>71005</v>
      </c>
      <c r="H215" s="32" t="s">
        <v>461</v>
      </c>
      <c r="I215" s="33">
        <v>34.799999999999997</v>
      </c>
      <c r="J215" s="170"/>
      <c r="K215" s="7" t="str">
        <f>VLOOKUP($E215,Mapping!$E$11:$I$204,3,0)</f>
        <v>Public Lighting</v>
      </c>
      <c r="L215" s="7" t="str">
        <f>IFERROR(VLOOKUP($G215,Mapping!$E$208:$K$236,5,0),"Contracts")</f>
        <v>Materials</v>
      </c>
      <c r="M215" s="7" t="str">
        <f>IFERROR(VLOOKUP($G215,Mapping!$E$208:$K$236,7,0),"ENDirect")</f>
        <v>ENDirect</v>
      </c>
      <c r="N215" s="7" t="str">
        <f>IFERROR(HLOOKUP(L215,'Calc|Weightings'!$U$5:$W$5,1,0),"Excl")</f>
        <v>Materials</v>
      </c>
      <c r="O215" s="7" t="str">
        <f>VLOOKUP(E215,Mapping!$E$11:$I$204,5,0)</f>
        <v>Public Lighting</v>
      </c>
      <c r="Q215" s="32" t="s">
        <v>550</v>
      </c>
      <c r="R215" s="32"/>
      <c r="S215" s="32">
        <v>71006</v>
      </c>
      <c r="T215" s="32" t="s">
        <v>468</v>
      </c>
      <c r="U215" s="33">
        <v>2797.0540000000001</v>
      </c>
      <c r="V215" s="7"/>
      <c r="W215" s="7" t="str">
        <f>VLOOKUP($Q215,Mapping!$E$11:$I$204,3,0)</f>
        <v>Connections</v>
      </c>
      <c r="X215" s="7" t="str">
        <f>IFERROR(VLOOKUP($S215,Mapping!$E$208:$K$236,5,0),"Contracts")</f>
        <v>Materials</v>
      </c>
      <c r="Y215" s="7" t="str">
        <f>IFERROR(VLOOKUP($S215,Mapping!$E$208:$K$236,7,0),"ENDirect")</f>
        <v>ENDirect</v>
      </c>
      <c r="Z215" s="7" t="str">
        <f>IFERROR(HLOOKUP(X215,'Calc|Weightings'!$U$5:$W$5,1,0),"Excl")</f>
        <v>Materials</v>
      </c>
      <c r="AA215" s="7" t="str">
        <f>VLOOKUP(Q215,Mapping!$E$11:$I$204,5,0)</f>
        <v>SCS</v>
      </c>
      <c r="AC215" s="35" t="s">
        <v>553</v>
      </c>
      <c r="AD215" s="35"/>
      <c r="AE215" s="35">
        <v>71055</v>
      </c>
      <c r="AF215" s="35" t="s">
        <v>465</v>
      </c>
      <c r="AG215" s="36">
        <v>99.552000000000007</v>
      </c>
      <c r="AI215" s="7" t="str">
        <f>VLOOKUP($AC215,Mapping!$E$11:$I$204,3,0)</f>
        <v>Connections</v>
      </c>
      <c r="AJ215" s="7" t="str">
        <f>IFERROR(VLOOKUP($AE215,Mapping!$E$208:$K$236,5,0),"Contracts")</f>
        <v>Contracts</v>
      </c>
      <c r="AK215" s="7" t="str">
        <f>IFERROR(VLOOKUP($AE215,Mapping!$E$208:$K$236,7,0),"ENDirect")</f>
        <v>ENDirect</v>
      </c>
      <c r="AL215" s="7" t="str">
        <f>IFERROR(HLOOKUP(AJ215,'Calc|Weightings'!$U$5:$W$5,1,0),"Excl")</f>
        <v>Contracts</v>
      </c>
      <c r="AM215" s="7" t="str">
        <f>VLOOKUP(AC215,Mapping!$E$11:$I$204,5,0)</f>
        <v>SCS</v>
      </c>
      <c r="AO215" s="35" t="s">
        <v>123</v>
      </c>
      <c r="AP215" s="35"/>
      <c r="AQ215" s="35">
        <v>71010</v>
      </c>
      <c r="AR215" s="35" t="s">
        <v>487</v>
      </c>
      <c r="AS215" s="121">
        <v>6.8683999999999994</v>
      </c>
      <c r="AU215" s="7" t="str">
        <f>VLOOKUP($AO215,Mapping!$E$11:$I$204,3,0)</f>
        <v>Augmentation</v>
      </c>
      <c r="AV215" s="7" t="str">
        <f>IFERROR(VLOOKUP($AQ215,Mapping!$E$208:$K$236,5,0),"Contracts")</f>
        <v>Labour</v>
      </c>
      <c r="AW215" s="7" t="str">
        <f>IFERROR(VLOOKUP($AQ215,Mapping!$E$208:$K$236,7,0),"ENDirect")</f>
        <v>ENDirect</v>
      </c>
      <c r="AX215" s="7" t="str">
        <f>IFERROR(HLOOKUP(AV215,'Calc|Weightings'!$U$5:$W$5,1,0),"Excl")</f>
        <v>Labour</v>
      </c>
      <c r="AY215" s="7" t="str">
        <f>VLOOKUP(AO215,Mapping!$E$11:$I$204,5,0)</f>
        <v>SCS</v>
      </c>
    </row>
    <row r="216" spans="1:51" x14ac:dyDescent="0.3">
      <c r="A216" s="7"/>
      <c r="B216" s="7"/>
      <c r="C216" s="7"/>
      <c r="D216" s="7"/>
      <c r="E216" s="32" t="s">
        <v>104</v>
      </c>
      <c r="F216" s="32"/>
      <c r="G216" s="32">
        <v>72345</v>
      </c>
      <c r="H216" s="32" t="s">
        <v>467</v>
      </c>
      <c r="I216" s="33">
        <v>3784.63</v>
      </c>
      <c r="J216" s="170"/>
      <c r="K216" s="7" t="str">
        <f>VLOOKUP($E216,Mapping!$E$11:$I$204,3,0)</f>
        <v>Public Lighting</v>
      </c>
      <c r="L216" s="7" t="str">
        <f>IFERROR(VLOOKUP($G216,Mapping!$E$208:$K$236,5,0),"Contracts")</f>
        <v>Contracts</v>
      </c>
      <c r="M216" s="7" t="str">
        <f>IFERROR(VLOOKUP($G216,Mapping!$E$208:$K$236,7,0),"ENDirect")</f>
        <v>ENDirect</v>
      </c>
      <c r="N216" s="7" t="str">
        <f>IFERROR(HLOOKUP(L216,'Calc|Weightings'!$U$5:$W$5,1,0),"Excl")</f>
        <v>Contracts</v>
      </c>
      <c r="O216" s="7" t="str">
        <f>VLOOKUP(E216,Mapping!$E$11:$I$204,5,0)</f>
        <v>Public Lighting</v>
      </c>
      <c r="Q216" s="32" t="s">
        <v>118</v>
      </c>
      <c r="R216" s="32"/>
      <c r="S216" s="32">
        <v>71000</v>
      </c>
      <c r="T216" s="32" t="s">
        <v>457</v>
      </c>
      <c r="U216" s="33">
        <v>178.916</v>
      </c>
      <c r="V216" s="7"/>
      <c r="W216" s="7" t="str">
        <f>VLOOKUP($Q216,Mapping!$E$11:$I$204,3,0)</f>
        <v>Connections</v>
      </c>
      <c r="X216" s="7" t="str">
        <f>IFERROR(VLOOKUP($S216,Mapping!$E$208:$K$236,5,0),"Contracts")</f>
        <v>Labour</v>
      </c>
      <c r="Y216" s="7" t="str">
        <f>IFERROR(VLOOKUP($S216,Mapping!$E$208:$K$236,7,0),"ENDirect")</f>
        <v>ENDirect</v>
      </c>
      <c r="Z216" s="7" t="str">
        <f>IFERROR(HLOOKUP(X216,'Calc|Weightings'!$U$5:$W$5,1,0),"Excl")</f>
        <v>Labour</v>
      </c>
      <c r="AA216" s="7" t="str">
        <f>VLOOKUP(Q216,Mapping!$E$11:$I$204,5,0)</f>
        <v>SCS</v>
      </c>
      <c r="AC216" s="35" t="s">
        <v>553</v>
      </c>
      <c r="AD216" s="35"/>
      <c r="AE216" s="35">
        <v>80000</v>
      </c>
      <c r="AF216" s="35" t="s">
        <v>453</v>
      </c>
      <c r="AG216" s="36">
        <v>130.197</v>
      </c>
      <c r="AI216" s="7" t="str">
        <f>VLOOKUP($AC216,Mapping!$E$11:$I$204,3,0)</f>
        <v>Connections</v>
      </c>
      <c r="AJ216" s="7" t="str">
        <f>IFERROR(VLOOKUP($AE216,Mapping!$E$208:$K$236,5,0),"Contracts")</f>
        <v>Overhead</v>
      </c>
      <c r="AK216" s="7" t="str">
        <f>IFERROR(VLOOKUP($AE216,Mapping!$E$208:$K$236,7,0),"ENDirect")</f>
        <v>OH</v>
      </c>
      <c r="AL216" s="7" t="str">
        <f>IFERROR(HLOOKUP(AJ216,'Calc|Weightings'!$U$5:$W$5,1,0),"Excl")</f>
        <v>Excl</v>
      </c>
      <c r="AM216" s="7" t="str">
        <f>VLOOKUP(AC216,Mapping!$E$11:$I$204,5,0)</f>
        <v>SCS</v>
      </c>
      <c r="AO216" s="35" t="s">
        <v>123</v>
      </c>
      <c r="AP216" s="35"/>
      <c r="AQ216" s="35">
        <v>71015</v>
      </c>
      <c r="AR216" s="35" t="s">
        <v>585</v>
      </c>
      <c r="AS216" s="121">
        <v>0.17228000000000021</v>
      </c>
      <c r="AU216" s="7" t="str">
        <f>VLOOKUP($AO216,Mapping!$E$11:$I$204,3,0)</f>
        <v>Augmentation</v>
      </c>
      <c r="AV216" s="7" t="str">
        <f>IFERROR(VLOOKUP($AQ216,Mapping!$E$208:$K$236,5,0),"Contracts")</f>
        <v>Materials</v>
      </c>
      <c r="AW216" s="7" t="str">
        <f>IFERROR(VLOOKUP($AQ216,Mapping!$E$208:$K$236,7,0),"ENDirect")</f>
        <v>ENDirect</v>
      </c>
      <c r="AX216" s="7" t="str">
        <f>IFERROR(HLOOKUP(AV216,'Calc|Weightings'!$U$5:$W$5,1,0),"Excl")</f>
        <v>Materials</v>
      </c>
      <c r="AY216" s="7" t="str">
        <f>VLOOKUP(AO216,Mapping!$E$11:$I$204,5,0)</f>
        <v>SCS</v>
      </c>
    </row>
    <row r="217" spans="1:51" x14ac:dyDescent="0.3">
      <c r="A217" s="7"/>
      <c r="B217" s="7"/>
      <c r="C217" s="7"/>
      <c r="D217" s="7"/>
      <c r="E217" s="32" t="s">
        <v>104</v>
      </c>
      <c r="F217" s="32"/>
      <c r="G217" s="32">
        <v>71020</v>
      </c>
      <c r="H217" s="32" t="s">
        <v>459</v>
      </c>
      <c r="I217" s="33">
        <v>-10.715999999999999</v>
      </c>
      <c r="J217" s="170"/>
      <c r="K217" s="7" t="str">
        <f>VLOOKUP($E217,Mapping!$E$11:$I$204,3,0)</f>
        <v>Public Lighting</v>
      </c>
      <c r="L217" s="7" t="str">
        <f>IFERROR(VLOOKUP($G217,Mapping!$E$208:$K$236,5,0),"Contracts")</f>
        <v>Contracts</v>
      </c>
      <c r="M217" s="7" t="str">
        <f>IFERROR(VLOOKUP($G217,Mapping!$E$208:$K$236,7,0),"ENDirect")</f>
        <v>ENDirect</v>
      </c>
      <c r="N217" s="7" t="str">
        <f>IFERROR(HLOOKUP(L217,'Calc|Weightings'!$U$5:$W$5,1,0),"Excl")</f>
        <v>Contracts</v>
      </c>
      <c r="O217" s="7" t="str">
        <f>VLOOKUP(E217,Mapping!$E$11:$I$204,5,0)</f>
        <v>Public Lighting</v>
      </c>
      <c r="Q217" s="32" t="s">
        <v>118</v>
      </c>
      <c r="R217" s="32"/>
      <c r="S217" s="32">
        <v>71010</v>
      </c>
      <c r="T217" s="32" t="s">
        <v>462</v>
      </c>
      <c r="U217" s="33">
        <v>48.76</v>
      </c>
      <c r="V217" s="7"/>
      <c r="W217" s="7" t="str">
        <f>VLOOKUP($Q217,Mapping!$E$11:$I$204,3,0)</f>
        <v>Connections</v>
      </c>
      <c r="X217" s="7" t="str">
        <f>IFERROR(VLOOKUP($S217,Mapping!$E$208:$K$236,5,0),"Contracts")</f>
        <v>Labour</v>
      </c>
      <c r="Y217" s="7" t="str">
        <f>IFERROR(VLOOKUP($S217,Mapping!$E$208:$K$236,7,0),"ENDirect")</f>
        <v>ENDirect</v>
      </c>
      <c r="Z217" s="7" t="str">
        <f>IFERROR(HLOOKUP(X217,'Calc|Weightings'!$U$5:$W$5,1,0),"Excl")</f>
        <v>Labour</v>
      </c>
      <c r="AA217" s="7" t="str">
        <f>VLOOKUP(Q217,Mapping!$E$11:$I$204,5,0)</f>
        <v>SCS</v>
      </c>
      <c r="AC217" s="35" t="s">
        <v>546</v>
      </c>
      <c r="AD217" s="35"/>
      <c r="AE217" s="35">
        <v>71015</v>
      </c>
      <c r="AF217" s="35" t="s">
        <v>463</v>
      </c>
      <c r="AG217" s="36">
        <v>78.945999999999998</v>
      </c>
      <c r="AI217" s="7" t="str">
        <f>VLOOKUP($AC217,Mapping!$E$11:$I$204,3,0)</f>
        <v>Connections</v>
      </c>
      <c r="AJ217" s="7" t="str">
        <f>IFERROR(VLOOKUP($AE217,Mapping!$E$208:$K$236,5,0),"Contracts")</f>
        <v>Materials</v>
      </c>
      <c r="AK217" s="7" t="str">
        <f>IFERROR(VLOOKUP($AE217,Mapping!$E$208:$K$236,7,0),"ENDirect")</f>
        <v>ENDirect</v>
      </c>
      <c r="AL217" s="7" t="str">
        <f>IFERROR(HLOOKUP(AJ217,'Calc|Weightings'!$U$5:$W$5,1,0),"Excl")</f>
        <v>Materials</v>
      </c>
      <c r="AM217" s="7" t="str">
        <f>VLOOKUP(AC217,Mapping!$E$11:$I$204,5,0)</f>
        <v>SCS</v>
      </c>
      <c r="AO217" s="35" t="s">
        <v>123</v>
      </c>
      <c r="AP217" s="35"/>
      <c r="AQ217" s="35">
        <v>71030</v>
      </c>
      <c r="AR217" s="35" t="s">
        <v>464</v>
      </c>
      <c r="AS217" s="121">
        <v>-0.21244999999999969</v>
      </c>
      <c r="AU217" s="7" t="str">
        <f>VLOOKUP($AO217,Mapping!$E$11:$I$204,3,0)</f>
        <v>Augmentation</v>
      </c>
      <c r="AV217" s="7" t="str">
        <f>IFERROR(VLOOKUP($AQ217,Mapping!$E$208:$K$236,5,0),"Contracts")</f>
        <v>Contracts</v>
      </c>
      <c r="AW217" s="7" t="str">
        <f>IFERROR(VLOOKUP($AQ217,Mapping!$E$208:$K$236,7,0),"ENDirect")</f>
        <v>ENDirect</v>
      </c>
      <c r="AX217" s="7" t="str">
        <f>IFERROR(HLOOKUP(AV217,'Calc|Weightings'!$U$5:$W$5,1,0),"Excl")</f>
        <v>Contracts</v>
      </c>
      <c r="AY217" s="7" t="str">
        <f>VLOOKUP(AO217,Mapping!$E$11:$I$204,5,0)</f>
        <v>SCS</v>
      </c>
    </row>
    <row r="218" spans="1:51" x14ac:dyDescent="0.3">
      <c r="A218" s="7"/>
      <c r="B218" s="7"/>
      <c r="C218" s="7"/>
      <c r="D218" s="7"/>
      <c r="E218" s="32" t="s">
        <v>122</v>
      </c>
      <c r="F218" s="32"/>
      <c r="G218" s="32">
        <v>71006</v>
      </c>
      <c r="H218" s="32" t="s">
        <v>468</v>
      </c>
      <c r="I218" s="33">
        <v>4.6760000000000002</v>
      </c>
      <c r="J218" s="170"/>
      <c r="K218" s="7" t="str">
        <f>VLOOKUP($E218,Mapping!$E$11:$I$204,3,0)</f>
        <v>Augmentation</v>
      </c>
      <c r="L218" s="7" t="str">
        <f>IFERROR(VLOOKUP($G218,Mapping!$E$208:$K$236,5,0),"Contracts")</f>
        <v>Materials</v>
      </c>
      <c r="M218" s="7" t="str">
        <f>IFERROR(VLOOKUP($G218,Mapping!$E$208:$K$236,7,0),"ENDirect")</f>
        <v>ENDirect</v>
      </c>
      <c r="N218" s="7" t="str">
        <f>IFERROR(HLOOKUP(L218,'Calc|Weightings'!$U$5:$W$5,1,0),"Excl")</f>
        <v>Materials</v>
      </c>
      <c r="O218" s="7" t="str">
        <f>VLOOKUP(E218,Mapping!$E$11:$I$204,5,0)</f>
        <v>SCS</v>
      </c>
      <c r="Q218" s="32" t="s">
        <v>118</v>
      </c>
      <c r="R218" s="32"/>
      <c r="S218" s="32">
        <v>71015</v>
      </c>
      <c r="T218" s="32" t="s">
        <v>463</v>
      </c>
      <c r="U218" s="33">
        <v>41.103000000000002</v>
      </c>
      <c r="V218" s="7"/>
      <c r="W218" s="7" t="str">
        <f>VLOOKUP($Q218,Mapping!$E$11:$I$204,3,0)</f>
        <v>Connections</v>
      </c>
      <c r="X218" s="7" t="str">
        <f>IFERROR(VLOOKUP($S218,Mapping!$E$208:$K$236,5,0),"Contracts")</f>
        <v>Materials</v>
      </c>
      <c r="Y218" s="7" t="str">
        <f>IFERROR(VLOOKUP($S218,Mapping!$E$208:$K$236,7,0),"ENDirect")</f>
        <v>ENDirect</v>
      </c>
      <c r="Z218" s="7" t="str">
        <f>IFERROR(HLOOKUP(X218,'Calc|Weightings'!$U$5:$W$5,1,0),"Excl")</f>
        <v>Materials</v>
      </c>
      <c r="AA218" s="7" t="str">
        <f>VLOOKUP(Q218,Mapping!$E$11:$I$204,5,0)</f>
        <v>SCS</v>
      </c>
      <c r="AC218" s="35" t="s">
        <v>552</v>
      </c>
      <c r="AD218" s="35"/>
      <c r="AE218" s="35">
        <v>71020</v>
      </c>
      <c r="AF218" s="35" t="s">
        <v>459</v>
      </c>
      <c r="AG218" s="36">
        <v>1.95</v>
      </c>
      <c r="AI218" s="7" t="str">
        <f>VLOOKUP($AC218,Mapping!$E$11:$I$204,3,0)</f>
        <v>Connections</v>
      </c>
      <c r="AJ218" s="7" t="str">
        <f>IFERROR(VLOOKUP($AE218,Mapping!$E$208:$K$236,5,0),"Contracts")</f>
        <v>Contracts</v>
      </c>
      <c r="AK218" s="7" t="str">
        <f>IFERROR(VLOOKUP($AE218,Mapping!$E$208:$K$236,7,0),"ENDirect")</f>
        <v>ENDirect</v>
      </c>
      <c r="AL218" s="7" t="str">
        <f>IFERROR(HLOOKUP(AJ218,'Calc|Weightings'!$U$5:$W$5,1,0),"Excl")</f>
        <v>Contracts</v>
      </c>
      <c r="AM218" s="7" t="str">
        <f>VLOOKUP(AC218,Mapping!$E$11:$I$204,5,0)</f>
        <v>SCS</v>
      </c>
      <c r="AO218" s="35" t="s">
        <v>123</v>
      </c>
      <c r="AP218" s="35"/>
      <c r="AQ218" s="35">
        <v>71055</v>
      </c>
      <c r="AR218" s="35" t="s">
        <v>465</v>
      </c>
      <c r="AS218" s="121">
        <v>-3.0691100000000016</v>
      </c>
      <c r="AU218" s="7" t="str">
        <f>VLOOKUP($AO218,Mapping!$E$11:$I$204,3,0)</f>
        <v>Augmentation</v>
      </c>
      <c r="AV218" s="7" t="str">
        <f>IFERROR(VLOOKUP($AQ218,Mapping!$E$208:$K$236,5,0),"Contracts")</f>
        <v>Contracts</v>
      </c>
      <c r="AW218" s="7" t="str">
        <f>IFERROR(VLOOKUP($AQ218,Mapping!$E$208:$K$236,7,0),"ENDirect")</f>
        <v>ENDirect</v>
      </c>
      <c r="AX218" s="7" t="str">
        <f>IFERROR(HLOOKUP(AV218,'Calc|Weightings'!$U$5:$W$5,1,0),"Excl")</f>
        <v>Contracts</v>
      </c>
      <c r="AY218" s="7" t="str">
        <f>VLOOKUP(AO218,Mapping!$E$11:$I$204,5,0)</f>
        <v>SCS</v>
      </c>
    </row>
    <row r="219" spans="1:51" x14ac:dyDescent="0.3">
      <c r="A219" s="7"/>
      <c r="B219" s="7"/>
      <c r="C219" s="7"/>
      <c r="D219" s="7"/>
      <c r="E219" s="32" t="s">
        <v>546</v>
      </c>
      <c r="F219" s="32"/>
      <c r="G219" s="32">
        <v>71005</v>
      </c>
      <c r="H219" s="32" t="s">
        <v>461</v>
      </c>
      <c r="I219" s="33">
        <v>138.631</v>
      </c>
      <c r="J219" s="170"/>
      <c r="K219" s="7" t="str">
        <f>VLOOKUP($E219,Mapping!$E$11:$I$204,3,0)</f>
        <v>Connections</v>
      </c>
      <c r="L219" s="7" t="str">
        <f>IFERROR(VLOOKUP($G219,Mapping!$E$208:$K$236,5,0),"Contracts")</f>
        <v>Materials</v>
      </c>
      <c r="M219" s="7" t="str">
        <f>IFERROR(VLOOKUP($G219,Mapping!$E$208:$K$236,7,0),"ENDirect")</f>
        <v>ENDirect</v>
      </c>
      <c r="N219" s="7" t="str">
        <f>IFERROR(HLOOKUP(L219,'Calc|Weightings'!$U$5:$W$5,1,0),"Excl")</f>
        <v>Materials</v>
      </c>
      <c r="O219" s="7" t="str">
        <f>VLOOKUP(E219,Mapping!$E$11:$I$204,5,0)</f>
        <v>SCS</v>
      </c>
      <c r="Q219" s="32" t="s">
        <v>118</v>
      </c>
      <c r="R219" s="32"/>
      <c r="S219" s="32">
        <v>71020</v>
      </c>
      <c r="T219" s="32" t="s">
        <v>459</v>
      </c>
      <c r="U219" s="33">
        <v>-1E-3</v>
      </c>
      <c r="V219" s="7"/>
      <c r="W219" s="7" t="str">
        <f>VLOOKUP($Q219,Mapping!$E$11:$I$204,3,0)</f>
        <v>Connections</v>
      </c>
      <c r="X219" s="7" t="str">
        <f>IFERROR(VLOOKUP($S219,Mapping!$E$208:$K$236,5,0),"Contracts")</f>
        <v>Contracts</v>
      </c>
      <c r="Y219" s="7" t="str">
        <f>IFERROR(VLOOKUP($S219,Mapping!$E$208:$K$236,7,0),"ENDirect")</f>
        <v>ENDirect</v>
      </c>
      <c r="Z219" s="7" t="str">
        <f>IFERROR(HLOOKUP(X219,'Calc|Weightings'!$U$5:$W$5,1,0),"Excl")</f>
        <v>Contracts</v>
      </c>
      <c r="AA219" s="7" t="str">
        <f>VLOOKUP(Q219,Mapping!$E$11:$I$204,5,0)</f>
        <v>SCS</v>
      </c>
      <c r="AC219" s="35" t="s">
        <v>528</v>
      </c>
      <c r="AD219" s="35"/>
      <c r="AE219" s="35">
        <v>71005</v>
      </c>
      <c r="AF219" s="35" t="s">
        <v>461</v>
      </c>
      <c r="AG219" s="36">
        <v>48.447000000000003</v>
      </c>
      <c r="AI219" s="7" t="str">
        <f>VLOOKUP($AC219,Mapping!$E$11:$I$204,3,0)</f>
        <v>Connections</v>
      </c>
      <c r="AJ219" s="7" t="str">
        <f>IFERROR(VLOOKUP($AE219,Mapping!$E$208:$K$236,5,0),"Contracts")</f>
        <v>Materials</v>
      </c>
      <c r="AK219" s="7" t="str">
        <f>IFERROR(VLOOKUP($AE219,Mapping!$E$208:$K$236,7,0),"ENDirect")</f>
        <v>ENDirect</v>
      </c>
      <c r="AL219" s="7" t="str">
        <f>IFERROR(HLOOKUP(AJ219,'Calc|Weightings'!$U$5:$W$5,1,0),"Excl")</f>
        <v>Materials</v>
      </c>
      <c r="AM219" s="7" t="str">
        <f>VLOOKUP(AC219,Mapping!$E$11:$I$204,5,0)</f>
        <v>SCS</v>
      </c>
      <c r="AO219" s="35" t="s">
        <v>123</v>
      </c>
      <c r="AP219" s="35"/>
      <c r="AQ219" s="35">
        <v>71070</v>
      </c>
      <c r="AR219" s="35" t="s">
        <v>586</v>
      </c>
      <c r="AS219" s="121">
        <v>5.9985600000000012</v>
      </c>
      <c r="AU219" s="7" t="str">
        <f>VLOOKUP($AO219,Mapping!$E$11:$I$204,3,0)</f>
        <v>Augmentation</v>
      </c>
      <c r="AV219" s="7" t="str">
        <f>IFERROR(VLOOKUP($AQ219,Mapping!$E$208:$K$236,5,0),"Contracts")</f>
        <v>Contracts</v>
      </c>
      <c r="AW219" s="7" t="str">
        <f>IFERROR(VLOOKUP($AQ219,Mapping!$E$208:$K$236,7,0),"ENDirect")</f>
        <v>ENDirect</v>
      </c>
      <c r="AX219" s="7" t="str">
        <f>IFERROR(HLOOKUP(AV219,'Calc|Weightings'!$U$5:$W$5,1,0),"Excl")</f>
        <v>Contracts</v>
      </c>
      <c r="AY219" s="7" t="str">
        <f>VLOOKUP(AO219,Mapping!$E$11:$I$204,5,0)</f>
        <v>SCS</v>
      </c>
    </row>
    <row r="220" spans="1:51" x14ac:dyDescent="0.3">
      <c r="A220" s="7"/>
      <c r="B220" s="7"/>
      <c r="C220" s="7"/>
      <c r="D220" s="7"/>
      <c r="E220" s="32" t="s">
        <v>546</v>
      </c>
      <c r="F220" s="32"/>
      <c r="G220" s="32">
        <v>71040</v>
      </c>
      <c r="H220" s="32" t="s">
        <v>460</v>
      </c>
      <c r="I220" s="33">
        <v>0.156</v>
      </c>
      <c r="J220" s="170"/>
      <c r="K220" s="7" t="str">
        <f>VLOOKUP($E220,Mapping!$E$11:$I$204,3,0)</f>
        <v>Connections</v>
      </c>
      <c r="L220" s="7" t="str">
        <f>IFERROR(VLOOKUP($G220,Mapping!$E$208:$K$236,5,0),"Contracts")</f>
        <v>Contracts</v>
      </c>
      <c r="M220" s="7" t="str">
        <f>IFERROR(VLOOKUP($G220,Mapping!$E$208:$K$236,7,0),"ENDirect")</f>
        <v>ENDirect</v>
      </c>
      <c r="N220" s="7" t="str">
        <f>IFERROR(HLOOKUP(L220,'Calc|Weightings'!$U$5:$W$5,1,0),"Excl")</f>
        <v>Contracts</v>
      </c>
      <c r="O220" s="7" t="str">
        <f>VLOOKUP(E220,Mapping!$E$11:$I$204,5,0)</f>
        <v>SCS</v>
      </c>
      <c r="Q220" s="32" t="s">
        <v>118</v>
      </c>
      <c r="R220" s="32"/>
      <c r="S220" s="32">
        <v>71030</v>
      </c>
      <c r="T220" s="32" t="s">
        <v>464</v>
      </c>
      <c r="U220" s="33">
        <v>33.445999999999998</v>
      </c>
      <c r="V220" s="7"/>
      <c r="W220" s="7" t="str">
        <f>VLOOKUP($Q220,Mapping!$E$11:$I$204,3,0)</f>
        <v>Connections</v>
      </c>
      <c r="X220" s="7" t="str">
        <f>IFERROR(VLOOKUP($S220,Mapping!$E$208:$K$236,5,0),"Contracts")</f>
        <v>Contracts</v>
      </c>
      <c r="Y220" s="7" t="str">
        <f>IFERROR(VLOOKUP($S220,Mapping!$E$208:$K$236,7,0),"ENDirect")</f>
        <v>ENDirect</v>
      </c>
      <c r="Z220" s="7" t="str">
        <f>IFERROR(HLOOKUP(X220,'Calc|Weightings'!$U$5:$W$5,1,0),"Excl")</f>
        <v>Contracts</v>
      </c>
      <c r="AA220" s="7" t="str">
        <f>VLOOKUP(Q220,Mapping!$E$11:$I$204,5,0)</f>
        <v>SCS</v>
      </c>
      <c r="AC220" s="35" t="s">
        <v>528</v>
      </c>
      <c r="AD220" s="35"/>
      <c r="AE220" s="35">
        <v>71010</v>
      </c>
      <c r="AF220" s="35" t="s">
        <v>462</v>
      </c>
      <c r="AG220" s="36">
        <v>243.095</v>
      </c>
      <c r="AI220" s="7" t="str">
        <f>VLOOKUP($AC220,Mapping!$E$11:$I$204,3,0)</f>
        <v>Connections</v>
      </c>
      <c r="AJ220" s="7" t="str">
        <f>IFERROR(VLOOKUP($AE220,Mapping!$E$208:$K$236,5,0),"Contracts")</f>
        <v>Labour</v>
      </c>
      <c r="AK220" s="7" t="str">
        <f>IFERROR(VLOOKUP($AE220,Mapping!$E$208:$K$236,7,0),"ENDirect")</f>
        <v>ENDirect</v>
      </c>
      <c r="AL220" s="7" t="str">
        <f>IFERROR(HLOOKUP(AJ220,'Calc|Weightings'!$U$5:$W$5,1,0),"Excl")</f>
        <v>Labour</v>
      </c>
      <c r="AM220" s="7" t="str">
        <f>VLOOKUP(AC220,Mapping!$E$11:$I$204,5,0)</f>
        <v>SCS</v>
      </c>
      <c r="AO220" s="35" t="s">
        <v>123</v>
      </c>
      <c r="AP220" s="35"/>
      <c r="AQ220" s="35">
        <v>71075</v>
      </c>
      <c r="AR220" s="35" t="s">
        <v>587</v>
      </c>
      <c r="AS220" s="121">
        <v>43.648159999999997</v>
      </c>
      <c r="AU220" s="7" t="str">
        <f>VLOOKUP($AO220,Mapping!$E$11:$I$204,3,0)</f>
        <v>Augmentation</v>
      </c>
      <c r="AV220" s="7" t="str">
        <f>IFERROR(VLOOKUP($AQ220,Mapping!$E$208:$K$236,5,0),"Contracts")</f>
        <v>Contracts</v>
      </c>
      <c r="AW220" s="7" t="str">
        <f>IFERROR(VLOOKUP($AQ220,Mapping!$E$208:$K$236,7,0),"ENDirect")</f>
        <v>ENDirect</v>
      </c>
      <c r="AX220" s="7" t="str">
        <f>IFERROR(HLOOKUP(AV220,'Calc|Weightings'!$U$5:$W$5,1,0),"Excl")</f>
        <v>Contracts</v>
      </c>
      <c r="AY220" s="7" t="str">
        <f>VLOOKUP(AO220,Mapping!$E$11:$I$204,5,0)</f>
        <v>SCS</v>
      </c>
    </row>
    <row r="221" spans="1:51" x14ac:dyDescent="0.3">
      <c r="A221" s="7"/>
      <c r="B221" s="7"/>
      <c r="C221" s="7"/>
      <c r="D221" s="7"/>
      <c r="E221" s="32" t="s">
        <v>548</v>
      </c>
      <c r="F221" s="32"/>
      <c r="G221" s="32">
        <v>71040</v>
      </c>
      <c r="H221" s="32" t="s">
        <v>460</v>
      </c>
      <c r="I221" s="33">
        <v>2E-3</v>
      </c>
      <c r="J221" s="170"/>
      <c r="K221" s="7" t="str">
        <f>VLOOKUP($E221,Mapping!$E$11:$I$204,3,0)</f>
        <v>Connections</v>
      </c>
      <c r="L221" s="7" t="str">
        <f>IFERROR(VLOOKUP($G221,Mapping!$E$208:$K$236,5,0),"Contracts")</f>
        <v>Contracts</v>
      </c>
      <c r="M221" s="7" t="str">
        <f>IFERROR(VLOOKUP($G221,Mapping!$E$208:$K$236,7,0),"ENDirect")</f>
        <v>ENDirect</v>
      </c>
      <c r="N221" s="7" t="str">
        <f>IFERROR(HLOOKUP(L221,'Calc|Weightings'!$U$5:$W$5,1,0),"Excl")</f>
        <v>Contracts</v>
      </c>
      <c r="O221" s="7" t="str">
        <f>VLOOKUP(E221,Mapping!$E$11:$I$204,5,0)</f>
        <v>SCS</v>
      </c>
      <c r="Q221" s="32" t="s">
        <v>118</v>
      </c>
      <c r="R221" s="32"/>
      <c r="S221" s="32">
        <v>71040</v>
      </c>
      <c r="T221" s="32" t="s">
        <v>460</v>
      </c>
      <c r="U221" s="33">
        <v>6.0000000000000001E-3</v>
      </c>
      <c r="V221" s="7"/>
      <c r="W221" s="7" t="str">
        <f>VLOOKUP($Q221,Mapping!$E$11:$I$204,3,0)</f>
        <v>Connections</v>
      </c>
      <c r="X221" s="7" t="str">
        <f>IFERROR(VLOOKUP($S221,Mapping!$E$208:$K$236,5,0),"Contracts")</f>
        <v>Contracts</v>
      </c>
      <c r="Y221" s="7" t="str">
        <f>IFERROR(VLOOKUP($S221,Mapping!$E$208:$K$236,7,0),"ENDirect")</f>
        <v>ENDirect</v>
      </c>
      <c r="Z221" s="7" t="str">
        <f>IFERROR(HLOOKUP(X221,'Calc|Weightings'!$U$5:$W$5,1,0),"Excl")</f>
        <v>Contracts</v>
      </c>
      <c r="AA221" s="7" t="str">
        <f>VLOOKUP(Q221,Mapping!$E$11:$I$204,5,0)</f>
        <v>SCS</v>
      </c>
      <c r="AC221" s="35" t="s">
        <v>548</v>
      </c>
      <c r="AD221" s="35"/>
      <c r="AE221" s="35">
        <v>71005</v>
      </c>
      <c r="AF221" s="35" t="s">
        <v>461</v>
      </c>
      <c r="AG221" s="36">
        <v>29.856000000000002</v>
      </c>
      <c r="AI221" s="7" t="str">
        <f>VLOOKUP($AC221,Mapping!$E$11:$I$204,3,0)</f>
        <v>Connections</v>
      </c>
      <c r="AJ221" s="7" t="str">
        <f>IFERROR(VLOOKUP($AE221,Mapping!$E$208:$K$236,5,0),"Contracts")</f>
        <v>Materials</v>
      </c>
      <c r="AK221" s="7" t="str">
        <f>IFERROR(VLOOKUP($AE221,Mapping!$E$208:$K$236,7,0),"ENDirect")</f>
        <v>ENDirect</v>
      </c>
      <c r="AL221" s="7" t="str">
        <f>IFERROR(HLOOKUP(AJ221,'Calc|Weightings'!$U$5:$W$5,1,0),"Excl")</f>
        <v>Materials</v>
      </c>
      <c r="AM221" s="7" t="str">
        <f>VLOOKUP(AC221,Mapping!$E$11:$I$204,5,0)</f>
        <v>SCS</v>
      </c>
      <c r="AO221" s="35" t="s">
        <v>123</v>
      </c>
      <c r="AP221" s="35"/>
      <c r="AQ221" s="35">
        <v>80000</v>
      </c>
      <c r="AR221" s="35" t="s">
        <v>589</v>
      </c>
      <c r="AS221" s="121">
        <v>156.22393</v>
      </c>
      <c r="AU221" s="7" t="str">
        <f>VLOOKUP($AO221,Mapping!$E$11:$I$204,3,0)</f>
        <v>Augmentation</v>
      </c>
      <c r="AV221" s="7" t="str">
        <f>IFERROR(VLOOKUP($AQ221,Mapping!$E$208:$K$236,5,0),"Contracts")</f>
        <v>Overhead</v>
      </c>
      <c r="AW221" s="7" t="str">
        <f>IFERROR(VLOOKUP($AQ221,Mapping!$E$208:$K$236,7,0),"ENDirect")</f>
        <v>OH</v>
      </c>
      <c r="AX221" s="7" t="str">
        <f>IFERROR(HLOOKUP(AV221,'Calc|Weightings'!$U$5:$W$5,1,0),"Excl")</f>
        <v>Excl</v>
      </c>
      <c r="AY221" s="7" t="str">
        <f>VLOOKUP(AO221,Mapping!$E$11:$I$204,5,0)</f>
        <v>SCS</v>
      </c>
    </row>
    <row r="222" spans="1:51" x14ac:dyDescent="0.3">
      <c r="A222" s="7"/>
      <c r="B222" s="7"/>
      <c r="C222" s="7"/>
      <c r="D222" s="7"/>
      <c r="E222" s="32" t="s">
        <v>104</v>
      </c>
      <c r="F222" s="32"/>
      <c r="G222" s="32">
        <v>71035</v>
      </c>
      <c r="H222" s="32" t="s">
        <v>470</v>
      </c>
      <c r="I222" s="33">
        <v>0</v>
      </c>
      <c r="J222" s="170"/>
      <c r="K222" s="7" t="str">
        <f>VLOOKUP($E222,Mapping!$E$11:$I$204,3,0)</f>
        <v>Public Lighting</v>
      </c>
      <c r="L222" s="7" t="str">
        <f>IFERROR(VLOOKUP($G222,Mapping!$E$208:$K$236,5,0),"Contracts")</f>
        <v>Contracts</v>
      </c>
      <c r="M222" s="7" t="str">
        <f>IFERROR(VLOOKUP($G222,Mapping!$E$208:$K$236,7,0),"ENDirect")</f>
        <v>ENDirect</v>
      </c>
      <c r="N222" s="7" t="str">
        <f>IFERROR(HLOOKUP(L222,'Calc|Weightings'!$U$5:$W$5,1,0),"Excl")</f>
        <v>Contracts</v>
      </c>
      <c r="O222" s="7" t="str">
        <f>VLOOKUP(E222,Mapping!$E$11:$I$204,5,0)</f>
        <v>Public Lighting</v>
      </c>
      <c r="Q222" s="32" t="s">
        <v>118</v>
      </c>
      <c r="R222" s="32"/>
      <c r="S222" s="32">
        <v>71055</v>
      </c>
      <c r="T222" s="32" t="s">
        <v>465</v>
      </c>
      <c r="U222" s="33">
        <v>58.710999999999999</v>
      </c>
      <c r="V222" s="7"/>
      <c r="W222" s="7" t="str">
        <f>VLOOKUP($Q222,Mapping!$E$11:$I$204,3,0)</f>
        <v>Connections</v>
      </c>
      <c r="X222" s="7" t="str">
        <f>IFERROR(VLOOKUP($S222,Mapping!$E$208:$K$236,5,0),"Contracts")</f>
        <v>Contracts</v>
      </c>
      <c r="Y222" s="7" t="str">
        <f>IFERROR(VLOOKUP($S222,Mapping!$E$208:$K$236,7,0),"ENDirect")</f>
        <v>ENDirect</v>
      </c>
      <c r="Z222" s="7" t="str">
        <f>IFERROR(HLOOKUP(X222,'Calc|Weightings'!$U$5:$W$5,1,0),"Excl")</f>
        <v>Contracts</v>
      </c>
      <c r="AA222" s="7" t="str">
        <f>VLOOKUP(Q222,Mapping!$E$11:$I$204,5,0)</f>
        <v>SCS</v>
      </c>
      <c r="AC222" s="35" t="s">
        <v>548</v>
      </c>
      <c r="AD222" s="35"/>
      <c r="AE222" s="35">
        <v>71015</v>
      </c>
      <c r="AF222" s="35" t="s">
        <v>463</v>
      </c>
      <c r="AG222" s="36">
        <v>18.206</v>
      </c>
      <c r="AI222" s="7" t="str">
        <f>VLOOKUP($AC222,Mapping!$E$11:$I$204,3,0)</f>
        <v>Connections</v>
      </c>
      <c r="AJ222" s="7" t="str">
        <f>IFERROR(VLOOKUP($AE222,Mapping!$E$208:$K$236,5,0),"Contracts")</f>
        <v>Materials</v>
      </c>
      <c r="AK222" s="7" t="str">
        <f>IFERROR(VLOOKUP($AE222,Mapping!$E$208:$K$236,7,0),"ENDirect")</f>
        <v>ENDirect</v>
      </c>
      <c r="AL222" s="7" t="str">
        <f>IFERROR(HLOOKUP(AJ222,'Calc|Weightings'!$U$5:$W$5,1,0),"Excl")</f>
        <v>Materials</v>
      </c>
      <c r="AM222" s="7" t="str">
        <f>VLOOKUP(AC222,Mapping!$E$11:$I$204,5,0)</f>
        <v>SCS</v>
      </c>
      <c r="AO222" s="35" t="s">
        <v>123</v>
      </c>
      <c r="AP222" s="35"/>
      <c r="AQ222" s="35">
        <v>83010</v>
      </c>
      <c r="AR222" s="35" t="s">
        <v>591</v>
      </c>
      <c r="AS222" s="121">
        <v>341.91791999999992</v>
      </c>
      <c r="AU222" s="7" t="str">
        <f>VLOOKUP($AO222,Mapping!$E$11:$I$204,3,0)</f>
        <v>Augmentation</v>
      </c>
      <c r="AV222" s="7" t="str">
        <f>IFERROR(VLOOKUP($AQ222,Mapping!$E$208:$K$236,5,0),"Contracts")</f>
        <v>Contracts</v>
      </c>
      <c r="AW222" s="7" t="str">
        <f>IFERROR(VLOOKUP($AQ222,Mapping!$E$208:$K$236,7,0),"ENDirect")</f>
        <v>ENDirect</v>
      </c>
      <c r="AX222" s="7" t="str">
        <f>IFERROR(HLOOKUP(AV222,'Calc|Weightings'!$U$5:$W$5,1,0),"Excl")</f>
        <v>Contracts</v>
      </c>
      <c r="AY222" s="7" t="str">
        <f>VLOOKUP(AO222,Mapping!$E$11:$I$204,5,0)</f>
        <v>SCS</v>
      </c>
    </row>
    <row r="223" spans="1:51" x14ac:dyDescent="0.3">
      <c r="A223" s="7"/>
      <c r="B223" s="7"/>
      <c r="C223" s="7"/>
      <c r="D223" s="7"/>
      <c r="E223" s="32" t="s">
        <v>553</v>
      </c>
      <c r="F223" s="32"/>
      <c r="G223" s="32">
        <v>71010</v>
      </c>
      <c r="H223" s="32" t="s">
        <v>462</v>
      </c>
      <c r="I223" s="33">
        <v>235.477</v>
      </c>
      <c r="J223" s="170"/>
      <c r="K223" s="7" t="str">
        <f>VLOOKUP($E223,Mapping!$E$11:$I$204,3,0)</f>
        <v>Connections</v>
      </c>
      <c r="L223" s="7" t="str">
        <f>IFERROR(VLOOKUP($G223,Mapping!$E$208:$K$236,5,0),"Contracts")</f>
        <v>Labour</v>
      </c>
      <c r="M223" s="7" t="str">
        <f>IFERROR(VLOOKUP($G223,Mapping!$E$208:$K$236,7,0),"ENDirect")</f>
        <v>ENDirect</v>
      </c>
      <c r="N223" s="7" t="str">
        <f>IFERROR(HLOOKUP(L223,'Calc|Weightings'!$U$5:$W$5,1,0),"Excl")</f>
        <v>Labour</v>
      </c>
      <c r="O223" s="7" t="str">
        <f>VLOOKUP(E223,Mapping!$E$11:$I$204,5,0)</f>
        <v>SCS</v>
      </c>
      <c r="Q223" s="32" t="s">
        <v>118</v>
      </c>
      <c r="R223" s="32"/>
      <c r="S223" s="32">
        <v>80000</v>
      </c>
      <c r="T223" s="32" t="s">
        <v>453</v>
      </c>
      <c r="U223" s="33">
        <v>71.893000000000001</v>
      </c>
      <c r="V223" s="7"/>
      <c r="W223" s="7" t="str">
        <f>VLOOKUP($Q223,Mapping!$E$11:$I$204,3,0)</f>
        <v>Connections</v>
      </c>
      <c r="X223" s="7" t="str">
        <f>IFERROR(VLOOKUP($S223,Mapping!$E$208:$K$236,5,0),"Contracts")</f>
        <v>Overhead</v>
      </c>
      <c r="Y223" s="7" t="str">
        <f>IFERROR(VLOOKUP($S223,Mapping!$E$208:$K$236,7,0),"ENDirect")</f>
        <v>OH</v>
      </c>
      <c r="Z223" s="7" t="str">
        <f>IFERROR(HLOOKUP(X223,'Calc|Weightings'!$U$5:$W$5,1,0),"Excl")</f>
        <v>Excl</v>
      </c>
      <c r="AA223" s="7" t="str">
        <f>VLOOKUP(Q223,Mapping!$E$11:$I$204,5,0)</f>
        <v>SCS</v>
      </c>
      <c r="AC223" s="35" t="s">
        <v>548</v>
      </c>
      <c r="AD223" s="35"/>
      <c r="AE223" s="35">
        <v>71010</v>
      </c>
      <c r="AF223" s="35" t="s">
        <v>462</v>
      </c>
      <c r="AG223" s="36">
        <v>37.066000000000003</v>
      </c>
      <c r="AI223" s="7" t="str">
        <f>VLOOKUP($AC223,Mapping!$E$11:$I$204,3,0)</f>
        <v>Connections</v>
      </c>
      <c r="AJ223" s="7" t="str">
        <f>IFERROR(VLOOKUP($AE223,Mapping!$E$208:$K$236,5,0),"Contracts")</f>
        <v>Labour</v>
      </c>
      <c r="AK223" s="7" t="str">
        <f>IFERROR(VLOOKUP($AE223,Mapping!$E$208:$K$236,7,0),"ENDirect")</f>
        <v>ENDirect</v>
      </c>
      <c r="AL223" s="7" t="str">
        <f>IFERROR(HLOOKUP(AJ223,'Calc|Weightings'!$U$5:$W$5,1,0),"Excl")</f>
        <v>Labour</v>
      </c>
      <c r="AM223" s="7" t="str">
        <f>VLOOKUP(AC223,Mapping!$E$11:$I$204,5,0)</f>
        <v>SCS</v>
      </c>
      <c r="AO223" s="35" t="s">
        <v>124</v>
      </c>
      <c r="AP223" s="35"/>
      <c r="AQ223" s="35">
        <v>70815</v>
      </c>
      <c r="AR223" s="35" t="s">
        <v>594</v>
      </c>
      <c r="AS223" s="121">
        <v>-265.53735999999998</v>
      </c>
      <c r="AU223" s="7" t="str">
        <f>VLOOKUP($AO223,Mapping!$E$11:$I$204,3,0)</f>
        <v>Augmentation</v>
      </c>
      <c r="AV223" s="7" t="str">
        <f>IFERROR(VLOOKUP($AQ223,Mapping!$E$208:$K$236,5,0),"Contracts")</f>
        <v>Materials</v>
      </c>
      <c r="AW223" s="7" t="str">
        <f>IFERROR(VLOOKUP($AQ223,Mapping!$E$208:$K$236,7,0),"ENDirect")</f>
        <v>ENDirect</v>
      </c>
      <c r="AX223" s="7" t="str">
        <f>IFERROR(HLOOKUP(AV223,'Calc|Weightings'!$U$5:$W$5,1,0),"Excl")</f>
        <v>Materials</v>
      </c>
      <c r="AY223" s="7" t="str">
        <f>VLOOKUP(AO223,Mapping!$E$11:$I$204,5,0)</f>
        <v>SCS</v>
      </c>
    </row>
    <row r="224" spans="1:51" x14ac:dyDescent="0.3">
      <c r="A224" s="7"/>
      <c r="B224" s="7"/>
      <c r="C224" s="7"/>
      <c r="D224" s="7"/>
      <c r="E224" s="32" t="s">
        <v>194</v>
      </c>
      <c r="F224" s="32"/>
      <c r="G224" s="32">
        <v>71040</v>
      </c>
      <c r="H224" s="32" t="s">
        <v>460</v>
      </c>
      <c r="I224" s="33">
        <v>-1.855</v>
      </c>
      <c r="J224" s="170"/>
      <c r="K224" s="7" t="str">
        <f>VLOOKUP($E224,Mapping!$E$11:$I$204,3,0)</f>
        <v>Replacement</v>
      </c>
      <c r="L224" s="7" t="str">
        <f>IFERROR(VLOOKUP($G224,Mapping!$E$208:$K$236,5,0),"Contracts")</f>
        <v>Contracts</v>
      </c>
      <c r="M224" s="7" t="str">
        <f>IFERROR(VLOOKUP($G224,Mapping!$E$208:$K$236,7,0),"ENDirect")</f>
        <v>ENDirect</v>
      </c>
      <c r="N224" s="7" t="str">
        <f>IFERROR(HLOOKUP(L224,'Calc|Weightings'!$U$5:$W$5,1,0),"Excl")</f>
        <v>Contracts</v>
      </c>
      <c r="O224" s="7" t="str">
        <f>VLOOKUP(E224,Mapping!$E$11:$I$204,5,0)</f>
        <v>SCS</v>
      </c>
      <c r="Q224" s="32" t="s">
        <v>528</v>
      </c>
      <c r="R224" s="32"/>
      <c r="S224" s="32">
        <v>71020</v>
      </c>
      <c r="T224" s="32" t="s">
        <v>459</v>
      </c>
      <c r="U224" s="33">
        <v>-2E-3</v>
      </c>
      <c r="V224" s="7"/>
      <c r="W224" s="7" t="str">
        <f>VLOOKUP($Q224,Mapping!$E$11:$I$204,3,0)</f>
        <v>Connections</v>
      </c>
      <c r="X224" s="7" t="str">
        <f>IFERROR(VLOOKUP($S224,Mapping!$E$208:$K$236,5,0),"Contracts")</f>
        <v>Contracts</v>
      </c>
      <c r="Y224" s="7" t="str">
        <f>IFERROR(VLOOKUP($S224,Mapping!$E$208:$K$236,7,0),"ENDirect")</f>
        <v>ENDirect</v>
      </c>
      <c r="Z224" s="7" t="str">
        <f>IFERROR(HLOOKUP(X224,'Calc|Weightings'!$U$5:$W$5,1,0),"Excl")</f>
        <v>Contracts</v>
      </c>
      <c r="AA224" s="7" t="str">
        <f>VLOOKUP(Q224,Mapping!$E$11:$I$204,5,0)</f>
        <v>SCS</v>
      </c>
      <c r="AC224" s="35" t="s">
        <v>528</v>
      </c>
      <c r="AD224" s="35"/>
      <c r="AE224" s="35">
        <v>72345</v>
      </c>
      <c r="AF224" s="35" t="s">
        <v>467</v>
      </c>
      <c r="AG224" s="36">
        <v>1528.211</v>
      </c>
      <c r="AI224" s="7" t="str">
        <f>VLOOKUP($AC224,Mapping!$E$11:$I$204,3,0)</f>
        <v>Connections</v>
      </c>
      <c r="AJ224" s="7" t="str">
        <f>IFERROR(VLOOKUP($AE224,Mapping!$E$208:$K$236,5,0),"Contracts")</f>
        <v>Contracts</v>
      </c>
      <c r="AK224" s="7" t="str">
        <f>IFERROR(VLOOKUP($AE224,Mapping!$E$208:$K$236,7,0),"ENDirect")</f>
        <v>ENDirect</v>
      </c>
      <c r="AL224" s="7" t="str">
        <f>IFERROR(HLOOKUP(AJ224,'Calc|Weightings'!$U$5:$W$5,1,0),"Excl")</f>
        <v>Contracts</v>
      </c>
      <c r="AM224" s="7" t="str">
        <f>VLOOKUP(AC224,Mapping!$E$11:$I$204,5,0)</f>
        <v>SCS</v>
      </c>
      <c r="AO224" s="35" t="s">
        <v>124</v>
      </c>
      <c r="AP224" s="35"/>
      <c r="AQ224" s="35">
        <v>71000</v>
      </c>
      <c r="AR224" s="35" t="s">
        <v>457</v>
      </c>
      <c r="AS224" s="121">
        <v>4.5546199999999999</v>
      </c>
      <c r="AU224" s="7" t="str">
        <f>VLOOKUP($AO224,Mapping!$E$11:$I$204,3,0)</f>
        <v>Augmentation</v>
      </c>
      <c r="AV224" s="7" t="str">
        <f>IFERROR(VLOOKUP($AQ224,Mapping!$E$208:$K$236,5,0),"Contracts")</f>
        <v>Labour</v>
      </c>
      <c r="AW224" s="7" t="str">
        <f>IFERROR(VLOOKUP($AQ224,Mapping!$E$208:$K$236,7,0),"ENDirect")</f>
        <v>ENDirect</v>
      </c>
      <c r="AX224" s="7" t="str">
        <f>IFERROR(HLOOKUP(AV224,'Calc|Weightings'!$U$5:$W$5,1,0),"Excl")</f>
        <v>Labour</v>
      </c>
      <c r="AY224" s="7" t="str">
        <f>VLOOKUP(AO224,Mapping!$E$11:$I$204,5,0)</f>
        <v>SCS</v>
      </c>
    </row>
    <row r="225" spans="1:51" x14ac:dyDescent="0.3">
      <c r="A225" s="7"/>
      <c r="B225" s="7"/>
      <c r="C225" s="7"/>
      <c r="D225" s="7"/>
      <c r="E225" s="32" t="s">
        <v>162</v>
      </c>
      <c r="F225" s="32"/>
      <c r="G225" s="32">
        <v>70815</v>
      </c>
      <c r="H225" s="32" t="s">
        <v>451</v>
      </c>
      <c r="I225" s="33">
        <v>88.837999999999994</v>
      </c>
      <c r="J225" s="170"/>
      <c r="K225" s="7" t="str">
        <f>VLOOKUP($E225,Mapping!$E$11:$I$204,3,0)</f>
        <v>Replacement</v>
      </c>
      <c r="L225" s="7" t="str">
        <f>IFERROR(VLOOKUP($G225,Mapping!$E$208:$K$236,5,0),"Contracts")</f>
        <v>Materials</v>
      </c>
      <c r="M225" s="7" t="str">
        <f>IFERROR(VLOOKUP($G225,Mapping!$E$208:$K$236,7,0),"ENDirect")</f>
        <v>ENDirect</v>
      </c>
      <c r="N225" s="7" t="str">
        <f>IFERROR(HLOOKUP(L225,'Calc|Weightings'!$U$5:$W$5,1,0),"Excl")</f>
        <v>Materials</v>
      </c>
      <c r="O225" s="7" t="str">
        <f>VLOOKUP(E225,Mapping!$E$11:$I$204,5,0)</f>
        <v>SCS</v>
      </c>
      <c r="Q225" s="32" t="s">
        <v>111</v>
      </c>
      <c r="R225" s="32"/>
      <c r="S225" s="32">
        <v>72345</v>
      </c>
      <c r="T225" s="32" t="s">
        <v>467</v>
      </c>
      <c r="U225" s="33">
        <v>3042.5230000000001</v>
      </c>
      <c r="V225" s="7"/>
      <c r="W225" s="7" t="str">
        <f>VLOOKUP($Q225,Mapping!$E$11:$I$204,3,0)</f>
        <v>Connections</v>
      </c>
      <c r="X225" s="7" t="str">
        <f>IFERROR(VLOOKUP($S225,Mapping!$E$208:$K$236,5,0),"Contracts")</f>
        <v>Contracts</v>
      </c>
      <c r="Y225" s="7" t="str">
        <f>IFERROR(VLOOKUP($S225,Mapping!$E$208:$K$236,7,0),"ENDirect")</f>
        <v>ENDirect</v>
      </c>
      <c r="Z225" s="7" t="str">
        <f>IFERROR(HLOOKUP(X225,'Calc|Weightings'!$U$5:$W$5,1,0),"Excl")</f>
        <v>Contracts</v>
      </c>
      <c r="AA225" s="7" t="str">
        <f>VLOOKUP(Q225,Mapping!$E$11:$I$204,5,0)</f>
        <v>SCS</v>
      </c>
      <c r="AC225" s="35" t="s">
        <v>104</v>
      </c>
      <c r="AD225" s="35"/>
      <c r="AE225" s="35">
        <v>71030</v>
      </c>
      <c r="AF225" s="35" t="s">
        <v>464</v>
      </c>
      <c r="AG225" s="36">
        <v>11.441000000000001</v>
      </c>
      <c r="AI225" s="7" t="str">
        <f>VLOOKUP($AC225,Mapping!$E$11:$I$204,3,0)</f>
        <v>Public Lighting</v>
      </c>
      <c r="AJ225" s="7" t="str">
        <f>IFERROR(VLOOKUP($AE225,Mapping!$E$208:$K$236,5,0),"Contracts")</f>
        <v>Contracts</v>
      </c>
      <c r="AK225" s="7" t="str">
        <f>IFERROR(VLOOKUP($AE225,Mapping!$E$208:$K$236,7,0),"ENDirect")</f>
        <v>ENDirect</v>
      </c>
      <c r="AL225" s="7" t="str">
        <f>IFERROR(HLOOKUP(AJ225,'Calc|Weightings'!$U$5:$W$5,1,0),"Excl")</f>
        <v>Contracts</v>
      </c>
      <c r="AM225" s="7" t="str">
        <f>VLOOKUP(AC225,Mapping!$E$11:$I$204,5,0)</f>
        <v>Public Lighting</v>
      </c>
      <c r="AO225" s="35" t="s">
        <v>124</v>
      </c>
      <c r="AP225" s="35"/>
      <c r="AQ225" s="35">
        <v>71005</v>
      </c>
      <c r="AR225" s="35" t="s">
        <v>461</v>
      </c>
      <c r="AS225" s="121">
        <v>2.75623</v>
      </c>
      <c r="AU225" s="7" t="str">
        <f>VLOOKUP($AO225,Mapping!$E$11:$I$204,3,0)</f>
        <v>Augmentation</v>
      </c>
      <c r="AV225" s="7" t="str">
        <f>IFERROR(VLOOKUP($AQ225,Mapping!$E$208:$K$236,5,0),"Contracts")</f>
        <v>Materials</v>
      </c>
      <c r="AW225" s="7" t="str">
        <f>IFERROR(VLOOKUP($AQ225,Mapping!$E$208:$K$236,7,0),"ENDirect")</f>
        <v>ENDirect</v>
      </c>
      <c r="AX225" s="7" t="str">
        <f>IFERROR(HLOOKUP(AV225,'Calc|Weightings'!$U$5:$W$5,1,0),"Excl")</f>
        <v>Materials</v>
      </c>
      <c r="AY225" s="7" t="str">
        <f>VLOOKUP(AO225,Mapping!$E$11:$I$204,5,0)</f>
        <v>SCS</v>
      </c>
    </row>
    <row r="226" spans="1:51" x14ac:dyDescent="0.3">
      <c r="A226" s="7"/>
      <c r="B226" s="7"/>
      <c r="C226" s="7"/>
      <c r="D226" s="7"/>
      <c r="E226" s="32" t="s">
        <v>162</v>
      </c>
      <c r="F226" s="32"/>
      <c r="G226" s="32">
        <v>71005</v>
      </c>
      <c r="H226" s="32" t="s">
        <v>461</v>
      </c>
      <c r="I226" s="33">
        <v>1233.596</v>
      </c>
      <c r="J226" s="170"/>
      <c r="K226" s="7" t="str">
        <f>VLOOKUP($E226,Mapping!$E$11:$I$204,3,0)</f>
        <v>Replacement</v>
      </c>
      <c r="L226" s="7" t="str">
        <f>IFERROR(VLOOKUP($G226,Mapping!$E$208:$K$236,5,0),"Contracts")</f>
        <v>Materials</v>
      </c>
      <c r="M226" s="7" t="str">
        <f>IFERROR(VLOOKUP($G226,Mapping!$E$208:$K$236,7,0),"ENDirect")</f>
        <v>ENDirect</v>
      </c>
      <c r="N226" s="7" t="str">
        <f>IFERROR(HLOOKUP(L226,'Calc|Weightings'!$U$5:$W$5,1,0),"Excl")</f>
        <v>Materials</v>
      </c>
      <c r="O226" s="7" t="str">
        <f>VLOOKUP(E226,Mapping!$E$11:$I$204,5,0)</f>
        <v>SCS</v>
      </c>
      <c r="Q226" s="32" t="s">
        <v>111</v>
      </c>
      <c r="R226" s="32"/>
      <c r="S226" s="32">
        <v>71005</v>
      </c>
      <c r="T226" s="32" t="s">
        <v>461</v>
      </c>
      <c r="U226" s="33">
        <v>1003.763</v>
      </c>
      <c r="V226" s="7"/>
      <c r="W226" s="7" t="str">
        <f>VLOOKUP($Q226,Mapping!$E$11:$I$204,3,0)</f>
        <v>Connections</v>
      </c>
      <c r="X226" s="7" t="str">
        <f>IFERROR(VLOOKUP($S226,Mapping!$E$208:$K$236,5,0),"Contracts")</f>
        <v>Materials</v>
      </c>
      <c r="Y226" s="7" t="str">
        <f>IFERROR(VLOOKUP($S226,Mapping!$E$208:$K$236,7,0),"ENDirect")</f>
        <v>ENDirect</v>
      </c>
      <c r="Z226" s="7" t="str">
        <f>IFERROR(HLOOKUP(X226,'Calc|Weightings'!$U$5:$W$5,1,0),"Excl")</f>
        <v>Materials</v>
      </c>
      <c r="AA226" s="7" t="str">
        <f>VLOOKUP(Q226,Mapping!$E$11:$I$204,5,0)</f>
        <v>SCS</v>
      </c>
      <c r="AC226" s="35" t="s">
        <v>104</v>
      </c>
      <c r="AD226" s="35"/>
      <c r="AE226" s="35">
        <v>71055</v>
      </c>
      <c r="AF226" s="35" t="s">
        <v>465</v>
      </c>
      <c r="AG226" s="36">
        <v>25.777000000000001</v>
      </c>
      <c r="AI226" s="7" t="str">
        <f>VLOOKUP($AC226,Mapping!$E$11:$I$204,3,0)</f>
        <v>Public Lighting</v>
      </c>
      <c r="AJ226" s="7" t="str">
        <f>IFERROR(VLOOKUP($AE226,Mapping!$E$208:$K$236,5,0),"Contracts")</f>
        <v>Contracts</v>
      </c>
      <c r="AK226" s="7" t="str">
        <f>IFERROR(VLOOKUP($AE226,Mapping!$E$208:$K$236,7,0),"ENDirect")</f>
        <v>ENDirect</v>
      </c>
      <c r="AL226" s="7" t="str">
        <f>IFERROR(HLOOKUP(AJ226,'Calc|Weightings'!$U$5:$W$5,1,0),"Excl")</f>
        <v>Contracts</v>
      </c>
      <c r="AM226" s="7" t="str">
        <f>VLOOKUP(AC226,Mapping!$E$11:$I$204,5,0)</f>
        <v>Public Lighting</v>
      </c>
      <c r="AO226" s="35" t="s">
        <v>124</v>
      </c>
      <c r="AP226" s="35"/>
      <c r="AQ226" s="35">
        <v>71006</v>
      </c>
      <c r="AR226" s="35" t="s">
        <v>468</v>
      </c>
      <c r="AS226" s="121">
        <v>38.802</v>
      </c>
      <c r="AU226" s="7" t="str">
        <f>VLOOKUP($AO226,Mapping!$E$11:$I$204,3,0)</f>
        <v>Augmentation</v>
      </c>
      <c r="AV226" s="7" t="str">
        <f>IFERROR(VLOOKUP($AQ226,Mapping!$E$208:$K$236,5,0),"Contracts")</f>
        <v>Materials</v>
      </c>
      <c r="AW226" s="7" t="str">
        <f>IFERROR(VLOOKUP($AQ226,Mapping!$E$208:$K$236,7,0),"ENDirect")</f>
        <v>ENDirect</v>
      </c>
      <c r="AX226" s="7" t="str">
        <f>IFERROR(HLOOKUP(AV226,'Calc|Weightings'!$U$5:$W$5,1,0),"Excl")</f>
        <v>Materials</v>
      </c>
      <c r="AY226" s="7" t="str">
        <f>VLOOKUP(AO226,Mapping!$E$11:$I$204,5,0)</f>
        <v>SCS</v>
      </c>
    </row>
    <row r="227" spans="1:51" x14ac:dyDescent="0.3">
      <c r="A227" s="7"/>
      <c r="B227" s="7"/>
      <c r="C227" s="7"/>
      <c r="D227" s="7"/>
      <c r="E227" s="32" t="s">
        <v>162</v>
      </c>
      <c r="F227" s="32"/>
      <c r="G227" s="32">
        <v>71010</v>
      </c>
      <c r="H227" s="32" t="s">
        <v>462</v>
      </c>
      <c r="I227" s="33">
        <v>570.40700000000004</v>
      </c>
      <c r="J227" s="170"/>
      <c r="K227" s="7" t="str">
        <f>VLOOKUP($E227,Mapping!$E$11:$I$204,3,0)</f>
        <v>Replacement</v>
      </c>
      <c r="L227" s="7" t="str">
        <f>IFERROR(VLOOKUP($G227,Mapping!$E$208:$K$236,5,0),"Contracts")</f>
        <v>Labour</v>
      </c>
      <c r="M227" s="7" t="str">
        <f>IFERROR(VLOOKUP($G227,Mapping!$E$208:$K$236,7,0),"ENDirect")</f>
        <v>ENDirect</v>
      </c>
      <c r="N227" s="7" t="str">
        <f>IFERROR(HLOOKUP(L227,'Calc|Weightings'!$U$5:$W$5,1,0),"Excl")</f>
        <v>Labour</v>
      </c>
      <c r="O227" s="7" t="str">
        <f>VLOOKUP(E227,Mapping!$E$11:$I$204,5,0)</f>
        <v>SCS</v>
      </c>
      <c r="Q227" s="32" t="s">
        <v>113</v>
      </c>
      <c r="R227" s="32"/>
      <c r="S227" s="32">
        <v>71010</v>
      </c>
      <c r="T227" s="32" t="s">
        <v>462</v>
      </c>
      <c r="U227" s="33">
        <v>410.88900000000001</v>
      </c>
      <c r="V227" s="7"/>
      <c r="W227" s="7" t="str">
        <f>VLOOKUP($Q227,Mapping!$E$11:$I$204,3,0)</f>
        <v>Connections</v>
      </c>
      <c r="X227" s="7" t="str">
        <f>IFERROR(VLOOKUP($S227,Mapping!$E$208:$K$236,5,0),"Contracts")</f>
        <v>Labour</v>
      </c>
      <c r="Y227" s="7" t="str">
        <f>IFERROR(VLOOKUP($S227,Mapping!$E$208:$K$236,7,0),"ENDirect")</f>
        <v>ENDirect</v>
      </c>
      <c r="Z227" s="7" t="str">
        <f>IFERROR(HLOOKUP(X227,'Calc|Weightings'!$U$5:$W$5,1,0),"Excl")</f>
        <v>Labour</v>
      </c>
      <c r="AA227" s="7" t="str">
        <f>VLOOKUP(Q227,Mapping!$E$11:$I$204,5,0)</f>
        <v>SCS</v>
      </c>
      <c r="AC227" s="35" t="s">
        <v>104</v>
      </c>
      <c r="AD227" s="35"/>
      <c r="AE227" s="35">
        <v>80000</v>
      </c>
      <c r="AF227" s="35" t="s">
        <v>453</v>
      </c>
      <c r="AG227" s="36">
        <v>25.83</v>
      </c>
      <c r="AI227" s="7" t="str">
        <f>VLOOKUP($AC227,Mapping!$E$11:$I$204,3,0)</f>
        <v>Public Lighting</v>
      </c>
      <c r="AJ227" s="7" t="str">
        <f>IFERROR(VLOOKUP($AE227,Mapping!$E$208:$K$236,5,0),"Contracts")</f>
        <v>Overhead</v>
      </c>
      <c r="AK227" s="7" t="str">
        <f>IFERROR(VLOOKUP($AE227,Mapping!$E$208:$K$236,7,0),"ENDirect")</f>
        <v>OH</v>
      </c>
      <c r="AL227" s="7" t="str">
        <f>IFERROR(HLOOKUP(AJ227,'Calc|Weightings'!$U$5:$W$5,1,0),"Excl")</f>
        <v>Excl</v>
      </c>
      <c r="AM227" s="7" t="str">
        <f>VLOOKUP(AC227,Mapping!$E$11:$I$204,5,0)</f>
        <v>Public Lighting</v>
      </c>
      <c r="AO227" s="35" t="s">
        <v>124</v>
      </c>
      <c r="AP227" s="35"/>
      <c r="AQ227" s="35">
        <v>71010</v>
      </c>
      <c r="AR227" s="35" t="s">
        <v>487</v>
      </c>
      <c r="AS227" s="121">
        <v>3.17319</v>
      </c>
      <c r="AU227" s="7" t="str">
        <f>VLOOKUP($AO227,Mapping!$E$11:$I$204,3,0)</f>
        <v>Augmentation</v>
      </c>
      <c r="AV227" s="7" t="str">
        <f>IFERROR(VLOOKUP($AQ227,Mapping!$E$208:$K$236,5,0),"Contracts")</f>
        <v>Labour</v>
      </c>
      <c r="AW227" s="7" t="str">
        <f>IFERROR(VLOOKUP($AQ227,Mapping!$E$208:$K$236,7,0),"ENDirect")</f>
        <v>ENDirect</v>
      </c>
      <c r="AX227" s="7" t="str">
        <f>IFERROR(HLOOKUP(AV227,'Calc|Weightings'!$U$5:$W$5,1,0),"Excl")</f>
        <v>Labour</v>
      </c>
      <c r="AY227" s="7" t="str">
        <f>VLOOKUP(AO227,Mapping!$E$11:$I$204,5,0)</f>
        <v>SCS</v>
      </c>
    </row>
    <row r="228" spans="1:51" x14ac:dyDescent="0.3">
      <c r="A228" s="7"/>
      <c r="B228" s="7"/>
      <c r="C228" s="7"/>
      <c r="D228" s="7"/>
      <c r="E228" s="32" t="s">
        <v>162</v>
      </c>
      <c r="F228" s="32"/>
      <c r="G228" s="32">
        <v>71015</v>
      </c>
      <c r="H228" s="32" t="s">
        <v>463</v>
      </c>
      <c r="I228" s="33">
        <v>64.436999999999998</v>
      </c>
      <c r="J228" s="170"/>
      <c r="K228" s="7" t="str">
        <f>VLOOKUP($E228,Mapping!$E$11:$I$204,3,0)</f>
        <v>Replacement</v>
      </c>
      <c r="L228" s="7" t="str">
        <f>IFERROR(VLOOKUP($G228,Mapping!$E$208:$K$236,5,0),"Contracts")</f>
        <v>Materials</v>
      </c>
      <c r="M228" s="7" t="str">
        <f>IFERROR(VLOOKUP($G228,Mapping!$E$208:$K$236,7,0),"ENDirect")</f>
        <v>ENDirect</v>
      </c>
      <c r="N228" s="7" t="str">
        <f>IFERROR(HLOOKUP(L228,'Calc|Weightings'!$U$5:$W$5,1,0),"Excl")</f>
        <v>Materials</v>
      </c>
      <c r="O228" s="7" t="str">
        <f>VLOOKUP(E228,Mapping!$E$11:$I$204,5,0)</f>
        <v>SCS</v>
      </c>
      <c r="Q228" s="32" t="s">
        <v>113</v>
      </c>
      <c r="R228" s="32"/>
      <c r="S228" s="32">
        <v>71015</v>
      </c>
      <c r="T228" s="32" t="s">
        <v>463</v>
      </c>
      <c r="U228" s="33">
        <v>130.899</v>
      </c>
      <c r="V228" s="7"/>
      <c r="W228" s="7" t="str">
        <f>VLOOKUP($Q228,Mapping!$E$11:$I$204,3,0)</f>
        <v>Connections</v>
      </c>
      <c r="X228" s="7" t="str">
        <f>IFERROR(VLOOKUP($S228,Mapping!$E$208:$K$236,5,0),"Contracts")</f>
        <v>Materials</v>
      </c>
      <c r="Y228" s="7" t="str">
        <f>IFERROR(VLOOKUP($S228,Mapping!$E$208:$K$236,7,0),"ENDirect")</f>
        <v>ENDirect</v>
      </c>
      <c r="Z228" s="7" t="str">
        <f>IFERROR(HLOOKUP(X228,'Calc|Weightings'!$U$5:$W$5,1,0),"Excl")</f>
        <v>Materials</v>
      </c>
      <c r="AA228" s="7" t="str">
        <f>VLOOKUP(Q228,Mapping!$E$11:$I$204,5,0)</f>
        <v>SCS</v>
      </c>
      <c r="AC228" s="35" t="s">
        <v>115</v>
      </c>
      <c r="AD228" s="35"/>
      <c r="AE228" s="35">
        <v>71005</v>
      </c>
      <c r="AF228" s="35" t="s">
        <v>461</v>
      </c>
      <c r="AG228" s="36">
        <v>31.629000000000001</v>
      </c>
      <c r="AI228" s="7" t="str">
        <f>VLOOKUP($AC228,Mapping!$E$11:$I$204,3,0)</f>
        <v>Connections</v>
      </c>
      <c r="AJ228" s="7" t="str">
        <f>IFERROR(VLOOKUP($AE228,Mapping!$E$208:$K$236,5,0),"Contracts")</f>
        <v>Materials</v>
      </c>
      <c r="AK228" s="7" t="str">
        <f>IFERROR(VLOOKUP($AE228,Mapping!$E$208:$K$236,7,0),"ENDirect")</f>
        <v>ENDirect</v>
      </c>
      <c r="AL228" s="7" t="str">
        <f>IFERROR(HLOOKUP(AJ228,'Calc|Weightings'!$U$5:$W$5,1,0),"Excl")</f>
        <v>Materials</v>
      </c>
      <c r="AM228" s="7" t="str">
        <f>VLOOKUP(AC228,Mapping!$E$11:$I$204,5,0)</f>
        <v>SCS</v>
      </c>
      <c r="AO228" s="35" t="s">
        <v>124</v>
      </c>
      <c r="AP228" s="35"/>
      <c r="AQ228" s="35">
        <v>71015</v>
      </c>
      <c r="AR228" s="35" t="s">
        <v>585</v>
      </c>
      <c r="AS228" s="121">
        <v>0.70602999999999994</v>
      </c>
      <c r="AU228" s="7" t="str">
        <f>VLOOKUP($AO228,Mapping!$E$11:$I$204,3,0)</f>
        <v>Augmentation</v>
      </c>
      <c r="AV228" s="7" t="str">
        <f>IFERROR(VLOOKUP($AQ228,Mapping!$E$208:$K$236,5,0),"Contracts")</f>
        <v>Materials</v>
      </c>
      <c r="AW228" s="7" t="str">
        <f>IFERROR(VLOOKUP($AQ228,Mapping!$E$208:$K$236,7,0),"ENDirect")</f>
        <v>ENDirect</v>
      </c>
      <c r="AX228" s="7" t="str">
        <f>IFERROR(HLOOKUP(AV228,'Calc|Weightings'!$U$5:$W$5,1,0),"Excl")</f>
        <v>Materials</v>
      </c>
      <c r="AY228" s="7" t="str">
        <f>VLOOKUP(AO228,Mapping!$E$11:$I$204,5,0)</f>
        <v>SCS</v>
      </c>
    </row>
    <row r="229" spans="1:51" x14ac:dyDescent="0.3">
      <c r="A229" s="7"/>
      <c r="B229" s="7"/>
      <c r="C229" s="7"/>
      <c r="D229" s="7"/>
      <c r="E229" s="32" t="s">
        <v>162</v>
      </c>
      <c r="F229" s="32"/>
      <c r="G229" s="32">
        <v>71040</v>
      </c>
      <c r="H229" s="32" t="s">
        <v>460</v>
      </c>
      <c r="I229" s="33">
        <v>-4.1790000000000003</v>
      </c>
      <c r="J229" s="170"/>
      <c r="K229" s="7" t="str">
        <f>VLOOKUP($E229,Mapping!$E$11:$I$204,3,0)</f>
        <v>Replacement</v>
      </c>
      <c r="L229" s="7" t="str">
        <f>IFERROR(VLOOKUP($G229,Mapping!$E$208:$K$236,5,0),"Contracts")</f>
        <v>Contracts</v>
      </c>
      <c r="M229" s="7" t="str">
        <f>IFERROR(VLOOKUP($G229,Mapping!$E$208:$K$236,7,0),"ENDirect")</f>
        <v>ENDirect</v>
      </c>
      <c r="N229" s="7" t="str">
        <f>IFERROR(HLOOKUP(L229,'Calc|Weightings'!$U$5:$W$5,1,0),"Excl")</f>
        <v>Contracts</v>
      </c>
      <c r="O229" s="7" t="str">
        <f>VLOOKUP(E229,Mapping!$E$11:$I$204,5,0)</f>
        <v>SCS</v>
      </c>
      <c r="Q229" s="32" t="s">
        <v>145</v>
      </c>
      <c r="R229" s="32"/>
      <c r="S229" s="32">
        <v>71000</v>
      </c>
      <c r="T229" s="32" t="s">
        <v>457</v>
      </c>
      <c r="U229" s="33">
        <v>1552.3040000000001</v>
      </c>
      <c r="V229" s="7"/>
      <c r="W229" s="7" t="str">
        <f>VLOOKUP($Q229,Mapping!$E$11:$I$204,3,0)</f>
        <v>Augmentation</v>
      </c>
      <c r="X229" s="7" t="str">
        <f>IFERROR(VLOOKUP($S229,Mapping!$E$208:$K$236,5,0),"Contracts")</f>
        <v>Labour</v>
      </c>
      <c r="Y229" s="7" t="str">
        <f>IFERROR(VLOOKUP($S229,Mapping!$E$208:$K$236,7,0),"ENDirect")</f>
        <v>ENDirect</v>
      </c>
      <c r="Z229" s="7" t="str">
        <f>IFERROR(HLOOKUP(X229,'Calc|Weightings'!$U$5:$W$5,1,0),"Excl")</f>
        <v>Labour</v>
      </c>
      <c r="AA229" s="7" t="str">
        <f>VLOOKUP(Q229,Mapping!$E$11:$I$204,5,0)</f>
        <v>SCS</v>
      </c>
      <c r="AC229" s="35" t="s">
        <v>115</v>
      </c>
      <c r="AD229" s="35"/>
      <c r="AE229" s="35">
        <v>71010</v>
      </c>
      <c r="AF229" s="35" t="s">
        <v>462</v>
      </c>
      <c r="AG229" s="36">
        <v>122.456</v>
      </c>
      <c r="AI229" s="7" t="str">
        <f>VLOOKUP($AC229,Mapping!$E$11:$I$204,3,0)</f>
        <v>Connections</v>
      </c>
      <c r="AJ229" s="7" t="str">
        <f>IFERROR(VLOOKUP($AE229,Mapping!$E$208:$K$236,5,0),"Contracts")</f>
        <v>Labour</v>
      </c>
      <c r="AK229" s="7" t="str">
        <f>IFERROR(VLOOKUP($AE229,Mapping!$E$208:$K$236,7,0),"ENDirect")</f>
        <v>ENDirect</v>
      </c>
      <c r="AL229" s="7" t="str">
        <f>IFERROR(HLOOKUP(AJ229,'Calc|Weightings'!$U$5:$W$5,1,0),"Excl")</f>
        <v>Labour</v>
      </c>
      <c r="AM229" s="7" t="str">
        <f>VLOOKUP(AC229,Mapping!$E$11:$I$204,5,0)</f>
        <v>SCS</v>
      </c>
      <c r="AO229" s="35" t="s">
        <v>124</v>
      </c>
      <c r="AP229" s="35"/>
      <c r="AQ229" s="35">
        <v>71030</v>
      </c>
      <c r="AR229" s="35" t="s">
        <v>464</v>
      </c>
      <c r="AS229" s="121">
        <v>0.88146999999999998</v>
      </c>
      <c r="AU229" s="7" t="str">
        <f>VLOOKUP($AO229,Mapping!$E$11:$I$204,3,0)</f>
        <v>Augmentation</v>
      </c>
      <c r="AV229" s="7" t="str">
        <f>IFERROR(VLOOKUP($AQ229,Mapping!$E$208:$K$236,5,0),"Contracts")</f>
        <v>Contracts</v>
      </c>
      <c r="AW229" s="7" t="str">
        <f>IFERROR(VLOOKUP($AQ229,Mapping!$E$208:$K$236,7,0),"ENDirect")</f>
        <v>ENDirect</v>
      </c>
      <c r="AX229" s="7" t="str">
        <f>IFERROR(HLOOKUP(AV229,'Calc|Weightings'!$U$5:$W$5,1,0),"Excl")</f>
        <v>Contracts</v>
      </c>
      <c r="AY229" s="7" t="str">
        <f>VLOOKUP(AO229,Mapping!$E$11:$I$204,5,0)</f>
        <v>SCS</v>
      </c>
    </row>
    <row r="230" spans="1:51" x14ac:dyDescent="0.3">
      <c r="A230" s="7"/>
      <c r="B230" s="7"/>
      <c r="C230" s="7"/>
      <c r="D230" s="7"/>
      <c r="E230" s="32" t="s">
        <v>162</v>
      </c>
      <c r="F230" s="32"/>
      <c r="G230" s="32">
        <v>71055</v>
      </c>
      <c r="H230" s="32" t="s">
        <v>465</v>
      </c>
      <c r="I230" s="33">
        <v>319.00299999999999</v>
      </c>
      <c r="J230" s="170"/>
      <c r="K230" s="7" t="str">
        <f>VLOOKUP($E230,Mapping!$E$11:$I$204,3,0)</f>
        <v>Replacement</v>
      </c>
      <c r="L230" s="7" t="str">
        <f>IFERROR(VLOOKUP($G230,Mapping!$E$208:$K$236,5,0),"Contracts")</f>
        <v>Contracts</v>
      </c>
      <c r="M230" s="7" t="str">
        <f>IFERROR(VLOOKUP($G230,Mapping!$E$208:$K$236,7,0),"ENDirect")</f>
        <v>ENDirect</v>
      </c>
      <c r="N230" s="7" t="str">
        <f>IFERROR(HLOOKUP(L230,'Calc|Weightings'!$U$5:$W$5,1,0),"Excl")</f>
        <v>Contracts</v>
      </c>
      <c r="O230" s="7" t="str">
        <f>VLOOKUP(E230,Mapping!$E$11:$I$204,5,0)</f>
        <v>SCS</v>
      </c>
      <c r="Q230" s="32" t="s">
        <v>145</v>
      </c>
      <c r="R230" s="32"/>
      <c r="S230" s="32">
        <v>71005</v>
      </c>
      <c r="T230" s="32" t="s">
        <v>461</v>
      </c>
      <c r="U230" s="33">
        <v>706.05</v>
      </c>
      <c r="V230" s="7"/>
      <c r="W230" s="7" t="str">
        <f>VLOOKUP($Q230,Mapping!$E$11:$I$204,3,0)</f>
        <v>Augmentation</v>
      </c>
      <c r="X230" s="7" t="str">
        <f>IFERROR(VLOOKUP($S230,Mapping!$E$208:$K$236,5,0),"Contracts")</f>
        <v>Materials</v>
      </c>
      <c r="Y230" s="7" t="str">
        <f>IFERROR(VLOOKUP($S230,Mapping!$E$208:$K$236,7,0),"ENDirect")</f>
        <v>ENDirect</v>
      </c>
      <c r="Z230" s="7" t="str">
        <f>IFERROR(HLOOKUP(X230,'Calc|Weightings'!$U$5:$W$5,1,0),"Excl")</f>
        <v>Materials</v>
      </c>
      <c r="AA230" s="7" t="str">
        <f>VLOOKUP(Q230,Mapping!$E$11:$I$204,5,0)</f>
        <v>SCS</v>
      </c>
      <c r="AC230" s="35" t="s">
        <v>115</v>
      </c>
      <c r="AD230" s="35"/>
      <c r="AE230" s="35">
        <v>71015</v>
      </c>
      <c r="AF230" s="35" t="s">
        <v>463</v>
      </c>
      <c r="AG230" s="36">
        <v>22.981999999999999</v>
      </c>
      <c r="AI230" s="7" t="str">
        <f>VLOOKUP($AC230,Mapping!$E$11:$I$204,3,0)</f>
        <v>Connections</v>
      </c>
      <c r="AJ230" s="7" t="str">
        <f>IFERROR(VLOOKUP($AE230,Mapping!$E$208:$K$236,5,0),"Contracts")</f>
        <v>Materials</v>
      </c>
      <c r="AK230" s="7" t="str">
        <f>IFERROR(VLOOKUP($AE230,Mapping!$E$208:$K$236,7,0),"ENDirect")</f>
        <v>ENDirect</v>
      </c>
      <c r="AL230" s="7" t="str">
        <f>IFERROR(HLOOKUP(AJ230,'Calc|Weightings'!$U$5:$W$5,1,0),"Excl")</f>
        <v>Materials</v>
      </c>
      <c r="AM230" s="7" t="str">
        <f>VLOOKUP(AC230,Mapping!$E$11:$I$204,5,0)</f>
        <v>SCS</v>
      </c>
      <c r="AO230" s="35" t="s">
        <v>124</v>
      </c>
      <c r="AP230" s="35"/>
      <c r="AQ230" s="35">
        <v>71055</v>
      </c>
      <c r="AR230" s="35" t="s">
        <v>465</v>
      </c>
      <c r="AS230" s="121">
        <v>1.4025399999999999</v>
      </c>
      <c r="AU230" s="7" t="str">
        <f>VLOOKUP($AO230,Mapping!$E$11:$I$204,3,0)</f>
        <v>Augmentation</v>
      </c>
      <c r="AV230" s="7" t="str">
        <f>IFERROR(VLOOKUP($AQ230,Mapping!$E$208:$K$236,5,0),"Contracts")</f>
        <v>Contracts</v>
      </c>
      <c r="AW230" s="7" t="str">
        <f>IFERROR(VLOOKUP($AQ230,Mapping!$E$208:$K$236,7,0),"ENDirect")</f>
        <v>ENDirect</v>
      </c>
      <c r="AX230" s="7" t="str">
        <f>IFERROR(HLOOKUP(AV230,'Calc|Weightings'!$U$5:$W$5,1,0),"Excl")</f>
        <v>Contracts</v>
      </c>
      <c r="AY230" s="7" t="str">
        <f>VLOOKUP(AO230,Mapping!$E$11:$I$204,5,0)</f>
        <v>SCS</v>
      </c>
    </row>
    <row r="231" spans="1:51" x14ac:dyDescent="0.3">
      <c r="A231" s="7"/>
      <c r="B231" s="7"/>
      <c r="C231" s="7"/>
      <c r="D231" s="7"/>
      <c r="E231" s="32" t="s">
        <v>176</v>
      </c>
      <c r="F231" s="32"/>
      <c r="G231" s="32">
        <v>70815</v>
      </c>
      <c r="H231" s="32" t="s">
        <v>451</v>
      </c>
      <c r="I231" s="33">
        <v>53.566000000000003</v>
      </c>
      <c r="J231" s="170"/>
      <c r="K231" s="7" t="str">
        <f>VLOOKUP($E231,Mapping!$E$11:$I$204,3,0)</f>
        <v>Replacement</v>
      </c>
      <c r="L231" s="7" t="str">
        <f>IFERROR(VLOOKUP($G231,Mapping!$E$208:$K$236,5,0),"Contracts")</f>
        <v>Materials</v>
      </c>
      <c r="M231" s="7" t="str">
        <f>IFERROR(VLOOKUP($G231,Mapping!$E$208:$K$236,7,0),"ENDirect")</f>
        <v>ENDirect</v>
      </c>
      <c r="N231" s="7" t="str">
        <f>IFERROR(HLOOKUP(L231,'Calc|Weightings'!$U$5:$W$5,1,0),"Excl")</f>
        <v>Materials</v>
      </c>
      <c r="O231" s="7" t="str">
        <f>VLOOKUP(E231,Mapping!$E$11:$I$204,5,0)</f>
        <v>SCS</v>
      </c>
      <c r="Q231" s="32" t="s">
        <v>145</v>
      </c>
      <c r="R231" s="32"/>
      <c r="S231" s="32">
        <v>71010</v>
      </c>
      <c r="T231" s="32" t="s">
        <v>462</v>
      </c>
      <c r="U231" s="33">
        <v>812.06100000000004</v>
      </c>
      <c r="V231" s="7"/>
      <c r="W231" s="7" t="str">
        <f>VLOOKUP($Q231,Mapping!$E$11:$I$204,3,0)</f>
        <v>Augmentation</v>
      </c>
      <c r="X231" s="7" t="str">
        <f>IFERROR(VLOOKUP($S231,Mapping!$E$208:$K$236,5,0),"Contracts")</f>
        <v>Labour</v>
      </c>
      <c r="Y231" s="7" t="str">
        <f>IFERROR(VLOOKUP($S231,Mapping!$E$208:$K$236,7,0),"ENDirect")</f>
        <v>ENDirect</v>
      </c>
      <c r="Z231" s="7" t="str">
        <f>IFERROR(HLOOKUP(X231,'Calc|Weightings'!$U$5:$W$5,1,0),"Excl")</f>
        <v>Labour</v>
      </c>
      <c r="AA231" s="7" t="str">
        <f>VLOOKUP(Q231,Mapping!$E$11:$I$204,5,0)</f>
        <v>SCS</v>
      </c>
      <c r="AC231" s="35" t="s">
        <v>115</v>
      </c>
      <c r="AD231" s="35"/>
      <c r="AE231" s="35">
        <v>71020</v>
      </c>
      <c r="AF231" s="35" t="s">
        <v>459</v>
      </c>
      <c r="AG231" s="36">
        <v>0.76</v>
      </c>
      <c r="AI231" s="7" t="str">
        <f>VLOOKUP($AC231,Mapping!$E$11:$I$204,3,0)</f>
        <v>Connections</v>
      </c>
      <c r="AJ231" s="7" t="str">
        <f>IFERROR(VLOOKUP($AE231,Mapping!$E$208:$K$236,5,0),"Contracts")</f>
        <v>Contracts</v>
      </c>
      <c r="AK231" s="7" t="str">
        <f>IFERROR(VLOOKUP($AE231,Mapping!$E$208:$K$236,7,0),"ENDirect")</f>
        <v>ENDirect</v>
      </c>
      <c r="AL231" s="7" t="str">
        <f>IFERROR(HLOOKUP(AJ231,'Calc|Weightings'!$U$5:$W$5,1,0),"Excl")</f>
        <v>Contracts</v>
      </c>
      <c r="AM231" s="7" t="str">
        <f>VLOOKUP(AC231,Mapping!$E$11:$I$204,5,0)</f>
        <v>SCS</v>
      </c>
      <c r="AO231" s="35" t="s">
        <v>124</v>
      </c>
      <c r="AP231" s="35"/>
      <c r="AQ231" s="35">
        <v>71075</v>
      </c>
      <c r="AR231" s="35" t="s">
        <v>587</v>
      </c>
      <c r="AS231" s="121">
        <v>12.181179999999998</v>
      </c>
      <c r="AU231" s="7" t="str">
        <f>VLOOKUP($AO231,Mapping!$E$11:$I$204,3,0)</f>
        <v>Augmentation</v>
      </c>
      <c r="AV231" s="7" t="str">
        <f>IFERROR(VLOOKUP($AQ231,Mapping!$E$208:$K$236,5,0),"Contracts")</f>
        <v>Contracts</v>
      </c>
      <c r="AW231" s="7" t="str">
        <f>IFERROR(VLOOKUP($AQ231,Mapping!$E$208:$K$236,7,0),"ENDirect")</f>
        <v>ENDirect</v>
      </c>
      <c r="AX231" s="7" t="str">
        <f>IFERROR(HLOOKUP(AV231,'Calc|Weightings'!$U$5:$W$5,1,0),"Excl")</f>
        <v>Contracts</v>
      </c>
      <c r="AY231" s="7" t="str">
        <f>VLOOKUP(AO231,Mapping!$E$11:$I$204,5,0)</f>
        <v>SCS</v>
      </c>
    </row>
    <row r="232" spans="1:51" x14ac:dyDescent="0.3">
      <c r="A232" s="7"/>
      <c r="B232" s="7"/>
      <c r="C232" s="7"/>
      <c r="D232" s="7"/>
      <c r="E232" s="32" t="s">
        <v>118</v>
      </c>
      <c r="F232" s="32"/>
      <c r="G232" s="32">
        <v>72345</v>
      </c>
      <c r="H232" s="32" t="s">
        <v>467</v>
      </c>
      <c r="I232" s="33">
        <v>165.298</v>
      </c>
      <c r="J232" s="170"/>
      <c r="K232" s="7" t="str">
        <f>VLOOKUP($E232,Mapping!$E$11:$I$204,3,0)</f>
        <v>Connections</v>
      </c>
      <c r="L232" s="7" t="str">
        <f>IFERROR(VLOOKUP($G232,Mapping!$E$208:$K$236,5,0),"Contracts")</f>
        <v>Contracts</v>
      </c>
      <c r="M232" s="7" t="str">
        <f>IFERROR(VLOOKUP($G232,Mapping!$E$208:$K$236,7,0),"ENDirect")</f>
        <v>ENDirect</v>
      </c>
      <c r="N232" s="7" t="str">
        <f>IFERROR(HLOOKUP(L232,'Calc|Weightings'!$U$5:$W$5,1,0),"Excl")</f>
        <v>Contracts</v>
      </c>
      <c r="O232" s="7" t="str">
        <f>VLOOKUP(E232,Mapping!$E$11:$I$204,5,0)</f>
        <v>SCS</v>
      </c>
      <c r="Q232" s="32" t="s">
        <v>145</v>
      </c>
      <c r="R232" s="32"/>
      <c r="S232" s="32">
        <v>71015</v>
      </c>
      <c r="T232" s="32" t="s">
        <v>463</v>
      </c>
      <c r="U232" s="33">
        <v>324.82400000000001</v>
      </c>
      <c r="V232" s="7"/>
      <c r="W232" s="7" t="str">
        <f>VLOOKUP($Q232,Mapping!$E$11:$I$204,3,0)</f>
        <v>Augmentation</v>
      </c>
      <c r="X232" s="7" t="str">
        <f>IFERROR(VLOOKUP($S232,Mapping!$E$208:$K$236,5,0),"Contracts")</f>
        <v>Materials</v>
      </c>
      <c r="Y232" s="7" t="str">
        <f>IFERROR(VLOOKUP($S232,Mapping!$E$208:$K$236,7,0),"ENDirect")</f>
        <v>ENDirect</v>
      </c>
      <c r="Z232" s="7" t="str">
        <f>IFERROR(HLOOKUP(X232,'Calc|Weightings'!$U$5:$W$5,1,0),"Excl")</f>
        <v>Materials</v>
      </c>
      <c r="AA232" s="7" t="str">
        <f>VLOOKUP(Q232,Mapping!$E$11:$I$204,5,0)</f>
        <v>SCS</v>
      </c>
      <c r="AC232" s="35" t="s">
        <v>551</v>
      </c>
      <c r="AD232" s="35"/>
      <c r="AE232" s="35">
        <v>71010</v>
      </c>
      <c r="AF232" s="35" t="s">
        <v>462</v>
      </c>
      <c r="AG232" s="36">
        <v>342.72800000000001</v>
      </c>
      <c r="AI232" s="7" t="str">
        <f>VLOOKUP($AC232,Mapping!$E$11:$I$204,3,0)</f>
        <v>Connections</v>
      </c>
      <c r="AJ232" s="7" t="str">
        <f>IFERROR(VLOOKUP($AE232,Mapping!$E$208:$K$236,5,0),"Contracts")</f>
        <v>Labour</v>
      </c>
      <c r="AK232" s="7" t="str">
        <f>IFERROR(VLOOKUP($AE232,Mapping!$E$208:$K$236,7,0),"ENDirect")</f>
        <v>ENDirect</v>
      </c>
      <c r="AL232" s="7" t="str">
        <f>IFERROR(HLOOKUP(AJ232,'Calc|Weightings'!$U$5:$W$5,1,0),"Excl")</f>
        <v>Labour</v>
      </c>
      <c r="AM232" s="7" t="str">
        <f>VLOOKUP(AC232,Mapping!$E$11:$I$204,5,0)</f>
        <v>SCS</v>
      </c>
      <c r="AO232" s="35" t="s">
        <v>124</v>
      </c>
      <c r="AP232" s="35"/>
      <c r="AQ232" s="35">
        <v>80000</v>
      </c>
      <c r="AR232" s="35" t="s">
        <v>589</v>
      </c>
      <c r="AS232" s="121">
        <v>25.810609999999997</v>
      </c>
      <c r="AU232" s="7" t="str">
        <f>VLOOKUP($AO232,Mapping!$E$11:$I$204,3,0)</f>
        <v>Augmentation</v>
      </c>
      <c r="AV232" s="7" t="str">
        <f>IFERROR(VLOOKUP($AQ232,Mapping!$E$208:$K$236,5,0),"Contracts")</f>
        <v>Overhead</v>
      </c>
      <c r="AW232" s="7" t="str">
        <f>IFERROR(VLOOKUP($AQ232,Mapping!$E$208:$K$236,7,0),"ENDirect")</f>
        <v>OH</v>
      </c>
      <c r="AX232" s="7" t="str">
        <f>IFERROR(HLOOKUP(AV232,'Calc|Weightings'!$U$5:$W$5,1,0),"Excl")</f>
        <v>Excl</v>
      </c>
      <c r="AY232" s="7" t="str">
        <f>VLOOKUP(AO232,Mapping!$E$11:$I$204,5,0)</f>
        <v>SCS</v>
      </c>
    </row>
    <row r="233" spans="1:51" x14ac:dyDescent="0.3">
      <c r="A233" s="7"/>
      <c r="B233" s="7"/>
      <c r="C233" s="7"/>
      <c r="D233" s="7"/>
      <c r="E233" s="32" t="s">
        <v>108</v>
      </c>
      <c r="F233" s="32"/>
      <c r="G233" s="32">
        <v>71000</v>
      </c>
      <c r="H233" s="32" t="s">
        <v>457</v>
      </c>
      <c r="I233" s="33">
        <v>39.192999999999998</v>
      </c>
      <c r="J233" s="170"/>
      <c r="K233" s="7" t="str">
        <f>VLOOKUP($E233,Mapping!$E$11:$I$204,3,0)</f>
        <v>Public Lighting</v>
      </c>
      <c r="L233" s="7" t="str">
        <f>IFERROR(VLOOKUP($G233,Mapping!$E$208:$K$236,5,0),"Contracts")</f>
        <v>Labour</v>
      </c>
      <c r="M233" s="7" t="str">
        <f>IFERROR(VLOOKUP($G233,Mapping!$E$208:$K$236,7,0),"ENDirect")</f>
        <v>ENDirect</v>
      </c>
      <c r="N233" s="7" t="str">
        <f>IFERROR(HLOOKUP(L233,'Calc|Weightings'!$U$5:$W$5,1,0),"Excl")</f>
        <v>Labour</v>
      </c>
      <c r="O233" s="7" t="str">
        <f>VLOOKUP(E233,Mapping!$E$11:$I$204,5,0)</f>
        <v>Public Lighting</v>
      </c>
      <c r="Q233" s="32" t="s">
        <v>145</v>
      </c>
      <c r="R233" s="32"/>
      <c r="S233" s="32">
        <v>71030</v>
      </c>
      <c r="T233" s="32" t="s">
        <v>464</v>
      </c>
      <c r="U233" s="33">
        <v>284.88099999999997</v>
      </c>
      <c r="V233" s="7"/>
      <c r="W233" s="7" t="str">
        <f>VLOOKUP($Q233,Mapping!$E$11:$I$204,3,0)</f>
        <v>Augmentation</v>
      </c>
      <c r="X233" s="7" t="str">
        <f>IFERROR(VLOOKUP($S233,Mapping!$E$208:$K$236,5,0),"Contracts")</f>
        <v>Contracts</v>
      </c>
      <c r="Y233" s="7" t="str">
        <f>IFERROR(VLOOKUP($S233,Mapping!$E$208:$K$236,7,0),"ENDirect")</f>
        <v>ENDirect</v>
      </c>
      <c r="Z233" s="7" t="str">
        <f>IFERROR(HLOOKUP(X233,'Calc|Weightings'!$U$5:$W$5,1,0),"Excl")</f>
        <v>Contracts</v>
      </c>
      <c r="AA233" s="7" t="str">
        <f>VLOOKUP(Q233,Mapping!$E$11:$I$204,5,0)</f>
        <v>SCS</v>
      </c>
      <c r="AC233" s="35" t="s">
        <v>551</v>
      </c>
      <c r="AD233" s="35"/>
      <c r="AE233" s="35">
        <v>71030</v>
      </c>
      <c r="AF233" s="35" t="s">
        <v>464</v>
      </c>
      <c r="AG233" s="36">
        <v>121.60899999999999</v>
      </c>
      <c r="AI233" s="7" t="str">
        <f>VLOOKUP($AC233,Mapping!$E$11:$I$204,3,0)</f>
        <v>Connections</v>
      </c>
      <c r="AJ233" s="7" t="str">
        <f>IFERROR(VLOOKUP($AE233,Mapping!$E$208:$K$236,5,0),"Contracts")</f>
        <v>Contracts</v>
      </c>
      <c r="AK233" s="7" t="str">
        <f>IFERROR(VLOOKUP($AE233,Mapping!$E$208:$K$236,7,0),"ENDirect")</f>
        <v>ENDirect</v>
      </c>
      <c r="AL233" s="7" t="str">
        <f>IFERROR(HLOOKUP(AJ233,'Calc|Weightings'!$U$5:$W$5,1,0),"Excl")</f>
        <v>Contracts</v>
      </c>
      <c r="AM233" s="7" t="str">
        <f>VLOOKUP(AC233,Mapping!$E$11:$I$204,5,0)</f>
        <v>SCS</v>
      </c>
      <c r="AO233" s="35" t="s">
        <v>124</v>
      </c>
      <c r="AP233" s="35"/>
      <c r="AQ233" s="35">
        <v>83010</v>
      </c>
      <c r="AR233" s="35" t="s">
        <v>591</v>
      </c>
      <c r="AS233" s="121">
        <v>76.468650000000011</v>
      </c>
      <c r="AU233" s="7" t="str">
        <f>VLOOKUP($AO233,Mapping!$E$11:$I$204,3,0)</f>
        <v>Augmentation</v>
      </c>
      <c r="AV233" s="7" t="str">
        <f>IFERROR(VLOOKUP($AQ233,Mapping!$E$208:$K$236,5,0),"Contracts")</f>
        <v>Contracts</v>
      </c>
      <c r="AW233" s="7" t="str">
        <f>IFERROR(VLOOKUP($AQ233,Mapping!$E$208:$K$236,7,0),"ENDirect")</f>
        <v>ENDirect</v>
      </c>
      <c r="AX233" s="7" t="str">
        <f>IFERROR(HLOOKUP(AV233,'Calc|Weightings'!$U$5:$W$5,1,0),"Excl")</f>
        <v>Contracts</v>
      </c>
      <c r="AY233" s="7" t="str">
        <f>VLOOKUP(AO233,Mapping!$E$11:$I$204,5,0)</f>
        <v>SCS</v>
      </c>
    </row>
    <row r="234" spans="1:51" x14ac:dyDescent="0.3">
      <c r="A234" s="7"/>
      <c r="B234" s="7"/>
      <c r="C234" s="7"/>
      <c r="D234" s="7"/>
      <c r="E234" s="32" t="s">
        <v>108</v>
      </c>
      <c r="F234" s="32"/>
      <c r="G234" s="32">
        <v>71005</v>
      </c>
      <c r="H234" s="32" t="s">
        <v>461</v>
      </c>
      <c r="I234" s="33">
        <v>87.738</v>
      </c>
      <c r="J234" s="170"/>
      <c r="K234" s="7" t="str">
        <f>VLOOKUP($E234,Mapping!$E$11:$I$204,3,0)</f>
        <v>Public Lighting</v>
      </c>
      <c r="L234" s="7" t="str">
        <f>IFERROR(VLOOKUP($G234,Mapping!$E$208:$K$236,5,0),"Contracts")</f>
        <v>Materials</v>
      </c>
      <c r="M234" s="7" t="str">
        <f>IFERROR(VLOOKUP($G234,Mapping!$E$208:$K$236,7,0),"ENDirect")</f>
        <v>ENDirect</v>
      </c>
      <c r="N234" s="7" t="str">
        <f>IFERROR(HLOOKUP(L234,'Calc|Weightings'!$U$5:$W$5,1,0),"Excl")</f>
        <v>Materials</v>
      </c>
      <c r="O234" s="7" t="str">
        <f>VLOOKUP(E234,Mapping!$E$11:$I$204,5,0)</f>
        <v>Public Lighting</v>
      </c>
      <c r="Q234" s="32" t="s">
        <v>145</v>
      </c>
      <c r="R234" s="32"/>
      <c r="S234" s="32">
        <v>71045</v>
      </c>
      <c r="T234" s="32" t="s">
        <v>469</v>
      </c>
      <c r="U234" s="33">
        <v>19.95</v>
      </c>
      <c r="V234" s="7"/>
      <c r="W234" s="7" t="str">
        <f>VLOOKUP($Q234,Mapping!$E$11:$I$204,3,0)</f>
        <v>Augmentation</v>
      </c>
      <c r="X234" s="7" t="str">
        <f>IFERROR(VLOOKUP($S234,Mapping!$E$208:$K$236,5,0),"Contracts")</f>
        <v>Materials</v>
      </c>
      <c r="Y234" s="7" t="str">
        <f>IFERROR(VLOOKUP($S234,Mapping!$E$208:$K$236,7,0),"ENDirect")</f>
        <v>ENDirect</v>
      </c>
      <c r="Z234" s="7" t="str">
        <f>IFERROR(HLOOKUP(X234,'Calc|Weightings'!$U$5:$W$5,1,0),"Excl")</f>
        <v>Materials</v>
      </c>
      <c r="AA234" s="7" t="str">
        <f>VLOOKUP(Q234,Mapping!$E$11:$I$204,5,0)</f>
        <v>SCS</v>
      </c>
      <c r="AC234" s="35" t="s">
        <v>551</v>
      </c>
      <c r="AD234" s="35"/>
      <c r="AE234" s="35">
        <v>71055</v>
      </c>
      <c r="AF234" s="35" t="s">
        <v>465</v>
      </c>
      <c r="AG234" s="36">
        <v>242.816</v>
      </c>
      <c r="AI234" s="7" t="str">
        <f>VLOOKUP($AC234,Mapping!$E$11:$I$204,3,0)</f>
        <v>Connections</v>
      </c>
      <c r="AJ234" s="7" t="str">
        <f>IFERROR(VLOOKUP($AE234,Mapping!$E$208:$K$236,5,0),"Contracts")</f>
        <v>Contracts</v>
      </c>
      <c r="AK234" s="7" t="str">
        <f>IFERROR(VLOOKUP($AE234,Mapping!$E$208:$K$236,7,0),"ENDirect")</f>
        <v>ENDirect</v>
      </c>
      <c r="AL234" s="7" t="str">
        <f>IFERROR(HLOOKUP(AJ234,'Calc|Weightings'!$U$5:$W$5,1,0),"Excl")</f>
        <v>Contracts</v>
      </c>
      <c r="AM234" s="7" t="str">
        <f>VLOOKUP(AC234,Mapping!$E$11:$I$204,5,0)</f>
        <v>SCS</v>
      </c>
      <c r="AO234" s="35" t="s">
        <v>125</v>
      </c>
      <c r="AP234" s="35"/>
      <c r="AQ234" s="35">
        <v>70815</v>
      </c>
      <c r="AR234" s="35" t="s">
        <v>594</v>
      </c>
      <c r="AS234" s="121">
        <v>262.01574999999997</v>
      </c>
      <c r="AU234" s="7" t="str">
        <f>VLOOKUP($AO234,Mapping!$E$11:$I$204,3,0)</f>
        <v>Augmentation</v>
      </c>
      <c r="AV234" s="7" t="str">
        <f>IFERROR(VLOOKUP($AQ234,Mapping!$E$208:$K$236,5,0),"Contracts")</f>
        <v>Materials</v>
      </c>
      <c r="AW234" s="7" t="str">
        <f>IFERROR(VLOOKUP($AQ234,Mapping!$E$208:$K$236,7,0),"ENDirect")</f>
        <v>ENDirect</v>
      </c>
      <c r="AX234" s="7" t="str">
        <f>IFERROR(HLOOKUP(AV234,'Calc|Weightings'!$U$5:$W$5,1,0),"Excl")</f>
        <v>Materials</v>
      </c>
      <c r="AY234" s="7" t="str">
        <f>VLOOKUP(AO234,Mapping!$E$11:$I$204,5,0)</f>
        <v>SCS</v>
      </c>
    </row>
    <row r="235" spans="1:51" x14ac:dyDescent="0.3">
      <c r="A235" s="7"/>
      <c r="B235" s="7"/>
      <c r="C235" s="7"/>
      <c r="D235" s="7"/>
      <c r="E235" s="32" t="s">
        <v>108</v>
      </c>
      <c r="F235" s="32"/>
      <c r="G235" s="32">
        <v>71030</v>
      </c>
      <c r="H235" s="32" t="s">
        <v>464</v>
      </c>
      <c r="I235" s="33">
        <v>18.196000000000002</v>
      </c>
      <c r="J235" s="170"/>
      <c r="K235" s="7" t="str">
        <f>VLOOKUP($E235,Mapping!$E$11:$I$204,3,0)</f>
        <v>Public Lighting</v>
      </c>
      <c r="L235" s="7" t="str">
        <f>IFERROR(VLOOKUP($G235,Mapping!$E$208:$K$236,5,0),"Contracts")</f>
        <v>Contracts</v>
      </c>
      <c r="M235" s="7" t="str">
        <f>IFERROR(VLOOKUP($G235,Mapping!$E$208:$K$236,7,0),"ENDirect")</f>
        <v>ENDirect</v>
      </c>
      <c r="N235" s="7" t="str">
        <f>IFERROR(HLOOKUP(L235,'Calc|Weightings'!$U$5:$W$5,1,0),"Excl")</f>
        <v>Contracts</v>
      </c>
      <c r="O235" s="7" t="str">
        <f>VLOOKUP(E235,Mapping!$E$11:$I$204,5,0)</f>
        <v>Public Lighting</v>
      </c>
      <c r="Q235" s="32" t="s">
        <v>145</v>
      </c>
      <c r="R235" s="32"/>
      <c r="S235" s="32">
        <v>71055</v>
      </c>
      <c r="T235" s="32" t="s">
        <v>465</v>
      </c>
      <c r="U235" s="33">
        <v>609.85</v>
      </c>
      <c r="V235" s="7"/>
      <c r="W235" s="7" t="str">
        <f>VLOOKUP($Q235,Mapping!$E$11:$I$204,3,0)</f>
        <v>Augmentation</v>
      </c>
      <c r="X235" s="7" t="str">
        <f>IFERROR(VLOOKUP($S235,Mapping!$E$208:$K$236,5,0),"Contracts")</f>
        <v>Contracts</v>
      </c>
      <c r="Y235" s="7" t="str">
        <f>IFERROR(VLOOKUP($S235,Mapping!$E$208:$K$236,7,0),"ENDirect")</f>
        <v>ENDirect</v>
      </c>
      <c r="Z235" s="7" t="str">
        <f>IFERROR(HLOOKUP(X235,'Calc|Weightings'!$U$5:$W$5,1,0),"Excl")</f>
        <v>Contracts</v>
      </c>
      <c r="AA235" s="7" t="str">
        <f>VLOOKUP(Q235,Mapping!$E$11:$I$204,5,0)</f>
        <v>SCS</v>
      </c>
      <c r="AC235" s="35" t="s">
        <v>551</v>
      </c>
      <c r="AD235" s="35"/>
      <c r="AE235" s="35">
        <v>80000</v>
      </c>
      <c r="AF235" s="35" t="s">
        <v>453</v>
      </c>
      <c r="AG235" s="36">
        <v>239.124</v>
      </c>
      <c r="AI235" s="7" t="str">
        <f>VLOOKUP($AC235,Mapping!$E$11:$I$204,3,0)</f>
        <v>Connections</v>
      </c>
      <c r="AJ235" s="7" t="str">
        <f>IFERROR(VLOOKUP($AE235,Mapping!$E$208:$K$236,5,0),"Contracts")</f>
        <v>Overhead</v>
      </c>
      <c r="AK235" s="7" t="str">
        <f>IFERROR(VLOOKUP($AE235,Mapping!$E$208:$K$236,7,0),"ENDirect")</f>
        <v>OH</v>
      </c>
      <c r="AL235" s="7" t="str">
        <f>IFERROR(HLOOKUP(AJ235,'Calc|Weightings'!$U$5:$W$5,1,0),"Excl")</f>
        <v>Excl</v>
      </c>
      <c r="AM235" s="7" t="str">
        <f>VLOOKUP(AC235,Mapping!$E$11:$I$204,5,0)</f>
        <v>SCS</v>
      </c>
      <c r="AO235" s="35" t="s">
        <v>125</v>
      </c>
      <c r="AP235" s="35"/>
      <c r="AQ235" s="35">
        <v>71000</v>
      </c>
      <c r="AR235" s="35" t="s">
        <v>457</v>
      </c>
      <c r="AS235" s="121">
        <v>1489.0988799999998</v>
      </c>
      <c r="AU235" s="7" t="str">
        <f>VLOOKUP($AO235,Mapping!$E$11:$I$204,3,0)</f>
        <v>Augmentation</v>
      </c>
      <c r="AV235" s="7" t="str">
        <f>IFERROR(VLOOKUP($AQ235,Mapping!$E$208:$K$236,5,0),"Contracts")</f>
        <v>Labour</v>
      </c>
      <c r="AW235" s="7" t="str">
        <f>IFERROR(VLOOKUP($AQ235,Mapping!$E$208:$K$236,7,0),"ENDirect")</f>
        <v>ENDirect</v>
      </c>
      <c r="AX235" s="7" t="str">
        <f>IFERROR(HLOOKUP(AV235,'Calc|Weightings'!$U$5:$W$5,1,0),"Excl")</f>
        <v>Labour</v>
      </c>
      <c r="AY235" s="7" t="str">
        <f>VLOOKUP(AO235,Mapping!$E$11:$I$204,5,0)</f>
        <v>SCS</v>
      </c>
    </row>
    <row r="236" spans="1:51" x14ac:dyDescent="0.3">
      <c r="A236" s="7"/>
      <c r="B236" s="7"/>
      <c r="C236" s="7"/>
      <c r="D236" s="7"/>
      <c r="E236" s="32" t="s">
        <v>108</v>
      </c>
      <c r="F236" s="32"/>
      <c r="G236" s="32">
        <v>71040</v>
      </c>
      <c r="H236" s="32" t="s">
        <v>460</v>
      </c>
      <c r="I236" s="33">
        <v>-1.034</v>
      </c>
      <c r="J236" s="170"/>
      <c r="K236" s="7" t="str">
        <f>VLOOKUP($E236,Mapping!$E$11:$I$204,3,0)</f>
        <v>Public Lighting</v>
      </c>
      <c r="L236" s="7" t="str">
        <f>IFERROR(VLOOKUP($G236,Mapping!$E$208:$K$236,5,0),"Contracts")</f>
        <v>Contracts</v>
      </c>
      <c r="M236" s="7" t="str">
        <f>IFERROR(VLOOKUP($G236,Mapping!$E$208:$K$236,7,0),"ENDirect")</f>
        <v>ENDirect</v>
      </c>
      <c r="N236" s="7" t="str">
        <f>IFERROR(HLOOKUP(L236,'Calc|Weightings'!$U$5:$W$5,1,0),"Excl")</f>
        <v>Contracts</v>
      </c>
      <c r="O236" s="7" t="str">
        <f>VLOOKUP(E236,Mapping!$E$11:$I$204,5,0)</f>
        <v>Public Lighting</v>
      </c>
      <c r="Q236" s="32" t="s">
        <v>145</v>
      </c>
      <c r="R236" s="32"/>
      <c r="S236" s="32">
        <v>80000</v>
      </c>
      <c r="T236" s="32" t="s">
        <v>453</v>
      </c>
      <c r="U236" s="33">
        <v>604.89</v>
      </c>
      <c r="V236" s="7"/>
      <c r="W236" s="7" t="str">
        <f>VLOOKUP($Q236,Mapping!$E$11:$I$204,3,0)</f>
        <v>Augmentation</v>
      </c>
      <c r="X236" s="7" t="str">
        <f>IFERROR(VLOOKUP($S236,Mapping!$E$208:$K$236,5,0),"Contracts")</f>
        <v>Overhead</v>
      </c>
      <c r="Y236" s="7" t="str">
        <f>IFERROR(VLOOKUP($S236,Mapping!$E$208:$K$236,7,0),"ENDirect")</f>
        <v>OH</v>
      </c>
      <c r="Z236" s="7" t="str">
        <f>IFERROR(HLOOKUP(X236,'Calc|Weightings'!$U$5:$W$5,1,0),"Excl")</f>
        <v>Excl</v>
      </c>
      <c r="AA236" s="7" t="str">
        <f>VLOOKUP(Q236,Mapping!$E$11:$I$204,5,0)</f>
        <v>SCS</v>
      </c>
      <c r="AC236" s="35" t="s">
        <v>130</v>
      </c>
      <c r="AD236" s="35"/>
      <c r="AE236" s="35">
        <v>70815</v>
      </c>
      <c r="AF236" s="35" t="s">
        <v>451</v>
      </c>
      <c r="AG236" s="36">
        <v>1343.979</v>
      </c>
      <c r="AI236" s="7" t="str">
        <f>VLOOKUP($AC236,Mapping!$E$11:$I$204,3,0)</f>
        <v>Non-network general assets - Other</v>
      </c>
      <c r="AJ236" s="7" t="str">
        <f>IFERROR(VLOOKUP($AE236,Mapping!$E$208:$K$236,5,0),"Contracts")</f>
        <v>Materials</v>
      </c>
      <c r="AK236" s="7" t="str">
        <f>IFERROR(VLOOKUP($AE236,Mapping!$E$208:$K$236,7,0),"ENDirect")</f>
        <v>ENDirect</v>
      </c>
      <c r="AL236" s="7" t="str">
        <f>IFERROR(HLOOKUP(AJ236,'Calc|Weightings'!$U$5:$W$5,1,0),"Excl")</f>
        <v>Materials</v>
      </c>
      <c r="AM236" s="7" t="str">
        <f>VLOOKUP(AC236,Mapping!$E$11:$I$204,5,0)</f>
        <v>SCS</v>
      </c>
      <c r="AO236" s="35" t="s">
        <v>125</v>
      </c>
      <c r="AP236" s="35"/>
      <c r="AQ236" s="35">
        <v>71005</v>
      </c>
      <c r="AR236" s="35" t="s">
        <v>461</v>
      </c>
      <c r="AS236" s="121">
        <v>704.31333000000006</v>
      </c>
      <c r="AU236" s="7" t="str">
        <f>VLOOKUP($AO236,Mapping!$E$11:$I$204,3,0)</f>
        <v>Augmentation</v>
      </c>
      <c r="AV236" s="7" t="str">
        <f>IFERROR(VLOOKUP($AQ236,Mapping!$E$208:$K$236,5,0),"Contracts")</f>
        <v>Materials</v>
      </c>
      <c r="AW236" s="7" t="str">
        <f>IFERROR(VLOOKUP($AQ236,Mapping!$E$208:$K$236,7,0),"ENDirect")</f>
        <v>ENDirect</v>
      </c>
      <c r="AX236" s="7" t="str">
        <f>IFERROR(HLOOKUP(AV236,'Calc|Weightings'!$U$5:$W$5,1,0),"Excl")</f>
        <v>Materials</v>
      </c>
      <c r="AY236" s="7" t="str">
        <f>VLOOKUP(AO236,Mapping!$E$11:$I$204,5,0)</f>
        <v>SCS</v>
      </c>
    </row>
    <row r="237" spans="1:51" x14ac:dyDescent="0.3">
      <c r="A237" s="7"/>
      <c r="B237" s="7"/>
      <c r="C237" s="7"/>
      <c r="D237" s="7"/>
      <c r="E237" s="32" t="s">
        <v>108</v>
      </c>
      <c r="F237" s="32"/>
      <c r="G237" s="32">
        <v>71055</v>
      </c>
      <c r="H237" s="32" t="s">
        <v>465</v>
      </c>
      <c r="I237" s="33">
        <v>35.207999999999998</v>
      </c>
      <c r="J237" s="170"/>
      <c r="K237" s="7" t="str">
        <f>VLOOKUP($E237,Mapping!$E$11:$I$204,3,0)</f>
        <v>Public Lighting</v>
      </c>
      <c r="L237" s="7" t="str">
        <f>IFERROR(VLOOKUP($G237,Mapping!$E$208:$K$236,5,0),"Contracts")</f>
        <v>Contracts</v>
      </c>
      <c r="M237" s="7" t="str">
        <f>IFERROR(VLOOKUP($G237,Mapping!$E$208:$K$236,7,0),"ENDirect")</f>
        <v>ENDirect</v>
      </c>
      <c r="N237" s="7" t="str">
        <f>IFERROR(HLOOKUP(L237,'Calc|Weightings'!$U$5:$W$5,1,0),"Excl")</f>
        <v>Contracts</v>
      </c>
      <c r="O237" s="7" t="str">
        <f>VLOOKUP(E237,Mapping!$E$11:$I$204,5,0)</f>
        <v>Public Lighting</v>
      </c>
      <c r="Q237" s="32" t="s">
        <v>551</v>
      </c>
      <c r="R237" s="32"/>
      <c r="S237" s="32">
        <v>71005</v>
      </c>
      <c r="T237" s="32" t="s">
        <v>461</v>
      </c>
      <c r="U237" s="33">
        <v>267.01100000000002</v>
      </c>
      <c r="V237" s="7"/>
      <c r="W237" s="7" t="str">
        <f>VLOOKUP($Q237,Mapping!$E$11:$I$204,3,0)</f>
        <v>Connections</v>
      </c>
      <c r="X237" s="7" t="str">
        <f>IFERROR(VLOOKUP($S237,Mapping!$E$208:$K$236,5,0),"Contracts")</f>
        <v>Materials</v>
      </c>
      <c r="Y237" s="7" t="str">
        <f>IFERROR(VLOOKUP($S237,Mapping!$E$208:$K$236,7,0),"ENDirect")</f>
        <v>ENDirect</v>
      </c>
      <c r="Z237" s="7" t="str">
        <f>IFERROR(HLOOKUP(X237,'Calc|Weightings'!$U$5:$W$5,1,0),"Excl")</f>
        <v>Materials</v>
      </c>
      <c r="AA237" s="7" t="str">
        <f>VLOOKUP(Q237,Mapping!$E$11:$I$204,5,0)</f>
        <v>SCS</v>
      </c>
      <c r="AC237" s="35" t="s">
        <v>111</v>
      </c>
      <c r="AD237" s="35"/>
      <c r="AE237" s="35">
        <v>71040</v>
      </c>
      <c r="AF237" s="35" t="s">
        <v>460</v>
      </c>
      <c r="AG237" s="36">
        <v>-120</v>
      </c>
      <c r="AI237" s="7" t="str">
        <f>VLOOKUP($AC237,Mapping!$E$11:$I$204,3,0)</f>
        <v>Connections</v>
      </c>
      <c r="AJ237" s="7" t="str">
        <f>IFERROR(VLOOKUP($AE237,Mapping!$E$208:$K$236,5,0),"Contracts")</f>
        <v>Contracts</v>
      </c>
      <c r="AK237" s="7" t="str">
        <f>IFERROR(VLOOKUP($AE237,Mapping!$E$208:$K$236,7,0),"ENDirect")</f>
        <v>ENDirect</v>
      </c>
      <c r="AL237" s="7" t="str">
        <f>IFERROR(HLOOKUP(AJ237,'Calc|Weightings'!$U$5:$W$5,1,0),"Excl")</f>
        <v>Contracts</v>
      </c>
      <c r="AM237" s="7" t="str">
        <f>VLOOKUP(AC237,Mapping!$E$11:$I$204,5,0)</f>
        <v>SCS</v>
      </c>
      <c r="AO237" s="35" t="s">
        <v>125</v>
      </c>
      <c r="AP237" s="35"/>
      <c r="AQ237" s="35">
        <v>71006</v>
      </c>
      <c r="AR237" s="35" t="s">
        <v>468</v>
      </c>
      <c r="AS237" s="121">
        <v>367.09500000000003</v>
      </c>
      <c r="AU237" s="7" t="str">
        <f>VLOOKUP($AO237,Mapping!$E$11:$I$204,3,0)</f>
        <v>Augmentation</v>
      </c>
      <c r="AV237" s="7" t="str">
        <f>IFERROR(VLOOKUP($AQ237,Mapping!$E$208:$K$236,5,0),"Contracts")</f>
        <v>Materials</v>
      </c>
      <c r="AW237" s="7" t="str">
        <f>IFERROR(VLOOKUP($AQ237,Mapping!$E$208:$K$236,7,0),"ENDirect")</f>
        <v>ENDirect</v>
      </c>
      <c r="AX237" s="7" t="str">
        <f>IFERROR(HLOOKUP(AV237,'Calc|Weightings'!$U$5:$W$5,1,0),"Excl")</f>
        <v>Materials</v>
      </c>
      <c r="AY237" s="7" t="str">
        <f>VLOOKUP(AO237,Mapping!$E$11:$I$204,5,0)</f>
        <v>SCS</v>
      </c>
    </row>
    <row r="238" spans="1:51" x14ac:dyDescent="0.3">
      <c r="A238" s="7"/>
      <c r="B238" s="7"/>
      <c r="C238" s="7"/>
      <c r="D238" s="7"/>
      <c r="E238" s="32" t="s">
        <v>108</v>
      </c>
      <c r="F238" s="32"/>
      <c r="G238" s="32">
        <v>80000</v>
      </c>
      <c r="H238" s="32" t="s">
        <v>453</v>
      </c>
      <c r="I238" s="33">
        <v>27.603000000000002</v>
      </c>
      <c r="J238" s="170"/>
      <c r="K238" s="7" t="str">
        <f>VLOOKUP($E238,Mapping!$E$11:$I$204,3,0)</f>
        <v>Public Lighting</v>
      </c>
      <c r="L238" s="7" t="str">
        <f>IFERROR(VLOOKUP($G238,Mapping!$E$208:$K$236,5,0),"Contracts")</f>
        <v>Overhead</v>
      </c>
      <c r="M238" s="7" t="str">
        <f>IFERROR(VLOOKUP($G238,Mapping!$E$208:$K$236,7,0),"ENDirect")</f>
        <v>OH</v>
      </c>
      <c r="N238" s="7" t="str">
        <f>IFERROR(HLOOKUP(L238,'Calc|Weightings'!$U$5:$W$5,1,0),"Excl")</f>
        <v>Excl</v>
      </c>
      <c r="O238" s="7" t="str">
        <f>VLOOKUP(E238,Mapping!$E$11:$I$204,5,0)</f>
        <v>Public Lighting</v>
      </c>
      <c r="Q238" s="32" t="s">
        <v>552</v>
      </c>
      <c r="R238" s="32"/>
      <c r="S238" s="32">
        <v>71005</v>
      </c>
      <c r="T238" s="32" t="s">
        <v>461</v>
      </c>
      <c r="U238" s="33">
        <v>847.34100000000001</v>
      </c>
      <c r="V238" s="7"/>
      <c r="W238" s="7" t="str">
        <f>VLOOKUP($Q238,Mapping!$E$11:$I$204,3,0)</f>
        <v>Connections</v>
      </c>
      <c r="X238" s="7" t="str">
        <f>IFERROR(VLOOKUP($S238,Mapping!$E$208:$K$236,5,0),"Contracts")</f>
        <v>Materials</v>
      </c>
      <c r="Y238" s="7" t="str">
        <f>IFERROR(VLOOKUP($S238,Mapping!$E$208:$K$236,7,0),"ENDirect")</f>
        <v>ENDirect</v>
      </c>
      <c r="Z238" s="7" t="str">
        <f>IFERROR(HLOOKUP(X238,'Calc|Weightings'!$U$5:$W$5,1,0),"Excl")</f>
        <v>Materials</v>
      </c>
      <c r="AA238" s="7" t="str">
        <f>VLOOKUP(Q238,Mapping!$E$11:$I$204,5,0)</f>
        <v>SCS</v>
      </c>
      <c r="AC238" s="35" t="s">
        <v>549</v>
      </c>
      <c r="AD238" s="35"/>
      <c r="AE238" s="35">
        <v>71020</v>
      </c>
      <c r="AF238" s="35" t="s">
        <v>459</v>
      </c>
      <c r="AG238" s="36">
        <v>3.718</v>
      </c>
      <c r="AI238" s="7" t="str">
        <f>VLOOKUP($AC238,Mapping!$E$11:$I$204,3,0)</f>
        <v>Connections</v>
      </c>
      <c r="AJ238" s="7" t="str">
        <f>IFERROR(VLOOKUP($AE238,Mapping!$E$208:$K$236,5,0),"Contracts")</f>
        <v>Contracts</v>
      </c>
      <c r="AK238" s="7" t="str">
        <f>IFERROR(VLOOKUP($AE238,Mapping!$E$208:$K$236,7,0),"ENDirect")</f>
        <v>ENDirect</v>
      </c>
      <c r="AL238" s="7" t="str">
        <f>IFERROR(HLOOKUP(AJ238,'Calc|Weightings'!$U$5:$W$5,1,0),"Excl")</f>
        <v>Contracts</v>
      </c>
      <c r="AM238" s="7" t="str">
        <f>VLOOKUP(AC238,Mapping!$E$11:$I$204,5,0)</f>
        <v>SCS</v>
      </c>
      <c r="AO238" s="35" t="s">
        <v>125</v>
      </c>
      <c r="AP238" s="35"/>
      <c r="AQ238" s="35">
        <v>71010</v>
      </c>
      <c r="AR238" s="35" t="s">
        <v>487</v>
      </c>
      <c r="AS238" s="121">
        <v>1219.6120000000001</v>
      </c>
      <c r="AU238" s="7" t="str">
        <f>VLOOKUP($AO238,Mapping!$E$11:$I$204,3,0)</f>
        <v>Augmentation</v>
      </c>
      <c r="AV238" s="7" t="str">
        <f>IFERROR(VLOOKUP($AQ238,Mapping!$E$208:$K$236,5,0),"Contracts")</f>
        <v>Labour</v>
      </c>
      <c r="AW238" s="7" t="str">
        <f>IFERROR(VLOOKUP($AQ238,Mapping!$E$208:$K$236,7,0),"ENDirect")</f>
        <v>ENDirect</v>
      </c>
      <c r="AX238" s="7" t="str">
        <f>IFERROR(HLOOKUP(AV238,'Calc|Weightings'!$U$5:$W$5,1,0),"Excl")</f>
        <v>Labour</v>
      </c>
      <c r="AY238" s="7" t="str">
        <f>VLOOKUP(AO238,Mapping!$E$11:$I$204,5,0)</f>
        <v>SCS</v>
      </c>
    </row>
    <row r="239" spans="1:51" x14ac:dyDescent="0.3">
      <c r="A239" s="7"/>
      <c r="B239" s="7"/>
      <c r="C239" s="7"/>
      <c r="D239" s="7"/>
      <c r="E239" s="32" t="s">
        <v>113</v>
      </c>
      <c r="F239" s="32"/>
      <c r="G239" s="32">
        <v>71010</v>
      </c>
      <c r="H239" s="32" t="s">
        <v>462</v>
      </c>
      <c r="I239" s="33">
        <v>252.78299999999999</v>
      </c>
      <c r="J239" s="170"/>
      <c r="K239" s="7" t="str">
        <f>VLOOKUP($E239,Mapping!$E$11:$I$204,3,0)</f>
        <v>Connections</v>
      </c>
      <c r="L239" s="7" t="str">
        <f>IFERROR(VLOOKUP($G239,Mapping!$E$208:$K$236,5,0),"Contracts")</f>
        <v>Labour</v>
      </c>
      <c r="M239" s="7" t="str">
        <f>IFERROR(VLOOKUP($G239,Mapping!$E$208:$K$236,7,0),"ENDirect")</f>
        <v>ENDirect</v>
      </c>
      <c r="N239" s="7" t="str">
        <f>IFERROR(HLOOKUP(L239,'Calc|Weightings'!$U$5:$W$5,1,0),"Excl")</f>
        <v>Labour</v>
      </c>
      <c r="O239" s="7" t="str">
        <f>VLOOKUP(E239,Mapping!$E$11:$I$204,5,0)</f>
        <v>SCS</v>
      </c>
      <c r="Q239" s="32" t="s">
        <v>122</v>
      </c>
      <c r="R239" s="32"/>
      <c r="S239" s="32">
        <v>71005</v>
      </c>
      <c r="T239" s="32" t="s">
        <v>461</v>
      </c>
      <c r="U239" s="33">
        <v>450.61700000000002</v>
      </c>
      <c r="V239" s="7"/>
      <c r="W239" s="7" t="str">
        <f>VLOOKUP($Q239,Mapping!$E$11:$I$204,3,0)</f>
        <v>Augmentation</v>
      </c>
      <c r="X239" s="7" t="str">
        <f>IFERROR(VLOOKUP($S239,Mapping!$E$208:$K$236,5,0),"Contracts")</f>
        <v>Materials</v>
      </c>
      <c r="Y239" s="7" t="str">
        <f>IFERROR(VLOOKUP($S239,Mapping!$E$208:$K$236,7,0),"ENDirect")</f>
        <v>ENDirect</v>
      </c>
      <c r="Z239" s="7" t="str">
        <f>IFERROR(HLOOKUP(X239,'Calc|Weightings'!$U$5:$W$5,1,0),"Excl")</f>
        <v>Materials</v>
      </c>
      <c r="AA239" s="7" t="str">
        <f>VLOOKUP(Q239,Mapping!$E$11:$I$204,5,0)</f>
        <v>SCS</v>
      </c>
      <c r="AC239" s="35" t="s">
        <v>162</v>
      </c>
      <c r="AD239" s="35"/>
      <c r="AE239" s="35">
        <v>70815</v>
      </c>
      <c r="AF239" s="35" t="s">
        <v>451</v>
      </c>
      <c r="AG239" s="36">
        <v>962.58500000000004</v>
      </c>
      <c r="AI239" s="7" t="str">
        <f>VLOOKUP($AC239,Mapping!$E$11:$I$204,3,0)</f>
        <v>Replacement</v>
      </c>
      <c r="AJ239" s="7" t="str">
        <f>IFERROR(VLOOKUP($AE239,Mapping!$E$208:$K$236,5,0),"Contracts")</f>
        <v>Materials</v>
      </c>
      <c r="AK239" s="7" t="str">
        <f>IFERROR(VLOOKUP($AE239,Mapping!$E$208:$K$236,7,0),"ENDirect")</f>
        <v>ENDirect</v>
      </c>
      <c r="AL239" s="7" t="str">
        <f>IFERROR(HLOOKUP(AJ239,'Calc|Weightings'!$U$5:$W$5,1,0),"Excl")</f>
        <v>Materials</v>
      </c>
      <c r="AM239" s="7" t="str">
        <f>VLOOKUP(AC239,Mapping!$E$11:$I$204,5,0)</f>
        <v>SCS</v>
      </c>
      <c r="AO239" s="35" t="s">
        <v>125</v>
      </c>
      <c r="AP239" s="35"/>
      <c r="AQ239" s="35">
        <v>71015</v>
      </c>
      <c r="AR239" s="35" t="s">
        <v>585</v>
      </c>
      <c r="AS239" s="121">
        <v>314.30378000000002</v>
      </c>
      <c r="AU239" s="7" t="str">
        <f>VLOOKUP($AO239,Mapping!$E$11:$I$204,3,0)</f>
        <v>Augmentation</v>
      </c>
      <c r="AV239" s="7" t="str">
        <f>IFERROR(VLOOKUP($AQ239,Mapping!$E$208:$K$236,5,0),"Contracts")</f>
        <v>Materials</v>
      </c>
      <c r="AW239" s="7" t="str">
        <f>IFERROR(VLOOKUP($AQ239,Mapping!$E$208:$K$236,7,0),"ENDirect")</f>
        <v>ENDirect</v>
      </c>
      <c r="AX239" s="7" t="str">
        <f>IFERROR(HLOOKUP(AV239,'Calc|Weightings'!$U$5:$W$5,1,0),"Excl")</f>
        <v>Materials</v>
      </c>
      <c r="AY239" s="7" t="str">
        <f>VLOOKUP(AO239,Mapping!$E$11:$I$204,5,0)</f>
        <v>SCS</v>
      </c>
    </row>
    <row r="240" spans="1:51" x14ac:dyDescent="0.3">
      <c r="A240" s="7"/>
      <c r="B240" s="7"/>
      <c r="C240" s="7"/>
      <c r="D240" s="7"/>
      <c r="E240" s="32" t="s">
        <v>113</v>
      </c>
      <c r="F240" s="32"/>
      <c r="G240" s="32">
        <v>71015</v>
      </c>
      <c r="H240" s="32" t="s">
        <v>463</v>
      </c>
      <c r="I240" s="33">
        <v>68.209000000000003</v>
      </c>
      <c r="J240" s="170"/>
      <c r="K240" s="7" t="str">
        <f>VLOOKUP($E240,Mapping!$E$11:$I$204,3,0)</f>
        <v>Connections</v>
      </c>
      <c r="L240" s="7" t="str">
        <f>IFERROR(VLOOKUP($G240,Mapping!$E$208:$K$236,5,0),"Contracts")</f>
        <v>Materials</v>
      </c>
      <c r="M240" s="7" t="str">
        <f>IFERROR(VLOOKUP($G240,Mapping!$E$208:$K$236,7,0),"ENDirect")</f>
        <v>ENDirect</v>
      </c>
      <c r="N240" s="7" t="str">
        <f>IFERROR(HLOOKUP(L240,'Calc|Weightings'!$U$5:$W$5,1,0),"Excl")</f>
        <v>Materials</v>
      </c>
      <c r="O240" s="7" t="str">
        <f>VLOOKUP(E240,Mapping!$E$11:$I$204,5,0)</f>
        <v>SCS</v>
      </c>
      <c r="Q240" s="32" t="s">
        <v>122</v>
      </c>
      <c r="R240" s="32"/>
      <c r="S240" s="32">
        <v>71020</v>
      </c>
      <c r="T240" s="32" t="s">
        <v>459</v>
      </c>
      <c r="U240" s="33">
        <v>98.134</v>
      </c>
      <c r="V240" s="7"/>
      <c r="W240" s="7" t="str">
        <f>VLOOKUP($Q240,Mapping!$E$11:$I$204,3,0)</f>
        <v>Augmentation</v>
      </c>
      <c r="X240" s="7" t="str">
        <f>IFERROR(VLOOKUP($S240,Mapping!$E$208:$K$236,5,0),"Contracts")</f>
        <v>Contracts</v>
      </c>
      <c r="Y240" s="7" t="str">
        <f>IFERROR(VLOOKUP($S240,Mapping!$E$208:$K$236,7,0),"ENDirect")</f>
        <v>ENDirect</v>
      </c>
      <c r="Z240" s="7" t="str">
        <f>IFERROR(HLOOKUP(X240,'Calc|Weightings'!$U$5:$W$5,1,0),"Excl")</f>
        <v>Contracts</v>
      </c>
      <c r="AA240" s="7" t="str">
        <f>VLOOKUP(Q240,Mapping!$E$11:$I$204,5,0)</f>
        <v>SCS</v>
      </c>
      <c r="AC240" s="35" t="s">
        <v>162</v>
      </c>
      <c r="AD240" s="35"/>
      <c r="AE240" s="35">
        <v>71006</v>
      </c>
      <c r="AF240" s="35" t="s">
        <v>468</v>
      </c>
      <c r="AG240" s="36">
        <v>0</v>
      </c>
      <c r="AI240" s="7" t="str">
        <f>VLOOKUP($AC240,Mapping!$E$11:$I$204,3,0)</f>
        <v>Replacement</v>
      </c>
      <c r="AJ240" s="7" t="str">
        <f>IFERROR(VLOOKUP($AE240,Mapping!$E$208:$K$236,5,0),"Contracts")</f>
        <v>Materials</v>
      </c>
      <c r="AK240" s="7" t="str">
        <f>IFERROR(VLOOKUP($AE240,Mapping!$E$208:$K$236,7,0),"ENDirect")</f>
        <v>ENDirect</v>
      </c>
      <c r="AL240" s="7" t="str">
        <f>IFERROR(HLOOKUP(AJ240,'Calc|Weightings'!$U$5:$W$5,1,0),"Excl")</f>
        <v>Materials</v>
      </c>
      <c r="AM240" s="7" t="str">
        <f>VLOOKUP(AC240,Mapping!$E$11:$I$204,5,0)</f>
        <v>SCS</v>
      </c>
      <c r="AO240" s="35" t="s">
        <v>125</v>
      </c>
      <c r="AP240" s="35"/>
      <c r="AQ240" s="35">
        <v>71030</v>
      </c>
      <c r="AR240" s="35" t="s">
        <v>464</v>
      </c>
      <c r="AS240" s="121">
        <v>7.3499999999999996E-2</v>
      </c>
      <c r="AU240" s="7" t="str">
        <f>VLOOKUP($AO240,Mapping!$E$11:$I$204,3,0)</f>
        <v>Augmentation</v>
      </c>
      <c r="AV240" s="7" t="str">
        <f>IFERROR(VLOOKUP($AQ240,Mapping!$E$208:$K$236,5,0),"Contracts")</f>
        <v>Contracts</v>
      </c>
      <c r="AW240" s="7" t="str">
        <f>IFERROR(VLOOKUP($AQ240,Mapping!$E$208:$K$236,7,0),"ENDirect")</f>
        <v>ENDirect</v>
      </c>
      <c r="AX240" s="7" t="str">
        <f>IFERROR(HLOOKUP(AV240,'Calc|Weightings'!$U$5:$W$5,1,0),"Excl")</f>
        <v>Contracts</v>
      </c>
      <c r="AY240" s="7" t="str">
        <f>VLOOKUP(AO240,Mapping!$E$11:$I$204,5,0)</f>
        <v>SCS</v>
      </c>
    </row>
    <row r="241" spans="1:51" x14ac:dyDescent="0.3">
      <c r="A241" s="7"/>
      <c r="B241" s="7"/>
      <c r="C241" s="7"/>
      <c r="D241" s="7"/>
      <c r="E241" s="32" t="s">
        <v>548</v>
      </c>
      <c r="F241" s="32"/>
      <c r="G241" s="32">
        <v>71015</v>
      </c>
      <c r="H241" s="32" t="s">
        <v>463</v>
      </c>
      <c r="I241" s="33">
        <v>83.036000000000001</v>
      </c>
      <c r="J241" s="170"/>
      <c r="K241" s="7" t="str">
        <f>VLOOKUP($E241,Mapping!$E$11:$I$204,3,0)</f>
        <v>Connections</v>
      </c>
      <c r="L241" s="7" t="str">
        <f>IFERROR(VLOOKUP($G241,Mapping!$E$208:$K$236,5,0),"Contracts")</f>
        <v>Materials</v>
      </c>
      <c r="M241" s="7" t="str">
        <f>IFERROR(VLOOKUP($G241,Mapping!$E$208:$K$236,7,0),"ENDirect")</f>
        <v>ENDirect</v>
      </c>
      <c r="N241" s="7" t="str">
        <f>IFERROR(HLOOKUP(L241,'Calc|Weightings'!$U$5:$W$5,1,0),"Excl")</f>
        <v>Materials</v>
      </c>
      <c r="O241" s="7" t="str">
        <f>VLOOKUP(E241,Mapping!$E$11:$I$204,5,0)</f>
        <v>SCS</v>
      </c>
      <c r="Q241" s="32" t="s">
        <v>111</v>
      </c>
      <c r="R241" s="32"/>
      <c r="S241" s="32">
        <v>70815</v>
      </c>
      <c r="T241" s="32" t="s">
        <v>451</v>
      </c>
      <c r="U241" s="33">
        <v>3.03</v>
      </c>
      <c r="V241" s="7"/>
      <c r="W241" s="7" t="str">
        <f>VLOOKUP($Q241,Mapping!$E$11:$I$204,3,0)</f>
        <v>Connections</v>
      </c>
      <c r="X241" s="7" t="str">
        <f>IFERROR(VLOOKUP($S241,Mapping!$E$208:$K$236,5,0),"Contracts")</f>
        <v>Materials</v>
      </c>
      <c r="Y241" s="7" t="str">
        <f>IFERROR(VLOOKUP($S241,Mapping!$E$208:$K$236,7,0),"ENDirect")</f>
        <v>ENDirect</v>
      </c>
      <c r="Z241" s="7" t="str">
        <f>IFERROR(HLOOKUP(X241,'Calc|Weightings'!$U$5:$W$5,1,0),"Excl")</f>
        <v>Materials</v>
      </c>
      <c r="AA241" s="7" t="str">
        <f>VLOOKUP(Q241,Mapping!$E$11:$I$204,5,0)</f>
        <v>SCS</v>
      </c>
      <c r="AC241" s="35" t="s">
        <v>162</v>
      </c>
      <c r="AD241" s="35"/>
      <c r="AE241" s="35">
        <v>71010</v>
      </c>
      <c r="AF241" s="35" t="s">
        <v>462</v>
      </c>
      <c r="AG241" s="36">
        <v>1328.8430000000001</v>
      </c>
      <c r="AI241" s="7" t="str">
        <f>VLOOKUP($AC241,Mapping!$E$11:$I$204,3,0)</f>
        <v>Replacement</v>
      </c>
      <c r="AJ241" s="7" t="str">
        <f>IFERROR(VLOOKUP($AE241,Mapping!$E$208:$K$236,5,0),"Contracts")</f>
        <v>Labour</v>
      </c>
      <c r="AK241" s="7" t="str">
        <f>IFERROR(VLOOKUP($AE241,Mapping!$E$208:$K$236,7,0),"ENDirect")</f>
        <v>ENDirect</v>
      </c>
      <c r="AL241" s="7" t="str">
        <f>IFERROR(HLOOKUP(AJ241,'Calc|Weightings'!$U$5:$W$5,1,0),"Excl")</f>
        <v>Labour</v>
      </c>
      <c r="AM241" s="7" t="str">
        <f>VLOOKUP(AC241,Mapping!$E$11:$I$204,5,0)</f>
        <v>SCS</v>
      </c>
      <c r="AO241" s="35" t="s">
        <v>125</v>
      </c>
      <c r="AP241" s="35"/>
      <c r="AQ241" s="35">
        <v>71055</v>
      </c>
      <c r="AR241" s="35" t="s">
        <v>465</v>
      </c>
      <c r="AS241" s="121">
        <v>0.05</v>
      </c>
      <c r="AU241" s="7" t="str">
        <f>VLOOKUP($AO241,Mapping!$E$11:$I$204,3,0)</f>
        <v>Augmentation</v>
      </c>
      <c r="AV241" s="7" t="str">
        <f>IFERROR(VLOOKUP($AQ241,Mapping!$E$208:$K$236,5,0),"Contracts")</f>
        <v>Contracts</v>
      </c>
      <c r="AW241" s="7" t="str">
        <f>IFERROR(VLOOKUP($AQ241,Mapping!$E$208:$K$236,7,0),"ENDirect")</f>
        <v>ENDirect</v>
      </c>
      <c r="AX241" s="7" t="str">
        <f>IFERROR(HLOOKUP(AV241,'Calc|Weightings'!$U$5:$W$5,1,0),"Excl")</f>
        <v>Contracts</v>
      </c>
      <c r="AY241" s="7" t="str">
        <f>VLOOKUP(AO241,Mapping!$E$11:$I$204,5,0)</f>
        <v>SCS</v>
      </c>
    </row>
    <row r="242" spans="1:51" x14ac:dyDescent="0.3">
      <c r="A242" s="7"/>
      <c r="B242" s="7"/>
      <c r="C242" s="7"/>
      <c r="D242" s="7"/>
      <c r="E242" s="32" t="s">
        <v>549</v>
      </c>
      <c r="F242" s="32"/>
      <c r="G242" s="32">
        <v>71020</v>
      </c>
      <c r="H242" s="32" t="s">
        <v>459</v>
      </c>
      <c r="I242" s="33">
        <v>-16.161000000000001</v>
      </c>
      <c r="J242" s="170"/>
      <c r="K242" s="7" t="str">
        <f>VLOOKUP($E242,Mapping!$E$11:$I$204,3,0)</f>
        <v>Connections</v>
      </c>
      <c r="L242" s="7" t="str">
        <f>IFERROR(VLOOKUP($G242,Mapping!$E$208:$K$236,5,0),"Contracts")</f>
        <v>Contracts</v>
      </c>
      <c r="M242" s="7" t="str">
        <f>IFERROR(VLOOKUP($G242,Mapping!$E$208:$K$236,7,0),"ENDirect")</f>
        <v>ENDirect</v>
      </c>
      <c r="N242" s="7" t="str">
        <f>IFERROR(HLOOKUP(L242,'Calc|Weightings'!$U$5:$W$5,1,0),"Excl")</f>
        <v>Contracts</v>
      </c>
      <c r="O242" s="7" t="str">
        <f>VLOOKUP(E242,Mapping!$E$11:$I$204,5,0)</f>
        <v>SCS</v>
      </c>
      <c r="Q242" s="32" t="s">
        <v>549</v>
      </c>
      <c r="R242" s="32"/>
      <c r="S242" s="32">
        <v>71006</v>
      </c>
      <c r="T242" s="32" t="s">
        <v>468</v>
      </c>
      <c r="U242" s="33">
        <v>713.11</v>
      </c>
      <c r="V242" s="7"/>
      <c r="W242" s="7" t="str">
        <f>VLOOKUP($Q242,Mapping!$E$11:$I$204,3,0)</f>
        <v>Connections</v>
      </c>
      <c r="X242" s="7" t="str">
        <f>IFERROR(VLOOKUP($S242,Mapping!$E$208:$K$236,5,0),"Contracts")</f>
        <v>Materials</v>
      </c>
      <c r="Y242" s="7" t="str">
        <f>IFERROR(VLOOKUP($S242,Mapping!$E$208:$K$236,7,0),"ENDirect")</f>
        <v>ENDirect</v>
      </c>
      <c r="Z242" s="7" t="str">
        <f>IFERROR(HLOOKUP(X242,'Calc|Weightings'!$U$5:$W$5,1,0),"Excl")</f>
        <v>Materials</v>
      </c>
      <c r="AA242" s="7" t="str">
        <f>VLOOKUP(Q242,Mapping!$E$11:$I$204,5,0)</f>
        <v>SCS</v>
      </c>
      <c r="AC242" s="35" t="s">
        <v>551</v>
      </c>
      <c r="AD242" s="35"/>
      <c r="AE242" s="35">
        <v>71000</v>
      </c>
      <c r="AF242" s="35" t="s">
        <v>457</v>
      </c>
      <c r="AG242" s="36">
        <v>848.77099999999996</v>
      </c>
      <c r="AI242" s="7" t="str">
        <f>VLOOKUP($AC242,Mapping!$E$11:$I$204,3,0)</f>
        <v>Connections</v>
      </c>
      <c r="AJ242" s="7" t="str">
        <f>IFERROR(VLOOKUP($AE242,Mapping!$E$208:$K$236,5,0),"Contracts")</f>
        <v>Labour</v>
      </c>
      <c r="AK242" s="7" t="str">
        <f>IFERROR(VLOOKUP($AE242,Mapping!$E$208:$K$236,7,0),"ENDirect")</f>
        <v>ENDirect</v>
      </c>
      <c r="AL242" s="7" t="str">
        <f>IFERROR(HLOOKUP(AJ242,'Calc|Weightings'!$U$5:$W$5,1,0),"Excl")</f>
        <v>Labour</v>
      </c>
      <c r="AM242" s="7" t="str">
        <f>VLOOKUP(AC242,Mapping!$E$11:$I$204,5,0)</f>
        <v>SCS</v>
      </c>
      <c r="AO242" s="35" t="s">
        <v>125</v>
      </c>
      <c r="AP242" s="35"/>
      <c r="AQ242" s="35">
        <v>71130</v>
      </c>
      <c r="AR242" s="35" t="s">
        <v>592</v>
      </c>
      <c r="AS242" s="121">
        <v>387.16206</v>
      </c>
      <c r="AU242" s="7" t="str">
        <f>VLOOKUP($AO242,Mapping!$E$11:$I$204,3,0)</f>
        <v>Augmentation</v>
      </c>
      <c r="AV242" s="7" t="str">
        <f>IFERROR(VLOOKUP($AQ242,Mapping!$E$208:$K$236,5,0),"Contracts")</f>
        <v>Contracts</v>
      </c>
      <c r="AW242" s="7" t="str">
        <f>IFERROR(VLOOKUP($AQ242,Mapping!$E$208:$K$236,7,0),"ENDirect")</f>
        <v>ENDirect</v>
      </c>
      <c r="AX242" s="7" t="str">
        <f>IFERROR(HLOOKUP(AV242,'Calc|Weightings'!$U$5:$W$5,1,0),"Excl")</f>
        <v>Contracts</v>
      </c>
      <c r="AY242" s="7" t="str">
        <f>VLOOKUP(AO242,Mapping!$E$11:$I$204,5,0)</f>
        <v>SCS</v>
      </c>
    </row>
    <row r="243" spans="1:51" x14ac:dyDescent="0.3">
      <c r="A243" s="7"/>
      <c r="B243" s="7"/>
      <c r="C243" s="7"/>
      <c r="D243" s="7"/>
      <c r="E243" s="32" t="s">
        <v>113</v>
      </c>
      <c r="F243" s="32"/>
      <c r="G243" s="32">
        <v>71035</v>
      </c>
      <c r="H243" s="32" t="s">
        <v>470</v>
      </c>
      <c r="I243" s="33">
        <v>0</v>
      </c>
      <c r="J243" s="170"/>
      <c r="K243" s="7" t="str">
        <f>VLOOKUP($E243,Mapping!$E$11:$I$204,3,0)</f>
        <v>Connections</v>
      </c>
      <c r="L243" s="7" t="str">
        <f>IFERROR(VLOOKUP($G243,Mapping!$E$208:$K$236,5,0),"Contracts")</f>
        <v>Contracts</v>
      </c>
      <c r="M243" s="7" t="str">
        <f>IFERROR(VLOOKUP($G243,Mapping!$E$208:$K$236,7,0),"ENDirect")</f>
        <v>ENDirect</v>
      </c>
      <c r="N243" s="7" t="str">
        <f>IFERROR(HLOOKUP(L243,'Calc|Weightings'!$U$5:$W$5,1,0),"Excl")</f>
        <v>Contracts</v>
      </c>
      <c r="O243" s="7" t="str">
        <f>VLOOKUP(E243,Mapping!$E$11:$I$204,5,0)</f>
        <v>SCS</v>
      </c>
      <c r="Q243" s="32" t="s">
        <v>546</v>
      </c>
      <c r="R243" s="32"/>
      <c r="S243" s="32">
        <v>71006</v>
      </c>
      <c r="T243" s="32" t="s">
        <v>468</v>
      </c>
      <c r="U243" s="33">
        <v>149.505</v>
      </c>
      <c r="V243" s="7"/>
      <c r="W243" s="7" t="str">
        <f>VLOOKUP($Q243,Mapping!$E$11:$I$204,3,0)</f>
        <v>Connections</v>
      </c>
      <c r="X243" s="7" t="str">
        <f>IFERROR(VLOOKUP($S243,Mapping!$E$208:$K$236,5,0),"Contracts")</f>
        <v>Materials</v>
      </c>
      <c r="Y243" s="7" t="str">
        <f>IFERROR(VLOOKUP($S243,Mapping!$E$208:$K$236,7,0),"ENDirect")</f>
        <v>ENDirect</v>
      </c>
      <c r="Z243" s="7" t="str">
        <f>IFERROR(HLOOKUP(X243,'Calc|Weightings'!$U$5:$W$5,1,0),"Excl")</f>
        <v>Materials</v>
      </c>
      <c r="AA243" s="7" t="str">
        <f>VLOOKUP(Q243,Mapping!$E$11:$I$204,5,0)</f>
        <v>SCS</v>
      </c>
      <c r="AC243" s="35" t="s">
        <v>551</v>
      </c>
      <c r="AD243" s="35"/>
      <c r="AE243" s="35">
        <v>71005</v>
      </c>
      <c r="AF243" s="35" t="s">
        <v>461</v>
      </c>
      <c r="AG243" s="36">
        <v>212.721</v>
      </c>
      <c r="AI243" s="7" t="str">
        <f>VLOOKUP($AC243,Mapping!$E$11:$I$204,3,0)</f>
        <v>Connections</v>
      </c>
      <c r="AJ243" s="7" t="str">
        <f>IFERROR(VLOOKUP($AE243,Mapping!$E$208:$K$236,5,0),"Contracts")</f>
        <v>Materials</v>
      </c>
      <c r="AK243" s="7" t="str">
        <f>IFERROR(VLOOKUP($AE243,Mapping!$E$208:$K$236,7,0),"ENDirect")</f>
        <v>ENDirect</v>
      </c>
      <c r="AL243" s="7" t="str">
        <f>IFERROR(HLOOKUP(AJ243,'Calc|Weightings'!$U$5:$W$5,1,0),"Excl")</f>
        <v>Materials</v>
      </c>
      <c r="AM243" s="7" t="str">
        <f>VLOOKUP(AC243,Mapping!$E$11:$I$204,5,0)</f>
        <v>SCS</v>
      </c>
      <c r="AO243" s="35" t="s">
        <v>125</v>
      </c>
      <c r="AP243" s="35"/>
      <c r="AQ243" s="35">
        <v>71140</v>
      </c>
      <c r="AR243" s="35" t="s">
        <v>593</v>
      </c>
      <c r="AS243" s="121">
        <v>94.892070000000004</v>
      </c>
      <c r="AU243" s="7" t="str">
        <f>VLOOKUP($AO243,Mapping!$E$11:$I$204,3,0)</f>
        <v>Augmentation</v>
      </c>
      <c r="AV243" s="7" t="str">
        <f>IFERROR(VLOOKUP($AQ243,Mapping!$E$208:$K$236,5,0),"Contracts")</f>
        <v>Contracts</v>
      </c>
      <c r="AW243" s="7" t="str">
        <f>IFERROR(VLOOKUP($AQ243,Mapping!$E$208:$K$236,7,0),"ENDirect")</f>
        <v>ENDirect</v>
      </c>
      <c r="AX243" s="7" t="str">
        <f>IFERROR(HLOOKUP(AV243,'Calc|Weightings'!$U$5:$W$5,1,0),"Excl")</f>
        <v>Contracts</v>
      </c>
      <c r="AY243" s="7" t="str">
        <f>VLOOKUP(AO243,Mapping!$E$11:$I$204,5,0)</f>
        <v>SCS</v>
      </c>
    </row>
    <row r="244" spans="1:51" x14ac:dyDescent="0.3">
      <c r="A244" s="7"/>
      <c r="B244" s="7"/>
      <c r="C244" s="7"/>
      <c r="D244" s="7"/>
      <c r="E244" s="32" t="s">
        <v>118</v>
      </c>
      <c r="F244" s="32"/>
      <c r="G244" s="32">
        <v>71035</v>
      </c>
      <c r="H244" s="32" t="s">
        <v>470</v>
      </c>
      <c r="I244" s="33">
        <v>0</v>
      </c>
      <c r="J244" s="170"/>
      <c r="K244" s="7" t="str">
        <f>VLOOKUP($E244,Mapping!$E$11:$I$204,3,0)</f>
        <v>Connections</v>
      </c>
      <c r="L244" s="7" t="str">
        <f>IFERROR(VLOOKUP($G244,Mapping!$E$208:$K$236,5,0),"Contracts")</f>
        <v>Contracts</v>
      </c>
      <c r="M244" s="7" t="str">
        <f>IFERROR(VLOOKUP($G244,Mapping!$E$208:$K$236,7,0),"ENDirect")</f>
        <v>ENDirect</v>
      </c>
      <c r="N244" s="7" t="str">
        <f>IFERROR(HLOOKUP(L244,'Calc|Weightings'!$U$5:$W$5,1,0),"Excl")</f>
        <v>Contracts</v>
      </c>
      <c r="O244" s="7" t="str">
        <f>VLOOKUP(E244,Mapping!$E$11:$I$204,5,0)</f>
        <v>SCS</v>
      </c>
      <c r="Q244" s="32" t="s">
        <v>548</v>
      </c>
      <c r="R244" s="32"/>
      <c r="S244" s="32">
        <v>71000</v>
      </c>
      <c r="T244" s="32" t="s">
        <v>457</v>
      </c>
      <c r="U244" s="33">
        <v>700.09199999999998</v>
      </c>
      <c r="V244" s="7"/>
      <c r="W244" s="7" t="str">
        <f>VLOOKUP($Q244,Mapping!$E$11:$I$204,3,0)</f>
        <v>Connections</v>
      </c>
      <c r="X244" s="7" t="str">
        <f>IFERROR(VLOOKUP($S244,Mapping!$E$208:$K$236,5,0),"Contracts")</f>
        <v>Labour</v>
      </c>
      <c r="Y244" s="7" t="str">
        <f>IFERROR(VLOOKUP($S244,Mapping!$E$208:$K$236,7,0),"ENDirect")</f>
        <v>ENDirect</v>
      </c>
      <c r="Z244" s="7" t="str">
        <f>IFERROR(HLOOKUP(X244,'Calc|Weightings'!$U$5:$W$5,1,0),"Excl")</f>
        <v>Labour</v>
      </c>
      <c r="AA244" s="7" t="str">
        <f>VLOOKUP(Q244,Mapping!$E$11:$I$204,5,0)</f>
        <v>SCS</v>
      </c>
      <c r="AC244" s="35" t="s">
        <v>551</v>
      </c>
      <c r="AD244" s="35"/>
      <c r="AE244" s="35">
        <v>71015</v>
      </c>
      <c r="AF244" s="35" t="s">
        <v>463</v>
      </c>
      <c r="AG244" s="36">
        <v>96.450999999999993</v>
      </c>
      <c r="AI244" s="7" t="str">
        <f>VLOOKUP($AC244,Mapping!$E$11:$I$204,3,0)</f>
        <v>Connections</v>
      </c>
      <c r="AJ244" s="7" t="str">
        <f>IFERROR(VLOOKUP($AE244,Mapping!$E$208:$K$236,5,0),"Contracts")</f>
        <v>Materials</v>
      </c>
      <c r="AK244" s="7" t="str">
        <f>IFERROR(VLOOKUP($AE244,Mapping!$E$208:$K$236,7,0),"ENDirect")</f>
        <v>ENDirect</v>
      </c>
      <c r="AL244" s="7" t="str">
        <f>IFERROR(HLOOKUP(AJ244,'Calc|Weightings'!$U$5:$W$5,1,0),"Excl")</f>
        <v>Materials</v>
      </c>
      <c r="AM244" s="7" t="str">
        <f>VLOOKUP(AC244,Mapping!$E$11:$I$204,5,0)</f>
        <v>SCS</v>
      </c>
      <c r="AO244" s="35" t="s">
        <v>125</v>
      </c>
      <c r="AP244" s="35"/>
      <c r="AQ244" s="35">
        <v>73000</v>
      </c>
      <c r="AR244" s="35" t="s">
        <v>595</v>
      </c>
      <c r="AS244" s="121">
        <v>0.3</v>
      </c>
      <c r="AU244" s="7" t="str">
        <f>VLOOKUP($AO244,Mapping!$E$11:$I$204,3,0)</f>
        <v>Augmentation</v>
      </c>
      <c r="AV244" s="7" t="str">
        <f>IFERROR(VLOOKUP($AQ244,Mapping!$E$208:$K$236,5,0),"Contracts")</f>
        <v>Contracts</v>
      </c>
      <c r="AW244" s="7" t="str">
        <f>IFERROR(VLOOKUP($AQ244,Mapping!$E$208:$K$236,7,0),"ENDirect")</f>
        <v>ENDirect</v>
      </c>
      <c r="AX244" s="7" t="str">
        <f>IFERROR(HLOOKUP(AV244,'Calc|Weightings'!$U$5:$W$5,1,0),"Excl")</f>
        <v>Contracts</v>
      </c>
      <c r="AY244" s="7" t="str">
        <f>VLOOKUP(AO244,Mapping!$E$11:$I$204,5,0)</f>
        <v>SCS</v>
      </c>
    </row>
    <row r="245" spans="1:51" x14ac:dyDescent="0.3">
      <c r="A245" s="7"/>
      <c r="B245" s="7"/>
      <c r="C245" s="7"/>
      <c r="D245" s="7"/>
      <c r="E245" s="32" t="s">
        <v>118</v>
      </c>
      <c r="F245" s="32"/>
      <c r="G245" s="32">
        <v>71005</v>
      </c>
      <c r="H245" s="32" t="s">
        <v>461</v>
      </c>
      <c r="I245" s="33">
        <v>58.476999999999997</v>
      </c>
      <c r="J245" s="170"/>
      <c r="K245" s="7" t="str">
        <f>VLOOKUP($E245,Mapping!$E$11:$I$204,3,0)</f>
        <v>Connections</v>
      </c>
      <c r="L245" s="7" t="str">
        <f>IFERROR(VLOOKUP($G245,Mapping!$E$208:$K$236,5,0),"Contracts")</f>
        <v>Materials</v>
      </c>
      <c r="M245" s="7" t="str">
        <f>IFERROR(VLOOKUP($G245,Mapping!$E$208:$K$236,7,0),"ENDirect")</f>
        <v>ENDirect</v>
      </c>
      <c r="N245" s="7" t="str">
        <f>IFERROR(HLOOKUP(L245,'Calc|Weightings'!$U$5:$W$5,1,0),"Excl")</f>
        <v>Materials</v>
      </c>
      <c r="O245" s="7" t="str">
        <f>VLOOKUP(E245,Mapping!$E$11:$I$204,5,0)</f>
        <v>SCS</v>
      </c>
      <c r="Q245" s="32" t="s">
        <v>548</v>
      </c>
      <c r="R245" s="32"/>
      <c r="S245" s="32">
        <v>71010</v>
      </c>
      <c r="T245" s="32" t="s">
        <v>462</v>
      </c>
      <c r="U245" s="33">
        <v>602.92899999999997</v>
      </c>
      <c r="V245" s="7"/>
      <c r="W245" s="7" t="str">
        <f>VLOOKUP($Q245,Mapping!$E$11:$I$204,3,0)</f>
        <v>Connections</v>
      </c>
      <c r="X245" s="7" t="str">
        <f>IFERROR(VLOOKUP($S245,Mapping!$E$208:$K$236,5,0),"Contracts")</f>
        <v>Labour</v>
      </c>
      <c r="Y245" s="7" t="str">
        <f>IFERROR(VLOOKUP($S245,Mapping!$E$208:$K$236,7,0),"ENDirect")</f>
        <v>ENDirect</v>
      </c>
      <c r="Z245" s="7" t="str">
        <f>IFERROR(HLOOKUP(X245,'Calc|Weightings'!$U$5:$W$5,1,0),"Excl")</f>
        <v>Labour</v>
      </c>
      <c r="AA245" s="7" t="str">
        <f>VLOOKUP(Q245,Mapping!$E$11:$I$204,5,0)</f>
        <v>SCS</v>
      </c>
      <c r="AC245" s="35" t="s">
        <v>103</v>
      </c>
      <c r="AD245" s="35"/>
      <c r="AE245" s="35">
        <v>71040</v>
      </c>
      <c r="AF245" s="35" t="s">
        <v>460</v>
      </c>
      <c r="AG245" s="36">
        <v>-26</v>
      </c>
      <c r="AI245" s="7" t="str">
        <f>VLOOKUP($AC245,Mapping!$E$11:$I$204,3,0)</f>
        <v>Public Lighting</v>
      </c>
      <c r="AJ245" s="7" t="str">
        <f>IFERROR(VLOOKUP($AE245,Mapping!$E$208:$K$236,5,0),"Contracts")</f>
        <v>Contracts</v>
      </c>
      <c r="AK245" s="7" t="str">
        <f>IFERROR(VLOOKUP($AE245,Mapping!$E$208:$K$236,7,0),"ENDirect")</f>
        <v>ENDirect</v>
      </c>
      <c r="AL245" s="7" t="str">
        <f>IFERROR(HLOOKUP(AJ245,'Calc|Weightings'!$U$5:$W$5,1,0),"Excl")</f>
        <v>Contracts</v>
      </c>
      <c r="AM245" s="7" t="str">
        <f>VLOOKUP(AC245,Mapping!$E$11:$I$204,5,0)</f>
        <v>Public Lighting</v>
      </c>
      <c r="AO245" s="35" t="s">
        <v>125</v>
      </c>
      <c r="AP245" s="35"/>
      <c r="AQ245" s="35">
        <v>80000</v>
      </c>
      <c r="AR245" s="35" t="s">
        <v>589</v>
      </c>
      <c r="AS245" s="121">
        <v>786.22745999999995</v>
      </c>
      <c r="AU245" s="7" t="str">
        <f>VLOOKUP($AO245,Mapping!$E$11:$I$204,3,0)</f>
        <v>Augmentation</v>
      </c>
      <c r="AV245" s="7" t="str">
        <f>IFERROR(VLOOKUP($AQ245,Mapping!$E$208:$K$236,5,0),"Contracts")</f>
        <v>Overhead</v>
      </c>
      <c r="AW245" s="7" t="str">
        <f>IFERROR(VLOOKUP($AQ245,Mapping!$E$208:$K$236,7,0),"ENDirect")</f>
        <v>OH</v>
      </c>
      <c r="AX245" s="7" t="str">
        <f>IFERROR(HLOOKUP(AV245,'Calc|Weightings'!$U$5:$W$5,1,0),"Excl")</f>
        <v>Excl</v>
      </c>
      <c r="AY245" s="7" t="str">
        <f>VLOOKUP(AO245,Mapping!$E$11:$I$204,5,0)</f>
        <v>SCS</v>
      </c>
    </row>
    <row r="246" spans="1:51" x14ac:dyDescent="0.3">
      <c r="A246" s="7"/>
      <c r="B246" s="7"/>
      <c r="C246" s="7"/>
      <c r="D246" s="7"/>
      <c r="E246" s="32" t="s">
        <v>104</v>
      </c>
      <c r="F246" s="32"/>
      <c r="G246" s="32">
        <v>71010</v>
      </c>
      <c r="H246" s="32" t="s">
        <v>462</v>
      </c>
      <c r="I246" s="33">
        <v>12.715999999999999</v>
      </c>
      <c r="J246" s="170"/>
      <c r="K246" s="7" t="str">
        <f>VLOOKUP($E246,Mapping!$E$11:$I$204,3,0)</f>
        <v>Public Lighting</v>
      </c>
      <c r="L246" s="7" t="str">
        <f>IFERROR(VLOOKUP($G246,Mapping!$E$208:$K$236,5,0),"Contracts")</f>
        <v>Labour</v>
      </c>
      <c r="M246" s="7" t="str">
        <f>IFERROR(VLOOKUP($G246,Mapping!$E$208:$K$236,7,0),"ENDirect")</f>
        <v>ENDirect</v>
      </c>
      <c r="N246" s="7" t="str">
        <f>IFERROR(HLOOKUP(L246,'Calc|Weightings'!$U$5:$W$5,1,0),"Excl")</f>
        <v>Labour</v>
      </c>
      <c r="O246" s="7" t="str">
        <f>VLOOKUP(E246,Mapping!$E$11:$I$204,5,0)</f>
        <v>Public Lighting</v>
      </c>
      <c r="Q246" s="32" t="s">
        <v>548</v>
      </c>
      <c r="R246" s="32"/>
      <c r="S246" s="32">
        <v>71015</v>
      </c>
      <c r="T246" s="32" t="s">
        <v>463</v>
      </c>
      <c r="U246" s="33">
        <v>139.73699999999999</v>
      </c>
      <c r="V246" s="7"/>
      <c r="W246" s="7" t="str">
        <f>VLOOKUP($Q246,Mapping!$E$11:$I$204,3,0)</f>
        <v>Connections</v>
      </c>
      <c r="X246" s="7" t="str">
        <f>IFERROR(VLOOKUP($S246,Mapping!$E$208:$K$236,5,0),"Contracts")</f>
        <v>Materials</v>
      </c>
      <c r="Y246" s="7" t="str">
        <f>IFERROR(VLOOKUP($S246,Mapping!$E$208:$K$236,7,0),"ENDirect")</f>
        <v>ENDirect</v>
      </c>
      <c r="Z246" s="7" t="str">
        <f>IFERROR(HLOOKUP(X246,'Calc|Weightings'!$U$5:$W$5,1,0),"Excl")</f>
        <v>Materials</v>
      </c>
      <c r="AA246" s="7" t="str">
        <f>VLOOKUP(Q246,Mapping!$E$11:$I$204,5,0)</f>
        <v>SCS</v>
      </c>
      <c r="AC246" s="35" t="s">
        <v>113</v>
      </c>
      <c r="AD246" s="35"/>
      <c r="AE246" s="35">
        <v>71000</v>
      </c>
      <c r="AF246" s="35" t="s">
        <v>457</v>
      </c>
      <c r="AG246" s="36">
        <v>460.77</v>
      </c>
      <c r="AI246" s="7" t="str">
        <f>VLOOKUP($AC246,Mapping!$E$11:$I$204,3,0)</f>
        <v>Connections</v>
      </c>
      <c r="AJ246" s="7" t="str">
        <f>IFERROR(VLOOKUP($AE246,Mapping!$E$208:$K$236,5,0),"Contracts")</f>
        <v>Labour</v>
      </c>
      <c r="AK246" s="7" t="str">
        <f>IFERROR(VLOOKUP($AE246,Mapping!$E$208:$K$236,7,0),"ENDirect")</f>
        <v>ENDirect</v>
      </c>
      <c r="AL246" s="7" t="str">
        <f>IFERROR(HLOOKUP(AJ246,'Calc|Weightings'!$U$5:$W$5,1,0),"Excl")</f>
        <v>Labour</v>
      </c>
      <c r="AM246" s="7" t="str">
        <f>VLOOKUP(AC246,Mapping!$E$11:$I$204,5,0)</f>
        <v>SCS</v>
      </c>
      <c r="AO246" s="35" t="s">
        <v>126</v>
      </c>
      <c r="AP246" s="35"/>
      <c r="AQ246" s="35">
        <v>71000</v>
      </c>
      <c r="AR246" s="35" t="s">
        <v>457</v>
      </c>
      <c r="AS246" s="121">
        <v>54.496689999999994</v>
      </c>
      <c r="AU246" s="7" t="str">
        <f>VLOOKUP($AO246,Mapping!$E$11:$I$204,3,0)</f>
        <v>Augmentation</v>
      </c>
      <c r="AV246" s="7" t="str">
        <f>IFERROR(VLOOKUP($AQ246,Mapping!$E$208:$K$236,5,0),"Contracts")</f>
        <v>Labour</v>
      </c>
      <c r="AW246" s="7" t="str">
        <f>IFERROR(VLOOKUP($AQ246,Mapping!$E$208:$K$236,7,0),"ENDirect")</f>
        <v>ENDirect</v>
      </c>
      <c r="AX246" s="7" t="str">
        <f>IFERROR(HLOOKUP(AV246,'Calc|Weightings'!$U$5:$W$5,1,0),"Excl")</f>
        <v>Labour</v>
      </c>
      <c r="AY246" s="7" t="str">
        <f>VLOOKUP(AO246,Mapping!$E$11:$I$204,5,0)</f>
        <v>SCS</v>
      </c>
    </row>
    <row r="247" spans="1:51" x14ac:dyDescent="0.3">
      <c r="A247" s="7"/>
      <c r="B247" s="7"/>
      <c r="C247" s="7"/>
      <c r="D247" s="7"/>
      <c r="E247" s="32" t="s">
        <v>116</v>
      </c>
      <c r="F247" s="32"/>
      <c r="G247" s="32">
        <v>71035</v>
      </c>
      <c r="H247" s="32" t="s">
        <v>470</v>
      </c>
      <c r="I247" s="33">
        <v>0</v>
      </c>
      <c r="J247" s="170"/>
      <c r="K247" s="7" t="str">
        <f>VLOOKUP($E247,Mapping!$E$11:$I$204,3,0)</f>
        <v>Connections</v>
      </c>
      <c r="L247" s="7" t="str">
        <f>IFERROR(VLOOKUP($G247,Mapping!$E$208:$K$236,5,0),"Contracts")</f>
        <v>Contracts</v>
      </c>
      <c r="M247" s="7" t="str">
        <f>IFERROR(VLOOKUP($G247,Mapping!$E$208:$K$236,7,0),"ENDirect")</f>
        <v>ENDirect</v>
      </c>
      <c r="N247" s="7" t="str">
        <f>IFERROR(HLOOKUP(L247,'Calc|Weightings'!$U$5:$W$5,1,0),"Excl")</f>
        <v>Contracts</v>
      </c>
      <c r="O247" s="7" t="str">
        <f>VLOOKUP(E247,Mapping!$E$11:$I$204,5,0)</f>
        <v>SCS</v>
      </c>
      <c r="Q247" s="32" t="s">
        <v>548</v>
      </c>
      <c r="R247" s="32"/>
      <c r="S247" s="32">
        <v>71030</v>
      </c>
      <c r="T247" s="32" t="s">
        <v>464</v>
      </c>
      <c r="U247" s="33">
        <v>137.286</v>
      </c>
      <c r="V247" s="7"/>
      <c r="W247" s="7" t="str">
        <f>VLOOKUP($Q247,Mapping!$E$11:$I$204,3,0)</f>
        <v>Connections</v>
      </c>
      <c r="X247" s="7" t="str">
        <f>IFERROR(VLOOKUP($S247,Mapping!$E$208:$K$236,5,0),"Contracts")</f>
        <v>Contracts</v>
      </c>
      <c r="Y247" s="7" t="str">
        <f>IFERROR(VLOOKUP($S247,Mapping!$E$208:$K$236,7,0),"ENDirect")</f>
        <v>ENDirect</v>
      </c>
      <c r="Z247" s="7" t="str">
        <f>IFERROR(HLOOKUP(X247,'Calc|Weightings'!$U$5:$W$5,1,0),"Excl")</f>
        <v>Contracts</v>
      </c>
      <c r="AA247" s="7" t="str">
        <f>VLOOKUP(Q247,Mapping!$E$11:$I$204,5,0)</f>
        <v>SCS</v>
      </c>
      <c r="AC247" s="35" t="s">
        <v>113</v>
      </c>
      <c r="AD247" s="35"/>
      <c r="AE247" s="35">
        <v>71010</v>
      </c>
      <c r="AF247" s="35" t="s">
        <v>462</v>
      </c>
      <c r="AG247" s="36">
        <v>93.468999999999994</v>
      </c>
      <c r="AI247" s="7" t="str">
        <f>VLOOKUP($AC247,Mapping!$E$11:$I$204,3,0)</f>
        <v>Connections</v>
      </c>
      <c r="AJ247" s="7" t="str">
        <f>IFERROR(VLOOKUP($AE247,Mapping!$E$208:$K$236,5,0),"Contracts")</f>
        <v>Labour</v>
      </c>
      <c r="AK247" s="7" t="str">
        <f>IFERROR(VLOOKUP($AE247,Mapping!$E$208:$K$236,7,0),"ENDirect")</f>
        <v>ENDirect</v>
      </c>
      <c r="AL247" s="7" t="str">
        <f>IFERROR(HLOOKUP(AJ247,'Calc|Weightings'!$U$5:$W$5,1,0),"Excl")</f>
        <v>Labour</v>
      </c>
      <c r="AM247" s="7" t="str">
        <f>VLOOKUP(AC247,Mapping!$E$11:$I$204,5,0)</f>
        <v>SCS</v>
      </c>
      <c r="AO247" s="35" t="s">
        <v>126</v>
      </c>
      <c r="AP247" s="35"/>
      <c r="AQ247" s="35">
        <v>71005</v>
      </c>
      <c r="AR247" s="35" t="s">
        <v>461</v>
      </c>
      <c r="AS247" s="121">
        <v>26.119499999999999</v>
      </c>
      <c r="AU247" s="7" t="str">
        <f>VLOOKUP($AO247,Mapping!$E$11:$I$204,3,0)</f>
        <v>Augmentation</v>
      </c>
      <c r="AV247" s="7" t="str">
        <f>IFERROR(VLOOKUP($AQ247,Mapping!$E$208:$K$236,5,0),"Contracts")</f>
        <v>Materials</v>
      </c>
      <c r="AW247" s="7" t="str">
        <f>IFERROR(VLOOKUP($AQ247,Mapping!$E$208:$K$236,7,0),"ENDirect")</f>
        <v>ENDirect</v>
      </c>
      <c r="AX247" s="7" t="str">
        <f>IFERROR(HLOOKUP(AV247,'Calc|Weightings'!$U$5:$W$5,1,0),"Excl")</f>
        <v>Materials</v>
      </c>
      <c r="AY247" s="7" t="str">
        <f>VLOOKUP(AO247,Mapping!$E$11:$I$204,5,0)</f>
        <v>SCS</v>
      </c>
    </row>
    <row r="248" spans="1:51" x14ac:dyDescent="0.3">
      <c r="A248" s="7"/>
      <c r="B248" s="7"/>
      <c r="C248" s="7"/>
      <c r="D248" s="7"/>
      <c r="E248" s="32" t="s">
        <v>116</v>
      </c>
      <c r="F248" s="32"/>
      <c r="G248" s="32">
        <v>71040</v>
      </c>
      <c r="H248" s="32" t="s">
        <v>460</v>
      </c>
      <c r="I248" s="33">
        <v>0.03</v>
      </c>
      <c r="J248" s="170"/>
      <c r="K248" s="7" t="str">
        <f>VLOOKUP($E248,Mapping!$E$11:$I$204,3,0)</f>
        <v>Connections</v>
      </c>
      <c r="L248" s="7" t="str">
        <f>IFERROR(VLOOKUP($G248,Mapping!$E$208:$K$236,5,0),"Contracts")</f>
        <v>Contracts</v>
      </c>
      <c r="M248" s="7" t="str">
        <f>IFERROR(VLOOKUP($G248,Mapping!$E$208:$K$236,7,0),"ENDirect")</f>
        <v>ENDirect</v>
      </c>
      <c r="N248" s="7" t="str">
        <f>IFERROR(HLOOKUP(L248,'Calc|Weightings'!$U$5:$W$5,1,0),"Excl")</f>
        <v>Contracts</v>
      </c>
      <c r="O248" s="7" t="str">
        <f>VLOOKUP(E248,Mapping!$E$11:$I$204,5,0)</f>
        <v>SCS</v>
      </c>
      <c r="Q248" s="32" t="s">
        <v>548</v>
      </c>
      <c r="R248" s="32"/>
      <c r="S248" s="32">
        <v>71055</v>
      </c>
      <c r="T248" s="32" t="s">
        <v>465</v>
      </c>
      <c r="U248" s="33">
        <v>365.50299999999999</v>
      </c>
      <c r="V248" s="7"/>
      <c r="W248" s="7" t="str">
        <f>VLOOKUP($Q248,Mapping!$E$11:$I$204,3,0)</f>
        <v>Connections</v>
      </c>
      <c r="X248" s="7" t="str">
        <f>IFERROR(VLOOKUP($S248,Mapping!$E$208:$K$236,5,0),"Contracts")</f>
        <v>Contracts</v>
      </c>
      <c r="Y248" s="7" t="str">
        <f>IFERROR(VLOOKUP($S248,Mapping!$E$208:$K$236,7,0),"ENDirect")</f>
        <v>ENDirect</v>
      </c>
      <c r="Z248" s="7" t="str">
        <f>IFERROR(HLOOKUP(X248,'Calc|Weightings'!$U$5:$W$5,1,0),"Excl")</f>
        <v>Contracts</v>
      </c>
      <c r="AA248" s="7" t="str">
        <f>VLOOKUP(Q248,Mapping!$E$11:$I$204,5,0)</f>
        <v>SCS</v>
      </c>
      <c r="AC248" s="35" t="s">
        <v>113</v>
      </c>
      <c r="AD248" s="35"/>
      <c r="AE248" s="35">
        <v>71015</v>
      </c>
      <c r="AF248" s="35" t="s">
        <v>463</v>
      </c>
      <c r="AG248" s="36">
        <v>55.207000000000001</v>
      </c>
      <c r="AI248" s="7" t="str">
        <f>VLOOKUP($AC248,Mapping!$E$11:$I$204,3,0)</f>
        <v>Connections</v>
      </c>
      <c r="AJ248" s="7" t="str">
        <f>IFERROR(VLOOKUP($AE248,Mapping!$E$208:$K$236,5,0),"Contracts")</f>
        <v>Materials</v>
      </c>
      <c r="AK248" s="7" t="str">
        <f>IFERROR(VLOOKUP($AE248,Mapping!$E$208:$K$236,7,0),"ENDirect")</f>
        <v>ENDirect</v>
      </c>
      <c r="AL248" s="7" t="str">
        <f>IFERROR(HLOOKUP(AJ248,'Calc|Weightings'!$U$5:$W$5,1,0),"Excl")</f>
        <v>Materials</v>
      </c>
      <c r="AM248" s="7" t="str">
        <f>VLOOKUP(AC248,Mapping!$E$11:$I$204,5,0)</f>
        <v>SCS</v>
      </c>
      <c r="AO248" s="35" t="s">
        <v>126</v>
      </c>
      <c r="AP248" s="35"/>
      <c r="AQ248" s="35">
        <v>71010</v>
      </c>
      <c r="AR248" s="35" t="s">
        <v>487</v>
      </c>
      <c r="AS248" s="121">
        <v>39.31382</v>
      </c>
      <c r="AU248" s="7" t="str">
        <f>VLOOKUP($AO248,Mapping!$E$11:$I$204,3,0)</f>
        <v>Augmentation</v>
      </c>
      <c r="AV248" s="7" t="str">
        <f>IFERROR(VLOOKUP($AQ248,Mapping!$E$208:$K$236,5,0),"Contracts")</f>
        <v>Labour</v>
      </c>
      <c r="AW248" s="7" t="str">
        <f>IFERROR(VLOOKUP($AQ248,Mapping!$E$208:$K$236,7,0),"ENDirect")</f>
        <v>ENDirect</v>
      </c>
      <c r="AX248" s="7" t="str">
        <f>IFERROR(HLOOKUP(AV248,'Calc|Weightings'!$U$5:$W$5,1,0),"Excl")</f>
        <v>Labour</v>
      </c>
      <c r="AY248" s="7" t="str">
        <f>VLOOKUP(AO248,Mapping!$E$11:$I$204,5,0)</f>
        <v>SCS</v>
      </c>
    </row>
    <row r="249" spans="1:51" x14ac:dyDescent="0.3">
      <c r="A249" s="7"/>
      <c r="B249" s="7"/>
      <c r="C249" s="7"/>
      <c r="D249" s="7"/>
      <c r="E249" s="32" t="s">
        <v>550</v>
      </c>
      <c r="F249" s="32"/>
      <c r="G249" s="32">
        <v>71035</v>
      </c>
      <c r="H249" s="32" t="s">
        <v>470</v>
      </c>
      <c r="I249" s="33">
        <v>0</v>
      </c>
      <c r="J249" s="170"/>
      <c r="K249" s="7" t="str">
        <f>VLOOKUP($E249,Mapping!$E$11:$I$204,3,0)</f>
        <v>Connections</v>
      </c>
      <c r="L249" s="7" t="str">
        <f>IFERROR(VLOOKUP($G249,Mapping!$E$208:$K$236,5,0),"Contracts")</f>
        <v>Contracts</v>
      </c>
      <c r="M249" s="7" t="str">
        <f>IFERROR(VLOOKUP($G249,Mapping!$E$208:$K$236,7,0),"ENDirect")</f>
        <v>ENDirect</v>
      </c>
      <c r="N249" s="7" t="str">
        <f>IFERROR(HLOOKUP(L249,'Calc|Weightings'!$U$5:$W$5,1,0),"Excl")</f>
        <v>Contracts</v>
      </c>
      <c r="O249" s="7" t="str">
        <f>VLOOKUP(E249,Mapping!$E$11:$I$204,5,0)</f>
        <v>SCS</v>
      </c>
      <c r="Q249" s="32" t="s">
        <v>548</v>
      </c>
      <c r="R249" s="32"/>
      <c r="S249" s="32">
        <v>80000</v>
      </c>
      <c r="T249" s="32" t="s">
        <v>453</v>
      </c>
      <c r="U249" s="33">
        <v>261.27</v>
      </c>
      <c r="V249" s="7"/>
      <c r="W249" s="7" t="str">
        <f>VLOOKUP($Q249,Mapping!$E$11:$I$204,3,0)</f>
        <v>Connections</v>
      </c>
      <c r="X249" s="7" t="str">
        <f>IFERROR(VLOOKUP($S249,Mapping!$E$208:$K$236,5,0),"Contracts")</f>
        <v>Overhead</v>
      </c>
      <c r="Y249" s="7" t="str">
        <f>IFERROR(VLOOKUP($S249,Mapping!$E$208:$K$236,7,0),"ENDirect")</f>
        <v>OH</v>
      </c>
      <c r="Z249" s="7" t="str">
        <f>IFERROR(HLOOKUP(X249,'Calc|Weightings'!$U$5:$W$5,1,0),"Excl")</f>
        <v>Excl</v>
      </c>
      <c r="AA249" s="7" t="str">
        <f>VLOOKUP(Q249,Mapping!$E$11:$I$204,5,0)</f>
        <v>SCS</v>
      </c>
      <c r="AC249" s="35" t="s">
        <v>113</v>
      </c>
      <c r="AD249" s="35"/>
      <c r="AE249" s="35">
        <v>71030</v>
      </c>
      <c r="AF249" s="35" t="s">
        <v>464</v>
      </c>
      <c r="AG249" s="36">
        <v>57.494</v>
      </c>
      <c r="AI249" s="7" t="str">
        <f>VLOOKUP($AC249,Mapping!$E$11:$I$204,3,0)</f>
        <v>Connections</v>
      </c>
      <c r="AJ249" s="7" t="str">
        <f>IFERROR(VLOOKUP($AE249,Mapping!$E$208:$K$236,5,0),"Contracts")</f>
        <v>Contracts</v>
      </c>
      <c r="AK249" s="7" t="str">
        <f>IFERROR(VLOOKUP($AE249,Mapping!$E$208:$K$236,7,0),"ENDirect")</f>
        <v>ENDirect</v>
      </c>
      <c r="AL249" s="7" t="str">
        <f>IFERROR(HLOOKUP(AJ249,'Calc|Weightings'!$U$5:$W$5,1,0),"Excl")</f>
        <v>Contracts</v>
      </c>
      <c r="AM249" s="7" t="str">
        <f>VLOOKUP(AC249,Mapping!$E$11:$I$204,5,0)</f>
        <v>SCS</v>
      </c>
      <c r="AO249" s="35" t="s">
        <v>126</v>
      </c>
      <c r="AP249" s="35"/>
      <c r="AQ249" s="35">
        <v>71015</v>
      </c>
      <c r="AR249" s="35" t="s">
        <v>585</v>
      </c>
      <c r="AS249" s="121">
        <v>6.6858599999999999</v>
      </c>
      <c r="AU249" s="7" t="str">
        <f>VLOOKUP($AO249,Mapping!$E$11:$I$204,3,0)</f>
        <v>Augmentation</v>
      </c>
      <c r="AV249" s="7" t="str">
        <f>IFERROR(VLOOKUP($AQ249,Mapping!$E$208:$K$236,5,0),"Contracts")</f>
        <v>Materials</v>
      </c>
      <c r="AW249" s="7" t="str">
        <f>IFERROR(VLOOKUP($AQ249,Mapping!$E$208:$K$236,7,0),"ENDirect")</f>
        <v>ENDirect</v>
      </c>
      <c r="AX249" s="7" t="str">
        <f>IFERROR(HLOOKUP(AV249,'Calc|Weightings'!$U$5:$W$5,1,0),"Excl")</f>
        <v>Materials</v>
      </c>
      <c r="AY249" s="7" t="str">
        <f>VLOOKUP(AO249,Mapping!$E$11:$I$204,5,0)</f>
        <v>SCS</v>
      </c>
    </row>
    <row r="250" spans="1:51" x14ac:dyDescent="0.3">
      <c r="A250" s="7"/>
      <c r="B250" s="7"/>
      <c r="C250" s="7"/>
      <c r="D250" s="7"/>
      <c r="E250" s="32" t="s">
        <v>121</v>
      </c>
      <c r="F250" s="32"/>
      <c r="G250" s="32">
        <v>70815</v>
      </c>
      <c r="H250" s="32" t="s">
        <v>451</v>
      </c>
      <c r="I250" s="33">
        <v>30.733000000000001</v>
      </c>
      <c r="J250" s="170"/>
      <c r="K250" s="7" t="str">
        <f>VLOOKUP($E250,Mapping!$E$11:$I$204,3,0)</f>
        <v>Augmentation</v>
      </c>
      <c r="L250" s="7" t="str">
        <f>IFERROR(VLOOKUP($G250,Mapping!$E$208:$K$236,5,0),"Contracts")</f>
        <v>Materials</v>
      </c>
      <c r="M250" s="7" t="str">
        <f>IFERROR(VLOOKUP($G250,Mapping!$E$208:$K$236,7,0),"ENDirect")</f>
        <v>ENDirect</v>
      </c>
      <c r="N250" s="7" t="str">
        <f>IFERROR(HLOOKUP(L250,'Calc|Weightings'!$U$5:$W$5,1,0),"Excl")</f>
        <v>Materials</v>
      </c>
      <c r="O250" s="7" t="str">
        <f>VLOOKUP(E250,Mapping!$E$11:$I$204,5,0)</f>
        <v>SCS</v>
      </c>
      <c r="Q250" s="32" t="s">
        <v>161</v>
      </c>
      <c r="R250" s="32"/>
      <c r="S250" s="32">
        <v>71000</v>
      </c>
      <c r="T250" s="32" t="s">
        <v>457</v>
      </c>
      <c r="U250" s="33">
        <v>121.002</v>
      </c>
      <c r="V250" s="7"/>
      <c r="W250" s="7" t="str">
        <f>VLOOKUP($Q250,Mapping!$E$11:$I$204,3,0)</f>
        <v>Augmentation</v>
      </c>
      <c r="X250" s="7" t="str">
        <f>IFERROR(VLOOKUP($S250,Mapping!$E$208:$K$236,5,0),"Contracts")</f>
        <v>Labour</v>
      </c>
      <c r="Y250" s="7" t="str">
        <f>IFERROR(VLOOKUP($S250,Mapping!$E$208:$K$236,7,0),"ENDirect")</f>
        <v>ENDirect</v>
      </c>
      <c r="Z250" s="7" t="str">
        <f>IFERROR(HLOOKUP(X250,'Calc|Weightings'!$U$5:$W$5,1,0),"Excl")</f>
        <v>Labour</v>
      </c>
      <c r="AA250" s="7" t="str">
        <f>VLOOKUP(Q250,Mapping!$E$11:$I$204,5,0)</f>
        <v>SCS</v>
      </c>
      <c r="AC250" s="35" t="s">
        <v>113</v>
      </c>
      <c r="AD250" s="35"/>
      <c r="AE250" s="35">
        <v>71055</v>
      </c>
      <c r="AF250" s="35" t="s">
        <v>465</v>
      </c>
      <c r="AG250" s="36">
        <v>112.59</v>
      </c>
      <c r="AI250" s="7" t="str">
        <f>VLOOKUP($AC250,Mapping!$E$11:$I$204,3,0)</f>
        <v>Connections</v>
      </c>
      <c r="AJ250" s="7" t="str">
        <f>IFERROR(VLOOKUP($AE250,Mapping!$E$208:$K$236,5,0),"Contracts")</f>
        <v>Contracts</v>
      </c>
      <c r="AK250" s="7" t="str">
        <f>IFERROR(VLOOKUP($AE250,Mapping!$E$208:$K$236,7,0),"ENDirect")</f>
        <v>ENDirect</v>
      </c>
      <c r="AL250" s="7" t="str">
        <f>IFERROR(HLOOKUP(AJ250,'Calc|Weightings'!$U$5:$W$5,1,0),"Excl")</f>
        <v>Contracts</v>
      </c>
      <c r="AM250" s="7" t="str">
        <f>VLOOKUP(AC250,Mapping!$E$11:$I$204,5,0)</f>
        <v>SCS</v>
      </c>
      <c r="AO250" s="35" t="s">
        <v>126</v>
      </c>
      <c r="AP250" s="35"/>
      <c r="AQ250" s="35">
        <v>71030</v>
      </c>
      <c r="AR250" s="35" t="s">
        <v>464</v>
      </c>
      <c r="AS250" s="121">
        <v>5.1461600000000001</v>
      </c>
      <c r="AU250" s="7" t="str">
        <f>VLOOKUP($AO250,Mapping!$E$11:$I$204,3,0)</f>
        <v>Augmentation</v>
      </c>
      <c r="AV250" s="7" t="str">
        <f>IFERROR(VLOOKUP($AQ250,Mapping!$E$208:$K$236,5,0),"Contracts")</f>
        <v>Contracts</v>
      </c>
      <c r="AW250" s="7" t="str">
        <f>IFERROR(VLOOKUP($AQ250,Mapping!$E$208:$K$236,7,0),"ENDirect")</f>
        <v>ENDirect</v>
      </c>
      <c r="AX250" s="7" t="str">
        <f>IFERROR(HLOOKUP(AV250,'Calc|Weightings'!$U$5:$W$5,1,0),"Excl")</f>
        <v>Contracts</v>
      </c>
      <c r="AY250" s="7" t="str">
        <f>VLOOKUP(AO250,Mapping!$E$11:$I$204,5,0)</f>
        <v>SCS</v>
      </c>
    </row>
    <row r="251" spans="1:51" x14ac:dyDescent="0.3">
      <c r="A251" s="7"/>
      <c r="B251" s="7"/>
      <c r="C251" s="7"/>
      <c r="D251" s="7"/>
      <c r="E251" s="32" t="s">
        <v>121</v>
      </c>
      <c r="F251" s="32"/>
      <c r="G251" s="32">
        <v>71000</v>
      </c>
      <c r="H251" s="32" t="s">
        <v>457</v>
      </c>
      <c r="I251" s="33">
        <v>250.047</v>
      </c>
      <c r="J251" s="170"/>
      <c r="K251" s="7" t="str">
        <f>VLOOKUP($E251,Mapping!$E$11:$I$204,3,0)</f>
        <v>Augmentation</v>
      </c>
      <c r="L251" s="7" t="str">
        <f>IFERROR(VLOOKUP($G251,Mapping!$E$208:$K$236,5,0),"Contracts")</f>
        <v>Labour</v>
      </c>
      <c r="M251" s="7" t="str">
        <f>IFERROR(VLOOKUP($G251,Mapping!$E$208:$K$236,7,0),"ENDirect")</f>
        <v>ENDirect</v>
      </c>
      <c r="N251" s="7" t="str">
        <f>IFERROR(HLOOKUP(L251,'Calc|Weightings'!$U$5:$W$5,1,0),"Excl")</f>
        <v>Labour</v>
      </c>
      <c r="O251" s="7" t="str">
        <f>VLOOKUP(E251,Mapping!$E$11:$I$204,5,0)</f>
        <v>SCS</v>
      </c>
      <c r="Q251" s="32" t="s">
        <v>161</v>
      </c>
      <c r="R251" s="32"/>
      <c r="S251" s="32">
        <v>71015</v>
      </c>
      <c r="T251" s="32" t="s">
        <v>463</v>
      </c>
      <c r="U251" s="33">
        <v>14.074</v>
      </c>
      <c r="V251" s="7"/>
      <c r="W251" s="7" t="str">
        <f>VLOOKUP($Q251,Mapping!$E$11:$I$204,3,0)</f>
        <v>Augmentation</v>
      </c>
      <c r="X251" s="7" t="str">
        <f>IFERROR(VLOOKUP($S251,Mapping!$E$208:$K$236,5,0),"Contracts")</f>
        <v>Materials</v>
      </c>
      <c r="Y251" s="7" t="str">
        <f>IFERROR(VLOOKUP($S251,Mapping!$E$208:$K$236,7,0),"ENDirect")</f>
        <v>ENDirect</v>
      </c>
      <c r="Z251" s="7" t="str">
        <f>IFERROR(HLOOKUP(X251,'Calc|Weightings'!$U$5:$W$5,1,0),"Excl")</f>
        <v>Materials</v>
      </c>
      <c r="AA251" s="7" t="str">
        <f>VLOOKUP(Q251,Mapping!$E$11:$I$204,5,0)</f>
        <v>SCS</v>
      </c>
      <c r="AC251" s="35" t="s">
        <v>113</v>
      </c>
      <c r="AD251" s="35"/>
      <c r="AE251" s="35">
        <v>80000</v>
      </c>
      <c r="AF251" s="35" t="s">
        <v>453</v>
      </c>
      <c r="AG251" s="36">
        <v>110.544</v>
      </c>
      <c r="AI251" s="7" t="str">
        <f>VLOOKUP($AC251,Mapping!$E$11:$I$204,3,0)</f>
        <v>Connections</v>
      </c>
      <c r="AJ251" s="7" t="str">
        <f>IFERROR(VLOOKUP($AE251,Mapping!$E$208:$K$236,5,0),"Contracts")</f>
        <v>Overhead</v>
      </c>
      <c r="AK251" s="7" t="str">
        <f>IFERROR(VLOOKUP($AE251,Mapping!$E$208:$K$236,7,0),"ENDirect")</f>
        <v>OH</v>
      </c>
      <c r="AL251" s="7" t="str">
        <f>IFERROR(HLOOKUP(AJ251,'Calc|Weightings'!$U$5:$W$5,1,0),"Excl")</f>
        <v>Excl</v>
      </c>
      <c r="AM251" s="7" t="str">
        <f>VLOOKUP(AC251,Mapping!$E$11:$I$204,5,0)</f>
        <v>SCS</v>
      </c>
      <c r="AO251" s="35" t="s">
        <v>126</v>
      </c>
      <c r="AP251" s="35"/>
      <c r="AQ251" s="35">
        <v>71055</v>
      </c>
      <c r="AR251" s="35" t="s">
        <v>465</v>
      </c>
      <c r="AS251" s="121">
        <v>1.4351099999999999</v>
      </c>
      <c r="AU251" s="7" t="str">
        <f>VLOOKUP($AO251,Mapping!$E$11:$I$204,3,0)</f>
        <v>Augmentation</v>
      </c>
      <c r="AV251" s="7" t="str">
        <f>IFERROR(VLOOKUP($AQ251,Mapping!$E$208:$K$236,5,0),"Contracts")</f>
        <v>Contracts</v>
      </c>
      <c r="AW251" s="7" t="str">
        <f>IFERROR(VLOOKUP($AQ251,Mapping!$E$208:$K$236,7,0),"ENDirect")</f>
        <v>ENDirect</v>
      </c>
      <c r="AX251" s="7" t="str">
        <f>IFERROR(HLOOKUP(AV251,'Calc|Weightings'!$U$5:$W$5,1,0),"Excl")</f>
        <v>Contracts</v>
      </c>
      <c r="AY251" s="7" t="str">
        <f>VLOOKUP(AO251,Mapping!$E$11:$I$204,5,0)</f>
        <v>SCS</v>
      </c>
    </row>
    <row r="252" spans="1:51" x14ac:dyDescent="0.3">
      <c r="A252" s="7"/>
      <c r="B252" s="7"/>
      <c r="C252" s="7"/>
      <c r="D252" s="7"/>
      <c r="E252" s="32" t="s">
        <v>121</v>
      </c>
      <c r="F252" s="32"/>
      <c r="G252" s="32">
        <v>71005</v>
      </c>
      <c r="H252" s="32" t="s">
        <v>461</v>
      </c>
      <c r="I252" s="33">
        <v>189.62</v>
      </c>
      <c r="J252" s="170"/>
      <c r="K252" s="7" t="str">
        <f>VLOOKUP($E252,Mapping!$E$11:$I$204,3,0)</f>
        <v>Augmentation</v>
      </c>
      <c r="L252" s="7" t="str">
        <f>IFERROR(VLOOKUP($G252,Mapping!$E$208:$K$236,5,0),"Contracts")</f>
        <v>Materials</v>
      </c>
      <c r="M252" s="7" t="str">
        <f>IFERROR(VLOOKUP($G252,Mapping!$E$208:$K$236,7,0),"ENDirect")</f>
        <v>ENDirect</v>
      </c>
      <c r="N252" s="7" t="str">
        <f>IFERROR(HLOOKUP(L252,'Calc|Weightings'!$U$5:$W$5,1,0),"Excl")</f>
        <v>Materials</v>
      </c>
      <c r="O252" s="7" t="str">
        <f>VLOOKUP(E252,Mapping!$E$11:$I$204,5,0)</f>
        <v>SCS</v>
      </c>
      <c r="Q252" s="32" t="s">
        <v>162</v>
      </c>
      <c r="R252" s="32"/>
      <c r="S252" s="32">
        <v>71010</v>
      </c>
      <c r="T252" s="32" t="s">
        <v>462</v>
      </c>
      <c r="U252" s="33">
        <v>651.125</v>
      </c>
      <c r="V252" s="7"/>
      <c r="W252" s="7" t="str">
        <f>VLOOKUP($Q252,Mapping!$E$11:$I$204,3,0)</f>
        <v>Replacement</v>
      </c>
      <c r="X252" s="7" t="str">
        <f>IFERROR(VLOOKUP($S252,Mapping!$E$208:$K$236,5,0),"Contracts")</f>
        <v>Labour</v>
      </c>
      <c r="Y252" s="7" t="str">
        <f>IFERROR(VLOOKUP($S252,Mapping!$E$208:$K$236,7,0),"ENDirect")</f>
        <v>ENDirect</v>
      </c>
      <c r="Z252" s="7" t="str">
        <f>IFERROR(HLOOKUP(X252,'Calc|Weightings'!$U$5:$W$5,1,0),"Excl")</f>
        <v>Labour</v>
      </c>
      <c r="AA252" s="7" t="str">
        <f>VLOOKUP(Q252,Mapping!$E$11:$I$204,5,0)</f>
        <v>SCS</v>
      </c>
      <c r="AC252" s="35" t="s">
        <v>145</v>
      </c>
      <c r="AD252" s="35"/>
      <c r="AE252" s="35">
        <v>70815</v>
      </c>
      <c r="AF252" s="35" t="s">
        <v>451</v>
      </c>
      <c r="AG252" s="36">
        <v>359.58600000000001</v>
      </c>
      <c r="AI252" s="7" t="str">
        <f>VLOOKUP($AC252,Mapping!$E$11:$I$204,3,0)</f>
        <v>Augmentation</v>
      </c>
      <c r="AJ252" s="7" t="str">
        <f>IFERROR(VLOOKUP($AE252,Mapping!$E$208:$K$236,5,0),"Contracts")</f>
        <v>Materials</v>
      </c>
      <c r="AK252" s="7" t="str">
        <f>IFERROR(VLOOKUP($AE252,Mapping!$E$208:$K$236,7,0),"ENDirect")</f>
        <v>ENDirect</v>
      </c>
      <c r="AL252" s="7" t="str">
        <f>IFERROR(HLOOKUP(AJ252,'Calc|Weightings'!$U$5:$W$5,1,0),"Excl")</f>
        <v>Materials</v>
      </c>
      <c r="AM252" s="7" t="str">
        <f>VLOOKUP(AC252,Mapping!$E$11:$I$204,5,0)</f>
        <v>SCS</v>
      </c>
      <c r="AO252" s="35" t="s">
        <v>126</v>
      </c>
      <c r="AP252" s="35"/>
      <c r="AQ252" s="35">
        <v>71130</v>
      </c>
      <c r="AR252" s="35" t="s">
        <v>592</v>
      </c>
      <c r="AS252" s="121">
        <v>4.5979099999999997</v>
      </c>
      <c r="AU252" s="7" t="str">
        <f>VLOOKUP($AO252,Mapping!$E$11:$I$204,3,0)</f>
        <v>Augmentation</v>
      </c>
      <c r="AV252" s="7" t="str">
        <f>IFERROR(VLOOKUP($AQ252,Mapping!$E$208:$K$236,5,0),"Contracts")</f>
        <v>Contracts</v>
      </c>
      <c r="AW252" s="7" t="str">
        <f>IFERROR(VLOOKUP($AQ252,Mapping!$E$208:$K$236,7,0),"ENDirect")</f>
        <v>ENDirect</v>
      </c>
      <c r="AX252" s="7" t="str">
        <f>IFERROR(HLOOKUP(AV252,'Calc|Weightings'!$U$5:$W$5,1,0),"Excl")</f>
        <v>Contracts</v>
      </c>
      <c r="AY252" s="7" t="str">
        <f>VLOOKUP(AO252,Mapping!$E$11:$I$204,5,0)</f>
        <v>SCS</v>
      </c>
    </row>
    <row r="253" spans="1:51" x14ac:dyDescent="0.3">
      <c r="A253" s="7"/>
      <c r="B253" s="7"/>
      <c r="C253" s="7"/>
      <c r="D253" s="7"/>
      <c r="E253" s="32" t="s">
        <v>121</v>
      </c>
      <c r="F253" s="32"/>
      <c r="G253" s="32">
        <v>71010</v>
      </c>
      <c r="H253" s="32" t="s">
        <v>462</v>
      </c>
      <c r="I253" s="33">
        <v>177.417</v>
      </c>
      <c r="J253" s="170"/>
      <c r="K253" s="7" t="str">
        <f>VLOOKUP($E253,Mapping!$E$11:$I$204,3,0)</f>
        <v>Augmentation</v>
      </c>
      <c r="L253" s="7" t="str">
        <f>IFERROR(VLOOKUP($G253,Mapping!$E$208:$K$236,5,0),"Contracts")</f>
        <v>Labour</v>
      </c>
      <c r="M253" s="7" t="str">
        <f>IFERROR(VLOOKUP($G253,Mapping!$E$208:$K$236,7,0),"ENDirect")</f>
        <v>ENDirect</v>
      </c>
      <c r="N253" s="7" t="str">
        <f>IFERROR(HLOOKUP(L253,'Calc|Weightings'!$U$5:$W$5,1,0),"Excl")</f>
        <v>Labour</v>
      </c>
      <c r="O253" s="7" t="str">
        <f>VLOOKUP(E253,Mapping!$E$11:$I$204,5,0)</f>
        <v>SCS</v>
      </c>
      <c r="Q253" s="32" t="s">
        <v>162</v>
      </c>
      <c r="R253" s="32"/>
      <c r="S253" s="32">
        <v>80000</v>
      </c>
      <c r="T253" s="32" t="s">
        <v>453</v>
      </c>
      <c r="U253" s="33">
        <v>360.50700000000001</v>
      </c>
      <c r="V253" s="7"/>
      <c r="W253" s="7" t="str">
        <f>VLOOKUP($Q253,Mapping!$E$11:$I$204,3,0)</f>
        <v>Replacement</v>
      </c>
      <c r="X253" s="7" t="str">
        <f>IFERROR(VLOOKUP($S253,Mapping!$E$208:$K$236,5,0),"Contracts")</f>
        <v>Overhead</v>
      </c>
      <c r="Y253" s="7" t="str">
        <f>IFERROR(VLOOKUP($S253,Mapping!$E$208:$K$236,7,0),"ENDirect")</f>
        <v>OH</v>
      </c>
      <c r="Z253" s="7" t="str">
        <f>IFERROR(HLOOKUP(X253,'Calc|Weightings'!$U$5:$W$5,1,0),"Excl")</f>
        <v>Excl</v>
      </c>
      <c r="AA253" s="7" t="str">
        <f>VLOOKUP(Q253,Mapping!$E$11:$I$204,5,0)</f>
        <v>SCS</v>
      </c>
      <c r="AC253" s="35" t="s">
        <v>145</v>
      </c>
      <c r="AD253" s="35"/>
      <c r="AE253" s="35">
        <v>71040</v>
      </c>
      <c r="AF253" s="35" t="s">
        <v>460</v>
      </c>
      <c r="AG253" s="36">
        <v>-25.936</v>
      </c>
      <c r="AI253" s="7" t="str">
        <f>VLOOKUP($AC253,Mapping!$E$11:$I$204,3,0)</f>
        <v>Augmentation</v>
      </c>
      <c r="AJ253" s="7" t="str">
        <f>IFERROR(VLOOKUP($AE253,Mapping!$E$208:$K$236,5,0),"Contracts")</f>
        <v>Contracts</v>
      </c>
      <c r="AK253" s="7" t="str">
        <f>IFERROR(VLOOKUP($AE253,Mapping!$E$208:$K$236,7,0),"ENDirect")</f>
        <v>ENDirect</v>
      </c>
      <c r="AL253" s="7" t="str">
        <f>IFERROR(HLOOKUP(AJ253,'Calc|Weightings'!$U$5:$W$5,1,0),"Excl")</f>
        <v>Contracts</v>
      </c>
      <c r="AM253" s="7" t="str">
        <f>VLOOKUP(AC253,Mapping!$E$11:$I$204,5,0)</f>
        <v>SCS</v>
      </c>
      <c r="AO253" s="35" t="s">
        <v>126</v>
      </c>
      <c r="AP253" s="35"/>
      <c r="AQ253" s="35">
        <v>80000</v>
      </c>
      <c r="AR253" s="35" t="s">
        <v>589</v>
      </c>
      <c r="AS253" s="121">
        <v>24.846169999999997</v>
      </c>
      <c r="AU253" s="7" t="str">
        <f>VLOOKUP($AO253,Mapping!$E$11:$I$204,3,0)</f>
        <v>Augmentation</v>
      </c>
      <c r="AV253" s="7" t="str">
        <f>IFERROR(VLOOKUP($AQ253,Mapping!$E$208:$K$236,5,0),"Contracts")</f>
        <v>Overhead</v>
      </c>
      <c r="AW253" s="7" t="str">
        <f>IFERROR(VLOOKUP($AQ253,Mapping!$E$208:$K$236,7,0),"ENDirect")</f>
        <v>OH</v>
      </c>
      <c r="AX253" s="7" t="str">
        <f>IFERROR(HLOOKUP(AV253,'Calc|Weightings'!$U$5:$W$5,1,0),"Excl")</f>
        <v>Excl</v>
      </c>
      <c r="AY253" s="7" t="str">
        <f>VLOOKUP(AO253,Mapping!$E$11:$I$204,5,0)</f>
        <v>SCS</v>
      </c>
    </row>
    <row r="254" spans="1:51" x14ac:dyDescent="0.3">
      <c r="A254" s="7"/>
      <c r="B254" s="7"/>
      <c r="C254" s="7"/>
      <c r="D254" s="7"/>
      <c r="E254" s="32" t="s">
        <v>121</v>
      </c>
      <c r="F254" s="32"/>
      <c r="G254" s="32">
        <v>71015</v>
      </c>
      <c r="H254" s="32" t="s">
        <v>463</v>
      </c>
      <c r="I254" s="33">
        <v>3.1139999999999999</v>
      </c>
      <c r="J254" s="170"/>
      <c r="K254" s="7" t="str">
        <f>VLOOKUP($E254,Mapping!$E$11:$I$204,3,0)</f>
        <v>Augmentation</v>
      </c>
      <c r="L254" s="7" t="str">
        <f>IFERROR(VLOOKUP($G254,Mapping!$E$208:$K$236,5,0),"Contracts")</f>
        <v>Materials</v>
      </c>
      <c r="M254" s="7" t="str">
        <f>IFERROR(VLOOKUP($G254,Mapping!$E$208:$K$236,7,0),"ENDirect")</f>
        <v>ENDirect</v>
      </c>
      <c r="N254" s="7" t="str">
        <f>IFERROR(HLOOKUP(L254,'Calc|Weightings'!$U$5:$W$5,1,0),"Excl")</f>
        <v>Materials</v>
      </c>
      <c r="O254" s="7" t="str">
        <f>VLOOKUP(E254,Mapping!$E$11:$I$204,5,0)</f>
        <v>SCS</v>
      </c>
      <c r="Q254" s="32" t="s">
        <v>126</v>
      </c>
      <c r="R254" s="32"/>
      <c r="S254" s="32">
        <v>71040</v>
      </c>
      <c r="T254" s="32" t="s">
        <v>460</v>
      </c>
      <c r="U254" s="33">
        <v>109.339</v>
      </c>
      <c r="V254" s="7"/>
      <c r="W254" s="7" t="str">
        <f>VLOOKUP($Q254,Mapping!$E$11:$I$204,3,0)</f>
        <v>Augmentation</v>
      </c>
      <c r="X254" s="7" t="str">
        <f>IFERROR(VLOOKUP($S254,Mapping!$E$208:$K$236,5,0),"Contracts")</f>
        <v>Contracts</v>
      </c>
      <c r="Y254" s="7" t="str">
        <f>IFERROR(VLOOKUP($S254,Mapping!$E$208:$K$236,7,0),"ENDirect")</f>
        <v>ENDirect</v>
      </c>
      <c r="Z254" s="7" t="str">
        <f>IFERROR(HLOOKUP(X254,'Calc|Weightings'!$U$5:$W$5,1,0),"Excl")</f>
        <v>Contracts</v>
      </c>
      <c r="AA254" s="7" t="str">
        <f>VLOOKUP(Q254,Mapping!$E$11:$I$204,5,0)</f>
        <v>SCS</v>
      </c>
      <c r="AC254" s="35" t="s">
        <v>549</v>
      </c>
      <c r="AD254" s="35"/>
      <c r="AE254" s="35">
        <v>71006</v>
      </c>
      <c r="AF254" s="35" t="s">
        <v>468</v>
      </c>
      <c r="AG254" s="36">
        <v>400.73899999999998</v>
      </c>
      <c r="AI254" s="7" t="str">
        <f>VLOOKUP($AC254,Mapping!$E$11:$I$204,3,0)</f>
        <v>Connections</v>
      </c>
      <c r="AJ254" s="7" t="str">
        <f>IFERROR(VLOOKUP($AE254,Mapping!$E$208:$K$236,5,0),"Contracts")</f>
        <v>Materials</v>
      </c>
      <c r="AK254" s="7" t="str">
        <f>IFERROR(VLOOKUP($AE254,Mapping!$E$208:$K$236,7,0),"ENDirect")</f>
        <v>ENDirect</v>
      </c>
      <c r="AL254" s="7" t="str">
        <f>IFERROR(HLOOKUP(AJ254,'Calc|Weightings'!$U$5:$W$5,1,0),"Excl")</f>
        <v>Materials</v>
      </c>
      <c r="AM254" s="7" t="str">
        <f>VLOOKUP(AC254,Mapping!$E$11:$I$204,5,0)</f>
        <v>SCS</v>
      </c>
      <c r="AO254" s="35" t="s">
        <v>127</v>
      </c>
      <c r="AP254" s="35"/>
      <c r="AQ254" s="35">
        <v>70815</v>
      </c>
      <c r="AR254" s="35" t="s">
        <v>594</v>
      </c>
      <c r="AS254" s="121">
        <v>1185.7684400000001</v>
      </c>
      <c r="AU254" s="7" t="str">
        <f>VLOOKUP($AO254,Mapping!$E$11:$I$204,3,0)</f>
        <v>Non-network general assets - Other</v>
      </c>
      <c r="AV254" s="7" t="str">
        <f>IFERROR(VLOOKUP($AQ254,Mapping!$E$208:$K$236,5,0),"Contracts")</f>
        <v>Materials</v>
      </c>
      <c r="AW254" s="7" t="str">
        <f>IFERROR(VLOOKUP($AQ254,Mapping!$E$208:$K$236,7,0),"ENDirect")</f>
        <v>ENDirect</v>
      </c>
      <c r="AX254" s="7" t="str">
        <f>IFERROR(HLOOKUP(AV254,'Calc|Weightings'!$U$5:$W$5,1,0),"Excl")</f>
        <v>Materials</v>
      </c>
      <c r="AY254" s="7" t="str">
        <f>VLOOKUP(AO254,Mapping!$E$11:$I$204,5,0)</f>
        <v>SCS</v>
      </c>
    </row>
    <row r="255" spans="1:51" x14ac:dyDescent="0.3">
      <c r="A255" s="7"/>
      <c r="B255" s="7"/>
      <c r="C255" s="7"/>
      <c r="D255" s="7"/>
      <c r="E255" s="32" t="s">
        <v>121</v>
      </c>
      <c r="F255" s="32"/>
      <c r="G255" s="32">
        <v>71020</v>
      </c>
      <c r="H255" s="32" t="s">
        <v>459</v>
      </c>
      <c r="I255" s="33">
        <v>-21.094000000000001</v>
      </c>
      <c r="J255" s="170"/>
      <c r="K255" s="7" t="str">
        <f>VLOOKUP($E255,Mapping!$E$11:$I$204,3,0)</f>
        <v>Augmentation</v>
      </c>
      <c r="L255" s="7" t="str">
        <f>IFERROR(VLOOKUP($G255,Mapping!$E$208:$K$236,5,0),"Contracts")</f>
        <v>Contracts</v>
      </c>
      <c r="M255" s="7" t="str">
        <f>IFERROR(VLOOKUP($G255,Mapping!$E$208:$K$236,7,0),"ENDirect")</f>
        <v>ENDirect</v>
      </c>
      <c r="N255" s="7" t="str">
        <f>IFERROR(HLOOKUP(L255,'Calc|Weightings'!$U$5:$W$5,1,0),"Excl")</f>
        <v>Contracts</v>
      </c>
      <c r="O255" s="7" t="str">
        <f>VLOOKUP(E255,Mapping!$E$11:$I$204,5,0)</f>
        <v>SCS</v>
      </c>
      <c r="Q255" s="32" t="s">
        <v>126</v>
      </c>
      <c r="R255" s="32"/>
      <c r="S255" s="32">
        <v>71045</v>
      </c>
      <c r="T255" s="32" t="s">
        <v>469</v>
      </c>
      <c r="U255" s="33">
        <v>105.19799999999999</v>
      </c>
      <c r="V255" s="7"/>
      <c r="W255" s="7" t="str">
        <f>VLOOKUP($Q255,Mapping!$E$11:$I$204,3,0)</f>
        <v>Augmentation</v>
      </c>
      <c r="X255" s="7" t="str">
        <f>IFERROR(VLOOKUP($S255,Mapping!$E$208:$K$236,5,0),"Contracts")</f>
        <v>Materials</v>
      </c>
      <c r="Y255" s="7" t="str">
        <f>IFERROR(VLOOKUP($S255,Mapping!$E$208:$K$236,7,0),"ENDirect")</f>
        <v>ENDirect</v>
      </c>
      <c r="Z255" s="7" t="str">
        <f>IFERROR(HLOOKUP(X255,'Calc|Weightings'!$U$5:$W$5,1,0),"Excl")</f>
        <v>Materials</v>
      </c>
      <c r="AA255" s="7" t="str">
        <f>VLOOKUP(Q255,Mapping!$E$11:$I$204,5,0)</f>
        <v>SCS</v>
      </c>
      <c r="AC255" s="35" t="s">
        <v>552</v>
      </c>
      <c r="AD255" s="35"/>
      <c r="AE255" s="35">
        <v>72345</v>
      </c>
      <c r="AF255" s="35" t="s">
        <v>467</v>
      </c>
      <c r="AG255" s="36">
        <v>283.92599999999999</v>
      </c>
      <c r="AI255" s="7" t="str">
        <f>VLOOKUP($AC255,Mapping!$E$11:$I$204,3,0)</f>
        <v>Connections</v>
      </c>
      <c r="AJ255" s="7" t="str">
        <f>IFERROR(VLOOKUP($AE255,Mapping!$E$208:$K$236,5,0),"Contracts")</f>
        <v>Contracts</v>
      </c>
      <c r="AK255" s="7" t="str">
        <f>IFERROR(VLOOKUP($AE255,Mapping!$E$208:$K$236,7,0),"ENDirect")</f>
        <v>ENDirect</v>
      </c>
      <c r="AL255" s="7" t="str">
        <f>IFERROR(HLOOKUP(AJ255,'Calc|Weightings'!$U$5:$W$5,1,0),"Excl")</f>
        <v>Contracts</v>
      </c>
      <c r="AM255" s="7" t="str">
        <f>VLOOKUP(AC255,Mapping!$E$11:$I$204,5,0)</f>
        <v>SCS</v>
      </c>
      <c r="AO255" s="35" t="s">
        <v>127</v>
      </c>
      <c r="AP255" s="35"/>
      <c r="AQ255" s="35">
        <v>80000</v>
      </c>
      <c r="AR255" s="35" t="s">
        <v>589</v>
      </c>
      <c r="AS255" s="121">
        <v>69.564510000000013</v>
      </c>
      <c r="AU255" s="7" t="str">
        <f>VLOOKUP($AO255,Mapping!$E$11:$I$204,3,0)</f>
        <v>Non-network general assets - Other</v>
      </c>
      <c r="AV255" s="7" t="str">
        <f>IFERROR(VLOOKUP($AQ255,Mapping!$E$208:$K$236,5,0),"Contracts")</f>
        <v>Overhead</v>
      </c>
      <c r="AW255" s="7" t="str">
        <f>IFERROR(VLOOKUP($AQ255,Mapping!$E$208:$K$236,7,0),"ENDirect")</f>
        <v>OH</v>
      </c>
      <c r="AX255" s="7" t="str">
        <f>IFERROR(HLOOKUP(AV255,'Calc|Weightings'!$U$5:$W$5,1,0),"Excl")</f>
        <v>Excl</v>
      </c>
      <c r="AY255" s="7" t="str">
        <f>VLOOKUP(AO255,Mapping!$E$11:$I$204,5,0)</f>
        <v>SCS</v>
      </c>
    </row>
    <row r="256" spans="1:51" x14ac:dyDescent="0.3">
      <c r="A256" s="7"/>
      <c r="B256" s="7"/>
      <c r="C256" s="7"/>
      <c r="D256" s="7"/>
      <c r="E256" s="32" t="s">
        <v>121</v>
      </c>
      <c r="F256" s="32"/>
      <c r="G256" s="32">
        <v>71030</v>
      </c>
      <c r="H256" s="32" t="s">
        <v>464</v>
      </c>
      <c r="I256" s="33">
        <v>48.914000000000001</v>
      </c>
      <c r="J256" s="170"/>
      <c r="K256" s="7" t="str">
        <f>VLOOKUP($E256,Mapping!$E$11:$I$204,3,0)</f>
        <v>Augmentation</v>
      </c>
      <c r="L256" s="7" t="str">
        <f>IFERROR(VLOOKUP($G256,Mapping!$E$208:$K$236,5,0),"Contracts")</f>
        <v>Contracts</v>
      </c>
      <c r="M256" s="7" t="str">
        <f>IFERROR(VLOOKUP($G256,Mapping!$E$208:$K$236,7,0),"ENDirect")</f>
        <v>ENDirect</v>
      </c>
      <c r="N256" s="7" t="str">
        <f>IFERROR(HLOOKUP(L256,'Calc|Weightings'!$U$5:$W$5,1,0),"Excl")</f>
        <v>Contracts</v>
      </c>
      <c r="O256" s="7" t="str">
        <f>VLOOKUP(E256,Mapping!$E$11:$I$204,5,0)</f>
        <v>SCS</v>
      </c>
      <c r="Q256" s="32" t="s">
        <v>161</v>
      </c>
      <c r="R256" s="32"/>
      <c r="S256" s="32">
        <v>71005</v>
      </c>
      <c r="T256" s="32" t="s">
        <v>461</v>
      </c>
      <c r="U256" s="33">
        <v>109.871</v>
      </c>
      <c r="V256" s="7"/>
      <c r="W256" s="7" t="str">
        <f>VLOOKUP($Q256,Mapping!$E$11:$I$204,3,0)</f>
        <v>Augmentation</v>
      </c>
      <c r="X256" s="7" t="str">
        <f>IFERROR(VLOOKUP($S256,Mapping!$E$208:$K$236,5,0),"Contracts")</f>
        <v>Materials</v>
      </c>
      <c r="Y256" s="7" t="str">
        <f>IFERROR(VLOOKUP($S256,Mapping!$E$208:$K$236,7,0),"ENDirect")</f>
        <v>ENDirect</v>
      </c>
      <c r="Z256" s="7" t="str">
        <f>IFERROR(HLOOKUP(X256,'Calc|Weightings'!$U$5:$W$5,1,0),"Excl")</f>
        <v>Materials</v>
      </c>
      <c r="AA256" s="7" t="str">
        <f>VLOOKUP(Q256,Mapping!$E$11:$I$204,5,0)</f>
        <v>SCS</v>
      </c>
      <c r="AC256" s="35" t="s">
        <v>546</v>
      </c>
      <c r="AD256" s="35"/>
      <c r="AE256" s="35">
        <v>71005</v>
      </c>
      <c r="AF256" s="35" t="s">
        <v>461</v>
      </c>
      <c r="AG256" s="36">
        <v>156.00700000000001</v>
      </c>
      <c r="AI256" s="7" t="str">
        <f>VLOOKUP($AC256,Mapping!$E$11:$I$204,3,0)</f>
        <v>Connections</v>
      </c>
      <c r="AJ256" s="7" t="str">
        <f>IFERROR(VLOOKUP($AE256,Mapping!$E$208:$K$236,5,0),"Contracts")</f>
        <v>Materials</v>
      </c>
      <c r="AK256" s="7" t="str">
        <f>IFERROR(VLOOKUP($AE256,Mapping!$E$208:$K$236,7,0),"ENDirect")</f>
        <v>ENDirect</v>
      </c>
      <c r="AL256" s="7" t="str">
        <f>IFERROR(HLOOKUP(AJ256,'Calc|Weightings'!$U$5:$W$5,1,0),"Excl")</f>
        <v>Materials</v>
      </c>
      <c r="AM256" s="7" t="str">
        <f>VLOOKUP(AC256,Mapping!$E$11:$I$204,5,0)</f>
        <v>SCS</v>
      </c>
      <c r="AO256" s="35" t="s">
        <v>265</v>
      </c>
      <c r="AP256" s="35"/>
      <c r="AQ256" s="35">
        <v>70815</v>
      </c>
      <c r="AR256" s="35" t="s">
        <v>594</v>
      </c>
      <c r="AS256" s="121">
        <v>25588.736950000006</v>
      </c>
      <c r="AU256" s="7" t="str">
        <f>VLOOKUP($AO256,Mapping!$E$11:$I$204,3,0)</f>
        <v>Non-network general assets - IT</v>
      </c>
      <c r="AV256" s="7" t="str">
        <f>IFERROR(VLOOKUP($AQ256,Mapping!$E$208:$K$236,5,0),"Contracts")</f>
        <v>Materials</v>
      </c>
      <c r="AW256" s="7" t="str">
        <f>IFERROR(VLOOKUP($AQ256,Mapping!$E$208:$K$236,7,0),"ENDirect")</f>
        <v>ENDirect</v>
      </c>
      <c r="AX256" s="7" t="str">
        <f>IFERROR(HLOOKUP(AV256,'Calc|Weightings'!$U$5:$W$5,1,0),"Excl")</f>
        <v>Materials</v>
      </c>
      <c r="AY256" s="7" t="str">
        <f>VLOOKUP(AO256,Mapping!$E$11:$I$204,5,0)</f>
        <v>SCS</v>
      </c>
    </row>
    <row r="257" spans="1:51" x14ac:dyDescent="0.3">
      <c r="A257" s="7"/>
      <c r="B257" s="7"/>
      <c r="C257" s="7"/>
      <c r="D257" s="7"/>
      <c r="E257" s="32" t="s">
        <v>121</v>
      </c>
      <c r="F257" s="32"/>
      <c r="G257" s="32">
        <v>71040</v>
      </c>
      <c r="H257" s="32" t="s">
        <v>460</v>
      </c>
      <c r="I257" s="33">
        <v>-0.96599999999999997</v>
      </c>
      <c r="J257" s="170"/>
      <c r="K257" s="7" t="str">
        <f>VLOOKUP($E257,Mapping!$E$11:$I$204,3,0)</f>
        <v>Augmentation</v>
      </c>
      <c r="L257" s="7" t="str">
        <f>IFERROR(VLOOKUP($G257,Mapping!$E$208:$K$236,5,0),"Contracts")</f>
        <v>Contracts</v>
      </c>
      <c r="M257" s="7" t="str">
        <f>IFERROR(VLOOKUP($G257,Mapping!$E$208:$K$236,7,0),"ENDirect")</f>
        <v>ENDirect</v>
      </c>
      <c r="N257" s="7" t="str">
        <f>IFERROR(HLOOKUP(L257,'Calc|Weightings'!$U$5:$W$5,1,0),"Excl")</f>
        <v>Contracts</v>
      </c>
      <c r="O257" s="7" t="str">
        <f>VLOOKUP(E257,Mapping!$E$11:$I$204,5,0)</f>
        <v>SCS</v>
      </c>
      <c r="Q257" s="32" t="s">
        <v>162</v>
      </c>
      <c r="R257" s="32"/>
      <c r="S257" s="32">
        <v>70815</v>
      </c>
      <c r="T257" s="32" t="s">
        <v>451</v>
      </c>
      <c r="U257" s="33">
        <v>21.567</v>
      </c>
      <c r="V257" s="7"/>
      <c r="W257" s="7" t="str">
        <f>VLOOKUP($Q257,Mapping!$E$11:$I$204,3,0)</f>
        <v>Replacement</v>
      </c>
      <c r="X257" s="7" t="str">
        <f>IFERROR(VLOOKUP($S257,Mapping!$E$208:$K$236,5,0),"Contracts")</f>
        <v>Materials</v>
      </c>
      <c r="Y257" s="7" t="str">
        <f>IFERROR(VLOOKUP($S257,Mapping!$E$208:$K$236,7,0),"ENDirect")</f>
        <v>ENDirect</v>
      </c>
      <c r="Z257" s="7" t="str">
        <f>IFERROR(HLOOKUP(X257,'Calc|Weightings'!$U$5:$W$5,1,0),"Excl")</f>
        <v>Materials</v>
      </c>
      <c r="AA257" s="7" t="str">
        <f>VLOOKUP(Q257,Mapping!$E$11:$I$204,5,0)</f>
        <v>SCS</v>
      </c>
      <c r="AC257" s="35" t="s">
        <v>268</v>
      </c>
      <c r="AD257" s="35"/>
      <c r="AE257" s="35">
        <v>71000</v>
      </c>
      <c r="AF257" s="35" t="s">
        <v>457</v>
      </c>
      <c r="AG257" s="36">
        <v>-0.42199999999999999</v>
      </c>
      <c r="AI257" s="7" t="str">
        <f>VLOOKUP($AC257,Mapping!$E$11:$I$204,3,0)</f>
        <v>Replacement</v>
      </c>
      <c r="AJ257" s="7" t="str">
        <f>IFERROR(VLOOKUP($AE257,Mapping!$E$208:$K$236,5,0),"Contracts")</f>
        <v>Labour</v>
      </c>
      <c r="AK257" s="7" t="str">
        <f>IFERROR(VLOOKUP($AE257,Mapping!$E$208:$K$236,7,0),"ENDirect")</f>
        <v>ENDirect</v>
      </c>
      <c r="AL257" s="7" t="str">
        <f>IFERROR(HLOOKUP(AJ257,'Calc|Weightings'!$U$5:$W$5,1,0),"Excl")</f>
        <v>Labour</v>
      </c>
      <c r="AM257" s="7" t="str">
        <f>VLOOKUP(AC257,Mapping!$E$11:$I$204,5,0)</f>
        <v>SCS</v>
      </c>
      <c r="AO257" s="35" t="s">
        <v>265</v>
      </c>
      <c r="AP257" s="35"/>
      <c r="AQ257" s="35">
        <v>80000</v>
      </c>
      <c r="AR257" s="35" t="s">
        <v>589</v>
      </c>
      <c r="AS257" s="121">
        <v>803.16655000000003</v>
      </c>
      <c r="AU257" s="7" t="str">
        <f>VLOOKUP($AO257,Mapping!$E$11:$I$204,3,0)</f>
        <v>Non-network general assets - IT</v>
      </c>
      <c r="AV257" s="7" t="str">
        <f>IFERROR(VLOOKUP($AQ257,Mapping!$E$208:$K$236,5,0),"Contracts")</f>
        <v>Overhead</v>
      </c>
      <c r="AW257" s="7" t="str">
        <f>IFERROR(VLOOKUP($AQ257,Mapping!$E$208:$K$236,7,0),"ENDirect")</f>
        <v>OH</v>
      </c>
      <c r="AX257" s="7" t="str">
        <f>IFERROR(HLOOKUP(AV257,'Calc|Weightings'!$U$5:$W$5,1,0),"Excl")</f>
        <v>Excl</v>
      </c>
      <c r="AY257" s="7" t="str">
        <f>VLOOKUP(AO257,Mapping!$E$11:$I$204,5,0)</f>
        <v>SCS</v>
      </c>
    </row>
    <row r="258" spans="1:51" x14ac:dyDescent="0.3">
      <c r="A258" s="7"/>
      <c r="B258" s="7"/>
      <c r="C258" s="7"/>
      <c r="D258" s="7"/>
      <c r="E258" s="32" t="s">
        <v>121</v>
      </c>
      <c r="F258" s="32"/>
      <c r="G258" s="32">
        <v>71055</v>
      </c>
      <c r="H258" s="32" t="s">
        <v>465</v>
      </c>
      <c r="I258" s="33">
        <v>99.674000000000007</v>
      </c>
      <c r="J258" s="170"/>
      <c r="K258" s="7" t="str">
        <f>VLOOKUP($E258,Mapping!$E$11:$I$204,3,0)</f>
        <v>Augmentation</v>
      </c>
      <c r="L258" s="7" t="str">
        <f>IFERROR(VLOOKUP($G258,Mapping!$E$208:$K$236,5,0),"Contracts")</f>
        <v>Contracts</v>
      </c>
      <c r="M258" s="7" t="str">
        <f>IFERROR(VLOOKUP($G258,Mapping!$E$208:$K$236,7,0),"ENDirect")</f>
        <v>ENDirect</v>
      </c>
      <c r="N258" s="7" t="str">
        <f>IFERROR(HLOOKUP(L258,'Calc|Weightings'!$U$5:$W$5,1,0),"Excl")</f>
        <v>Contracts</v>
      </c>
      <c r="O258" s="7" t="str">
        <f>VLOOKUP(E258,Mapping!$E$11:$I$204,5,0)</f>
        <v>SCS</v>
      </c>
      <c r="Q258" s="32" t="s">
        <v>162</v>
      </c>
      <c r="R258" s="32"/>
      <c r="S258" s="32">
        <v>72200</v>
      </c>
      <c r="T258" s="32" t="s">
        <v>455</v>
      </c>
      <c r="U258" s="33">
        <v>0</v>
      </c>
      <c r="V258" s="7"/>
      <c r="W258" s="7" t="str">
        <f>VLOOKUP($Q258,Mapping!$E$11:$I$204,3,0)</f>
        <v>Replacement</v>
      </c>
      <c r="X258" s="7" t="str">
        <f>IFERROR(VLOOKUP($S258,Mapping!$E$208:$K$236,5,0),"Contracts")</f>
        <v>Labour</v>
      </c>
      <c r="Y258" s="7" t="str">
        <f>IFERROR(VLOOKUP($S258,Mapping!$E$208:$K$236,7,0),"ENDirect")</f>
        <v>ENDirect</v>
      </c>
      <c r="Z258" s="7" t="str">
        <f>IFERROR(HLOOKUP(X258,'Calc|Weightings'!$U$5:$W$5,1,0),"Excl")</f>
        <v>Labour</v>
      </c>
      <c r="AA258" s="7" t="str">
        <f>VLOOKUP(Q258,Mapping!$E$11:$I$204,5,0)</f>
        <v>SCS</v>
      </c>
      <c r="AC258" s="35" t="s">
        <v>268</v>
      </c>
      <c r="AD258" s="35"/>
      <c r="AE258" s="35">
        <v>71030</v>
      </c>
      <c r="AF258" s="35" t="s">
        <v>464</v>
      </c>
      <c r="AG258" s="36">
        <v>-0.03</v>
      </c>
      <c r="AI258" s="7" t="str">
        <f>VLOOKUP($AC258,Mapping!$E$11:$I$204,3,0)</f>
        <v>Replacement</v>
      </c>
      <c r="AJ258" s="7" t="str">
        <f>IFERROR(VLOOKUP($AE258,Mapping!$E$208:$K$236,5,0),"Contracts")</f>
        <v>Contracts</v>
      </c>
      <c r="AK258" s="7" t="str">
        <f>IFERROR(VLOOKUP($AE258,Mapping!$E$208:$K$236,7,0),"ENDirect")</f>
        <v>ENDirect</v>
      </c>
      <c r="AL258" s="7" t="str">
        <f>IFERROR(HLOOKUP(AJ258,'Calc|Weightings'!$U$5:$W$5,1,0),"Excl")</f>
        <v>Contracts</v>
      </c>
      <c r="AM258" s="7" t="str">
        <f>VLOOKUP(AC258,Mapping!$E$11:$I$204,5,0)</f>
        <v>SCS</v>
      </c>
      <c r="AO258" s="35" t="s">
        <v>128</v>
      </c>
      <c r="AP258" s="35"/>
      <c r="AQ258" s="35">
        <v>70815</v>
      </c>
      <c r="AR258" s="35" t="s">
        <v>594</v>
      </c>
      <c r="AS258" s="121">
        <v>371.36730000000011</v>
      </c>
      <c r="AU258" s="7" t="str">
        <f>VLOOKUP($AO258,Mapping!$E$11:$I$204,3,0)</f>
        <v>Non-network general assets - Other</v>
      </c>
      <c r="AV258" s="7" t="str">
        <f>IFERROR(VLOOKUP($AQ258,Mapping!$E$208:$K$236,5,0),"Contracts")</f>
        <v>Materials</v>
      </c>
      <c r="AW258" s="7" t="str">
        <f>IFERROR(VLOOKUP($AQ258,Mapping!$E$208:$K$236,7,0),"ENDirect")</f>
        <v>ENDirect</v>
      </c>
      <c r="AX258" s="7" t="str">
        <f>IFERROR(HLOOKUP(AV258,'Calc|Weightings'!$U$5:$W$5,1,0),"Excl")</f>
        <v>Materials</v>
      </c>
      <c r="AY258" s="7" t="str">
        <f>VLOOKUP(AO258,Mapping!$E$11:$I$204,5,0)</f>
        <v>SCS</v>
      </c>
    </row>
    <row r="259" spans="1:51" x14ac:dyDescent="0.3">
      <c r="A259" s="7"/>
      <c r="B259" s="7"/>
      <c r="C259" s="7"/>
      <c r="D259" s="7"/>
      <c r="E259" s="32" t="s">
        <v>121</v>
      </c>
      <c r="F259" s="32"/>
      <c r="G259" s="32">
        <v>72200</v>
      </c>
      <c r="H259" s="32" t="s">
        <v>455</v>
      </c>
      <c r="I259" s="33">
        <v>0</v>
      </c>
      <c r="J259" s="170"/>
      <c r="K259" s="7" t="str">
        <f>VLOOKUP($E259,Mapping!$E$11:$I$204,3,0)</f>
        <v>Augmentation</v>
      </c>
      <c r="L259" s="7" t="str">
        <f>IFERROR(VLOOKUP($G259,Mapping!$E$208:$K$236,5,0),"Contracts")</f>
        <v>Labour</v>
      </c>
      <c r="M259" s="7" t="str">
        <f>IFERROR(VLOOKUP($G259,Mapping!$E$208:$K$236,7,0),"ENDirect")</f>
        <v>ENDirect</v>
      </c>
      <c r="N259" s="7" t="str">
        <f>IFERROR(HLOOKUP(L259,'Calc|Weightings'!$U$5:$W$5,1,0),"Excl")</f>
        <v>Labour</v>
      </c>
      <c r="O259" s="7" t="str">
        <f>VLOOKUP(E259,Mapping!$E$11:$I$204,5,0)</f>
        <v>SCS</v>
      </c>
      <c r="Q259" s="32" t="s">
        <v>176</v>
      </c>
      <c r="R259" s="32"/>
      <c r="S259" s="32">
        <v>71020</v>
      </c>
      <c r="T259" s="32" t="s">
        <v>459</v>
      </c>
      <c r="U259" s="33">
        <v>20.073</v>
      </c>
      <c r="V259" s="7"/>
      <c r="W259" s="7" t="str">
        <f>VLOOKUP($Q259,Mapping!$E$11:$I$204,3,0)</f>
        <v>Replacement</v>
      </c>
      <c r="X259" s="7" t="str">
        <f>IFERROR(VLOOKUP($S259,Mapping!$E$208:$K$236,5,0),"Contracts")</f>
        <v>Contracts</v>
      </c>
      <c r="Y259" s="7" t="str">
        <f>IFERROR(VLOOKUP($S259,Mapping!$E$208:$K$236,7,0),"ENDirect")</f>
        <v>ENDirect</v>
      </c>
      <c r="Z259" s="7" t="str">
        <f>IFERROR(HLOOKUP(X259,'Calc|Weightings'!$U$5:$W$5,1,0),"Excl")</f>
        <v>Contracts</v>
      </c>
      <c r="AA259" s="7" t="str">
        <f>VLOOKUP(Q259,Mapping!$E$11:$I$204,5,0)</f>
        <v>SCS</v>
      </c>
      <c r="AC259" s="35" t="s">
        <v>268</v>
      </c>
      <c r="AD259" s="35"/>
      <c r="AE259" s="35">
        <v>80000</v>
      </c>
      <c r="AF259" s="35" t="s">
        <v>453</v>
      </c>
      <c r="AG259" s="36">
        <v>-4.9000000000000002E-2</v>
      </c>
      <c r="AI259" s="7" t="str">
        <f>VLOOKUP($AC259,Mapping!$E$11:$I$204,3,0)</f>
        <v>Replacement</v>
      </c>
      <c r="AJ259" s="7" t="str">
        <f>IFERROR(VLOOKUP($AE259,Mapping!$E$208:$K$236,5,0),"Contracts")</f>
        <v>Overhead</v>
      </c>
      <c r="AK259" s="7" t="str">
        <f>IFERROR(VLOOKUP($AE259,Mapping!$E$208:$K$236,7,0),"ENDirect")</f>
        <v>OH</v>
      </c>
      <c r="AL259" s="7" t="str">
        <f>IFERROR(HLOOKUP(AJ259,'Calc|Weightings'!$U$5:$W$5,1,0),"Excl")</f>
        <v>Excl</v>
      </c>
      <c r="AM259" s="7" t="str">
        <f>VLOOKUP(AC259,Mapping!$E$11:$I$204,5,0)</f>
        <v>SCS</v>
      </c>
      <c r="AO259" s="35" t="s">
        <v>128</v>
      </c>
      <c r="AP259" s="35"/>
      <c r="AQ259" s="35">
        <v>71000</v>
      </c>
      <c r="AR259" s="35" t="s">
        <v>457</v>
      </c>
      <c r="AS259" s="121">
        <v>29.748459999999998</v>
      </c>
      <c r="AU259" s="7" t="str">
        <f>VLOOKUP($AO259,Mapping!$E$11:$I$204,3,0)</f>
        <v>Non-network general assets - Other</v>
      </c>
      <c r="AV259" s="7" t="str">
        <f>IFERROR(VLOOKUP($AQ259,Mapping!$E$208:$K$236,5,0),"Contracts")</f>
        <v>Labour</v>
      </c>
      <c r="AW259" s="7" t="str">
        <f>IFERROR(VLOOKUP($AQ259,Mapping!$E$208:$K$236,7,0),"ENDirect")</f>
        <v>ENDirect</v>
      </c>
      <c r="AX259" s="7" t="str">
        <f>IFERROR(HLOOKUP(AV259,'Calc|Weightings'!$U$5:$W$5,1,0),"Excl")</f>
        <v>Labour</v>
      </c>
      <c r="AY259" s="7" t="str">
        <f>VLOOKUP(AO259,Mapping!$E$11:$I$204,5,0)</f>
        <v>SCS</v>
      </c>
    </row>
    <row r="260" spans="1:51" x14ac:dyDescent="0.3">
      <c r="A260" s="7"/>
      <c r="B260" s="7"/>
      <c r="C260" s="7"/>
      <c r="D260" s="7"/>
      <c r="E260" s="32" t="s">
        <v>121</v>
      </c>
      <c r="F260" s="32"/>
      <c r="G260" s="32">
        <v>80000</v>
      </c>
      <c r="H260" s="32" t="s">
        <v>453</v>
      </c>
      <c r="I260" s="33">
        <v>71.652000000000001</v>
      </c>
      <c r="J260" s="170"/>
      <c r="K260" s="7" t="str">
        <f>VLOOKUP($E260,Mapping!$E$11:$I$204,3,0)</f>
        <v>Augmentation</v>
      </c>
      <c r="L260" s="7" t="str">
        <f>IFERROR(VLOOKUP($G260,Mapping!$E$208:$K$236,5,0),"Contracts")</f>
        <v>Overhead</v>
      </c>
      <c r="M260" s="7" t="str">
        <f>IFERROR(VLOOKUP($G260,Mapping!$E$208:$K$236,7,0),"ENDirect")</f>
        <v>OH</v>
      </c>
      <c r="N260" s="7" t="str">
        <f>IFERROR(HLOOKUP(L260,'Calc|Weightings'!$U$5:$W$5,1,0),"Excl")</f>
        <v>Excl</v>
      </c>
      <c r="O260" s="7" t="str">
        <f>VLOOKUP(E260,Mapping!$E$11:$I$204,5,0)</f>
        <v>SCS</v>
      </c>
      <c r="Q260" s="32" t="s">
        <v>176</v>
      </c>
      <c r="R260" s="32"/>
      <c r="S260" s="32">
        <v>71030</v>
      </c>
      <c r="T260" s="32" t="s">
        <v>464</v>
      </c>
      <c r="U260" s="33">
        <v>47.116</v>
      </c>
      <c r="V260" s="7"/>
      <c r="W260" s="7" t="str">
        <f>VLOOKUP($Q260,Mapping!$E$11:$I$204,3,0)</f>
        <v>Replacement</v>
      </c>
      <c r="X260" s="7" t="str">
        <f>IFERROR(VLOOKUP($S260,Mapping!$E$208:$K$236,5,0),"Contracts")</f>
        <v>Contracts</v>
      </c>
      <c r="Y260" s="7" t="str">
        <f>IFERROR(VLOOKUP($S260,Mapping!$E$208:$K$236,7,0),"ENDirect")</f>
        <v>ENDirect</v>
      </c>
      <c r="Z260" s="7" t="str">
        <f>IFERROR(HLOOKUP(X260,'Calc|Weightings'!$U$5:$W$5,1,0),"Excl")</f>
        <v>Contracts</v>
      </c>
      <c r="AA260" s="7" t="str">
        <f>VLOOKUP(Q260,Mapping!$E$11:$I$204,5,0)</f>
        <v>SCS</v>
      </c>
      <c r="AC260" s="35" t="s">
        <v>114</v>
      </c>
      <c r="AD260" s="35"/>
      <c r="AE260" s="35">
        <v>71000</v>
      </c>
      <c r="AF260" s="35" t="s">
        <v>457</v>
      </c>
      <c r="AG260" s="36">
        <v>134.80799999999999</v>
      </c>
      <c r="AI260" s="7" t="str">
        <f>VLOOKUP($AC260,Mapping!$E$11:$I$204,3,0)</f>
        <v>Connections</v>
      </c>
      <c r="AJ260" s="7" t="str">
        <f>IFERROR(VLOOKUP($AE260,Mapping!$E$208:$K$236,5,0),"Contracts")</f>
        <v>Labour</v>
      </c>
      <c r="AK260" s="7" t="str">
        <f>IFERROR(VLOOKUP($AE260,Mapping!$E$208:$K$236,7,0),"ENDirect")</f>
        <v>ENDirect</v>
      </c>
      <c r="AL260" s="7" t="str">
        <f>IFERROR(HLOOKUP(AJ260,'Calc|Weightings'!$U$5:$W$5,1,0),"Excl")</f>
        <v>Labour</v>
      </c>
      <c r="AM260" s="7" t="str">
        <f>VLOOKUP(AC260,Mapping!$E$11:$I$204,5,0)</f>
        <v>SCS</v>
      </c>
      <c r="AO260" s="35" t="s">
        <v>128</v>
      </c>
      <c r="AP260" s="35"/>
      <c r="AQ260" s="35">
        <v>71005</v>
      </c>
      <c r="AR260" s="35" t="s">
        <v>461</v>
      </c>
      <c r="AS260" s="121">
        <v>6.6486000000000001</v>
      </c>
      <c r="AU260" s="7" t="str">
        <f>VLOOKUP($AO260,Mapping!$E$11:$I$204,3,0)</f>
        <v>Non-network general assets - Other</v>
      </c>
      <c r="AV260" s="7" t="str">
        <f>IFERROR(VLOOKUP($AQ260,Mapping!$E$208:$K$236,5,0),"Contracts")</f>
        <v>Materials</v>
      </c>
      <c r="AW260" s="7" t="str">
        <f>IFERROR(VLOOKUP($AQ260,Mapping!$E$208:$K$236,7,0),"ENDirect")</f>
        <v>ENDirect</v>
      </c>
      <c r="AX260" s="7" t="str">
        <f>IFERROR(HLOOKUP(AV260,'Calc|Weightings'!$U$5:$W$5,1,0),"Excl")</f>
        <v>Materials</v>
      </c>
      <c r="AY260" s="7" t="str">
        <f>VLOOKUP(AO260,Mapping!$E$11:$I$204,5,0)</f>
        <v>SCS</v>
      </c>
    </row>
    <row r="261" spans="1:51" x14ac:dyDescent="0.3">
      <c r="A261" s="7"/>
      <c r="B261" s="7"/>
      <c r="C261" s="7"/>
      <c r="D261" s="7"/>
      <c r="E261" s="32" t="s">
        <v>118</v>
      </c>
      <c r="F261" s="32"/>
      <c r="G261" s="32">
        <v>71010</v>
      </c>
      <c r="H261" s="32" t="s">
        <v>462</v>
      </c>
      <c r="I261" s="33">
        <v>124.991</v>
      </c>
      <c r="J261" s="170"/>
      <c r="K261" s="7" t="str">
        <f>VLOOKUP($E261,Mapping!$E$11:$I$204,3,0)</f>
        <v>Connections</v>
      </c>
      <c r="L261" s="7" t="str">
        <f>IFERROR(VLOOKUP($G261,Mapping!$E$208:$K$236,5,0),"Contracts")</f>
        <v>Labour</v>
      </c>
      <c r="M261" s="7" t="str">
        <f>IFERROR(VLOOKUP($G261,Mapping!$E$208:$K$236,7,0),"ENDirect")</f>
        <v>ENDirect</v>
      </c>
      <c r="N261" s="7" t="str">
        <f>IFERROR(HLOOKUP(L261,'Calc|Weightings'!$U$5:$W$5,1,0),"Excl")</f>
        <v>Labour</v>
      </c>
      <c r="O261" s="7" t="str">
        <f>VLOOKUP(E261,Mapping!$E$11:$I$204,5,0)</f>
        <v>SCS</v>
      </c>
      <c r="Q261" s="32" t="s">
        <v>176</v>
      </c>
      <c r="R261" s="32"/>
      <c r="S261" s="32">
        <v>71055</v>
      </c>
      <c r="T261" s="32" t="s">
        <v>465</v>
      </c>
      <c r="U261" s="33">
        <v>101.306</v>
      </c>
      <c r="V261" s="7"/>
      <c r="W261" s="7" t="str">
        <f>VLOOKUP($Q261,Mapping!$E$11:$I$204,3,0)</f>
        <v>Replacement</v>
      </c>
      <c r="X261" s="7" t="str">
        <f>IFERROR(VLOOKUP($S261,Mapping!$E$208:$K$236,5,0),"Contracts")</f>
        <v>Contracts</v>
      </c>
      <c r="Y261" s="7" t="str">
        <f>IFERROR(VLOOKUP($S261,Mapping!$E$208:$K$236,7,0),"ENDirect")</f>
        <v>ENDirect</v>
      </c>
      <c r="Z261" s="7" t="str">
        <f>IFERROR(HLOOKUP(X261,'Calc|Weightings'!$U$5:$W$5,1,0),"Excl")</f>
        <v>Contracts</v>
      </c>
      <c r="AA261" s="7" t="str">
        <f>VLOOKUP(Q261,Mapping!$E$11:$I$204,5,0)</f>
        <v>SCS</v>
      </c>
      <c r="AC261" s="35" t="s">
        <v>114</v>
      </c>
      <c r="AD261" s="35"/>
      <c r="AE261" s="35">
        <v>71005</v>
      </c>
      <c r="AF261" s="35" t="s">
        <v>461</v>
      </c>
      <c r="AG261" s="36">
        <v>35.551000000000002</v>
      </c>
      <c r="AI261" s="7" t="str">
        <f>VLOOKUP($AC261,Mapping!$E$11:$I$204,3,0)</f>
        <v>Connections</v>
      </c>
      <c r="AJ261" s="7" t="str">
        <f>IFERROR(VLOOKUP($AE261,Mapping!$E$208:$K$236,5,0),"Contracts")</f>
        <v>Materials</v>
      </c>
      <c r="AK261" s="7" t="str">
        <f>IFERROR(VLOOKUP($AE261,Mapping!$E$208:$K$236,7,0),"ENDirect")</f>
        <v>ENDirect</v>
      </c>
      <c r="AL261" s="7" t="str">
        <f>IFERROR(HLOOKUP(AJ261,'Calc|Weightings'!$U$5:$W$5,1,0),"Excl")</f>
        <v>Materials</v>
      </c>
      <c r="AM261" s="7" t="str">
        <f>VLOOKUP(AC261,Mapping!$E$11:$I$204,5,0)</f>
        <v>SCS</v>
      </c>
      <c r="AO261" s="35" t="s">
        <v>128</v>
      </c>
      <c r="AP261" s="35"/>
      <c r="AQ261" s="35">
        <v>71010</v>
      </c>
      <c r="AR261" s="35" t="s">
        <v>487</v>
      </c>
      <c r="AS261" s="121">
        <v>10.059100000000001</v>
      </c>
      <c r="AU261" s="7" t="str">
        <f>VLOOKUP($AO261,Mapping!$E$11:$I$204,3,0)</f>
        <v>Non-network general assets - Other</v>
      </c>
      <c r="AV261" s="7" t="str">
        <f>IFERROR(VLOOKUP($AQ261,Mapping!$E$208:$K$236,5,0),"Contracts")</f>
        <v>Labour</v>
      </c>
      <c r="AW261" s="7" t="str">
        <f>IFERROR(VLOOKUP($AQ261,Mapping!$E$208:$K$236,7,0),"ENDirect")</f>
        <v>ENDirect</v>
      </c>
      <c r="AX261" s="7" t="str">
        <f>IFERROR(HLOOKUP(AV261,'Calc|Weightings'!$U$5:$W$5,1,0),"Excl")</f>
        <v>Labour</v>
      </c>
      <c r="AY261" s="7" t="str">
        <f>VLOOKUP(AO261,Mapping!$E$11:$I$204,5,0)</f>
        <v>SCS</v>
      </c>
    </row>
    <row r="262" spans="1:51" x14ac:dyDescent="0.3">
      <c r="A262" s="7"/>
      <c r="B262" s="7"/>
      <c r="C262" s="7"/>
      <c r="D262" s="7"/>
      <c r="E262" s="32" t="s">
        <v>112</v>
      </c>
      <c r="F262" s="32"/>
      <c r="G262" s="32">
        <v>71000</v>
      </c>
      <c r="H262" s="32" t="s">
        <v>457</v>
      </c>
      <c r="I262" s="33">
        <v>1.7230000000000001</v>
      </c>
      <c r="J262" s="170"/>
      <c r="K262" s="7" t="str">
        <f>VLOOKUP($E262,Mapping!$E$11:$I$204,3,0)</f>
        <v>Connections</v>
      </c>
      <c r="L262" s="7" t="str">
        <f>IFERROR(VLOOKUP($G262,Mapping!$E$208:$K$236,5,0),"Contracts")</f>
        <v>Labour</v>
      </c>
      <c r="M262" s="7" t="str">
        <f>IFERROR(VLOOKUP($G262,Mapping!$E$208:$K$236,7,0),"ENDirect")</f>
        <v>ENDirect</v>
      </c>
      <c r="N262" s="7" t="str">
        <f>IFERROR(HLOOKUP(L262,'Calc|Weightings'!$U$5:$W$5,1,0),"Excl")</f>
        <v>Labour</v>
      </c>
      <c r="O262" s="7" t="str">
        <f>VLOOKUP(E262,Mapping!$E$11:$I$204,5,0)</f>
        <v>SCS</v>
      </c>
      <c r="Q262" s="32" t="s">
        <v>118</v>
      </c>
      <c r="R262" s="32"/>
      <c r="S262" s="32">
        <v>71005</v>
      </c>
      <c r="T262" s="32" t="s">
        <v>461</v>
      </c>
      <c r="U262" s="33">
        <v>150.358</v>
      </c>
      <c r="V262" s="7"/>
      <c r="W262" s="7" t="str">
        <f>VLOOKUP($Q262,Mapping!$E$11:$I$204,3,0)</f>
        <v>Connections</v>
      </c>
      <c r="X262" s="7" t="str">
        <f>IFERROR(VLOOKUP($S262,Mapping!$E$208:$K$236,5,0),"Contracts")</f>
        <v>Materials</v>
      </c>
      <c r="Y262" s="7" t="str">
        <f>IFERROR(VLOOKUP($S262,Mapping!$E$208:$K$236,7,0),"ENDirect")</f>
        <v>ENDirect</v>
      </c>
      <c r="Z262" s="7" t="str">
        <f>IFERROR(HLOOKUP(X262,'Calc|Weightings'!$U$5:$W$5,1,0),"Excl")</f>
        <v>Materials</v>
      </c>
      <c r="AA262" s="7" t="str">
        <f>VLOOKUP(Q262,Mapping!$E$11:$I$204,5,0)</f>
        <v>SCS</v>
      </c>
      <c r="AC262" s="35" t="s">
        <v>114</v>
      </c>
      <c r="AD262" s="35"/>
      <c r="AE262" s="35">
        <v>71010</v>
      </c>
      <c r="AF262" s="35" t="s">
        <v>462</v>
      </c>
      <c r="AG262" s="36">
        <v>75.736000000000004</v>
      </c>
      <c r="AI262" s="7" t="str">
        <f>VLOOKUP($AC262,Mapping!$E$11:$I$204,3,0)</f>
        <v>Connections</v>
      </c>
      <c r="AJ262" s="7" t="str">
        <f>IFERROR(VLOOKUP($AE262,Mapping!$E$208:$K$236,5,0),"Contracts")</f>
        <v>Labour</v>
      </c>
      <c r="AK262" s="7" t="str">
        <f>IFERROR(VLOOKUP($AE262,Mapping!$E$208:$K$236,7,0),"ENDirect")</f>
        <v>ENDirect</v>
      </c>
      <c r="AL262" s="7" t="str">
        <f>IFERROR(HLOOKUP(AJ262,'Calc|Weightings'!$U$5:$W$5,1,0),"Excl")</f>
        <v>Labour</v>
      </c>
      <c r="AM262" s="7" t="str">
        <f>VLOOKUP(AC262,Mapping!$E$11:$I$204,5,0)</f>
        <v>SCS</v>
      </c>
      <c r="AO262" s="35" t="s">
        <v>128</v>
      </c>
      <c r="AP262" s="35"/>
      <c r="AQ262" s="35">
        <v>71015</v>
      </c>
      <c r="AR262" s="35" t="s">
        <v>585</v>
      </c>
      <c r="AS262" s="121">
        <v>4.96129</v>
      </c>
      <c r="AU262" s="7" t="str">
        <f>VLOOKUP($AO262,Mapping!$E$11:$I$204,3,0)</f>
        <v>Non-network general assets - Other</v>
      </c>
      <c r="AV262" s="7" t="str">
        <f>IFERROR(VLOOKUP($AQ262,Mapping!$E$208:$K$236,5,0),"Contracts")</f>
        <v>Materials</v>
      </c>
      <c r="AW262" s="7" t="str">
        <f>IFERROR(VLOOKUP($AQ262,Mapping!$E$208:$K$236,7,0),"ENDirect")</f>
        <v>ENDirect</v>
      </c>
      <c r="AX262" s="7" t="str">
        <f>IFERROR(HLOOKUP(AV262,'Calc|Weightings'!$U$5:$W$5,1,0),"Excl")</f>
        <v>Materials</v>
      </c>
      <c r="AY262" s="7" t="str">
        <f>VLOOKUP(AO262,Mapping!$E$11:$I$204,5,0)</f>
        <v>SCS</v>
      </c>
    </row>
    <row r="263" spans="1:51" x14ac:dyDescent="0.3">
      <c r="A263" s="7"/>
      <c r="B263" s="7"/>
      <c r="C263" s="7"/>
      <c r="D263" s="7"/>
      <c r="E263" s="32" t="s">
        <v>112</v>
      </c>
      <c r="F263" s="32"/>
      <c r="G263" s="32">
        <v>71030</v>
      </c>
      <c r="H263" s="32" t="s">
        <v>464</v>
      </c>
      <c r="I263" s="33">
        <v>0.14199999999999999</v>
      </c>
      <c r="J263" s="170"/>
      <c r="K263" s="7" t="str">
        <f>VLOOKUP($E263,Mapping!$E$11:$I$204,3,0)</f>
        <v>Connections</v>
      </c>
      <c r="L263" s="7" t="str">
        <f>IFERROR(VLOOKUP($G263,Mapping!$E$208:$K$236,5,0),"Contracts")</f>
        <v>Contracts</v>
      </c>
      <c r="M263" s="7" t="str">
        <f>IFERROR(VLOOKUP($G263,Mapping!$E$208:$K$236,7,0),"ENDirect")</f>
        <v>ENDirect</v>
      </c>
      <c r="N263" s="7" t="str">
        <f>IFERROR(HLOOKUP(L263,'Calc|Weightings'!$U$5:$W$5,1,0),"Excl")</f>
        <v>Contracts</v>
      </c>
      <c r="O263" s="7" t="str">
        <f>VLOOKUP(E263,Mapping!$E$11:$I$204,5,0)</f>
        <v>SCS</v>
      </c>
      <c r="Q263" s="32" t="s">
        <v>547</v>
      </c>
      <c r="R263" s="32"/>
      <c r="S263" s="32">
        <v>71010</v>
      </c>
      <c r="T263" s="32" t="s">
        <v>462</v>
      </c>
      <c r="U263" s="33">
        <v>38.103000000000002</v>
      </c>
      <c r="V263" s="7"/>
      <c r="W263" s="7" t="str">
        <f>VLOOKUP($Q263,Mapping!$E$11:$I$204,3,0)</f>
        <v>Connections</v>
      </c>
      <c r="X263" s="7" t="str">
        <f>IFERROR(VLOOKUP($S263,Mapping!$E$208:$K$236,5,0),"Contracts")</f>
        <v>Labour</v>
      </c>
      <c r="Y263" s="7" t="str">
        <f>IFERROR(VLOOKUP($S263,Mapping!$E$208:$K$236,7,0),"ENDirect")</f>
        <v>ENDirect</v>
      </c>
      <c r="Z263" s="7" t="str">
        <f>IFERROR(HLOOKUP(X263,'Calc|Weightings'!$U$5:$W$5,1,0),"Excl")</f>
        <v>Labour</v>
      </c>
      <c r="AA263" s="7" t="str">
        <f>VLOOKUP(Q263,Mapping!$E$11:$I$204,5,0)</f>
        <v>SCS</v>
      </c>
      <c r="AC263" s="35" t="s">
        <v>114</v>
      </c>
      <c r="AD263" s="35"/>
      <c r="AE263" s="35">
        <v>71015</v>
      </c>
      <c r="AF263" s="35" t="s">
        <v>463</v>
      </c>
      <c r="AG263" s="36">
        <v>23.619</v>
      </c>
      <c r="AI263" s="7" t="str">
        <f>VLOOKUP($AC263,Mapping!$E$11:$I$204,3,0)</f>
        <v>Connections</v>
      </c>
      <c r="AJ263" s="7" t="str">
        <f>IFERROR(VLOOKUP($AE263,Mapping!$E$208:$K$236,5,0),"Contracts")</f>
        <v>Materials</v>
      </c>
      <c r="AK263" s="7" t="str">
        <f>IFERROR(VLOOKUP($AE263,Mapping!$E$208:$K$236,7,0),"ENDirect")</f>
        <v>ENDirect</v>
      </c>
      <c r="AL263" s="7" t="str">
        <f>IFERROR(HLOOKUP(AJ263,'Calc|Weightings'!$U$5:$W$5,1,0),"Excl")</f>
        <v>Materials</v>
      </c>
      <c r="AM263" s="7" t="str">
        <f>VLOOKUP(AC263,Mapping!$E$11:$I$204,5,0)</f>
        <v>SCS</v>
      </c>
      <c r="AO263" s="35" t="s">
        <v>128</v>
      </c>
      <c r="AP263" s="35"/>
      <c r="AQ263" s="35">
        <v>71130</v>
      </c>
      <c r="AR263" s="35" t="s">
        <v>592</v>
      </c>
      <c r="AS263" s="121">
        <v>10.201219999999999</v>
      </c>
      <c r="AU263" s="7" t="str">
        <f>VLOOKUP($AO263,Mapping!$E$11:$I$204,3,0)</f>
        <v>Non-network general assets - Other</v>
      </c>
      <c r="AV263" s="7" t="str">
        <f>IFERROR(VLOOKUP($AQ263,Mapping!$E$208:$K$236,5,0),"Contracts")</f>
        <v>Contracts</v>
      </c>
      <c r="AW263" s="7" t="str">
        <f>IFERROR(VLOOKUP($AQ263,Mapping!$E$208:$K$236,7,0),"ENDirect")</f>
        <v>ENDirect</v>
      </c>
      <c r="AX263" s="7" t="str">
        <f>IFERROR(HLOOKUP(AV263,'Calc|Weightings'!$U$5:$W$5,1,0),"Excl")</f>
        <v>Contracts</v>
      </c>
      <c r="AY263" s="7" t="str">
        <f>VLOOKUP(AO263,Mapping!$E$11:$I$204,5,0)</f>
        <v>SCS</v>
      </c>
    </row>
    <row r="264" spans="1:51" x14ac:dyDescent="0.3">
      <c r="A264" s="7"/>
      <c r="B264" s="7"/>
      <c r="C264" s="7"/>
      <c r="D264" s="7"/>
      <c r="E264" s="32" t="s">
        <v>112</v>
      </c>
      <c r="F264" s="32"/>
      <c r="G264" s="32">
        <v>71040</v>
      </c>
      <c r="H264" s="32" t="s">
        <v>460</v>
      </c>
      <c r="I264" s="33">
        <v>4.2000000000000003E-2</v>
      </c>
      <c r="J264" s="170"/>
      <c r="K264" s="7" t="str">
        <f>VLOOKUP($E264,Mapping!$E$11:$I$204,3,0)</f>
        <v>Connections</v>
      </c>
      <c r="L264" s="7" t="str">
        <f>IFERROR(VLOOKUP($G264,Mapping!$E$208:$K$236,5,0),"Contracts")</f>
        <v>Contracts</v>
      </c>
      <c r="M264" s="7" t="str">
        <f>IFERROR(VLOOKUP($G264,Mapping!$E$208:$K$236,7,0),"ENDirect")</f>
        <v>ENDirect</v>
      </c>
      <c r="N264" s="7" t="str">
        <f>IFERROR(HLOOKUP(L264,'Calc|Weightings'!$U$5:$W$5,1,0),"Excl")</f>
        <v>Contracts</v>
      </c>
      <c r="O264" s="7" t="str">
        <f>VLOOKUP(E264,Mapping!$E$11:$I$204,5,0)</f>
        <v>SCS</v>
      </c>
      <c r="Q264" s="32" t="s">
        <v>547</v>
      </c>
      <c r="R264" s="32"/>
      <c r="S264" s="32">
        <v>71015</v>
      </c>
      <c r="T264" s="32" t="s">
        <v>463</v>
      </c>
      <c r="U264" s="33">
        <v>3.786</v>
      </c>
      <c r="V264" s="7"/>
      <c r="W264" s="7" t="str">
        <f>VLOOKUP($Q264,Mapping!$E$11:$I$204,3,0)</f>
        <v>Connections</v>
      </c>
      <c r="X264" s="7" t="str">
        <f>IFERROR(VLOOKUP($S264,Mapping!$E$208:$K$236,5,0),"Contracts")</f>
        <v>Materials</v>
      </c>
      <c r="Y264" s="7" t="str">
        <f>IFERROR(VLOOKUP($S264,Mapping!$E$208:$K$236,7,0),"ENDirect")</f>
        <v>ENDirect</v>
      </c>
      <c r="Z264" s="7" t="str">
        <f>IFERROR(HLOOKUP(X264,'Calc|Weightings'!$U$5:$W$5,1,0),"Excl")</f>
        <v>Materials</v>
      </c>
      <c r="AA264" s="7" t="str">
        <f>VLOOKUP(Q264,Mapping!$E$11:$I$204,5,0)</f>
        <v>SCS</v>
      </c>
      <c r="AC264" s="35" t="s">
        <v>114</v>
      </c>
      <c r="AD264" s="35"/>
      <c r="AE264" s="35">
        <v>71030</v>
      </c>
      <c r="AF264" s="35" t="s">
        <v>464</v>
      </c>
      <c r="AG264" s="36">
        <v>21.710999999999999</v>
      </c>
      <c r="AI264" s="7" t="str">
        <f>VLOOKUP($AC264,Mapping!$E$11:$I$204,3,0)</f>
        <v>Connections</v>
      </c>
      <c r="AJ264" s="7" t="str">
        <f>IFERROR(VLOOKUP($AE264,Mapping!$E$208:$K$236,5,0),"Contracts")</f>
        <v>Contracts</v>
      </c>
      <c r="AK264" s="7" t="str">
        <f>IFERROR(VLOOKUP($AE264,Mapping!$E$208:$K$236,7,0),"ENDirect")</f>
        <v>ENDirect</v>
      </c>
      <c r="AL264" s="7" t="str">
        <f>IFERROR(HLOOKUP(AJ264,'Calc|Weightings'!$U$5:$W$5,1,0),"Excl")</f>
        <v>Contracts</v>
      </c>
      <c r="AM264" s="7" t="str">
        <f>VLOOKUP(AC264,Mapping!$E$11:$I$204,5,0)</f>
        <v>SCS</v>
      </c>
      <c r="AO264" s="35" t="s">
        <v>128</v>
      </c>
      <c r="AP264" s="35"/>
      <c r="AQ264" s="35">
        <v>80000</v>
      </c>
      <c r="AR264" s="35" t="s">
        <v>589</v>
      </c>
      <c r="AS264" s="121">
        <v>25.575920000000004</v>
      </c>
      <c r="AU264" s="7" t="str">
        <f>VLOOKUP($AO264,Mapping!$E$11:$I$204,3,0)</f>
        <v>Non-network general assets - Other</v>
      </c>
      <c r="AV264" s="7" t="str">
        <f>IFERROR(VLOOKUP($AQ264,Mapping!$E$208:$K$236,5,0),"Contracts")</f>
        <v>Overhead</v>
      </c>
      <c r="AW264" s="7" t="str">
        <f>IFERROR(VLOOKUP($AQ264,Mapping!$E$208:$K$236,7,0),"ENDirect")</f>
        <v>OH</v>
      </c>
      <c r="AX264" s="7" t="str">
        <f>IFERROR(HLOOKUP(AV264,'Calc|Weightings'!$U$5:$W$5,1,0),"Excl")</f>
        <v>Excl</v>
      </c>
      <c r="AY264" s="7" t="str">
        <f>VLOOKUP(AO264,Mapping!$E$11:$I$204,5,0)</f>
        <v>SCS</v>
      </c>
    </row>
    <row r="265" spans="1:51" x14ac:dyDescent="0.3">
      <c r="A265" s="7"/>
      <c r="B265" s="7"/>
      <c r="C265" s="7"/>
      <c r="D265" s="7"/>
      <c r="E265" s="32" t="s">
        <v>112</v>
      </c>
      <c r="F265" s="32"/>
      <c r="G265" s="32">
        <v>71055</v>
      </c>
      <c r="H265" s="32" t="s">
        <v>465</v>
      </c>
      <c r="I265" s="33">
        <v>0.28000000000000003</v>
      </c>
      <c r="J265" s="170"/>
      <c r="K265" s="7" t="str">
        <f>VLOOKUP($E265,Mapping!$E$11:$I$204,3,0)</f>
        <v>Connections</v>
      </c>
      <c r="L265" s="7" t="str">
        <f>IFERROR(VLOOKUP($G265,Mapping!$E$208:$K$236,5,0),"Contracts")</f>
        <v>Contracts</v>
      </c>
      <c r="M265" s="7" t="str">
        <f>IFERROR(VLOOKUP($G265,Mapping!$E$208:$K$236,7,0),"ENDirect")</f>
        <v>ENDirect</v>
      </c>
      <c r="N265" s="7" t="str">
        <f>IFERROR(HLOOKUP(L265,'Calc|Weightings'!$U$5:$W$5,1,0),"Excl")</f>
        <v>Contracts</v>
      </c>
      <c r="O265" s="7" t="str">
        <f>VLOOKUP(E265,Mapping!$E$11:$I$204,5,0)</f>
        <v>SCS</v>
      </c>
      <c r="Q265" s="32" t="s">
        <v>103</v>
      </c>
      <c r="R265" s="32"/>
      <c r="S265" s="32">
        <v>71000</v>
      </c>
      <c r="T265" s="32" t="s">
        <v>457</v>
      </c>
      <c r="U265" s="33">
        <v>50.935000000000002</v>
      </c>
      <c r="V265" s="7"/>
      <c r="W265" s="7" t="str">
        <f>VLOOKUP($Q265,Mapping!$E$11:$I$204,3,0)</f>
        <v>Public Lighting</v>
      </c>
      <c r="X265" s="7" t="str">
        <f>IFERROR(VLOOKUP($S265,Mapping!$E$208:$K$236,5,0),"Contracts")</f>
        <v>Labour</v>
      </c>
      <c r="Y265" s="7" t="str">
        <f>IFERROR(VLOOKUP($S265,Mapping!$E$208:$K$236,7,0),"ENDirect")</f>
        <v>ENDirect</v>
      </c>
      <c r="Z265" s="7" t="str">
        <f>IFERROR(HLOOKUP(X265,'Calc|Weightings'!$U$5:$W$5,1,0),"Excl")</f>
        <v>Labour</v>
      </c>
      <c r="AA265" s="7" t="str">
        <f>VLOOKUP(Q265,Mapping!$E$11:$I$204,5,0)</f>
        <v>Public Lighting</v>
      </c>
      <c r="AC265" s="35" t="s">
        <v>114</v>
      </c>
      <c r="AD265" s="35"/>
      <c r="AE265" s="35">
        <v>71055</v>
      </c>
      <c r="AF265" s="35" t="s">
        <v>465</v>
      </c>
      <c r="AG265" s="36">
        <v>43.926000000000002</v>
      </c>
      <c r="AI265" s="7" t="str">
        <f>VLOOKUP($AC265,Mapping!$E$11:$I$204,3,0)</f>
        <v>Connections</v>
      </c>
      <c r="AJ265" s="7" t="str">
        <f>IFERROR(VLOOKUP($AE265,Mapping!$E$208:$K$236,5,0),"Contracts")</f>
        <v>Contracts</v>
      </c>
      <c r="AK265" s="7" t="str">
        <f>IFERROR(VLOOKUP($AE265,Mapping!$E$208:$K$236,7,0),"ENDirect")</f>
        <v>ENDirect</v>
      </c>
      <c r="AL265" s="7" t="str">
        <f>IFERROR(HLOOKUP(AJ265,'Calc|Weightings'!$U$5:$W$5,1,0),"Excl")</f>
        <v>Contracts</v>
      </c>
      <c r="AM265" s="7" t="str">
        <f>VLOOKUP(AC265,Mapping!$E$11:$I$204,5,0)</f>
        <v>SCS</v>
      </c>
      <c r="AO265" s="35" t="s">
        <v>129</v>
      </c>
      <c r="AP265" s="35"/>
      <c r="AQ265" s="35">
        <v>70815</v>
      </c>
      <c r="AR265" s="35" t="s">
        <v>594</v>
      </c>
      <c r="AS265" s="121">
        <v>1251.23587</v>
      </c>
      <c r="AU265" s="7" t="str">
        <f>VLOOKUP($AO265,Mapping!$E$11:$I$204,3,0)</f>
        <v>Non-network general assets - Other</v>
      </c>
      <c r="AV265" s="7" t="str">
        <f>IFERROR(VLOOKUP($AQ265,Mapping!$E$208:$K$236,5,0),"Contracts")</f>
        <v>Materials</v>
      </c>
      <c r="AW265" s="7" t="str">
        <f>IFERROR(VLOOKUP($AQ265,Mapping!$E$208:$K$236,7,0),"ENDirect")</f>
        <v>ENDirect</v>
      </c>
      <c r="AX265" s="7" t="str">
        <f>IFERROR(HLOOKUP(AV265,'Calc|Weightings'!$U$5:$W$5,1,0),"Excl")</f>
        <v>Materials</v>
      </c>
      <c r="AY265" s="7" t="str">
        <f>VLOOKUP(AO265,Mapping!$E$11:$I$204,5,0)</f>
        <v>SCS</v>
      </c>
    </row>
    <row r="266" spans="1:51" x14ac:dyDescent="0.3">
      <c r="A266" s="7"/>
      <c r="B266" s="7"/>
      <c r="C266" s="7"/>
      <c r="D266" s="7"/>
      <c r="E266" s="32" t="s">
        <v>112</v>
      </c>
      <c r="F266" s="32"/>
      <c r="G266" s="32">
        <v>80000</v>
      </c>
      <c r="H266" s="32" t="s">
        <v>453</v>
      </c>
      <c r="I266" s="33">
        <v>0.311</v>
      </c>
      <c r="J266" s="170"/>
      <c r="K266" s="7" t="str">
        <f>VLOOKUP($E266,Mapping!$E$11:$I$204,3,0)</f>
        <v>Connections</v>
      </c>
      <c r="L266" s="7" t="str">
        <f>IFERROR(VLOOKUP($G266,Mapping!$E$208:$K$236,5,0),"Contracts")</f>
        <v>Overhead</v>
      </c>
      <c r="M266" s="7" t="str">
        <f>IFERROR(VLOOKUP($G266,Mapping!$E$208:$K$236,7,0),"ENDirect")</f>
        <v>OH</v>
      </c>
      <c r="N266" s="7" t="str">
        <f>IFERROR(HLOOKUP(L266,'Calc|Weightings'!$U$5:$W$5,1,0),"Excl")</f>
        <v>Excl</v>
      </c>
      <c r="O266" s="7" t="str">
        <f>VLOOKUP(E266,Mapping!$E$11:$I$204,5,0)</f>
        <v>SCS</v>
      </c>
      <c r="Q266" s="32" t="s">
        <v>103</v>
      </c>
      <c r="R266" s="32"/>
      <c r="S266" s="32">
        <v>71010</v>
      </c>
      <c r="T266" s="32" t="s">
        <v>462</v>
      </c>
      <c r="U266" s="33">
        <v>9.6150000000000002</v>
      </c>
      <c r="V266" s="7"/>
      <c r="W266" s="7" t="str">
        <f>VLOOKUP($Q266,Mapping!$E$11:$I$204,3,0)</f>
        <v>Public Lighting</v>
      </c>
      <c r="X266" s="7" t="str">
        <f>IFERROR(VLOOKUP($S266,Mapping!$E$208:$K$236,5,0),"Contracts")</f>
        <v>Labour</v>
      </c>
      <c r="Y266" s="7" t="str">
        <f>IFERROR(VLOOKUP($S266,Mapping!$E$208:$K$236,7,0),"ENDirect")</f>
        <v>ENDirect</v>
      </c>
      <c r="Z266" s="7" t="str">
        <f>IFERROR(HLOOKUP(X266,'Calc|Weightings'!$U$5:$W$5,1,0),"Excl")</f>
        <v>Labour</v>
      </c>
      <c r="AA266" s="7" t="str">
        <f>VLOOKUP(Q266,Mapping!$E$11:$I$204,5,0)</f>
        <v>Public Lighting</v>
      </c>
      <c r="AC266" s="35" t="s">
        <v>114</v>
      </c>
      <c r="AD266" s="35"/>
      <c r="AE266" s="35">
        <v>80000</v>
      </c>
      <c r="AF266" s="35" t="s">
        <v>453</v>
      </c>
      <c r="AG266" s="36">
        <v>42.871000000000002</v>
      </c>
      <c r="AI266" s="7" t="str">
        <f>VLOOKUP($AC266,Mapping!$E$11:$I$204,3,0)</f>
        <v>Connections</v>
      </c>
      <c r="AJ266" s="7" t="str">
        <f>IFERROR(VLOOKUP($AE266,Mapping!$E$208:$K$236,5,0),"Contracts")</f>
        <v>Overhead</v>
      </c>
      <c r="AK266" s="7" t="str">
        <f>IFERROR(VLOOKUP($AE266,Mapping!$E$208:$K$236,7,0),"ENDirect")</f>
        <v>OH</v>
      </c>
      <c r="AL266" s="7" t="str">
        <f>IFERROR(HLOOKUP(AJ266,'Calc|Weightings'!$U$5:$W$5,1,0),"Excl")</f>
        <v>Excl</v>
      </c>
      <c r="AM266" s="7" t="str">
        <f>VLOOKUP(AC266,Mapping!$E$11:$I$204,5,0)</f>
        <v>SCS</v>
      </c>
      <c r="AO266" s="35" t="s">
        <v>129</v>
      </c>
      <c r="AP266" s="35"/>
      <c r="AQ266" s="35">
        <v>80000</v>
      </c>
      <c r="AR266" s="35" t="s">
        <v>589</v>
      </c>
      <c r="AS266" s="121">
        <v>11.772770000000001</v>
      </c>
      <c r="AU266" s="7" t="str">
        <f>VLOOKUP($AO266,Mapping!$E$11:$I$204,3,0)</f>
        <v>Non-network general assets - Other</v>
      </c>
      <c r="AV266" s="7" t="str">
        <f>IFERROR(VLOOKUP($AQ266,Mapping!$E$208:$K$236,5,0),"Contracts")</f>
        <v>Overhead</v>
      </c>
      <c r="AW266" s="7" t="str">
        <f>IFERROR(VLOOKUP($AQ266,Mapping!$E$208:$K$236,7,0),"ENDirect")</f>
        <v>OH</v>
      </c>
      <c r="AX266" s="7" t="str">
        <f>IFERROR(HLOOKUP(AV266,'Calc|Weightings'!$U$5:$W$5,1,0),"Excl")</f>
        <v>Excl</v>
      </c>
      <c r="AY266" s="7" t="str">
        <f>VLOOKUP(AO266,Mapping!$E$11:$I$204,5,0)</f>
        <v>SCS</v>
      </c>
    </row>
    <row r="267" spans="1:51" x14ac:dyDescent="0.3">
      <c r="A267" s="7"/>
      <c r="B267" s="7"/>
      <c r="C267" s="7"/>
      <c r="D267" s="7"/>
      <c r="E267" s="32" t="s">
        <v>210</v>
      </c>
      <c r="F267" s="32"/>
      <c r="G267" s="32">
        <v>71020</v>
      </c>
      <c r="H267" s="32" t="s">
        <v>459</v>
      </c>
      <c r="I267" s="33">
        <v>34.055999999999997</v>
      </c>
      <c r="J267" s="170"/>
      <c r="K267" s="7" t="str">
        <f>VLOOKUP($E267,Mapping!$E$11:$I$204,3,0)</f>
        <v>Replacement</v>
      </c>
      <c r="L267" s="7" t="str">
        <f>IFERROR(VLOOKUP($G267,Mapping!$E$208:$K$236,5,0),"Contracts")</f>
        <v>Contracts</v>
      </c>
      <c r="M267" s="7" t="str">
        <f>IFERROR(VLOOKUP($G267,Mapping!$E$208:$K$236,7,0),"ENDirect")</f>
        <v>ENDirect</v>
      </c>
      <c r="N267" s="7" t="str">
        <f>IFERROR(HLOOKUP(L267,'Calc|Weightings'!$U$5:$W$5,1,0),"Excl")</f>
        <v>Contracts</v>
      </c>
      <c r="O267" s="7" t="str">
        <f>VLOOKUP(E267,Mapping!$E$11:$I$204,5,0)</f>
        <v>SCS</v>
      </c>
      <c r="Q267" s="32" t="s">
        <v>103</v>
      </c>
      <c r="R267" s="32"/>
      <c r="S267" s="32">
        <v>71030</v>
      </c>
      <c r="T267" s="32" t="s">
        <v>464</v>
      </c>
      <c r="U267" s="33">
        <v>4.9119999999999999</v>
      </c>
      <c r="V267" s="7"/>
      <c r="W267" s="7" t="str">
        <f>VLOOKUP($Q267,Mapping!$E$11:$I$204,3,0)</f>
        <v>Public Lighting</v>
      </c>
      <c r="X267" s="7" t="str">
        <f>IFERROR(VLOOKUP($S267,Mapping!$E$208:$K$236,5,0),"Contracts")</f>
        <v>Contracts</v>
      </c>
      <c r="Y267" s="7" t="str">
        <f>IFERROR(VLOOKUP($S267,Mapping!$E$208:$K$236,7,0),"ENDirect")</f>
        <v>ENDirect</v>
      </c>
      <c r="Z267" s="7" t="str">
        <f>IFERROR(HLOOKUP(X267,'Calc|Weightings'!$U$5:$W$5,1,0),"Excl")</f>
        <v>Contracts</v>
      </c>
      <c r="AA267" s="7" t="str">
        <f>VLOOKUP(Q267,Mapping!$E$11:$I$204,5,0)</f>
        <v>Public Lighting</v>
      </c>
      <c r="AC267" s="35" t="s">
        <v>552</v>
      </c>
      <c r="AD267" s="35"/>
      <c r="AE267" s="35">
        <v>71006</v>
      </c>
      <c r="AF267" s="35" t="s">
        <v>468</v>
      </c>
      <c r="AG267" s="36">
        <v>341.27300000000002</v>
      </c>
      <c r="AI267" s="7" t="str">
        <f>VLOOKUP($AC267,Mapping!$E$11:$I$204,3,0)</f>
        <v>Connections</v>
      </c>
      <c r="AJ267" s="7" t="str">
        <f>IFERROR(VLOOKUP($AE267,Mapping!$E$208:$K$236,5,0),"Contracts")</f>
        <v>Materials</v>
      </c>
      <c r="AK267" s="7" t="str">
        <f>IFERROR(VLOOKUP($AE267,Mapping!$E$208:$K$236,7,0),"ENDirect")</f>
        <v>ENDirect</v>
      </c>
      <c r="AL267" s="7" t="str">
        <f>IFERROR(HLOOKUP(AJ267,'Calc|Weightings'!$U$5:$W$5,1,0),"Excl")</f>
        <v>Materials</v>
      </c>
      <c r="AM267" s="7" t="str">
        <f>VLOOKUP(AC267,Mapping!$E$11:$I$204,5,0)</f>
        <v>SCS</v>
      </c>
      <c r="AO267" s="35" t="s">
        <v>130</v>
      </c>
      <c r="AP267" s="35"/>
      <c r="AQ267" s="35">
        <v>70815</v>
      </c>
      <c r="AR267" s="35" t="s">
        <v>594</v>
      </c>
      <c r="AS267" s="121">
        <v>40.395209999999999</v>
      </c>
      <c r="AU267" s="7" t="str">
        <f>VLOOKUP($AO267,Mapping!$E$11:$I$204,3,0)</f>
        <v>Non-network general assets - Other</v>
      </c>
      <c r="AV267" s="7" t="str">
        <f>IFERROR(VLOOKUP($AQ267,Mapping!$E$208:$K$236,5,0),"Contracts")</f>
        <v>Materials</v>
      </c>
      <c r="AW267" s="7" t="str">
        <f>IFERROR(VLOOKUP($AQ267,Mapping!$E$208:$K$236,7,0),"ENDirect")</f>
        <v>ENDirect</v>
      </c>
      <c r="AX267" s="7" t="str">
        <f>IFERROR(HLOOKUP(AV267,'Calc|Weightings'!$U$5:$W$5,1,0),"Excl")</f>
        <v>Materials</v>
      </c>
      <c r="AY267" s="7" t="str">
        <f>VLOOKUP(AO267,Mapping!$E$11:$I$204,5,0)</f>
        <v>SCS</v>
      </c>
    </row>
    <row r="268" spans="1:51" x14ac:dyDescent="0.3">
      <c r="A268" s="7"/>
      <c r="B268" s="7"/>
      <c r="C268" s="7"/>
      <c r="D268" s="7"/>
      <c r="E268" s="32" t="s">
        <v>161</v>
      </c>
      <c r="F268" s="32"/>
      <c r="G268" s="32">
        <v>71020</v>
      </c>
      <c r="H268" s="32" t="s">
        <v>459</v>
      </c>
      <c r="I268" s="33">
        <v>10.461</v>
      </c>
      <c r="J268" s="170"/>
      <c r="K268" s="7" t="str">
        <f>VLOOKUP($E268,Mapping!$E$11:$I$204,3,0)</f>
        <v>Augmentation</v>
      </c>
      <c r="L268" s="7" t="str">
        <f>IFERROR(VLOOKUP($G268,Mapping!$E$208:$K$236,5,0),"Contracts")</f>
        <v>Contracts</v>
      </c>
      <c r="M268" s="7" t="str">
        <f>IFERROR(VLOOKUP($G268,Mapping!$E$208:$K$236,7,0),"ENDirect")</f>
        <v>ENDirect</v>
      </c>
      <c r="N268" s="7" t="str">
        <f>IFERROR(HLOOKUP(L268,'Calc|Weightings'!$U$5:$W$5,1,0),"Excl")</f>
        <v>Contracts</v>
      </c>
      <c r="O268" s="7" t="str">
        <f>VLOOKUP(E268,Mapping!$E$11:$I$204,5,0)</f>
        <v>SCS</v>
      </c>
      <c r="Q268" s="32" t="s">
        <v>103</v>
      </c>
      <c r="R268" s="32"/>
      <c r="S268" s="32">
        <v>71055</v>
      </c>
      <c r="T268" s="32" t="s">
        <v>465</v>
      </c>
      <c r="U268" s="33">
        <v>8.7609999999999992</v>
      </c>
      <c r="V268" s="7"/>
      <c r="W268" s="7" t="str">
        <f>VLOOKUP($Q268,Mapping!$E$11:$I$204,3,0)</f>
        <v>Public Lighting</v>
      </c>
      <c r="X268" s="7" t="str">
        <f>IFERROR(VLOOKUP($S268,Mapping!$E$208:$K$236,5,0),"Contracts")</f>
        <v>Contracts</v>
      </c>
      <c r="Y268" s="7" t="str">
        <f>IFERROR(VLOOKUP($S268,Mapping!$E$208:$K$236,7,0),"ENDirect")</f>
        <v>ENDirect</v>
      </c>
      <c r="Z268" s="7" t="str">
        <f>IFERROR(HLOOKUP(X268,'Calc|Weightings'!$U$5:$W$5,1,0),"Excl")</f>
        <v>Contracts</v>
      </c>
      <c r="AA268" s="7" t="str">
        <f>VLOOKUP(Q268,Mapping!$E$11:$I$204,5,0)</f>
        <v>Public Lighting</v>
      </c>
      <c r="AC268" s="35" t="s">
        <v>104</v>
      </c>
      <c r="AD268" s="35"/>
      <c r="AE268" s="35">
        <v>71010</v>
      </c>
      <c r="AF268" s="35" t="s">
        <v>462</v>
      </c>
      <c r="AG268" s="36">
        <v>19.251000000000001</v>
      </c>
      <c r="AI268" s="7" t="str">
        <f>VLOOKUP($AC268,Mapping!$E$11:$I$204,3,0)</f>
        <v>Public Lighting</v>
      </c>
      <c r="AJ268" s="7" t="str">
        <f>IFERROR(VLOOKUP($AE268,Mapping!$E$208:$K$236,5,0),"Contracts")</f>
        <v>Labour</v>
      </c>
      <c r="AK268" s="7" t="str">
        <f>IFERROR(VLOOKUP($AE268,Mapping!$E$208:$K$236,7,0),"ENDirect")</f>
        <v>ENDirect</v>
      </c>
      <c r="AL268" s="7" t="str">
        <f>IFERROR(HLOOKUP(AJ268,'Calc|Weightings'!$U$5:$W$5,1,0),"Excl")</f>
        <v>Labour</v>
      </c>
      <c r="AM268" s="7" t="str">
        <f>VLOOKUP(AC268,Mapping!$E$11:$I$204,5,0)</f>
        <v>Public Lighting</v>
      </c>
      <c r="AO268" s="35" t="s">
        <v>130</v>
      </c>
      <c r="AP268" s="35"/>
      <c r="AQ268" s="35">
        <v>80000</v>
      </c>
      <c r="AR268" s="35" t="s">
        <v>589</v>
      </c>
      <c r="AS268" s="121">
        <v>6.4025600000000003</v>
      </c>
      <c r="AU268" s="7" t="str">
        <f>VLOOKUP($AO268,Mapping!$E$11:$I$204,3,0)</f>
        <v>Non-network general assets - Other</v>
      </c>
      <c r="AV268" s="7" t="str">
        <f>IFERROR(VLOOKUP($AQ268,Mapping!$E$208:$K$236,5,0),"Contracts")</f>
        <v>Overhead</v>
      </c>
      <c r="AW268" s="7" t="str">
        <f>IFERROR(VLOOKUP($AQ268,Mapping!$E$208:$K$236,7,0),"ENDirect")</f>
        <v>OH</v>
      </c>
      <c r="AX268" s="7" t="str">
        <f>IFERROR(HLOOKUP(AV268,'Calc|Weightings'!$U$5:$W$5,1,0),"Excl")</f>
        <v>Excl</v>
      </c>
      <c r="AY268" s="7" t="str">
        <f>VLOOKUP(AO268,Mapping!$E$11:$I$204,5,0)</f>
        <v>SCS</v>
      </c>
    </row>
    <row r="269" spans="1:51" x14ac:dyDescent="0.3">
      <c r="A269" s="7"/>
      <c r="B269" s="7"/>
      <c r="C269" s="7"/>
      <c r="D269" s="7"/>
      <c r="E269" s="32" t="s">
        <v>161</v>
      </c>
      <c r="F269" s="32"/>
      <c r="G269" s="32">
        <v>70815</v>
      </c>
      <c r="H269" s="32" t="s">
        <v>451</v>
      </c>
      <c r="I269" s="33">
        <v>47.405999999999999</v>
      </c>
      <c r="J269" s="170"/>
      <c r="K269" s="7" t="str">
        <f>VLOOKUP($E269,Mapping!$E$11:$I$204,3,0)</f>
        <v>Augmentation</v>
      </c>
      <c r="L269" s="7" t="str">
        <f>IFERROR(VLOOKUP($G269,Mapping!$E$208:$K$236,5,0),"Contracts")</f>
        <v>Materials</v>
      </c>
      <c r="M269" s="7" t="str">
        <f>IFERROR(VLOOKUP($G269,Mapping!$E$208:$K$236,7,0),"ENDirect")</f>
        <v>ENDirect</v>
      </c>
      <c r="N269" s="7" t="str">
        <f>IFERROR(HLOOKUP(L269,'Calc|Weightings'!$U$5:$W$5,1,0),"Excl")</f>
        <v>Materials</v>
      </c>
      <c r="O269" s="7" t="str">
        <f>VLOOKUP(E269,Mapping!$E$11:$I$204,5,0)</f>
        <v>SCS</v>
      </c>
      <c r="Q269" s="32" t="s">
        <v>103</v>
      </c>
      <c r="R269" s="32"/>
      <c r="S269" s="32">
        <v>80000</v>
      </c>
      <c r="T269" s="32" t="s">
        <v>453</v>
      </c>
      <c r="U269" s="33">
        <v>9.8840000000000003</v>
      </c>
      <c r="V269" s="7"/>
      <c r="W269" s="7" t="str">
        <f>VLOOKUP($Q269,Mapping!$E$11:$I$204,3,0)</f>
        <v>Public Lighting</v>
      </c>
      <c r="X269" s="7" t="str">
        <f>IFERROR(VLOOKUP($S269,Mapping!$E$208:$K$236,5,0),"Contracts")</f>
        <v>Overhead</v>
      </c>
      <c r="Y269" s="7" t="str">
        <f>IFERROR(VLOOKUP($S269,Mapping!$E$208:$K$236,7,0),"ENDirect")</f>
        <v>OH</v>
      </c>
      <c r="Z269" s="7" t="str">
        <f>IFERROR(HLOOKUP(X269,'Calc|Weightings'!$U$5:$W$5,1,0),"Excl")</f>
        <v>Excl</v>
      </c>
      <c r="AA269" s="7" t="str">
        <f>VLOOKUP(Q269,Mapping!$E$11:$I$204,5,0)</f>
        <v>Public Lighting</v>
      </c>
      <c r="AC269" s="35" t="s">
        <v>161</v>
      </c>
      <c r="AD269" s="35"/>
      <c r="AE269" s="35">
        <v>71006</v>
      </c>
      <c r="AF269" s="35" t="s">
        <v>468</v>
      </c>
      <c r="AG269" s="36">
        <v>0</v>
      </c>
      <c r="AI269" s="7" t="str">
        <f>VLOOKUP($AC269,Mapping!$E$11:$I$204,3,0)</f>
        <v>Augmentation</v>
      </c>
      <c r="AJ269" s="7" t="str">
        <f>IFERROR(VLOOKUP($AE269,Mapping!$E$208:$K$236,5,0),"Contracts")</f>
        <v>Materials</v>
      </c>
      <c r="AK269" s="7" t="str">
        <f>IFERROR(VLOOKUP($AE269,Mapping!$E$208:$K$236,7,0),"ENDirect")</f>
        <v>ENDirect</v>
      </c>
      <c r="AL269" s="7" t="str">
        <f>IFERROR(HLOOKUP(AJ269,'Calc|Weightings'!$U$5:$W$5,1,0),"Excl")</f>
        <v>Materials</v>
      </c>
      <c r="AM269" s="7" t="str">
        <f>VLOOKUP(AC269,Mapping!$E$11:$I$204,5,0)</f>
        <v>SCS</v>
      </c>
      <c r="AO269" s="35" t="s">
        <v>131</v>
      </c>
      <c r="AP269" s="35"/>
      <c r="AQ269" s="35">
        <v>70815</v>
      </c>
      <c r="AR269" s="35" t="s">
        <v>594</v>
      </c>
      <c r="AS269" s="121">
        <v>178.55795999999998</v>
      </c>
      <c r="AU269" s="7" t="str">
        <f>VLOOKUP($AO269,Mapping!$E$11:$I$204,3,0)</f>
        <v>Non-network general assets - Other</v>
      </c>
      <c r="AV269" s="7" t="str">
        <f>IFERROR(VLOOKUP($AQ269,Mapping!$E$208:$K$236,5,0),"Contracts")</f>
        <v>Materials</v>
      </c>
      <c r="AW269" s="7" t="str">
        <f>IFERROR(VLOOKUP($AQ269,Mapping!$E$208:$K$236,7,0),"ENDirect")</f>
        <v>ENDirect</v>
      </c>
      <c r="AX269" s="7" t="str">
        <f>IFERROR(HLOOKUP(AV269,'Calc|Weightings'!$U$5:$W$5,1,0),"Excl")</f>
        <v>Materials</v>
      </c>
      <c r="AY269" s="7" t="str">
        <f>VLOOKUP(AO269,Mapping!$E$11:$I$204,5,0)</f>
        <v>SCS</v>
      </c>
    </row>
    <row r="270" spans="1:51" x14ac:dyDescent="0.3">
      <c r="A270" s="7"/>
      <c r="B270" s="7"/>
      <c r="C270" s="7"/>
      <c r="D270" s="7"/>
      <c r="E270" s="32" t="s">
        <v>161</v>
      </c>
      <c r="F270" s="32"/>
      <c r="G270" s="32">
        <v>71000</v>
      </c>
      <c r="H270" s="32" t="s">
        <v>457</v>
      </c>
      <c r="I270" s="33">
        <v>286.08600000000001</v>
      </c>
      <c r="J270" s="170"/>
      <c r="K270" s="7" t="str">
        <f>VLOOKUP($E270,Mapping!$E$11:$I$204,3,0)</f>
        <v>Augmentation</v>
      </c>
      <c r="L270" s="7" t="str">
        <f>IFERROR(VLOOKUP($G270,Mapping!$E$208:$K$236,5,0),"Contracts")</f>
        <v>Labour</v>
      </c>
      <c r="M270" s="7" t="str">
        <f>IFERROR(VLOOKUP($G270,Mapping!$E$208:$K$236,7,0),"ENDirect")</f>
        <v>ENDirect</v>
      </c>
      <c r="N270" s="7" t="str">
        <f>IFERROR(HLOOKUP(L270,'Calc|Weightings'!$U$5:$W$5,1,0),"Excl")</f>
        <v>Labour</v>
      </c>
      <c r="O270" s="7" t="str">
        <f>VLOOKUP(E270,Mapping!$E$11:$I$204,5,0)</f>
        <v>SCS</v>
      </c>
      <c r="Q270" s="32" t="s">
        <v>192</v>
      </c>
      <c r="R270" s="32"/>
      <c r="S270" s="32">
        <v>71000</v>
      </c>
      <c r="T270" s="32" t="s">
        <v>457</v>
      </c>
      <c r="U270" s="33">
        <v>3403.9549999999999</v>
      </c>
      <c r="V270" s="7"/>
      <c r="W270" s="7" t="str">
        <f>VLOOKUP($Q270,Mapping!$E$11:$I$204,3,0)</f>
        <v>VBRC</v>
      </c>
      <c r="X270" s="7" t="str">
        <f>IFERROR(VLOOKUP($S270,Mapping!$E$208:$K$236,5,0),"Contracts")</f>
        <v>Labour</v>
      </c>
      <c r="Y270" s="7" t="str">
        <f>IFERROR(VLOOKUP($S270,Mapping!$E$208:$K$236,7,0),"ENDirect")</f>
        <v>ENDirect</v>
      </c>
      <c r="Z270" s="7" t="str">
        <f>IFERROR(HLOOKUP(X270,'Calc|Weightings'!$U$5:$W$5,1,0),"Excl")</f>
        <v>Labour</v>
      </c>
      <c r="AA270" s="7" t="str">
        <f>VLOOKUP(Q270,Mapping!$E$11:$I$204,5,0)</f>
        <v>SCS</v>
      </c>
      <c r="AC270" s="35" t="s">
        <v>113</v>
      </c>
      <c r="AD270" s="35"/>
      <c r="AE270" s="35">
        <v>72345</v>
      </c>
      <c r="AF270" s="35" t="s">
        <v>467</v>
      </c>
      <c r="AG270" s="36">
        <v>203.68100000000001</v>
      </c>
      <c r="AI270" s="7" t="str">
        <f>VLOOKUP($AC270,Mapping!$E$11:$I$204,3,0)</f>
        <v>Connections</v>
      </c>
      <c r="AJ270" s="7" t="str">
        <f>IFERROR(VLOOKUP($AE270,Mapping!$E$208:$K$236,5,0),"Contracts")</f>
        <v>Contracts</v>
      </c>
      <c r="AK270" s="7" t="str">
        <f>IFERROR(VLOOKUP($AE270,Mapping!$E$208:$K$236,7,0),"ENDirect")</f>
        <v>ENDirect</v>
      </c>
      <c r="AL270" s="7" t="str">
        <f>IFERROR(HLOOKUP(AJ270,'Calc|Weightings'!$U$5:$W$5,1,0),"Excl")</f>
        <v>Contracts</v>
      </c>
      <c r="AM270" s="7" t="str">
        <f>VLOOKUP(AC270,Mapping!$E$11:$I$204,5,0)</f>
        <v>SCS</v>
      </c>
      <c r="AO270" s="35" t="s">
        <v>160</v>
      </c>
      <c r="AP270" s="35"/>
      <c r="AQ270" s="35">
        <v>70815</v>
      </c>
      <c r="AR270" s="35" t="s">
        <v>594</v>
      </c>
      <c r="AS270" s="121">
        <v>853.06434000000013</v>
      </c>
      <c r="AU270" s="7" t="str">
        <f>VLOOKUP($AO270,Mapping!$E$11:$I$204,3,0)</f>
        <v>Augmentation</v>
      </c>
      <c r="AV270" s="7" t="str">
        <f>IFERROR(VLOOKUP($AQ270,Mapping!$E$208:$K$236,5,0),"Contracts")</f>
        <v>Materials</v>
      </c>
      <c r="AW270" s="7" t="str">
        <f>IFERROR(VLOOKUP($AQ270,Mapping!$E$208:$K$236,7,0),"ENDirect")</f>
        <v>ENDirect</v>
      </c>
      <c r="AX270" s="7" t="str">
        <f>IFERROR(HLOOKUP(AV270,'Calc|Weightings'!$U$5:$W$5,1,0),"Excl")</f>
        <v>Materials</v>
      </c>
      <c r="AY270" s="7" t="str">
        <f>VLOOKUP(AO270,Mapping!$E$11:$I$204,5,0)</f>
        <v>SCS</v>
      </c>
    </row>
    <row r="271" spans="1:51" x14ac:dyDescent="0.3">
      <c r="A271" s="7"/>
      <c r="B271" s="7"/>
      <c r="C271" s="7"/>
      <c r="D271" s="7"/>
      <c r="E271" s="32" t="s">
        <v>161</v>
      </c>
      <c r="F271" s="32"/>
      <c r="G271" s="32">
        <v>71005</v>
      </c>
      <c r="H271" s="32" t="s">
        <v>461</v>
      </c>
      <c r="I271" s="33">
        <v>216.50899999999999</v>
      </c>
      <c r="J271" s="170"/>
      <c r="K271" s="7" t="str">
        <f>VLOOKUP($E271,Mapping!$E$11:$I$204,3,0)</f>
        <v>Augmentation</v>
      </c>
      <c r="L271" s="7" t="str">
        <f>IFERROR(VLOOKUP($G271,Mapping!$E$208:$K$236,5,0),"Contracts")</f>
        <v>Materials</v>
      </c>
      <c r="M271" s="7" t="str">
        <f>IFERROR(VLOOKUP($G271,Mapping!$E$208:$K$236,7,0),"ENDirect")</f>
        <v>ENDirect</v>
      </c>
      <c r="N271" s="7" t="str">
        <f>IFERROR(HLOOKUP(L271,'Calc|Weightings'!$U$5:$W$5,1,0),"Excl")</f>
        <v>Materials</v>
      </c>
      <c r="O271" s="7" t="str">
        <f>VLOOKUP(E271,Mapping!$E$11:$I$204,5,0)</f>
        <v>SCS</v>
      </c>
      <c r="Q271" s="32" t="s">
        <v>192</v>
      </c>
      <c r="R271" s="32"/>
      <c r="S271" s="32">
        <v>71010</v>
      </c>
      <c r="T271" s="32" t="s">
        <v>462</v>
      </c>
      <c r="U271" s="33">
        <v>2261.6979999999999</v>
      </c>
      <c r="V271" s="7"/>
      <c r="W271" s="7" t="str">
        <f>VLOOKUP($Q271,Mapping!$E$11:$I$204,3,0)</f>
        <v>VBRC</v>
      </c>
      <c r="X271" s="7" t="str">
        <f>IFERROR(VLOOKUP($S271,Mapping!$E$208:$K$236,5,0),"Contracts")</f>
        <v>Labour</v>
      </c>
      <c r="Y271" s="7" t="str">
        <f>IFERROR(VLOOKUP($S271,Mapping!$E$208:$K$236,7,0),"ENDirect")</f>
        <v>ENDirect</v>
      </c>
      <c r="Z271" s="7" t="str">
        <f>IFERROR(HLOOKUP(X271,'Calc|Weightings'!$U$5:$W$5,1,0),"Excl")</f>
        <v>Labour</v>
      </c>
      <c r="AA271" s="7" t="str">
        <f>VLOOKUP(Q271,Mapping!$E$11:$I$204,5,0)</f>
        <v>SCS</v>
      </c>
      <c r="AC271" s="35" t="s">
        <v>546</v>
      </c>
      <c r="AD271" s="35"/>
      <c r="AE271" s="35">
        <v>71020</v>
      </c>
      <c r="AF271" s="35" t="s">
        <v>459</v>
      </c>
      <c r="AG271" s="36">
        <v>1.35</v>
      </c>
      <c r="AI271" s="7" t="str">
        <f>VLOOKUP($AC271,Mapping!$E$11:$I$204,3,0)</f>
        <v>Connections</v>
      </c>
      <c r="AJ271" s="7" t="str">
        <f>IFERROR(VLOOKUP($AE271,Mapping!$E$208:$K$236,5,0),"Contracts")</f>
        <v>Contracts</v>
      </c>
      <c r="AK271" s="7" t="str">
        <f>IFERROR(VLOOKUP($AE271,Mapping!$E$208:$K$236,7,0),"ENDirect")</f>
        <v>ENDirect</v>
      </c>
      <c r="AL271" s="7" t="str">
        <f>IFERROR(HLOOKUP(AJ271,'Calc|Weightings'!$U$5:$W$5,1,0),"Excl")</f>
        <v>Contracts</v>
      </c>
      <c r="AM271" s="7" t="str">
        <f>VLOOKUP(AC271,Mapping!$E$11:$I$204,5,0)</f>
        <v>SCS</v>
      </c>
      <c r="AO271" s="35" t="s">
        <v>160</v>
      </c>
      <c r="AP271" s="35"/>
      <c r="AQ271" s="35">
        <v>71070</v>
      </c>
      <c r="AR271" s="35" t="s">
        <v>586</v>
      </c>
      <c r="AS271" s="121">
        <v>40.875999999999998</v>
      </c>
      <c r="AU271" s="7" t="str">
        <f>VLOOKUP($AO271,Mapping!$E$11:$I$204,3,0)</f>
        <v>Augmentation</v>
      </c>
      <c r="AV271" s="7" t="str">
        <f>IFERROR(VLOOKUP($AQ271,Mapping!$E$208:$K$236,5,0),"Contracts")</f>
        <v>Contracts</v>
      </c>
      <c r="AW271" s="7" t="str">
        <f>IFERROR(VLOOKUP($AQ271,Mapping!$E$208:$K$236,7,0),"ENDirect")</f>
        <v>ENDirect</v>
      </c>
      <c r="AX271" s="7" t="str">
        <f>IFERROR(HLOOKUP(AV271,'Calc|Weightings'!$U$5:$W$5,1,0),"Excl")</f>
        <v>Contracts</v>
      </c>
      <c r="AY271" s="7" t="str">
        <f>VLOOKUP(AO271,Mapping!$E$11:$I$204,5,0)</f>
        <v>SCS</v>
      </c>
    </row>
    <row r="272" spans="1:51" x14ac:dyDescent="0.3">
      <c r="A272" s="7"/>
      <c r="B272" s="7"/>
      <c r="C272" s="7"/>
      <c r="D272" s="7"/>
      <c r="E272" s="32" t="s">
        <v>161</v>
      </c>
      <c r="F272" s="32"/>
      <c r="G272" s="32">
        <v>71010</v>
      </c>
      <c r="H272" s="32" t="s">
        <v>462</v>
      </c>
      <c r="I272" s="33">
        <v>181.251</v>
      </c>
      <c r="J272" s="170"/>
      <c r="K272" s="7" t="str">
        <f>VLOOKUP($E272,Mapping!$E$11:$I$204,3,0)</f>
        <v>Augmentation</v>
      </c>
      <c r="L272" s="7" t="str">
        <f>IFERROR(VLOOKUP($G272,Mapping!$E$208:$K$236,5,0),"Contracts")</f>
        <v>Labour</v>
      </c>
      <c r="M272" s="7" t="str">
        <f>IFERROR(VLOOKUP($G272,Mapping!$E$208:$K$236,7,0),"ENDirect")</f>
        <v>ENDirect</v>
      </c>
      <c r="N272" s="7" t="str">
        <f>IFERROR(HLOOKUP(L272,'Calc|Weightings'!$U$5:$W$5,1,0),"Excl")</f>
        <v>Labour</v>
      </c>
      <c r="O272" s="7" t="str">
        <f>VLOOKUP(E272,Mapping!$E$11:$I$204,5,0)</f>
        <v>SCS</v>
      </c>
      <c r="Q272" s="32" t="s">
        <v>192</v>
      </c>
      <c r="R272" s="32"/>
      <c r="S272" s="32">
        <v>71015</v>
      </c>
      <c r="T272" s="32" t="s">
        <v>463</v>
      </c>
      <c r="U272" s="33">
        <v>813.75900000000001</v>
      </c>
      <c r="V272" s="7"/>
      <c r="W272" s="7" t="str">
        <f>VLOOKUP($Q272,Mapping!$E$11:$I$204,3,0)</f>
        <v>VBRC</v>
      </c>
      <c r="X272" s="7" t="str">
        <f>IFERROR(VLOOKUP($S272,Mapping!$E$208:$K$236,5,0),"Contracts")</f>
        <v>Materials</v>
      </c>
      <c r="Y272" s="7" t="str">
        <f>IFERROR(VLOOKUP($S272,Mapping!$E$208:$K$236,7,0),"ENDirect")</f>
        <v>ENDirect</v>
      </c>
      <c r="Z272" s="7" t="str">
        <f>IFERROR(HLOOKUP(X272,'Calc|Weightings'!$U$5:$W$5,1,0),"Excl")</f>
        <v>Materials</v>
      </c>
      <c r="AA272" s="7" t="str">
        <f>VLOOKUP(Q272,Mapping!$E$11:$I$204,5,0)</f>
        <v>SCS</v>
      </c>
      <c r="AC272" s="35" t="s">
        <v>103</v>
      </c>
      <c r="AD272" s="35"/>
      <c r="AE272" s="35">
        <v>71000</v>
      </c>
      <c r="AF272" s="35" t="s">
        <v>457</v>
      </c>
      <c r="AG272" s="36">
        <v>87.968999999999994</v>
      </c>
      <c r="AI272" s="7" t="str">
        <f>VLOOKUP($AC272,Mapping!$E$11:$I$204,3,0)</f>
        <v>Public Lighting</v>
      </c>
      <c r="AJ272" s="7" t="str">
        <f>IFERROR(VLOOKUP($AE272,Mapping!$E$208:$K$236,5,0),"Contracts")</f>
        <v>Labour</v>
      </c>
      <c r="AK272" s="7" t="str">
        <f>IFERROR(VLOOKUP($AE272,Mapping!$E$208:$K$236,7,0),"ENDirect")</f>
        <v>ENDirect</v>
      </c>
      <c r="AL272" s="7" t="str">
        <f>IFERROR(HLOOKUP(AJ272,'Calc|Weightings'!$U$5:$W$5,1,0),"Excl")</f>
        <v>Labour</v>
      </c>
      <c r="AM272" s="7" t="str">
        <f>VLOOKUP(AC272,Mapping!$E$11:$I$204,5,0)</f>
        <v>Public Lighting</v>
      </c>
      <c r="AO272" s="35" t="s">
        <v>160</v>
      </c>
      <c r="AP272" s="35"/>
      <c r="AQ272" s="35">
        <v>71075</v>
      </c>
      <c r="AR272" s="35" t="s">
        <v>587</v>
      </c>
      <c r="AS272" s="121">
        <v>0.34802</v>
      </c>
      <c r="AU272" s="7" t="str">
        <f>VLOOKUP($AO272,Mapping!$E$11:$I$204,3,0)</f>
        <v>Augmentation</v>
      </c>
      <c r="AV272" s="7" t="str">
        <f>IFERROR(VLOOKUP($AQ272,Mapping!$E$208:$K$236,5,0),"Contracts")</f>
        <v>Contracts</v>
      </c>
      <c r="AW272" s="7" t="str">
        <f>IFERROR(VLOOKUP($AQ272,Mapping!$E$208:$K$236,7,0),"ENDirect")</f>
        <v>ENDirect</v>
      </c>
      <c r="AX272" s="7" t="str">
        <f>IFERROR(HLOOKUP(AV272,'Calc|Weightings'!$U$5:$W$5,1,0),"Excl")</f>
        <v>Contracts</v>
      </c>
      <c r="AY272" s="7" t="str">
        <f>VLOOKUP(AO272,Mapping!$E$11:$I$204,5,0)</f>
        <v>SCS</v>
      </c>
    </row>
    <row r="273" spans="1:51" x14ac:dyDescent="0.3">
      <c r="A273" s="7"/>
      <c r="B273" s="7"/>
      <c r="C273" s="7"/>
      <c r="D273" s="7"/>
      <c r="E273" s="32" t="s">
        <v>161</v>
      </c>
      <c r="F273" s="32"/>
      <c r="G273" s="32">
        <v>71015</v>
      </c>
      <c r="H273" s="32" t="s">
        <v>463</v>
      </c>
      <c r="I273" s="33">
        <v>46.237000000000002</v>
      </c>
      <c r="J273" s="170"/>
      <c r="K273" s="7" t="str">
        <f>VLOOKUP($E273,Mapping!$E$11:$I$204,3,0)</f>
        <v>Augmentation</v>
      </c>
      <c r="L273" s="7" t="str">
        <f>IFERROR(VLOOKUP($G273,Mapping!$E$208:$K$236,5,0),"Contracts")</f>
        <v>Materials</v>
      </c>
      <c r="M273" s="7" t="str">
        <f>IFERROR(VLOOKUP($G273,Mapping!$E$208:$K$236,7,0),"ENDirect")</f>
        <v>ENDirect</v>
      </c>
      <c r="N273" s="7" t="str">
        <f>IFERROR(HLOOKUP(L273,'Calc|Weightings'!$U$5:$W$5,1,0),"Excl")</f>
        <v>Materials</v>
      </c>
      <c r="O273" s="7" t="str">
        <f>VLOOKUP(E273,Mapping!$E$11:$I$204,5,0)</f>
        <v>SCS</v>
      </c>
      <c r="Q273" s="32" t="s">
        <v>192</v>
      </c>
      <c r="R273" s="32"/>
      <c r="S273" s="32">
        <v>71020</v>
      </c>
      <c r="T273" s="32" t="s">
        <v>459</v>
      </c>
      <c r="U273" s="33">
        <v>-78.617000000000004</v>
      </c>
      <c r="V273" s="7"/>
      <c r="W273" s="7" t="str">
        <f>VLOOKUP($Q273,Mapping!$E$11:$I$204,3,0)</f>
        <v>VBRC</v>
      </c>
      <c r="X273" s="7" t="str">
        <f>IFERROR(VLOOKUP($S273,Mapping!$E$208:$K$236,5,0),"Contracts")</f>
        <v>Contracts</v>
      </c>
      <c r="Y273" s="7" t="str">
        <f>IFERROR(VLOOKUP($S273,Mapping!$E$208:$K$236,7,0),"ENDirect")</f>
        <v>ENDirect</v>
      </c>
      <c r="Z273" s="7" t="str">
        <f>IFERROR(HLOOKUP(X273,'Calc|Weightings'!$U$5:$W$5,1,0),"Excl")</f>
        <v>Contracts</v>
      </c>
      <c r="AA273" s="7" t="str">
        <f>VLOOKUP(Q273,Mapping!$E$11:$I$204,5,0)</f>
        <v>SCS</v>
      </c>
      <c r="AC273" s="35" t="s">
        <v>103</v>
      </c>
      <c r="AD273" s="35"/>
      <c r="AE273" s="35">
        <v>71010</v>
      </c>
      <c r="AF273" s="35" t="s">
        <v>462</v>
      </c>
      <c r="AG273" s="36">
        <v>4.4660000000000002</v>
      </c>
      <c r="AI273" s="7" t="str">
        <f>VLOOKUP($AC273,Mapping!$E$11:$I$204,3,0)</f>
        <v>Public Lighting</v>
      </c>
      <c r="AJ273" s="7" t="str">
        <f>IFERROR(VLOOKUP($AE273,Mapping!$E$208:$K$236,5,0),"Contracts")</f>
        <v>Labour</v>
      </c>
      <c r="AK273" s="7" t="str">
        <f>IFERROR(VLOOKUP($AE273,Mapping!$E$208:$K$236,7,0),"ENDirect")</f>
        <v>ENDirect</v>
      </c>
      <c r="AL273" s="7" t="str">
        <f>IFERROR(HLOOKUP(AJ273,'Calc|Weightings'!$U$5:$W$5,1,0),"Excl")</f>
        <v>Labour</v>
      </c>
      <c r="AM273" s="7" t="str">
        <f>VLOOKUP(AC273,Mapping!$E$11:$I$204,5,0)</f>
        <v>Public Lighting</v>
      </c>
      <c r="AO273" s="35" t="s">
        <v>160</v>
      </c>
      <c r="AP273" s="35"/>
      <c r="AQ273" s="35">
        <v>80000</v>
      </c>
      <c r="AR273" s="35" t="s">
        <v>589</v>
      </c>
      <c r="AS273" s="121">
        <v>142.32107000000002</v>
      </c>
      <c r="AU273" s="7" t="str">
        <f>VLOOKUP($AO273,Mapping!$E$11:$I$204,3,0)</f>
        <v>Augmentation</v>
      </c>
      <c r="AV273" s="7" t="str">
        <f>IFERROR(VLOOKUP($AQ273,Mapping!$E$208:$K$236,5,0),"Contracts")</f>
        <v>Overhead</v>
      </c>
      <c r="AW273" s="7" t="str">
        <f>IFERROR(VLOOKUP($AQ273,Mapping!$E$208:$K$236,7,0),"ENDirect")</f>
        <v>OH</v>
      </c>
      <c r="AX273" s="7" t="str">
        <f>IFERROR(HLOOKUP(AV273,'Calc|Weightings'!$U$5:$W$5,1,0),"Excl")</f>
        <v>Excl</v>
      </c>
      <c r="AY273" s="7" t="str">
        <f>VLOOKUP(AO273,Mapping!$E$11:$I$204,5,0)</f>
        <v>SCS</v>
      </c>
    </row>
    <row r="274" spans="1:51" x14ac:dyDescent="0.3">
      <c r="A274" s="7"/>
      <c r="B274" s="7"/>
      <c r="C274" s="7"/>
      <c r="D274" s="7"/>
      <c r="E274" s="32" t="s">
        <v>161</v>
      </c>
      <c r="F274" s="32"/>
      <c r="G274" s="32">
        <v>71030</v>
      </c>
      <c r="H274" s="32" t="s">
        <v>464</v>
      </c>
      <c r="I274" s="33">
        <v>58.210999999999999</v>
      </c>
      <c r="J274" s="170"/>
      <c r="K274" s="7" t="str">
        <f>VLOOKUP($E274,Mapping!$E$11:$I$204,3,0)</f>
        <v>Augmentation</v>
      </c>
      <c r="L274" s="7" t="str">
        <f>IFERROR(VLOOKUP($G274,Mapping!$E$208:$K$236,5,0),"Contracts")</f>
        <v>Contracts</v>
      </c>
      <c r="M274" s="7" t="str">
        <f>IFERROR(VLOOKUP($G274,Mapping!$E$208:$K$236,7,0),"ENDirect")</f>
        <v>ENDirect</v>
      </c>
      <c r="N274" s="7" t="str">
        <f>IFERROR(HLOOKUP(L274,'Calc|Weightings'!$U$5:$W$5,1,0),"Excl")</f>
        <v>Contracts</v>
      </c>
      <c r="O274" s="7" t="str">
        <f>VLOOKUP(E274,Mapping!$E$11:$I$204,5,0)</f>
        <v>SCS</v>
      </c>
      <c r="Q274" s="32" t="s">
        <v>192</v>
      </c>
      <c r="R274" s="32"/>
      <c r="S274" s="32">
        <v>71030</v>
      </c>
      <c r="T274" s="32" t="s">
        <v>464</v>
      </c>
      <c r="U274" s="33">
        <v>484.17700000000002</v>
      </c>
      <c r="V274" s="7"/>
      <c r="W274" s="7" t="str">
        <f>VLOOKUP($Q274,Mapping!$E$11:$I$204,3,0)</f>
        <v>VBRC</v>
      </c>
      <c r="X274" s="7" t="str">
        <f>IFERROR(VLOOKUP($S274,Mapping!$E$208:$K$236,5,0),"Contracts")</f>
        <v>Contracts</v>
      </c>
      <c r="Y274" s="7" t="str">
        <f>IFERROR(VLOOKUP($S274,Mapping!$E$208:$K$236,7,0),"ENDirect")</f>
        <v>ENDirect</v>
      </c>
      <c r="Z274" s="7" t="str">
        <f>IFERROR(HLOOKUP(X274,'Calc|Weightings'!$U$5:$W$5,1,0),"Excl")</f>
        <v>Contracts</v>
      </c>
      <c r="AA274" s="7" t="str">
        <f>VLOOKUP(Q274,Mapping!$E$11:$I$204,5,0)</f>
        <v>SCS</v>
      </c>
      <c r="AC274" s="35" t="s">
        <v>103</v>
      </c>
      <c r="AD274" s="35"/>
      <c r="AE274" s="35">
        <v>71030</v>
      </c>
      <c r="AF274" s="35" t="s">
        <v>464</v>
      </c>
      <c r="AG274" s="36">
        <v>6.4530000000000003</v>
      </c>
      <c r="AI274" s="7" t="str">
        <f>VLOOKUP($AC274,Mapping!$E$11:$I$204,3,0)</f>
        <v>Public Lighting</v>
      </c>
      <c r="AJ274" s="7" t="str">
        <f>IFERROR(VLOOKUP($AE274,Mapping!$E$208:$K$236,5,0),"Contracts")</f>
        <v>Contracts</v>
      </c>
      <c r="AK274" s="7" t="str">
        <f>IFERROR(VLOOKUP($AE274,Mapping!$E$208:$K$236,7,0),"ENDirect")</f>
        <v>ENDirect</v>
      </c>
      <c r="AL274" s="7" t="str">
        <f>IFERROR(HLOOKUP(AJ274,'Calc|Weightings'!$U$5:$W$5,1,0),"Excl")</f>
        <v>Contracts</v>
      </c>
      <c r="AM274" s="7" t="str">
        <f>VLOOKUP(AC274,Mapping!$E$11:$I$204,5,0)</f>
        <v>Public Lighting</v>
      </c>
      <c r="AO274" s="35" t="s">
        <v>160</v>
      </c>
      <c r="AP274" s="35"/>
      <c r="AQ274" s="35">
        <v>83010</v>
      </c>
      <c r="AR274" s="35" t="s">
        <v>591</v>
      </c>
      <c r="AS274" s="121">
        <v>2.78694</v>
      </c>
      <c r="AU274" s="7" t="str">
        <f>VLOOKUP($AO274,Mapping!$E$11:$I$204,3,0)</f>
        <v>Augmentation</v>
      </c>
      <c r="AV274" s="7" t="str">
        <f>IFERROR(VLOOKUP($AQ274,Mapping!$E$208:$K$236,5,0),"Contracts")</f>
        <v>Contracts</v>
      </c>
      <c r="AW274" s="7" t="str">
        <f>IFERROR(VLOOKUP($AQ274,Mapping!$E$208:$K$236,7,0),"ENDirect")</f>
        <v>ENDirect</v>
      </c>
      <c r="AX274" s="7" t="str">
        <f>IFERROR(HLOOKUP(AV274,'Calc|Weightings'!$U$5:$W$5,1,0),"Excl")</f>
        <v>Contracts</v>
      </c>
      <c r="AY274" s="7" t="str">
        <f>VLOOKUP(AO274,Mapping!$E$11:$I$204,5,0)</f>
        <v>SCS</v>
      </c>
    </row>
    <row r="275" spans="1:51" x14ac:dyDescent="0.3">
      <c r="A275" s="7"/>
      <c r="B275" s="7"/>
      <c r="C275" s="7"/>
      <c r="D275" s="7"/>
      <c r="E275" s="32" t="s">
        <v>161</v>
      </c>
      <c r="F275" s="32"/>
      <c r="G275" s="32">
        <v>71055</v>
      </c>
      <c r="H275" s="32" t="s">
        <v>465</v>
      </c>
      <c r="I275" s="33">
        <v>92.834000000000003</v>
      </c>
      <c r="J275" s="170"/>
      <c r="K275" s="7" t="str">
        <f>VLOOKUP($E275,Mapping!$E$11:$I$204,3,0)</f>
        <v>Augmentation</v>
      </c>
      <c r="L275" s="7" t="str">
        <f>IFERROR(VLOOKUP($G275,Mapping!$E$208:$K$236,5,0),"Contracts")</f>
        <v>Contracts</v>
      </c>
      <c r="M275" s="7" t="str">
        <f>IFERROR(VLOOKUP($G275,Mapping!$E$208:$K$236,7,0),"ENDirect")</f>
        <v>ENDirect</v>
      </c>
      <c r="N275" s="7" t="str">
        <f>IFERROR(HLOOKUP(L275,'Calc|Weightings'!$U$5:$W$5,1,0),"Excl")</f>
        <v>Contracts</v>
      </c>
      <c r="O275" s="7" t="str">
        <f>VLOOKUP(E275,Mapping!$E$11:$I$204,5,0)</f>
        <v>SCS</v>
      </c>
      <c r="Q275" s="32" t="s">
        <v>192</v>
      </c>
      <c r="R275" s="32"/>
      <c r="S275" s="32">
        <v>71055</v>
      </c>
      <c r="T275" s="32" t="s">
        <v>465</v>
      </c>
      <c r="U275" s="33">
        <v>1066.55</v>
      </c>
      <c r="V275" s="7"/>
      <c r="W275" s="7" t="str">
        <f>VLOOKUP($Q275,Mapping!$E$11:$I$204,3,0)</f>
        <v>VBRC</v>
      </c>
      <c r="X275" s="7" t="str">
        <f>IFERROR(VLOOKUP($S275,Mapping!$E$208:$K$236,5,0),"Contracts")</f>
        <v>Contracts</v>
      </c>
      <c r="Y275" s="7" t="str">
        <f>IFERROR(VLOOKUP($S275,Mapping!$E$208:$K$236,7,0),"ENDirect")</f>
        <v>ENDirect</v>
      </c>
      <c r="Z275" s="7" t="str">
        <f>IFERROR(HLOOKUP(X275,'Calc|Weightings'!$U$5:$W$5,1,0),"Excl")</f>
        <v>Contracts</v>
      </c>
      <c r="AA275" s="7" t="str">
        <f>VLOOKUP(Q275,Mapping!$E$11:$I$204,5,0)</f>
        <v>SCS</v>
      </c>
      <c r="AC275" s="35" t="s">
        <v>103</v>
      </c>
      <c r="AD275" s="35"/>
      <c r="AE275" s="35">
        <v>71055</v>
      </c>
      <c r="AF275" s="35" t="s">
        <v>465</v>
      </c>
      <c r="AG275" s="36">
        <v>11.77</v>
      </c>
      <c r="AI275" s="7" t="str">
        <f>VLOOKUP($AC275,Mapping!$E$11:$I$204,3,0)</f>
        <v>Public Lighting</v>
      </c>
      <c r="AJ275" s="7" t="str">
        <f>IFERROR(VLOOKUP($AE275,Mapping!$E$208:$K$236,5,0),"Contracts")</f>
        <v>Contracts</v>
      </c>
      <c r="AK275" s="7" t="str">
        <f>IFERROR(VLOOKUP($AE275,Mapping!$E$208:$K$236,7,0),"ENDirect")</f>
        <v>ENDirect</v>
      </c>
      <c r="AL275" s="7" t="str">
        <f>IFERROR(HLOOKUP(AJ275,'Calc|Weightings'!$U$5:$W$5,1,0),"Excl")</f>
        <v>Contracts</v>
      </c>
      <c r="AM275" s="7" t="str">
        <f>VLOOKUP(AC275,Mapping!$E$11:$I$204,5,0)</f>
        <v>Public Lighting</v>
      </c>
      <c r="AO275" s="35" t="s">
        <v>144</v>
      </c>
      <c r="AP275" s="35"/>
      <c r="AQ275" s="35">
        <v>70815</v>
      </c>
      <c r="AR275" s="35" t="s">
        <v>594</v>
      </c>
      <c r="AS275" s="121">
        <v>767.05525999999998</v>
      </c>
      <c r="AU275" s="7" t="str">
        <f>VLOOKUP($AO275,Mapping!$E$11:$I$204,3,0)</f>
        <v>Augmentation</v>
      </c>
      <c r="AV275" s="7" t="str">
        <f>IFERROR(VLOOKUP($AQ275,Mapping!$E$208:$K$236,5,0),"Contracts")</f>
        <v>Materials</v>
      </c>
      <c r="AW275" s="7" t="str">
        <f>IFERROR(VLOOKUP($AQ275,Mapping!$E$208:$K$236,7,0),"ENDirect")</f>
        <v>ENDirect</v>
      </c>
      <c r="AX275" s="7" t="str">
        <f>IFERROR(HLOOKUP(AV275,'Calc|Weightings'!$U$5:$W$5,1,0),"Excl")</f>
        <v>Materials</v>
      </c>
      <c r="AY275" s="7" t="str">
        <f>VLOOKUP(AO275,Mapping!$E$11:$I$204,5,0)</f>
        <v>SCS</v>
      </c>
    </row>
    <row r="276" spans="1:51" x14ac:dyDescent="0.3">
      <c r="A276" s="7"/>
      <c r="B276" s="7"/>
      <c r="C276" s="7"/>
      <c r="D276" s="7"/>
      <c r="E276" s="32" t="s">
        <v>161</v>
      </c>
      <c r="F276" s="32"/>
      <c r="G276" s="32">
        <v>80000</v>
      </c>
      <c r="H276" s="32" t="s">
        <v>453</v>
      </c>
      <c r="I276" s="33">
        <v>84.686000000000007</v>
      </c>
      <c r="J276" s="170"/>
      <c r="K276" s="7" t="str">
        <f>VLOOKUP($E276,Mapping!$E$11:$I$204,3,0)</f>
        <v>Augmentation</v>
      </c>
      <c r="L276" s="7" t="str">
        <f>IFERROR(VLOOKUP($G276,Mapping!$E$208:$K$236,5,0),"Contracts")</f>
        <v>Overhead</v>
      </c>
      <c r="M276" s="7" t="str">
        <f>IFERROR(VLOOKUP($G276,Mapping!$E$208:$K$236,7,0),"ENDirect")</f>
        <v>OH</v>
      </c>
      <c r="N276" s="7" t="str">
        <f>IFERROR(HLOOKUP(L276,'Calc|Weightings'!$U$5:$W$5,1,0),"Excl")</f>
        <v>Excl</v>
      </c>
      <c r="O276" s="7" t="str">
        <f>VLOOKUP(E276,Mapping!$E$11:$I$204,5,0)</f>
        <v>SCS</v>
      </c>
      <c r="Q276" s="32" t="s">
        <v>192</v>
      </c>
      <c r="R276" s="32"/>
      <c r="S276" s="32">
        <v>80000</v>
      </c>
      <c r="T276" s="32" t="s">
        <v>453</v>
      </c>
      <c r="U276" s="33">
        <v>1300.7360000000001</v>
      </c>
      <c r="V276" s="7"/>
      <c r="W276" s="7" t="str">
        <f>VLOOKUP($Q276,Mapping!$E$11:$I$204,3,0)</f>
        <v>VBRC</v>
      </c>
      <c r="X276" s="7" t="str">
        <f>IFERROR(VLOOKUP($S276,Mapping!$E$208:$K$236,5,0),"Contracts")</f>
        <v>Overhead</v>
      </c>
      <c r="Y276" s="7" t="str">
        <f>IFERROR(VLOOKUP($S276,Mapping!$E$208:$K$236,7,0),"ENDirect")</f>
        <v>OH</v>
      </c>
      <c r="Z276" s="7" t="str">
        <f>IFERROR(HLOOKUP(X276,'Calc|Weightings'!$U$5:$W$5,1,0),"Excl")</f>
        <v>Excl</v>
      </c>
      <c r="AA276" s="7" t="str">
        <f>VLOOKUP(Q276,Mapping!$E$11:$I$204,5,0)</f>
        <v>SCS</v>
      </c>
      <c r="AC276" s="35" t="s">
        <v>103</v>
      </c>
      <c r="AD276" s="35"/>
      <c r="AE276" s="35">
        <v>80000</v>
      </c>
      <c r="AF276" s="35" t="s">
        <v>453</v>
      </c>
      <c r="AG276" s="36">
        <v>12.273</v>
      </c>
      <c r="AI276" s="7" t="str">
        <f>VLOOKUP($AC276,Mapping!$E$11:$I$204,3,0)</f>
        <v>Public Lighting</v>
      </c>
      <c r="AJ276" s="7" t="str">
        <f>IFERROR(VLOOKUP($AE276,Mapping!$E$208:$K$236,5,0),"Contracts")</f>
        <v>Overhead</v>
      </c>
      <c r="AK276" s="7" t="str">
        <f>IFERROR(VLOOKUP($AE276,Mapping!$E$208:$K$236,7,0),"ENDirect")</f>
        <v>OH</v>
      </c>
      <c r="AL276" s="7" t="str">
        <f>IFERROR(HLOOKUP(AJ276,'Calc|Weightings'!$U$5:$W$5,1,0),"Excl")</f>
        <v>Excl</v>
      </c>
      <c r="AM276" s="7" t="str">
        <f>VLOOKUP(AC276,Mapping!$E$11:$I$204,5,0)</f>
        <v>Public Lighting</v>
      </c>
      <c r="AO276" s="35" t="s">
        <v>144</v>
      </c>
      <c r="AP276" s="35"/>
      <c r="AQ276" s="35">
        <v>80000</v>
      </c>
      <c r="AR276" s="35" t="s">
        <v>589</v>
      </c>
      <c r="AS276" s="121">
        <v>119.63797</v>
      </c>
      <c r="AU276" s="7" t="str">
        <f>VLOOKUP($AO276,Mapping!$E$11:$I$204,3,0)</f>
        <v>Augmentation</v>
      </c>
      <c r="AV276" s="7" t="str">
        <f>IFERROR(VLOOKUP($AQ276,Mapping!$E$208:$K$236,5,0),"Contracts")</f>
        <v>Overhead</v>
      </c>
      <c r="AW276" s="7" t="str">
        <f>IFERROR(VLOOKUP($AQ276,Mapping!$E$208:$K$236,7,0),"ENDirect")</f>
        <v>OH</v>
      </c>
      <c r="AX276" s="7" t="str">
        <f>IFERROR(HLOOKUP(AV276,'Calc|Weightings'!$U$5:$W$5,1,0),"Excl")</f>
        <v>Excl</v>
      </c>
      <c r="AY276" s="7" t="str">
        <f>VLOOKUP(AO276,Mapping!$E$11:$I$204,5,0)</f>
        <v>SCS</v>
      </c>
    </row>
    <row r="277" spans="1:51" x14ac:dyDescent="0.3">
      <c r="A277" s="7"/>
      <c r="B277" s="7"/>
      <c r="C277" s="7"/>
      <c r="D277" s="7"/>
      <c r="E277" s="32" t="s">
        <v>548</v>
      </c>
      <c r="F277" s="32"/>
      <c r="G277" s="32">
        <v>71005</v>
      </c>
      <c r="H277" s="32" t="s">
        <v>461</v>
      </c>
      <c r="I277" s="33">
        <v>616.79700000000003</v>
      </c>
      <c r="J277" s="170"/>
      <c r="K277" s="7" t="str">
        <f>VLOOKUP($E277,Mapping!$E$11:$I$204,3,0)</f>
        <v>Connections</v>
      </c>
      <c r="L277" s="7" t="str">
        <f>IFERROR(VLOOKUP($G277,Mapping!$E$208:$K$236,5,0),"Contracts")</f>
        <v>Materials</v>
      </c>
      <c r="M277" s="7" t="str">
        <f>IFERROR(VLOOKUP($G277,Mapping!$E$208:$K$236,7,0),"ENDirect")</f>
        <v>ENDirect</v>
      </c>
      <c r="N277" s="7" t="str">
        <f>IFERROR(HLOOKUP(L277,'Calc|Weightings'!$U$5:$W$5,1,0),"Excl")</f>
        <v>Materials</v>
      </c>
      <c r="O277" s="7" t="str">
        <f>VLOOKUP(E277,Mapping!$E$11:$I$204,5,0)</f>
        <v>SCS</v>
      </c>
      <c r="Q277" s="32" t="s">
        <v>550</v>
      </c>
      <c r="R277" s="32"/>
      <c r="S277" s="32">
        <v>70815</v>
      </c>
      <c r="T277" s="32" t="s">
        <v>451</v>
      </c>
      <c r="U277" s="33">
        <v>0</v>
      </c>
      <c r="V277" s="7"/>
      <c r="W277" s="7" t="str">
        <f>VLOOKUP($Q277,Mapping!$E$11:$I$204,3,0)</f>
        <v>Connections</v>
      </c>
      <c r="X277" s="7" t="str">
        <f>IFERROR(VLOOKUP($S277,Mapping!$E$208:$K$236,5,0),"Contracts")</f>
        <v>Materials</v>
      </c>
      <c r="Y277" s="7" t="str">
        <f>IFERROR(VLOOKUP($S277,Mapping!$E$208:$K$236,7,0),"ENDirect")</f>
        <v>ENDirect</v>
      </c>
      <c r="Z277" s="7" t="str">
        <f>IFERROR(HLOOKUP(X277,'Calc|Weightings'!$U$5:$W$5,1,0),"Excl")</f>
        <v>Materials</v>
      </c>
      <c r="AA277" s="7" t="str">
        <f>VLOOKUP(Q277,Mapping!$E$11:$I$204,5,0)</f>
        <v>SCS</v>
      </c>
      <c r="AC277" s="35" t="s">
        <v>160</v>
      </c>
      <c r="AD277" s="35"/>
      <c r="AE277" s="35">
        <v>71000</v>
      </c>
      <c r="AF277" s="35" t="s">
        <v>457</v>
      </c>
      <c r="AG277" s="36">
        <v>192.583</v>
      </c>
      <c r="AI277" s="7" t="str">
        <f>VLOOKUP($AC277,Mapping!$E$11:$I$204,3,0)</f>
        <v>Augmentation</v>
      </c>
      <c r="AJ277" s="7" t="str">
        <f>IFERROR(VLOOKUP($AE277,Mapping!$E$208:$K$236,5,0),"Contracts")</f>
        <v>Labour</v>
      </c>
      <c r="AK277" s="7" t="str">
        <f>IFERROR(VLOOKUP($AE277,Mapping!$E$208:$K$236,7,0),"ENDirect")</f>
        <v>ENDirect</v>
      </c>
      <c r="AL277" s="7" t="str">
        <f>IFERROR(HLOOKUP(AJ277,'Calc|Weightings'!$U$5:$W$5,1,0),"Excl")</f>
        <v>Labour</v>
      </c>
      <c r="AM277" s="7" t="str">
        <f>VLOOKUP(AC277,Mapping!$E$11:$I$204,5,0)</f>
        <v>SCS</v>
      </c>
      <c r="AO277" s="35" t="s">
        <v>145</v>
      </c>
      <c r="AP277" s="35"/>
      <c r="AQ277" s="35">
        <v>70815</v>
      </c>
      <c r="AR277" s="35" t="s">
        <v>594</v>
      </c>
      <c r="AS277" s="121">
        <v>445.31790000000001</v>
      </c>
      <c r="AU277" s="7" t="str">
        <f>VLOOKUP($AO277,Mapping!$E$11:$I$204,3,0)</f>
        <v>Augmentation</v>
      </c>
      <c r="AV277" s="7" t="str">
        <f>IFERROR(VLOOKUP($AQ277,Mapping!$E$208:$K$236,5,0),"Contracts")</f>
        <v>Materials</v>
      </c>
      <c r="AW277" s="7" t="str">
        <f>IFERROR(VLOOKUP($AQ277,Mapping!$E$208:$K$236,7,0),"ENDirect")</f>
        <v>ENDirect</v>
      </c>
      <c r="AX277" s="7" t="str">
        <f>IFERROR(HLOOKUP(AV277,'Calc|Weightings'!$U$5:$W$5,1,0),"Excl")</f>
        <v>Materials</v>
      </c>
      <c r="AY277" s="7" t="str">
        <f>VLOOKUP(AO277,Mapping!$E$11:$I$204,5,0)</f>
        <v>SCS</v>
      </c>
    </row>
    <row r="278" spans="1:51" x14ac:dyDescent="0.3">
      <c r="A278" s="7"/>
      <c r="B278" s="7"/>
      <c r="C278" s="7"/>
      <c r="D278" s="7"/>
      <c r="E278" s="32" t="s">
        <v>161</v>
      </c>
      <c r="F278" s="32"/>
      <c r="G278" s="32">
        <v>71040</v>
      </c>
      <c r="H278" s="32" t="s">
        <v>460</v>
      </c>
      <c r="I278" s="33">
        <v>-2.4180000000000001</v>
      </c>
      <c r="J278" s="170"/>
      <c r="K278" s="7" t="str">
        <f>VLOOKUP($E278,Mapping!$E$11:$I$204,3,0)</f>
        <v>Augmentation</v>
      </c>
      <c r="L278" s="7" t="str">
        <f>IFERROR(VLOOKUP($G278,Mapping!$E$208:$K$236,5,0),"Contracts")</f>
        <v>Contracts</v>
      </c>
      <c r="M278" s="7" t="str">
        <f>IFERROR(VLOOKUP($G278,Mapping!$E$208:$K$236,7,0),"ENDirect")</f>
        <v>ENDirect</v>
      </c>
      <c r="N278" s="7" t="str">
        <f>IFERROR(HLOOKUP(L278,'Calc|Weightings'!$U$5:$W$5,1,0),"Excl")</f>
        <v>Contracts</v>
      </c>
      <c r="O278" s="7" t="str">
        <f>VLOOKUP(E278,Mapping!$E$11:$I$204,5,0)</f>
        <v>SCS</v>
      </c>
      <c r="Q278" s="32" t="s">
        <v>119</v>
      </c>
      <c r="R278" s="32"/>
      <c r="S278" s="32">
        <v>71000</v>
      </c>
      <c r="T278" s="32" t="s">
        <v>457</v>
      </c>
      <c r="U278" s="33">
        <v>67.570999999999998</v>
      </c>
      <c r="V278" s="7"/>
      <c r="W278" s="7" t="str">
        <f>VLOOKUP($Q278,Mapping!$E$11:$I$204,3,0)</f>
        <v>Connections</v>
      </c>
      <c r="X278" s="7" t="str">
        <f>IFERROR(VLOOKUP($S278,Mapping!$E$208:$K$236,5,0),"Contracts")</f>
        <v>Labour</v>
      </c>
      <c r="Y278" s="7" t="str">
        <f>IFERROR(VLOOKUP($S278,Mapping!$E$208:$K$236,7,0),"ENDirect")</f>
        <v>ENDirect</v>
      </c>
      <c r="Z278" s="7" t="str">
        <f>IFERROR(HLOOKUP(X278,'Calc|Weightings'!$U$5:$W$5,1,0),"Excl")</f>
        <v>Labour</v>
      </c>
      <c r="AA278" s="7" t="str">
        <f>VLOOKUP(Q278,Mapping!$E$11:$I$204,5,0)</f>
        <v>SCS</v>
      </c>
      <c r="AC278" s="35" t="s">
        <v>160</v>
      </c>
      <c r="AD278" s="35"/>
      <c r="AE278" s="35">
        <v>71005</v>
      </c>
      <c r="AF278" s="35" t="s">
        <v>461</v>
      </c>
      <c r="AG278" s="36">
        <v>56.226999999999997</v>
      </c>
      <c r="AI278" s="7" t="str">
        <f>VLOOKUP($AC278,Mapping!$E$11:$I$204,3,0)</f>
        <v>Augmentation</v>
      </c>
      <c r="AJ278" s="7" t="str">
        <f>IFERROR(VLOOKUP($AE278,Mapping!$E$208:$K$236,5,0),"Contracts")</f>
        <v>Materials</v>
      </c>
      <c r="AK278" s="7" t="str">
        <f>IFERROR(VLOOKUP($AE278,Mapping!$E$208:$K$236,7,0),"ENDirect")</f>
        <v>ENDirect</v>
      </c>
      <c r="AL278" s="7" t="str">
        <f>IFERROR(HLOOKUP(AJ278,'Calc|Weightings'!$U$5:$W$5,1,0),"Excl")</f>
        <v>Materials</v>
      </c>
      <c r="AM278" s="7" t="str">
        <f>VLOOKUP(AC278,Mapping!$E$11:$I$204,5,0)</f>
        <v>SCS</v>
      </c>
      <c r="AO278" s="35" t="s">
        <v>145</v>
      </c>
      <c r="AP278" s="35"/>
      <c r="AQ278" s="35">
        <v>71000</v>
      </c>
      <c r="AR278" s="35" t="s">
        <v>457</v>
      </c>
      <c r="AS278" s="121">
        <v>-39.09451999999996</v>
      </c>
      <c r="AU278" s="7" t="str">
        <f>VLOOKUP($AO278,Mapping!$E$11:$I$204,3,0)</f>
        <v>Augmentation</v>
      </c>
      <c r="AV278" s="7" t="str">
        <f>IFERROR(VLOOKUP($AQ278,Mapping!$E$208:$K$236,5,0),"Contracts")</f>
        <v>Labour</v>
      </c>
      <c r="AW278" s="7" t="str">
        <f>IFERROR(VLOOKUP($AQ278,Mapping!$E$208:$K$236,7,0),"ENDirect")</f>
        <v>ENDirect</v>
      </c>
      <c r="AX278" s="7" t="str">
        <f>IFERROR(HLOOKUP(AV278,'Calc|Weightings'!$U$5:$W$5,1,0),"Excl")</f>
        <v>Labour</v>
      </c>
      <c r="AY278" s="7" t="str">
        <f>VLOOKUP(AO278,Mapping!$E$11:$I$204,5,0)</f>
        <v>SCS</v>
      </c>
    </row>
    <row r="279" spans="1:51" x14ac:dyDescent="0.3">
      <c r="A279" s="7"/>
      <c r="B279" s="7"/>
      <c r="C279" s="7"/>
      <c r="D279" s="7"/>
      <c r="E279" s="32" t="s">
        <v>119</v>
      </c>
      <c r="F279" s="32"/>
      <c r="G279" s="32">
        <v>71000</v>
      </c>
      <c r="H279" s="32" t="s">
        <v>457</v>
      </c>
      <c r="I279" s="33">
        <v>85.132999999999996</v>
      </c>
      <c r="J279" s="170"/>
      <c r="K279" s="7" t="str">
        <f>VLOOKUP($E279,Mapping!$E$11:$I$204,3,0)</f>
        <v>Connections</v>
      </c>
      <c r="L279" s="7" t="str">
        <f>IFERROR(VLOOKUP($G279,Mapping!$E$208:$K$236,5,0),"Contracts")</f>
        <v>Labour</v>
      </c>
      <c r="M279" s="7" t="str">
        <f>IFERROR(VLOOKUP($G279,Mapping!$E$208:$K$236,7,0),"ENDirect")</f>
        <v>ENDirect</v>
      </c>
      <c r="N279" s="7" t="str">
        <f>IFERROR(HLOOKUP(L279,'Calc|Weightings'!$U$5:$W$5,1,0),"Excl")</f>
        <v>Labour</v>
      </c>
      <c r="O279" s="7" t="str">
        <f>VLOOKUP(E279,Mapping!$E$11:$I$204,5,0)</f>
        <v>SCS</v>
      </c>
      <c r="Q279" s="32" t="s">
        <v>119</v>
      </c>
      <c r="R279" s="32"/>
      <c r="S279" s="32">
        <v>71005</v>
      </c>
      <c r="T279" s="32" t="s">
        <v>461</v>
      </c>
      <c r="U279" s="33">
        <v>25.303000000000001</v>
      </c>
      <c r="V279" s="7"/>
      <c r="W279" s="7" t="str">
        <f>VLOOKUP($Q279,Mapping!$E$11:$I$204,3,0)</f>
        <v>Connections</v>
      </c>
      <c r="X279" s="7" t="str">
        <f>IFERROR(VLOOKUP($S279,Mapping!$E$208:$K$236,5,0),"Contracts")</f>
        <v>Materials</v>
      </c>
      <c r="Y279" s="7" t="str">
        <f>IFERROR(VLOOKUP($S279,Mapping!$E$208:$K$236,7,0),"ENDirect")</f>
        <v>ENDirect</v>
      </c>
      <c r="Z279" s="7" t="str">
        <f>IFERROR(HLOOKUP(X279,'Calc|Weightings'!$U$5:$W$5,1,0),"Excl")</f>
        <v>Materials</v>
      </c>
      <c r="AA279" s="7" t="str">
        <f>VLOOKUP(Q279,Mapping!$E$11:$I$204,5,0)</f>
        <v>SCS</v>
      </c>
      <c r="AC279" s="35" t="s">
        <v>160</v>
      </c>
      <c r="AD279" s="35"/>
      <c r="AE279" s="35">
        <v>71010</v>
      </c>
      <c r="AF279" s="35" t="s">
        <v>462</v>
      </c>
      <c r="AG279" s="36">
        <v>77.090999999999994</v>
      </c>
      <c r="AI279" s="7" t="str">
        <f>VLOOKUP($AC279,Mapping!$E$11:$I$204,3,0)</f>
        <v>Augmentation</v>
      </c>
      <c r="AJ279" s="7" t="str">
        <f>IFERROR(VLOOKUP($AE279,Mapping!$E$208:$K$236,5,0),"Contracts")</f>
        <v>Labour</v>
      </c>
      <c r="AK279" s="7" t="str">
        <f>IFERROR(VLOOKUP($AE279,Mapping!$E$208:$K$236,7,0),"ENDirect")</f>
        <v>ENDirect</v>
      </c>
      <c r="AL279" s="7" t="str">
        <f>IFERROR(HLOOKUP(AJ279,'Calc|Weightings'!$U$5:$W$5,1,0),"Excl")</f>
        <v>Labour</v>
      </c>
      <c r="AM279" s="7" t="str">
        <f>VLOOKUP(AC279,Mapping!$E$11:$I$204,5,0)</f>
        <v>SCS</v>
      </c>
      <c r="AO279" s="35" t="s">
        <v>145</v>
      </c>
      <c r="AP279" s="35"/>
      <c r="AQ279" s="35">
        <v>71005</v>
      </c>
      <c r="AR279" s="35" t="s">
        <v>461</v>
      </c>
      <c r="AS279" s="121">
        <v>93.093289999999982</v>
      </c>
      <c r="AU279" s="7" t="str">
        <f>VLOOKUP($AO279,Mapping!$E$11:$I$204,3,0)</f>
        <v>Augmentation</v>
      </c>
      <c r="AV279" s="7" t="str">
        <f>IFERROR(VLOOKUP($AQ279,Mapping!$E$208:$K$236,5,0),"Contracts")</f>
        <v>Materials</v>
      </c>
      <c r="AW279" s="7" t="str">
        <f>IFERROR(VLOOKUP($AQ279,Mapping!$E$208:$K$236,7,0),"ENDirect")</f>
        <v>ENDirect</v>
      </c>
      <c r="AX279" s="7" t="str">
        <f>IFERROR(HLOOKUP(AV279,'Calc|Weightings'!$U$5:$W$5,1,0),"Excl")</f>
        <v>Materials</v>
      </c>
      <c r="AY279" s="7" t="str">
        <f>VLOOKUP(AO279,Mapping!$E$11:$I$204,5,0)</f>
        <v>SCS</v>
      </c>
    </row>
    <row r="280" spans="1:51" x14ac:dyDescent="0.3">
      <c r="A280" s="7"/>
      <c r="B280" s="7"/>
      <c r="C280" s="7"/>
      <c r="D280" s="7"/>
      <c r="E280" s="32" t="s">
        <v>119</v>
      </c>
      <c r="F280" s="32"/>
      <c r="G280" s="32">
        <v>71010</v>
      </c>
      <c r="H280" s="32" t="s">
        <v>462</v>
      </c>
      <c r="I280" s="33">
        <v>57.606999999999999</v>
      </c>
      <c r="J280" s="170"/>
      <c r="K280" s="7" t="str">
        <f>VLOOKUP($E280,Mapping!$E$11:$I$204,3,0)</f>
        <v>Connections</v>
      </c>
      <c r="L280" s="7" t="str">
        <f>IFERROR(VLOOKUP($G280,Mapping!$E$208:$K$236,5,0),"Contracts")</f>
        <v>Labour</v>
      </c>
      <c r="M280" s="7" t="str">
        <f>IFERROR(VLOOKUP($G280,Mapping!$E$208:$K$236,7,0),"ENDirect")</f>
        <v>ENDirect</v>
      </c>
      <c r="N280" s="7" t="str">
        <f>IFERROR(HLOOKUP(L280,'Calc|Weightings'!$U$5:$W$5,1,0),"Excl")</f>
        <v>Labour</v>
      </c>
      <c r="O280" s="7" t="str">
        <f>VLOOKUP(E280,Mapping!$E$11:$I$204,5,0)</f>
        <v>SCS</v>
      </c>
      <c r="Q280" s="32" t="s">
        <v>119</v>
      </c>
      <c r="R280" s="32"/>
      <c r="S280" s="32">
        <v>71010</v>
      </c>
      <c r="T280" s="32" t="s">
        <v>462</v>
      </c>
      <c r="U280" s="33">
        <v>58.033999999999999</v>
      </c>
      <c r="V280" s="7"/>
      <c r="W280" s="7" t="str">
        <f>VLOOKUP($Q280,Mapping!$E$11:$I$204,3,0)</f>
        <v>Connections</v>
      </c>
      <c r="X280" s="7" t="str">
        <f>IFERROR(VLOOKUP($S280,Mapping!$E$208:$K$236,5,0),"Contracts")</f>
        <v>Labour</v>
      </c>
      <c r="Y280" s="7" t="str">
        <f>IFERROR(VLOOKUP($S280,Mapping!$E$208:$K$236,7,0),"ENDirect")</f>
        <v>ENDirect</v>
      </c>
      <c r="Z280" s="7" t="str">
        <f>IFERROR(HLOOKUP(X280,'Calc|Weightings'!$U$5:$W$5,1,0),"Excl")</f>
        <v>Labour</v>
      </c>
      <c r="AA280" s="7" t="str">
        <f>VLOOKUP(Q280,Mapping!$E$11:$I$204,5,0)</f>
        <v>SCS</v>
      </c>
      <c r="AC280" s="35" t="s">
        <v>160</v>
      </c>
      <c r="AD280" s="35"/>
      <c r="AE280" s="35">
        <v>71015</v>
      </c>
      <c r="AF280" s="35" t="s">
        <v>463</v>
      </c>
      <c r="AG280" s="36">
        <v>16.399999999999999</v>
      </c>
      <c r="AI280" s="7" t="str">
        <f>VLOOKUP($AC280,Mapping!$E$11:$I$204,3,0)</f>
        <v>Augmentation</v>
      </c>
      <c r="AJ280" s="7" t="str">
        <f>IFERROR(VLOOKUP($AE280,Mapping!$E$208:$K$236,5,0),"Contracts")</f>
        <v>Materials</v>
      </c>
      <c r="AK280" s="7" t="str">
        <f>IFERROR(VLOOKUP($AE280,Mapping!$E$208:$K$236,7,0),"ENDirect")</f>
        <v>ENDirect</v>
      </c>
      <c r="AL280" s="7" t="str">
        <f>IFERROR(HLOOKUP(AJ280,'Calc|Weightings'!$U$5:$W$5,1,0),"Excl")</f>
        <v>Materials</v>
      </c>
      <c r="AM280" s="7" t="str">
        <f>VLOOKUP(AC280,Mapping!$E$11:$I$204,5,0)</f>
        <v>SCS</v>
      </c>
      <c r="AO280" s="35" t="s">
        <v>145</v>
      </c>
      <c r="AP280" s="35"/>
      <c r="AQ280" s="35">
        <v>71010</v>
      </c>
      <c r="AR280" s="35" t="s">
        <v>487</v>
      </c>
      <c r="AS280" s="121">
        <v>141.82731000000004</v>
      </c>
      <c r="AU280" s="7" t="str">
        <f>VLOOKUP($AO280,Mapping!$E$11:$I$204,3,0)</f>
        <v>Augmentation</v>
      </c>
      <c r="AV280" s="7" t="str">
        <f>IFERROR(VLOOKUP($AQ280,Mapping!$E$208:$K$236,5,0),"Contracts")</f>
        <v>Labour</v>
      </c>
      <c r="AW280" s="7" t="str">
        <f>IFERROR(VLOOKUP($AQ280,Mapping!$E$208:$K$236,7,0),"ENDirect")</f>
        <v>ENDirect</v>
      </c>
      <c r="AX280" s="7" t="str">
        <f>IFERROR(HLOOKUP(AV280,'Calc|Weightings'!$U$5:$W$5,1,0),"Excl")</f>
        <v>Labour</v>
      </c>
      <c r="AY280" s="7" t="str">
        <f>VLOOKUP(AO280,Mapping!$E$11:$I$204,5,0)</f>
        <v>SCS</v>
      </c>
    </row>
    <row r="281" spans="1:51" x14ac:dyDescent="0.3">
      <c r="A281" s="7"/>
      <c r="B281" s="7"/>
      <c r="C281" s="7"/>
      <c r="D281" s="7"/>
      <c r="E281" s="32" t="s">
        <v>119</v>
      </c>
      <c r="F281" s="32"/>
      <c r="G281" s="32">
        <v>71030</v>
      </c>
      <c r="H281" s="32" t="s">
        <v>464</v>
      </c>
      <c r="I281" s="33">
        <v>18.239999999999998</v>
      </c>
      <c r="J281" s="170"/>
      <c r="K281" s="7" t="str">
        <f>VLOOKUP($E281,Mapping!$E$11:$I$204,3,0)</f>
        <v>Connections</v>
      </c>
      <c r="L281" s="7" t="str">
        <f>IFERROR(VLOOKUP($G281,Mapping!$E$208:$K$236,5,0),"Contracts")</f>
        <v>Contracts</v>
      </c>
      <c r="M281" s="7" t="str">
        <f>IFERROR(VLOOKUP($G281,Mapping!$E$208:$K$236,7,0),"ENDirect")</f>
        <v>ENDirect</v>
      </c>
      <c r="N281" s="7" t="str">
        <f>IFERROR(HLOOKUP(L281,'Calc|Weightings'!$U$5:$W$5,1,0),"Excl")</f>
        <v>Contracts</v>
      </c>
      <c r="O281" s="7" t="str">
        <f>VLOOKUP(E281,Mapping!$E$11:$I$204,5,0)</f>
        <v>SCS</v>
      </c>
      <c r="Q281" s="32" t="s">
        <v>119</v>
      </c>
      <c r="R281" s="32"/>
      <c r="S281" s="32">
        <v>71015</v>
      </c>
      <c r="T281" s="32" t="s">
        <v>463</v>
      </c>
      <c r="U281" s="33">
        <v>9.1150000000000002</v>
      </c>
      <c r="V281" s="7"/>
      <c r="W281" s="7" t="str">
        <f>VLOOKUP($Q281,Mapping!$E$11:$I$204,3,0)</f>
        <v>Connections</v>
      </c>
      <c r="X281" s="7" t="str">
        <f>IFERROR(VLOOKUP($S281,Mapping!$E$208:$K$236,5,0),"Contracts")</f>
        <v>Materials</v>
      </c>
      <c r="Y281" s="7" t="str">
        <f>IFERROR(VLOOKUP($S281,Mapping!$E$208:$K$236,7,0),"ENDirect")</f>
        <v>ENDirect</v>
      </c>
      <c r="Z281" s="7" t="str">
        <f>IFERROR(HLOOKUP(X281,'Calc|Weightings'!$U$5:$W$5,1,0),"Excl")</f>
        <v>Materials</v>
      </c>
      <c r="AA281" s="7" t="str">
        <f>VLOOKUP(Q281,Mapping!$E$11:$I$204,5,0)</f>
        <v>SCS</v>
      </c>
      <c r="AC281" s="35" t="s">
        <v>160</v>
      </c>
      <c r="AD281" s="35"/>
      <c r="AE281" s="35">
        <v>71030</v>
      </c>
      <c r="AF281" s="35" t="s">
        <v>464</v>
      </c>
      <c r="AG281" s="36">
        <v>26.963999999999999</v>
      </c>
      <c r="AI281" s="7" t="str">
        <f>VLOOKUP($AC281,Mapping!$E$11:$I$204,3,0)</f>
        <v>Augmentation</v>
      </c>
      <c r="AJ281" s="7" t="str">
        <f>IFERROR(VLOOKUP($AE281,Mapping!$E$208:$K$236,5,0),"Contracts")</f>
        <v>Contracts</v>
      </c>
      <c r="AK281" s="7" t="str">
        <f>IFERROR(VLOOKUP($AE281,Mapping!$E$208:$K$236,7,0),"ENDirect")</f>
        <v>ENDirect</v>
      </c>
      <c r="AL281" s="7" t="str">
        <f>IFERROR(HLOOKUP(AJ281,'Calc|Weightings'!$U$5:$W$5,1,0),"Excl")</f>
        <v>Contracts</v>
      </c>
      <c r="AM281" s="7" t="str">
        <f>VLOOKUP(AC281,Mapping!$E$11:$I$204,5,0)</f>
        <v>SCS</v>
      </c>
      <c r="AO281" s="35" t="s">
        <v>145</v>
      </c>
      <c r="AP281" s="35"/>
      <c r="AQ281" s="35">
        <v>71015</v>
      </c>
      <c r="AR281" s="35" t="s">
        <v>585</v>
      </c>
      <c r="AS281" s="121">
        <v>71.749369999999999</v>
      </c>
      <c r="AU281" s="7" t="str">
        <f>VLOOKUP($AO281,Mapping!$E$11:$I$204,3,0)</f>
        <v>Augmentation</v>
      </c>
      <c r="AV281" s="7" t="str">
        <f>IFERROR(VLOOKUP($AQ281,Mapping!$E$208:$K$236,5,0),"Contracts")</f>
        <v>Materials</v>
      </c>
      <c r="AW281" s="7" t="str">
        <f>IFERROR(VLOOKUP($AQ281,Mapping!$E$208:$K$236,7,0),"ENDirect")</f>
        <v>ENDirect</v>
      </c>
      <c r="AX281" s="7" t="str">
        <f>IFERROR(HLOOKUP(AV281,'Calc|Weightings'!$U$5:$W$5,1,0),"Excl")</f>
        <v>Materials</v>
      </c>
      <c r="AY281" s="7" t="str">
        <f>VLOOKUP(AO281,Mapping!$E$11:$I$204,5,0)</f>
        <v>SCS</v>
      </c>
    </row>
    <row r="282" spans="1:51" x14ac:dyDescent="0.3">
      <c r="A282" s="7"/>
      <c r="B282" s="7"/>
      <c r="C282" s="7"/>
      <c r="D282" s="7"/>
      <c r="E282" s="32" t="s">
        <v>119</v>
      </c>
      <c r="F282" s="32"/>
      <c r="G282" s="32">
        <v>71055</v>
      </c>
      <c r="H282" s="32" t="s">
        <v>465</v>
      </c>
      <c r="I282" s="33">
        <v>29.332000000000001</v>
      </c>
      <c r="J282" s="170"/>
      <c r="K282" s="7" t="str">
        <f>VLOOKUP($E282,Mapping!$E$11:$I$204,3,0)</f>
        <v>Connections</v>
      </c>
      <c r="L282" s="7" t="str">
        <f>IFERROR(VLOOKUP($G282,Mapping!$E$208:$K$236,5,0),"Contracts")</f>
        <v>Contracts</v>
      </c>
      <c r="M282" s="7" t="str">
        <f>IFERROR(VLOOKUP($G282,Mapping!$E$208:$K$236,7,0),"ENDirect")</f>
        <v>ENDirect</v>
      </c>
      <c r="N282" s="7" t="str">
        <f>IFERROR(HLOOKUP(L282,'Calc|Weightings'!$U$5:$W$5,1,0),"Excl")</f>
        <v>Contracts</v>
      </c>
      <c r="O282" s="7" t="str">
        <f>VLOOKUP(E282,Mapping!$E$11:$I$204,5,0)</f>
        <v>SCS</v>
      </c>
      <c r="Q282" s="32" t="s">
        <v>119</v>
      </c>
      <c r="R282" s="32"/>
      <c r="S282" s="32">
        <v>71030</v>
      </c>
      <c r="T282" s="32" t="s">
        <v>464</v>
      </c>
      <c r="U282" s="33">
        <v>12.714</v>
      </c>
      <c r="V282" s="7"/>
      <c r="W282" s="7" t="str">
        <f>VLOOKUP($Q282,Mapping!$E$11:$I$204,3,0)</f>
        <v>Connections</v>
      </c>
      <c r="X282" s="7" t="str">
        <f>IFERROR(VLOOKUP($S282,Mapping!$E$208:$K$236,5,0),"Contracts")</f>
        <v>Contracts</v>
      </c>
      <c r="Y282" s="7" t="str">
        <f>IFERROR(VLOOKUP($S282,Mapping!$E$208:$K$236,7,0),"ENDirect")</f>
        <v>ENDirect</v>
      </c>
      <c r="Z282" s="7" t="str">
        <f>IFERROR(HLOOKUP(X282,'Calc|Weightings'!$U$5:$W$5,1,0),"Excl")</f>
        <v>Contracts</v>
      </c>
      <c r="AA282" s="7" t="str">
        <f>VLOOKUP(Q282,Mapping!$E$11:$I$204,5,0)</f>
        <v>SCS</v>
      </c>
      <c r="AC282" s="35" t="s">
        <v>160</v>
      </c>
      <c r="AD282" s="35"/>
      <c r="AE282" s="35">
        <v>71040</v>
      </c>
      <c r="AF282" s="35" t="s">
        <v>460</v>
      </c>
      <c r="AG282" s="36">
        <v>40.470999999999997</v>
      </c>
      <c r="AI282" s="7" t="str">
        <f>VLOOKUP($AC282,Mapping!$E$11:$I$204,3,0)</f>
        <v>Augmentation</v>
      </c>
      <c r="AJ282" s="7" t="str">
        <f>IFERROR(VLOOKUP($AE282,Mapping!$E$208:$K$236,5,0),"Contracts")</f>
        <v>Contracts</v>
      </c>
      <c r="AK282" s="7" t="str">
        <f>IFERROR(VLOOKUP($AE282,Mapping!$E$208:$K$236,7,0),"ENDirect")</f>
        <v>ENDirect</v>
      </c>
      <c r="AL282" s="7" t="str">
        <f>IFERROR(HLOOKUP(AJ282,'Calc|Weightings'!$U$5:$W$5,1,0),"Excl")</f>
        <v>Contracts</v>
      </c>
      <c r="AM282" s="7" t="str">
        <f>VLOOKUP(AC282,Mapping!$E$11:$I$204,5,0)</f>
        <v>SCS</v>
      </c>
      <c r="AO282" s="35" t="s">
        <v>145</v>
      </c>
      <c r="AP282" s="35"/>
      <c r="AQ282" s="35">
        <v>71030</v>
      </c>
      <c r="AR282" s="35" t="s">
        <v>464</v>
      </c>
      <c r="AS282" s="121">
        <v>12.682389999999998</v>
      </c>
      <c r="AU282" s="7" t="str">
        <f>VLOOKUP($AO282,Mapping!$E$11:$I$204,3,0)</f>
        <v>Augmentation</v>
      </c>
      <c r="AV282" s="7" t="str">
        <f>IFERROR(VLOOKUP($AQ282,Mapping!$E$208:$K$236,5,0),"Contracts")</f>
        <v>Contracts</v>
      </c>
      <c r="AW282" s="7" t="str">
        <f>IFERROR(VLOOKUP($AQ282,Mapping!$E$208:$K$236,7,0),"ENDirect")</f>
        <v>ENDirect</v>
      </c>
      <c r="AX282" s="7" t="str">
        <f>IFERROR(HLOOKUP(AV282,'Calc|Weightings'!$U$5:$W$5,1,0),"Excl")</f>
        <v>Contracts</v>
      </c>
      <c r="AY282" s="7" t="str">
        <f>VLOOKUP(AO282,Mapping!$E$11:$I$204,5,0)</f>
        <v>SCS</v>
      </c>
    </row>
    <row r="283" spans="1:51" x14ac:dyDescent="0.3">
      <c r="A283" s="7"/>
      <c r="B283" s="7"/>
      <c r="C283" s="7"/>
      <c r="D283" s="7"/>
      <c r="E283" s="32" t="s">
        <v>119</v>
      </c>
      <c r="F283" s="32"/>
      <c r="G283" s="32">
        <v>80000</v>
      </c>
      <c r="H283" s="32" t="s">
        <v>453</v>
      </c>
      <c r="I283" s="33">
        <v>38.274000000000001</v>
      </c>
      <c r="J283" s="170"/>
      <c r="K283" s="7" t="str">
        <f>VLOOKUP($E283,Mapping!$E$11:$I$204,3,0)</f>
        <v>Connections</v>
      </c>
      <c r="L283" s="7" t="str">
        <f>IFERROR(VLOOKUP($G283,Mapping!$E$208:$K$236,5,0),"Contracts")</f>
        <v>Overhead</v>
      </c>
      <c r="M283" s="7" t="str">
        <f>IFERROR(VLOOKUP($G283,Mapping!$E$208:$K$236,7,0),"ENDirect")</f>
        <v>OH</v>
      </c>
      <c r="N283" s="7" t="str">
        <f>IFERROR(HLOOKUP(L283,'Calc|Weightings'!$U$5:$W$5,1,0),"Excl")</f>
        <v>Excl</v>
      </c>
      <c r="O283" s="7" t="str">
        <f>VLOOKUP(E283,Mapping!$E$11:$I$204,5,0)</f>
        <v>SCS</v>
      </c>
      <c r="Q283" s="32" t="s">
        <v>119</v>
      </c>
      <c r="R283" s="32"/>
      <c r="S283" s="32">
        <v>71055</v>
      </c>
      <c r="T283" s="32" t="s">
        <v>465</v>
      </c>
      <c r="U283" s="33">
        <v>21.597999999999999</v>
      </c>
      <c r="V283" s="7"/>
      <c r="W283" s="7" t="str">
        <f>VLOOKUP($Q283,Mapping!$E$11:$I$204,3,0)</f>
        <v>Connections</v>
      </c>
      <c r="X283" s="7" t="str">
        <f>IFERROR(VLOOKUP($S283,Mapping!$E$208:$K$236,5,0),"Contracts")</f>
        <v>Contracts</v>
      </c>
      <c r="Y283" s="7" t="str">
        <f>IFERROR(VLOOKUP($S283,Mapping!$E$208:$K$236,7,0),"ENDirect")</f>
        <v>ENDirect</v>
      </c>
      <c r="Z283" s="7" t="str">
        <f>IFERROR(HLOOKUP(X283,'Calc|Weightings'!$U$5:$W$5,1,0),"Excl")</f>
        <v>Contracts</v>
      </c>
      <c r="AA283" s="7" t="str">
        <f>VLOOKUP(Q283,Mapping!$E$11:$I$204,5,0)</f>
        <v>SCS</v>
      </c>
      <c r="AC283" s="35" t="s">
        <v>160</v>
      </c>
      <c r="AD283" s="35"/>
      <c r="AE283" s="35">
        <v>71055</v>
      </c>
      <c r="AF283" s="35" t="s">
        <v>465</v>
      </c>
      <c r="AG283" s="36">
        <v>58.723999999999997</v>
      </c>
      <c r="AI283" s="7" t="str">
        <f>VLOOKUP($AC283,Mapping!$E$11:$I$204,3,0)</f>
        <v>Augmentation</v>
      </c>
      <c r="AJ283" s="7" t="str">
        <f>IFERROR(VLOOKUP($AE283,Mapping!$E$208:$K$236,5,0),"Contracts")</f>
        <v>Contracts</v>
      </c>
      <c r="AK283" s="7" t="str">
        <f>IFERROR(VLOOKUP($AE283,Mapping!$E$208:$K$236,7,0),"ENDirect")</f>
        <v>ENDirect</v>
      </c>
      <c r="AL283" s="7" t="str">
        <f>IFERROR(HLOOKUP(AJ283,'Calc|Weightings'!$U$5:$W$5,1,0),"Excl")</f>
        <v>Contracts</v>
      </c>
      <c r="AM283" s="7" t="str">
        <f>VLOOKUP(AC283,Mapping!$E$11:$I$204,5,0)</f>
        <v>SCS</v>
      </c>
      <c r="AO283" s="35" t="s">
        <v>145</v>
      </c>
      <c r="AP283" s="35"/>
      <c r="AQ283" s="35">
        <v>71045</v>
      </c>
      <c r="AR283" s="35" t="s">
        <v>596</v>
      </c>
      <c r="AS283" s="121">
        <v>381.62</v>
      </c>
      <c r="AU283" s="7" t="str">
        <f>VLOOKUP($AO283,Mapping!$E$11:$I$204,3,0)</f>
        <v>Augmentation</v>
      </c>
      <c r="AV283" s="7" t="str">
        <f>IFERROR(VLOOKUP($AQ283,Mapping!$E$208:$K$236,5,0),"Contracts")</f>
        <v>Materials</v>
      </c>
      <c r="AW283" s="7" t="str">
        <f>IFERROR(VLOOKUP($AQ283,Mapping!$E$208:$K$236,7,0),"ENDirect")</f>
        <v>ENDirect</v>
      </c>
      <c r="AX283" s="7" t="str">
        <f>IFERROR(HLOOKUP(AV283,'Calc|Weightings'!$U$5:$W$5,1,0),"Excl")</f>
        <v>Materials</v>
      </c>
      <c r="AY283" s="7" t="str">
        <f>VLOOKUP(AO283,Mapping!$E$11:$I$204,5,0)</f>
        <v>SCS</v>
      </c>
    </row>
    <row r="284" spans="1:51" x14ac:dyDescent="0.3">
      <c r="A284" s="7"/>
      <c r="B284" s="7"/>
      <c r="C284" s="7"/>
      <c r="D284" s="7"/>
      <c r="E284" s="32" t="s">
        <v>546</v>
      </c>
      <c r="F284" s="32"/>
      <c r="G284" s="32">
        <v>71015</v>
      </c>
      <c r="H284" s="32" t="s">
        <v>463</v>
      </c>
      <c r="I284" s="33">
        <v>43.063000000000002</v>
      </c>
      <c r="J284" s="170"/>
      <c r="K284" s="7" t="str">
        <f>VLOOKUP($E284,Mapping!$E$11:$I$204,3,0)</f>
        <v>Connections</v>
      </c>
      <c r="L284" s="7" t="str">
        <f>IFERROR(VLOOKUP($G284,Mapping!$E$208:$K$236,5,0),"Contracts")</f>
        <v>Materials</v>
      </c>
      <c r="M284" s="7" t="str">
        <f>IFERROR(VLOOKUP($G284,Mapping!$E$208:$K$236,7,0),"ENDirect")</f>
        <v>ENDirect</v>
      </c>
      <c r="N284" s="7" t="str">
        <f>IFERROR(HLOOKUP(L284,'Calc|Weightings'!$U$5:$W$5,1,0),"Excl")</f>
        <v>Materials</v>
      </c>
      <c r="O284" s="7" t="str">
        <f>VLOOKUP(E284,Mapping!$E$11:$I$204,5,0)</f>
        <v>SCS</v>
      </c>
      <c r="Q284" s="32" t="s">
        <v>119</v>
      </c>
      <c r="R284" s="32"/>
      <c r="S284" s="32">
        <v>80000</v>
      </c>
      <c r="T284" s="32" t="s">
        <v>453</v>
      </c>
      <c r="U284" s="33">
        <v>26.004000000000001</v>
      </c>
      <c r="V284" s="7"/>
      <c r="W284" s="7" t="str">
        <f>VLOOKUP($Q284,Mapping!$E$11:$I$204,3,0)</f>
        <v>Connections</v>
      </c>
      <c r="X284" s="7" t="str">
        <f>IFERROR(VLOOKUP($S284,Mapping!$E$208:$K$236,5,0),"Contracts")</f>
        <v>Overhead</v>
      </c>
      <c r="Y284" s="7" t="str">
        <f>IFERROR(VLOOKUP($S284,Mapping!$E$208:$K$236,7,0),"ENDirect")</f>
        <v>OH</v>
      </c>
      <c r="Z284" s="7" t="str">
        <f>IFERROR(HLOOKUP(X284,'Calc|Weightings'!$U$5:$W$5,1,0),"Excl")</f>
        <v>Excl</v>
      </c>
      <c r="AA284" s="7" t="str">
        <f>VLOOKUP(Q284,Mapping!$E$11:$I$204,5,0)</f>
        <v>SCS</v>
      </c>
      <c r="AC284" s="35" t="s">
        <v>160</v>
      </c>
      <c r="AD284" s="35"/>
      <c r="AE284" s="35">
        <v>80000</v>
      </c>
      <c r="AF284" s="35" t="s">
        <v>453</v>
      </c>
      <c r="AG284" s="36">
        <v>48.762999999999998</v>
      </c>
      <c r="AI284" s="7" t="str">
        <f>VLOOKUP($AC284,Mapping!$E$11:$I$204,3,0)</f>
        <v>Augmentation</v>
      </c>
      <c r="AJ284" s="7" t="str">
        <f>IFERROR(VLOOKUP($AE284,Mapping!$E$208:$K$236,5,0),"Contracts")</f>
        <v>Overhead</v>
      </c>
      <c r="AK284" s="7" t="str">
        <f>IFERROR(VLOOKUP($AE284,Mapping!$E$208:$K$236,7,0),"ENDirect")</f>
        <v>OH</v>
      </c>
      <c r="AL284" s="7" t="str">
        <f>IFERROR(HLOOKUP(AJ284,'Calc|Weightings'!$U$5:$W$5,1,0),"Excl")</f>
        <v>Excl</v>
      </c>
      <c r="AM284" s="7" t="str">
        <f>VLOOKUP(AC284,Mapping!$E$11:$I$204,5,0)</f>
        <v>SCS</v>
      </c>
      <c r="AO284" s="35" t="s">
        <v>145</v>
      </c>
      <c r="AP284" s="35"/>
      <c r="AQ284" s="35">
        <v>71055</v>
      </c>
      <c r="AR284" s="35" t="s">
        <v>465</v>
      </c>
      <c r="AS284" s="121">
        <v>25.248559999999987</v>
      </c>
      <c r="AU284" s="7" t="str">
        <f>VLOOKUP($AO284,Mapping!$E$11:$I$204,3,0)</f>
        <v>Augmentation</v>
      </c>
      <c r="AV284" s="7" t="str">
        <f>IFERROR(VLOOKUP($AQ284,Mapping!$E$208:$K$236,5,0),"Contracts")</f>
        <v>Contracts</v>
      </c>
      <c r="AW284" s="7" t="str">
        <f>IFERROR(VLOOKUP($AQ284,Mapping!$E$208:$K$236,7,0),"ENDirect")</f>
        <v>ENDirect</v>
      </c>
      <c r="AX284" s="7" t="str">
        <f>IFERROR(HLOOKUP(AV284,'Calc|Weightings'!$U$5:$W$5,1,0),"Excl")</f>
        <v>Contracts</v>
      </c>
      <c r="AY284" s="7" t="str">
        <f>VLOOKUP(AO284,Mapping!$E$11:$I$204,5,0)</f>
        <v>SCS</v>
      </c>
    </row>
    <row r="285" spans="1:51" x14ac:dyDescent="0.3">
      <c r="A285" s="7"/>
      <c r="B285" s="7"/>
      <c r="C285" s="7"/>
      <c r="D285" s="7"/>
      <c r="E285" s="32" t="s">
        <v>553</v>
      </c>
      <c r="F285" s="32"/>
      <c r="G285" s="32">
        <v>71006</v>
      </c>
      <c r="H285" s="32" t="s">
        <v>468</v>
      </c>
      <c r="I285" s="33">
        <v>145.75200000000001</v>
      </c>
      <c r="J285" s="170"/>
      <c r="K285" s="7" t="str">
        <f>VLOOKUP($E285,Mapping!$E$11:$I$204,3,0)</f>
        <v>Connections</v>
      </c>
      <c r="L285" s="7" t="str">
        <f>IFERROR(VLOOKUP($G285,Mapping!$E$208:$K$236,5,0),"Contracts")</f>
        <v>Materials</v>
      </c>
      <c r="M285" s="7" t="str">
        <f>IFERROR(VLOOKUP($G285,Mapping!$E$208:$K$236,7,0),"ENDirect")</f>
        <v>ENDirect</v>
      </c>
      <c r="N285" s="7" t="str">
        <f>IFERROR(HLOOKUP(L285,'Calc|Weightings'!$U$5:$W$5,1,0),"Excl")</f>
        <v>Materials</v>
      </c>
      <c r="O285" s="7" t="str">
        <f>VLOOKUP(E285,Mapping!$E$11:$I$204,5,0)</f>
        <v>SCS</v>
      </c>
      <c r="Q285" s="32" t="s">
        <v>548</v>
      </c>
      <c r="R285" s="32"/>
      <c r="S285" s="32">
        <v>71005</v>
      </c>
      <c r="T285" s="32" t="s">
        <v>461</v>
      </c>
      <c r="U285" s="33">
        <v>152.82300000000001</v>
      </c>
      <c r="V285" s="7"/>
      <c r="W285" s="7" t="str">
        <f>VLOOKUP($Q285,Mapping!$E$11:$I$204,3,0)</f>
        <v>Connections</v>
      </c>
      <c r="X285" s="7" t="str">
        <f>IFERROR(VLOOKUP($S285,Mapping!$E$208:$K$236,5,0),"Contracts")</f>
        <v>Materials</v>
      </c>
      <c r="Y285" s="7" t="str">
        <f>IFERROR(VLOOKUP($S285,Mapping!$E$208:$K$236,7,0),"ENDirect")</f>
        <v>ENDirect</v>
      </c>
      <c r="Z285" s="7" t="str">
        <f>IFERROR(HLOOKUP(X285,'Calc|Weightings'!$U$5:$W$5,1,0),"Excl")</f>
        <v>Materials</v>
      </c>
      <c r="AA285" s="7" t="str">
        <f>VLOOKUP(Q285,Mapping!$E$11:$I$204,5,0)</f>
        <v>SCS</v>
      </c>
      <c r="AC285" s="35" t="s">
        <v>546</v>
      </c>
      <c r="AD285" s="35"/>
      <c r="AE285" s="35">
        <v>72345</v>
      </c>
      <c r="AF285" s="35" t="s">
        <v>467</v>
      </c>
      <c r="AG285" s="36">
        <v>208.34</v>
      </c>
      <c r="AI285" s="7" t="str">
        <f>VLOOKUP($AC285,Mapping!$E$11:$I$204,3,0)</f>
        <v>Connections</v>
      </c>
      <c r="AJ285" s="7" t="str">
        <f>IFERROR(VLOOKUP($AE285,Mapping!$E$208:$K$236,5,0),"Contracts")</f>
        <v>Contracts</v>
      </c>
      <c r="AK285" s="7" t="str">
        <f>IFERROR(VLOOKUP($AE285,Mapping!$E$208:$K$236,7,0),"ENDirect")</f>
        <v>ENDirect</v>
      </c>
      <c r="AL285" s="7" t="str">
        <f>IFERROR(HLOOKUP(AJ285,'Calc|Weightings'!$U$5:$W$5,1,0),"Excl")</f>
        <v>Contracts</v>
      </c>
      <c r="AM285" s="7" t="str">
        <f>VLOOKUP(AC285,Mapping!$E$11:$I$204,5,0)</f>
        <v>SCS</v>
      </c>
      <c r="AO285" s="35" t="s">
        <v>145</v>
      </c>
      <c r="AP285" s="35"/>
      <c r="AQ285" s="35">
        <v>71070</v>
      </c>
      <c r="AR285" s="35" t="s">
        <v>586</v>
      </c>
      <c r="AS285" s="121">
        <v>8.7726600000000019</v>
      </c>
      <c r="AU285" s="7" t="str">
        <f>VLOOKUP($AO285,Mapping!$E$11:$I$204,3,0)</f>
        <v>Augmentation</v>
      </c>
      <c r="AV285" s="7" t="str">
        <f>IFERROR(VLOOKUP($AQ285,Mapping!$E$208:$K$236,5,0),"Contracts")</f>
        <v>Contracts</v>
      </c>
      <c r="AW285" s="7" t="str">
        <f>IFERROR(VLOOKUP($AQ285,Mapping!$E$208:$K$236,7,0),"ENDirect")</f>
        <v>ENDirect</v>
      </c>
      <c r="AX285" s="7" t="str">
        <f>IFERROR(HLOOKUP(AV285,'Calc|Weightings'!$U$5:$W$5,1,0),"Excl")</f>
        <v>Contracts</v>
      </c>
      <c r="AY285" s="7" t="str">
        <f>VLOOKUP(AO285,Mapping!$E$11:$I$204,5,0)</f>
        <v>SCS</v>
      </c>
    </row>
    <row r="286" spans="1:51" x14ac:dyDescent="0.3">
      <c r="A286" s="7"/>
      <c r="B286" s="7"/>
      <c r="C286" s="7"/>
      <c r="D286" s="7"/>
      <c r="E286" s="32" t="s">
        <v>553</v>
      </c>
      <c r="F286" s="32"/>
      <c r="G286" s="32">
        <v>71015</v>
      </c>
      <c r="H286" s="32" t="s">
        <v>463</v>
      </c>
      <c r="I286" s="33">
        <v>43.652999999999999</v>
      </c>
      <c r="J286" s="170"/>
      <c r="K286" s="7" t="str">
        <f>VLOOKUP($E286,Mapping!$E$11:$I$204,3,0)</f>
        <v>Connections</v>
      </c>
      <c r="L286" s="7" t="str">
        <f>IFERROR(VLOOKUP($G286,Mapping!$E$208:$K$236,5,0),"Contracts")</f>
        <v>Materials</v>
      </c>
      <c r="M286" s="7" t="str">
        <f>IFERROR(VLOOKUP($G286,Mapping!$E$208:$K$236,7,0),"ENDirect")</f>
        <v>ENDirect</v>
      </c>
      <c r="N286" s="7" t="str">
        <f>IFERROR(HLOOKUP(L286,'Calc|Weightings'!$U$5:$W$5,1,0),"Excl")</f>
        <v>Materials</v>
      </c>
      <c r="O286" s="7" t="str">
        <f>VLOOKUP(E286,Mapping!$E$11:$I$204,5,0)</f>
        <v>SCS</v>
      </c>
      <c r="Q286" s="32" t="s">
        <v>548</v>
      </c>
      <c r="R286" s="32"/>
      <c r="S286" s="32">
        <v>71020</v>
      </c>
      <c r="T286" s="32" t="s">
        <v>459</v>
      </c>
      <c r="U286" s="33">
        <v>0.14299999999999999</v>
      </c>
      <c r="V286" s="7"/>
      <c r="W286" s="7" t="str">
        <f>VLOOKUP($Q286,Mapping!$E$11:$I$204,3,0)</f>
        <v>Connections</v>
      </c>
      <c r="X286" s="7" t="str">
        <f>IFERROR(VLOOKUP($S286,Mapping!$E$208:$K$236,5,0),"Contracts")</f>
        <v>Contracts</v>
      </c>
      <c r="Y286" s="7" t="str">
        <f>IFERROR(VLOOKUP($S286,Mapping!$E$208:$K$236,7,0),"ENDirect")</f>
        <v>ENDirect</v>
      </c>
      <c r="Z286" s="7" t="str">
        <f>IFERROR(HLOOKUP(X286,'Calc|Weightings'!$U$5:$W$5,1,0),"Excl")</f>
        <v>Contracts</v>
      </c>
      <c r="AA286" s="7" t="str">
        <f>VLOOKUP(Q286,Mapping!$E$11:$I$204,5,0)</f>
        <v>SCS</v>
      </c>
      <c r="AC286" s="35" t="s">
        <v>190</v>
      </c>
      <c r="AD286" s="35"/>
      <c r="AE286" s="35">
        <v>71040</v>
      </c>
      <c r="AF286" s="35" t="s">
        <v>460</v>
      </c>
      <c r="AG286" s="36">
        <v>-75.394000000000005</v>
      </c>
      <c r="AI286" s="7" t="str">
        <f>VLOOKUP($AC286,Mapping!$E$11:$I$204,3,0)</f>
        <v>Replacement</v>
      </c>
      <c r="AJ286" s="7" t="str">
        <f>IFERROR(VLOOKUP($AE286,Mapping!$E$208:$K$236,5,0),"Contracts")</f>
        <v>Contracts</v>
      </c>
      <c r="AK286" s="7" t="str">
        <f>IFERROR(VLOOKUP($AE286,Mapping!$E$208:$K$236,7,0),"ENDirect")</f>
        <v>ENDirect</v>
      </c>
      <c r="AL286" s="7" t="str">
        <f>IFERROR(HLOOKUP(AJ286,'Calc|Weightings'!$U$5:$W$5,1,0),"Excl")</f>
        <v>Contracts</v>
      </c>
      <c r="AM286" s="7" t="str">
        <f>VLOOKUP(AC286,Mapping!$E$11:$I$204,5,0)</f>
        <v>SCS</v>
      </c>
      <c r="AO286" s="35" t="s">
        <v>145</v>
      </c>
      <c r="AP286" s="35"/>
      <c r="AQ286" s="35">
        <v>71075</v>
      </c>
      <c r="AR286" s="35" t="s">
        <v>587</v>
      </c>
      <c r="AS286" s="121">
        <v>74.579149999999942</v>
      </c>
      <c r="AU286" s="7" t="str">
        <f>VLOOKUP($AO286,Mapping!$E$11:$I$204,3,0)</f>
        <v>Augmentation</v>
      </c>
      <c r="AV286" s="7" t="str">
        <f>IFERROR(VLOOKUP($AQ286,Mapping!$E$208:$K$236,5,0),"Contracts")</f>
        <v>Contracts</v>
      </c>
      <c r="AW286" s="7" t="str">
        <f>IFERROR(VLOOKUP($AQ286,Mapping!$E$208:$K$236,7,0),"ENDirect")</f>
        <v>ENDirect</v>
      </c>
      <c r="AX286" s="7" t="str">
        <f>IFERROR(HLOOKUP(AV286,'Calc|Weightings'!$U$5:$W$5,1,0),"Excl")</f>
        <v>Contracts</v>
      </c>
      <c r="AY286" s="7" t="str">
        <f>VLOOKUP(AO286,Mapping!$E$11:$I$204,5,0)</f>
        <v>SCS</v>
      </c>
    </row>
    <row r="287" spans="1:51" x14ac:dyDescent="0.3">
      <c r="A287" s="7"/>
      <c r="B287" s="7"/>
      <c r="C287" s="7"/>
      <c r="D287" s="7"/>
      <c r="E287" s="32" t="s">
        <v>551</v>
      </c>
      <c r="F287" s="32"/>
      <c r="G287" s="32">
        <v>71015</v>
      </c>
      <c r="H287" s="32" t="s">
        <v>463</v>
      </c>
      <c r="I287" s="33">
        <v>99.405000000000001</v>
      </c>
      <c r="J287" s="170"/>
      <c r="K287" s="7" t="str">
        <f>VLOOKUP($E287,Mapping!$E$11:$I$204,3,0)</f>
        <v>Connections</v>
      </c>
      <c r="L287" s="7" t="str">
        <f>IFERROR(VLOOKUP($G287,Mapping!$E$208:$K$236,5,0),"Contracts")</f>
        <v>Materials</v>
      </c>
      <c r="M287" s="7" t="str">
        <f>IFERROR(VLOOKUP($G287,Mapping!$E$208:$K$236,7,0),"ENDirect")</f>
        <v>ENDirect</v>
      </c>
      <c r="N287" s="7" t="str">
        <f>IFERROR(HLOOKUP(L287,'Calc|Weightings'!$U$5:$W$5,1,0),"Excl")</f>
        <v>Materials</v>
      </c>
      <c r="O287" s="7" t="str">
        <f>VLOOKUP(E287,Mapping!$E$11:$I$204,5,0)</f>
        <v>SCS</v>
      </c>
      <c r="Q287" s="32" t="s">
        <v>113</v>
      </c>
      <c r="R287" s="32"/>
      <c r="S287" s="32">
        <v>71020</v>
      </c>
      <c r="T287" s="32" t="s">
        <v>459</v>
      </c>
      <c r="U287" s="33">
        <v>13.029</v>
      </c>
      <c r="V287" s="7"/>
      <c r="W287" s="7" t="str">
        <f>VLOOKUP($Q287,Mapping!$E$11:$I$204,3,0)</f>
        <v>Connections</v>
      </c>
      <c r="X287" s="7" t="str">
        <f>IFERROR(VLOOKUP($S287,Mapping!$E$208:$K$236,5,0),"Contracts")</f>
        <v>Contracts</v>
      </c>
      <c r="Y287" s="7" t="str">
        <f>IFERROR(VLOOKUP($S287,Mapping!$E$208:$K$236,7,0),"ENDirect")</f>
        <v>ENDirect</v>
      </c>
      <c r="Z287" s="7" t="str">
        <f>IFERROR(HLOOKUP(X287,'Calc|Weightings'!$U$5:$W$5,1,0),"Excl")</f>
        <v>Contracts</v>
      </c>
      <c r="AA287" s="7" t="str">
        <f>VLOOKUP(Q287,Mapping!$E$11:$I$204,5,0)</f>
        <v>SCS</v>
      </c>
      <c r="AC287" s="35" t="s">
        <v>201</v>
      </c>
      <c r="AD287" s="35"/>
      <c r="AE287" s="35">
        <v>71040</v>
      </c>
      <c r="AF287" s="35" t="s">
        <v>460</v>
      </c>
      <c r="AG287" s="36">
        <v>-62.874000000000002</v>
      </c>
      <c r="AI287" s="7" t="str">
        <f>VLOOKUP($AC287,Mapping!$E$11:$I$204,3,0)</f>
        <v>Replacement</v>
      </c>
      <c r="AJ287" s="7" t="str">
        <f>IFERROR(VLOOKUP($AE287,Mapping!$E$208:$K$236,5,0),"Contracts")</f>
        <v>Contracts</v>
      </c>
      <c r="AK287" s="7" t="str">
        <f>IFERROR(VLOOKUP($AE287,Mapping!$E$208:$K$236,7,0),"ENDirect")</f>
        <v>ENDirect</v>
      </c>
      <c r="AL287" s="7" t="str">
        <f>IFERROR(HLOOKUP(AJ287,'Calc|Weightings'!$U$5:$W$5,1,0),"Excl")</f>
        <v>Contracts</v>
      </c>
      <c r="AM287" s="7" t="str">
        <f>VLOOKUP(AC287,Mapping!$E$11:$I$204,5,0)</f>
        <v>SCS</v>
      </c>
      <c r="AO287" s="35" t="s">
        <v>145</v>
      </c>
      <c r="AP287" s="35"/>
      <c r="AQ287" s="35">
        <v>71130</v>
      </c>
      <c r="AR287" s="35" t="s">
        <v>592</v>
      </c>
      <c r="AS287" s="121">
        <v>78.524980000000014</v>
      </c>
      <c r="AU287" s="7" t="str">
        <f>VLOOKUP($AO287,Mapping!$E$11:$I$204,3,0)</f>
        <v>Augmentation</v>
      </c>
      <c r="AV287" s="7" t="str">
        <f>IFERROR(VLOOKUP($AQ287,Mapping!$E$208:$K$236,5,0),"Contracts")</f>
        <v>Contracts</v>
      </c>
      <c r="AW287" s="7" t="str">
        <f>IFERROR(VLOOKUP($AQ287,Mapping!$E$208:$K$236,7,0),"ENDirect")</f>
        <v>ENDirect</v>
      </c>
      <c r="AX287" s="7" t="str">
        <f>IFERROR(HLOOKUP(AV287,'Calc|Weightings'!$U$5:$W$5,1,0),"Excl")</f>
        <v>Contracts</v>
      </c>
      <c r="AY287" s="7" t="str">
        <f>VLOOKUP(AO287,Mapping!$E$11:$I$204,5,0)</f>
        <v>SCS</v>
      </c>
    </row>
    <row r="288" spans="1:51" x14ac:dyDescent="0.3">
      <c r="A288" s="7"/>
      <c r="B288" s="7"/>
      <c r="C288" s="7"/>
      <c r="D288" s="7"/>
      <c r="E288" s="32" t="s">
        <v>546</v>
      </c>
      <c r="F288" s="32"/>
      <c r="G288" s="32">
        <v>71006</v>
      </c>
      <c r="H288" s="32" t="s">
        <v>468</v>
      </c>
      <c r="I288" s="33">
        <v>115.39</v>
      </c>
      <c r="J288" s="170"/>
      <c r="K288" s="7" t="str">
        <f>VLOOKUP($E288,Mapping!$E$11:$I$204,3,0)</f>
        <v>Connections</v>
      </c>
      <c r="L288" s="7" t="str">
        <f>IFERROR(VLOOKUP($G288,Mapping!$E$208:$K$236,5,0),"Contracts")</f>
        <v>Materials</v>
      </c>
      <c r="M288" s="7" t="str">
        <f>IFERROR(VLOOKUP($G288,Mapping!$E$208:$K$236,7,0),"ENDirect")</f>
        <v>ENDirect</v>
      </c>
      <c r="N288" s="7" t="str">
        <f>IFERROR(HLOOKUP(L288,'Calc|Weightings'!$U$5:$W$5,1,0),"Excl")</f>
        <v>Materials</v>
      </c>
      <c r="O288" s="7" t="str">
        <f>VLOOKUP(E288,Mapping!$E$11:$I$204,5,0)</f>
        <v>SCS</v>
      </c>
      <c r="Q288" s="32" t="s">
        <v>114</v>
      </c>
      <c r="R288" s="32"/>
      <c r="S288" s="32">
        <v>72345</v>
      </c>
      <c r="T288" s="32" t="s">
        <v>467</v>
      </c>
      <c r="U288" s="33">
        <v>134.88999999999999</v>
      </c>
      <c r="V288" s="7"/>
      <c r="W288" s="7" t="str">
        <f>VLOOKUP($Q288,Mapping!$E$11:$I$204,3,0)</f>
        <v>Connections</v>
      </c>
      <c r="X288" s="7" t="str">
        <f>IFERROR(VLOOKUP($S288,Mapping!$E$208:$K$236,5,0),"Contracts")</f>
        <v>Contracts</v>
      </c>
      <c r="Y288" s="7" t="str">
        <f>IFERROR(VLOOKUP($S288,Mapping!$E$208:$K$236,7,0),"ENDirect")</f>
        <v>ENDirect</v>
      </c>
      <c r="Z288" s="7" t="str">
        <f>IFERROR(HLOOKUP(X288,'Calc|Weightings'!$U$5:$W$5,1,0),"Excl")</f>
        <v>Contracts</v>
      </c>
      <c r="AA288" s="7" t="str">
        <f>VLOOKUP(Q288,Mapping!$E$11:$I$204,5,0)</f>
        <v>SCS</v>
      </c>
      <c r="AC288" s="35" t="s">
        <v>230</v>
      </c>
      <c r="AD288" s="35"/>
      <c r="AE288" s="35">
        <v>71040</v>
      </c>
      <c r="AF288" s="35" t="s">
        <v>460</v>
      </c>
      <c r="AG288" s="36">
        <v>-180.74600000000001</v>
      </c>
      <c r="AI288" s="7" t="str">
        <f>VLOOKUP($AC288,Mapping!$E$11:$I$204,3,0)</f>
        <v>Replacement</v>
      </c>
      <c r="AJ288" s="7" t="str">
        <f>IFERROR(VLOOKUP($AE288,Mapping!$E$208:$K$236,5,0),"Contracts")</f>
        <v>Contracts</v>
      </c>
      <c r="AK288" s="7" t="str">
        <f>IFERROR(VLOOKUP($AE288,Mapping!$E$208:$K$236,7,0),"ENDirect")</f>
        <v>ENDirect</v>
      </c>
      <c r="AL288" s="7" t="str">
        <f>IFERROR(HLOOKUP(AJ288,'Calc|Weightings'!$U$5:$W$5,1,0),"Excl")</f>
        <v>Contracts</v>
      </c>
      <c r="AM288" s="7" t="str">
        <f>VLOOKUP(AC288,Mapping!$E$11:$I$204,5,0)</f>
        <v>SCS</v>
      </c>
      <c r="AO288" s="35" t="s">
        <v>145</v>
      </c>
      <c r="AP288" s="35"/>
      <c r="AQ288" s="35">
        <v>71140</v>
      </c>
      <c r="AR288" s="35" t="s">
        <v>593</v>
      </c>
      <c r="AS288" s="121">
        <v>14.885</v>
      </c>
      <c r="AU288" s="7" t="str">
        <f>VLOOKUP($AO288,Mapping!$E$11:$I$204,3,0)</f>
        <v>Augmentation</v>
      </c>
      <c r="AV288" s="7" t="str">
        <f>IFERROR(VLOOKUP($AQ288,Mapping!$E$208:$K$236,5,0),"Contracts")</f>
        <v>Contracts</v>
      </c>
      <c r="AW288" s="7" t="str">
        <f>IFERROR(VLOOKUP($AQ288,Mapping!$E$208:$K$236,7,0),"ENDirect")</f>
        <v>ENDirect</v>
      </c>
      <c r="AX288" s="7" t="str">
        <f>IFERROR(HLOOKUP(AV288,'Calc|Weightings'!$U$5:$W$5,1,0),"Excl")</f>
        <v>Contracts</v>
      </c>
      <c r="AY288" s="7" t="str">
        <f>VLOOKUP(AO288,Mapping!$E$11:$I$204,5,0)</f>
        <v>SCS</v>
      </c>
    </row>
    <row r="289" spans="1:51" x14ac:dyDescent="0.3">
      <c r="A289" s="7"/>
      <c r="B289" s="7"/>
      <c r="C289" s="7"/>
      <c r="D289" s="7"/>
      <c r="E289" s="32" t="s">
        <v>147</v>
      </c>
      <c r="F289" s="32"/>
      <c r="G289" s="32">
        <v>70815</v>
      </c>
      <c r="H289" s="32" t="s">
        <v>451</v>
      </c>
      <c r="I289" s="33">
        <v>5.0780000000000003</v>
      </c>
      <c r="J289" s="170"/>
      <c r="K289" s="7" t="str">
        <f>VLOOKUP($E289,Mapping!$E$11:$I$204,3,0)</f>
        <v>Augmentation</v>
      </c>
      <c r="L289" s="7" t="str">
        <f>IFERROR(VLOOKUP($G289,Mapping!$E$208:$K$236,5,0),"Contracts")</f>
        <v>Materials</v>
      </c>
      <c r="M289" s="7" t="str">
        <f>IFERROR(VLOOKUP($G289,Mapping!$E$208:$K$236,7,0),"ENDirect")</f>
        <v>ENDirect</v>
      </c>
      <c r="N289" s="7" t="str">
        <f>IFERROR(HLOOKUP(L289,'Calc|Weightings'!$U$5:$W$5,1,0),"Excl")</f>
        <v>Materials</v>
      </c>
      <c r="O289" s="7" t="str">
        <f>VLOOKUP(E289,Mapping!$E$11:$I$204,5,0)</f>
        <v>SCS</v>
      </c>
      <c r="Q289" s="32" t="s">
        <v>147</v>
      </c>
      <c r="R289" s="32"/>
      <c r="S289" s="32">
        <v>71020</v>
      </c>
      <c r="T289" s="32" t="s">
        <v>459</v>
      </c>
      <c r="U289" s="33">
        <v>3.8079999999999998</v>
      </c>
      <c r="V289" s="7"/>
      <c r="W289" s="7" t="str">
        <f>VLOOKUP($Q289,Mapping!$E$11:$I$204,3,0)</f>
        <v>Augmentation</v>
      </c>
      <c r="X289" s="7" t="str">
        <f>IFERROR(VLOOKUP($S289,Mapping!$E$208:$K$236,5,0),"Contracts")</f>
        <v>Contracts</v>
      </c>
      <c r="Y289" s="7" t="str">
        <f>IFERROR(VLOOKUP($S289,Mapping!$E$208:$K$236,7,0),"ENDirect")</f>
        <v>ENDirect</v>
      </c>
      <c r="Z289" s="7" t="str">
        <f>IFERROR(HLOOKUP(X289,'Calc|Weightings'!$U$5:$W$5,1,0),"Excl")</f>
        <v>Contracts</v>
      </c>
      <c r="AA289" s="7" t="str">
        <f>VLOOKUP(Q289,Mapping!$E$11:$I$204,5,0)</f>
        <v>SCS</v>
      </c>
      <c r="AC289" s="35" t="s">
        <v>234</v>
      </c>
      <c r="AD289" s="35"/>
      <c r="AE289" s="35">
        <v>71040</v>
      </c>
      <c r="AF289" s="35" t="s">
        <v>460</v>
      </c>
      <c r="AG289" s="36">
        <v>-67.454999999999998</v>
      </c>
      <c r="AI289" s="7" t="str">
        <f>VLOOKUP($AC289,Mapping!$E$11:$I$204,3,0)</f>
        <v>Replacement</v>
      </c>
      <c r="AJ289" s="7" t="str">
        <f>IFERROR(VLOOKUP($AE289,Mapping!$E$208:$K$236,5,0),"Contracts")</f>
        <v>Contracts</v>
      </c>
      <c r="AK289" s="7" t="str">
        <f>IFERROR(VLOOKUP($AE289,Mapping!$E$208:$K$236,7,0),"ENDirect")</f>
        <v>ENDirect</v>
      </c>
      <c r="AL289" s="7" t="str">
        <f>IFERROR(HLOOKUP(AJ289,'Calc|Weightings'!$U$5:$W$5,1,0),"Excl")</f>
        <v>Contracts</v>
      </c>
      <c r="AM289" s="7" t="str">
        <f>VLOOKUP(AC289,Mapping!$E$11:$I$204,5,0)</f>
        <v>SCS</v>
      </c>
      <c r="AO289" s="35" t="s">
        <v>145</v>
      </c>
      <c r="AP289" s="35"/>
      <c r="AQ289" s="35">
        <v>80000</v>
      </c>
      <c r="AR289" s="35" t="s">
        <v>589</v>
      </c>
      <c r="AS289" s="121">
        <v>256.5668</v>
      </c>
      <c r="AU289" s="7" t="str">
        <f>VLOOKUP($AO289,Mapping!$E$11:$I$204,3,0)</f>
        <v>Augmentation</v>
      </c>
      <c r="AV289" s="7" t="str">
        <f>IFERROR(VLOOKUP($AQ289,Mapping!$E$208:$K$236,5,0),"Contracts")</f>
        <v>Overhead</v>
      </c>
      <c r="AW289" s="7" t="str">
        <f>IFERROR(VLOOKUP($AQ289,Mapping!$E$208:$K$236,7,0),"ENDirect")</f>
        <v>OH</v>
      </c>
      <c r="AX289" s="7" t="str">
        <f>IFERROR(HLOOKUP(AV289,'Calc|Weightings'!$U$5:$W$5,1,0),"Excl")</f>
        <v>Excl</v>
      </c>
      <c r="AY289" s="7" t="str">
        <f>VLOOKUP(AO289,Mapping!$E$11:$I$204,5,0)</f>
        <v>SCS</v>
      </c>
    </row>
    <row r="290" spans="1:51" x14ac:dyDescent="0.3">
      <c r="A290" s="7"/>
      <c r="B290" s="7"/>
      <c r="C290" s="7"/>
      <c r="D290" s="7"/>
      <c r="E290" s="32" t="s">
        <v>103</v>
      </c>
      <c r="F290" s="32"/>
      <c r="G290" s="32">
        <v>72345</v>
      </c>
      <c r="H290" s="32" t="s">
        <v>467</v>
      </c>
      <c r="I290" s="33">
        <v>24</v>
      </c>
      <c r="J290" s="170"/>
      <c r="K290" s="7" t="str">
        <f>VLOOKUP($E290,Mapping!$E$11:$I$204,3,0)</f>
        <v>Public Lighting</v>
      </c>
      <c r="L290" s="7" t="str">
        <f>IFERROR(VLOOKUP($G290,Mapping!$E$208:$K$236,5,0),"Contracts")</f>
        <v>Contracts</v>
      </c>
      <c r="M290" s="7" t="str">
        <f>IFERROR(VLOOKUP($G290,Mapping!$E$208:$K$236,7,0),"ENDirect")</f>
        <v>ENDirect</v>
      </c>
      <c r="N290" s="7" t="str">
        <f>IFERROR(HLOOKUP(L290,'Calc|Weightings'!$U$5:$W$5,1,0),"Excl")</f>
        <v>Contracts</v>
      </c>
      <c r="O290" s="7" t="str">
        <f>VLOOKUP(E290,Mapping!$E$11:$I$204,5,0)</f>
        <v>Public Lighting</v>
      </c>
      <c r="Q290" s="32" t="s">
        <v>115</v>
      </c>
      <c r="R290" s="32"/>
      <c r="S290" s="32">
        <v>72345</v>
      </c>
      <c r="T290" s="32" t="s">
        <v>467</v>
      </c>
      <c r="U290" s="33">
        <v>700.31299999999999</v>
      </c>
      <c r="V290" s="7"/>
      <c r="W290" s="7" t="str">
        <f>VLOOKUP($Q290,Mapping!$E$11:$I$204,3,0)</f>
        <v>Connections</v>
      </c>
      <c r="X290" s="7" t="str">
        <f>IFERROR(VLOOKUP($S290,Mapping!$E$208:$K$236,5,0),"Contracts")</f>
        <v>Contracts</v>
      </c>
      <c r="Y290" s="7" t="str">
        <f>IFERROR(VLOOKUP($S290,Mapping!$E$208:$K$236,7,0),"ENDirect")</f>
        <v>ENDirect</v>
      </c>
      <c r="Z290" s="7" t="str">
        <f>IFERROR(HLOOKUP(X290,'Calc|Weightings'!$U$5:$W$5,1,0),"Excl")</f>
        <v>Contracts</v>
      </c>
      <c r="AA290" s="7" t="str">
        <f>VLOOKUP(Q290,Mapping!$E$11:$I$204,5,0)</f>
        <v>SCS</v>
      </c>
      <c r="AC290" s="35" t="s">
        <v>551</v>
      </c>
      <c r="AD290" s="35"/>
      <c r="AE290" s="35">
        <v>71006</v>
      </c>
      <c r="AF290" s="35" t="s">
        <v>468</v>
      </c>
      <c r="AG290" s="36">
        <v>138.85400000000001</v>
      </c>
      <c r="AI290" s="7" t="str">
        <f>VLOOKUP($AC290,Mapping!$E$11:$I$204,3,0)</f>
        <v>Connections</v>
      </c>
      <c r="AJ290" s="7" t="str">
        <f>IFERROR(VLOOKUP($AE290,Mapping!$E$208:$K$236,5,0),"Contracts")</f>
        <v>Materials</v>
      </c>
      <c r="AK290" s="7" t="str">
        <f>IFERROR(VLOOKUP($AE290,Mapping!$E$208:$K$236,7,0),"ENDirect")</f>
        <v>ENDirect</v>
      </c>
      <c r="AL290" s="7" t="str">
        <f>IFERROR(HLOOKUP(AJ290,'Calc|Weightings'!$U$5:$W$5,1,0),"Excl")</f>
        <v>Materials</v>
      </c>
      <c r="AM290" s="7" t="str">
        <f>VLOOKUP(AC290,Mapping!$E$11:$I$204,5,0)</f>
        <v>SCS</v>
      </c>
      <c r="AO290" s="35" t="s">
        <v>145</v>
      </c>
      <c r="AP290" s="35"/>
      <c r="AQ290" s="35">
        <v>83010</v>
      </c>
      <c r="AR290" s="35" t="s">
        <v>591</v>
      </c>
      <c r="AS290" s="121">
        <v>624.80833999999913</v>
      </c>
      <c r="AU290" s="7" t="str">
        <f>VLOOKUP($AO290,Mapping!$E$11:$I$204,3,0)</f>
        <v>Augmentation</v>
      </c>
      <c r="AV290" s="7" t="str">
        <f>IFERROR(VLOOKUP($AQ290,Mapping!$E$208:$K$236,5,0),"Contracts")</f>
        <v>Contracts</v>
      </c>
      <c r="AW290" s="7" t="str">
        <f>IFERROR(VLOOKUP($AQ290,Mapping!$E$208:$K$236,7,0),"ENDirect")</f>
        <v>ENDirect</v>
      </c>
      <c r="AX290" s="7" t="str">
        <f>IFERROR(HLOOKUP(AV290,'Calc|Weightings'!$U$5:$W$5,1,0),"Excl")</f>
        <v>Contracts</v>
      </c>
      <c r="AY290" s="7" t="str">
        <f>VLOOKUP(AO290,Mapping!$E$11:$I$204,5,0)</f>
        <v>SCS</v>
      </c>
    </row>
    <row r="291" spans="1:51" x14ac:dyDescent="0.3">
      <c r="A291" s="7"/>
      <c r="B291" s="7"/>
      <c r="C291" s="7"/>
      <c r="D291" s="7"/>
      <c r="E291" s="32" t="s">
        <v>125</v>
      </c>
      <c r="F291" s="32"/>
      <c r="G291" s="32">
        <v>72200</v>
      </c>
      <c r="H291" s="32" t="s">
        <v>455</v>
      </c>
      <c r="I291" s="33">
        <v>0</v>
      </c>
      <c r="J291" s="170"/>
      <c r="K291" s="7" t="str">
        <f>VLOOKUP($E291,Mapping!$E$11:$I$204,3,0)</f>
        <v>Augmentation</v>
      </c>
      <c r="L291" s="7" t="str">
        <f>IFERROR(VLOOKUP($G291,Mapping!$E$208:$K$236,5,0),"Contracts")</f>
        <v>Labour</v>
      </c>
      <c r="M291" s="7" t="str">
        <f>IFERROR(VLOOKUP($G291,Mapping!$E$208:$K$236,7,0),"ENDirect")</f>
        <v>ENDirect</v>
      </c>
      <c r="N291" s="7" t="str">
        <f>IFERROR(HLOOKUP(L291,'Calc|Weightings'!$U$5:$W$5,1,0),"Excl")</f>
        <v>Labour</v>
      </c>
      <c r="O291" s="7" t="str">
        <f>VLOOKUP(E291,Mapping!$E$11:$I$204,5,0)</f>
        <v>SCS</v>
      </c>
      <c r="Q291" s="32" t="s">
        <v>551</v>
      </c>
      <c r="R291" s="32"/>
      <c r="S291" s="32">
        <v>71006</v>
      </c>
      <c r="T291" s="32" t="s">
        <v>468</v>
      </c>
      <c r="U291" s="33">
        <v>204.69200000000001</v>
      </c>
      <c r="V291" s="7"/>
      <c r="W291" s="7" t="str">
        <f>VLOOKUP($Q291,Mapping!$E$11:$I$204,3,0)</f>
        <v>Connections</v>
      </c>
      <c r="X291" s="7" t="str">
        <f>IFERROR(VLOOKUP($S291,Mapping!$E$208:$K$236,5,0),"Contracts")</f>
        <v>Materials</v>
      </c>
      <c r="Y291" s="7" t="str">
        <f>IFERROR(VLOOKUP($S291,Mapping!$E$208:$K$236,7,0),"ENDirect")</f>
        <v>ENDirect</v>
      </c>
      <c r="Z291" s="7" t="str">
        <f>IFERROR(HLOOKUP(X291,'Calc|Weightings'!$U$5:$W$5,1,0),"Excl")</f>
        <v>Materials</v>
      </c>
      <c r="AA291" s="7" t="str">
        <f>VLOOKUP(Q291,Mapping!$E$11:$I$204,5,0)</f>
        <v>SCS</v>
      </c>
      <c r="AC291" s="35" t="s">
        <v>551</v>
      </c>
      <c r="AD291" s="35"/>
      <c r="AE291" s="35">
        <v>71020</v>
      </c>
      <c r="AF291" s="35" t="s">
        <v>459</v>
      </c>
      <c r="AG291" s="36">
        <v>0.16800000000000001</v>
      </c>
      <c r="AI291" s="7" t="str">
        <f>VLOOKUP($AC291,Mapping!$E$11:$I$204,3,0)</f>
        <v>Connections</v>
      </c>
      <c r="AJ291" s="7" t="str">
        <f>IFERROR(VLOOKUP($AE291,Mapping!$E$208:$K$236,5,0),"Contracts")</f>
        <v>Contracts</v>
      </c>
      <c r="AK291" s="7" t="str">
        <f>IFERROR(VLOOKUP($AE291,Mapping!$E$208:$K$236,7,0),"ENDirect")</f>
        <v>ENDirect</v>
      </c>
      <c r="AL291" s="7" t="str">
        <f>IFERROR(HLOOKUP(AJ291,'Calc|Weightings'!$U$5:$W$5,1,0),"Excl")</f>
        <v>Contracts</v>
      </c>
      <c r="AM291" s="7" t="str">
        <f>VLOOKUP(AC291,Mapping!$E$11:$I$204,5,0)</f>
        <v>SCS</v>
      </c>
      <c r="AO291" s="35" t="s">
        <v>147</v>
      </c>
      <c r="AP291" s="35"/>
      <c r="AQ291" s="35">
        <v>70815</v>
      </c>
      <c r="AR291" s="35" t="s">
        <v>594</v>
      </c>
      <c r="AS291" s="121">
        <v>1543.8683399999998</v>
      </c>
      <c r="AU291" s="7" t="str">
        <f>VLOOKUP($AO291,Mapping!$E$11:$I$204,3,0)</f>
        <v>Augmentation</v>
      </c>
      <c r="AV291" s="7" t="str">
        <f>IFERROR(VLOOKUP($AQ291,Mapping!$E$208:$K$236,5,0),"Contracts")</f>
        <v>Materials</v>
      </c>
      <c r="AW291" s="7" t="str">
        <f>IFERROR(VLOOKUP($AQ291,Mapping!$E$208:$K$236,7,0),"ENDirect")</f>
        <v>ENDirect</v>
      </c>
      <c r="AX291" s="7" t="str">
        <f>IFERROR(HLOOKUP(AV291,'Calc|Weightings'!$U$5:$W$5,1,0),"Excl")</f>
        <v>Materials</v>
      </c>
      <c r="AY291" s="7" t="str">
        <f>VLOOKUP(AO291,Mapping!$E$11:$I$204,5,0)</f>
        <v>SCS</v>
      </c>
    </row>
    <row r="292" spans="1:51" x14ac:dyDescent="0.3">
      <c r="A292" s="7"/>
      <c r="B292" s="7"/>
      <c r="C292" s="7"/>
      <c r="D292" s="7"/>
      <c r="E292" s="32" t="s">
        <v>113</v>
      </c>
      <c r="F292" s="32"/>
      <c r="G292" s="32">
        <v>72345</v>
      </c>
      <c r="H292" s="32" t="s">
        <v>467</v>
      </c>
      <c r="I292" s="33">
        <v>283.75900000000001</v>
      </c>
      <c r="J292" s="170"/>
      <c r="K292" s="7" t="str">
        <f>VLOOKUP($E292,Mapping!$E$11:$I$204,3,0)</f>
        <v>Connections</v>
      </c>
      <c r="L292" s="7" t="str">
        <f>IFERROR(VLOOKUP($G292,Mapping!$E$208:$K$236,5,0),"Contracts")</f>
        <v>Contracts</v>
      </c>
      <c r="M292" s="7" t="str">
        <f>IFERROR(VLOOKUP($G292,Mapping!$E$208:$K$236,7,0),"ENDirect")</f>
        <v>ENDirect</v>
      </c>
      <c r="N292" s="7" t="str">
        <f>IFERROR(HLOOKUP(L292,'Calc|Weightings'!$U$5:$W$5,1,0),"Excl")</f>
        <v>Contracts</v>
      </c>
      <c r="O292" s="7" t="str">
        <f>VLOOKUP(E292,Mapping!$E$11:$I$204,5,0)</f>
        <v>SCS</v>
      </c>
      <c r="Q292" s="32" t="s">
        <v>130</v>
      </c>
      <c r="R292" s="32"/>
      <c r="S292" s="32">
        <v>70815</v>
      </c>
      <c r="T292" s="32" t="s">
        <v>451</v>
      </c>
      <c r="U292" s="33">
        <v>1206.154</v>
      </c>
      <c r="V292" s="7"/>
      <c r="W292" s="7" t="str">
        <f>VLOOKUP($Q292,Mapping!$E$11:$I$204,3,0)</f>
        <v>Non-network general assets - Other</v>
      </c>
      <c r="X292" s="7" t="str">
        <f>IFERROR(VLOOKUP($S292,Mapping!$E$208:$K$236,5,0),"Contracts")</f>
        <v>Materials</v>
      </c>
      <c r="Y292" s="7" t="str">
        <f>IFERROR(VLOOKUP($S292,Mapping!$E$208:$K$236,7,0),"ENDirect")</f>
        <v>ENDirect</v>
      </c>
      <c r="Z292" s="7" t="str">
        <f>IFERROR(HLOOKUP(X292,'Calc|Weightings'!$U$5:$W$5,1,0),"Excl")</f>
        <v>Materials</v>
      </c>
      <c r="AA292" s="7" t="str">
        <f>VLOOKUP(Q292,Mapping!$E$11:$I$204,5,0)</f>
        <v>SCS</v>
      </c>
      <c r="AC292" s="35" t="s">
        <v>210</v>
      </c>
      <c r="AD292" s="35"/>
      <c r="AE292" s="35">
        <v>71040</v>
      </c>
      <c r="AF292" s="35" t="s">
        <v>460</v>
      </c>
      <c r="AG292" s="36">
        <v>40.344000000000001</v>
      </c>
      <c r="AI292" s="7" t="str">
        <f>VLOOKUP($AC292,Mapping!$E$11:$I$204,3,0)</f>
        <v>Replacement</v>
      </c>
      <c r="AJ292" s="7" t="str">
        <f>IFERROR(VLOOKUP($AE292,Mapping!$E$208:$K$236,5,0),"Contracts")</f>
        <v>Contracts</v>
      </c>
      <c r="AK292" s="7" t="str">
        <f>IFERROR(VLOOKUP($AE292,Mapping!$E$208:$K$236,7,0),"ENDirect")</f>
        <v>ENDirect</v>
      </c>
      <c r="AL292" s="7" t="str">
        <f>IFERROR(HLOOKUP(AJ292,'Calc|Weightings'!$U$5:$W$5,1,0),"Excl")</f>
        <v>Contracts</v>
      </c>
      <c r="AM292" s="7" t="str">
        <f>VLOOKUP(AC292,Mapping!$E$11:$I$204,5,0)</f>
        <v>SCS</v>
      </c>
      <c r="AO292" s="35" t="s">
        <v>147</v>
      </c>
      <c r="AP292" s="35"/>
      <c r="AQ292" s="35">
        <v>71000</v>
      </c>
      <c r="AR292" s="35" t="s">
        <v>457</v>
      </c>
      <c r="AS292" s="121">
        <v>614.23918000000003</v>
      </c>
      <c r="AU292" s="7" t="str">
        <f>VLOOKUP($AO292,Mapping!$E$11:$I$204,3,0)</f>
        <v>Augmentation</v>
      </c>
      <c r="AV292" s="7" t="str">
        <f>IFERROR(VLOOKUP($AQ292,Mapping!$E$208:$K$236,5,0),"Contracts")</f>
        <v>Labour</v>
      </c>
      <c r="AW292" s="7" t="str">
        <f>IFERROR(VLOOKUP($AQ292,Mapping!$E$208:$K$236,7,0),"ENDirect")</f>
        <v>ENDirect</v>
      </c>
      <c r="AX292" s="7" t="str">
        <f>IFERROR(HLOOKUP(AV292,'Calc|Weightings'!$U$5:$W$5,1,0),"Excl")</f>
        <v>Labour</v>
      </c>
      <c r="AY292" s="7" t="str">
        <f>VLOOKUP(AO292,Mapping!$E$11:$I$204,5,0)</f>
        <v>SCS</v>
      </c>
    </row>
    <row r="293" spans="1:51" x14ac:dyDescent="0.3">
      <c r="A293" s="7"/>
      <c r="B293" s="7"/>
      <c r="C293" s="7"/>
      <c r="D293" s="7"/>
      <c r="E293" s="32" t="s">
        <v>97</v>
      </c>
      <c r="F293" s="32"/>
      <c r="G293" s="32">
        <v>71020</v>
      </c>
      <c r="H293" s="32" t="s">
        <v>459</v>
      </c>
      <c r="I293" s="33">
        <v>0.42899999999999999</v>
      </c>
      <c r="J293" s="170"/>
      <c r="K293" s="7" t="str">
        <f>VLOOKUP($E293,Mapping!$E$11:$I$204,3,0)</f>
        <v>Connections</v>
      </c>
      <c r="L293" s="7" t="str">
        <f>IFERROR(VLOOKUP($G293,Mapping!$E$208:$K$236,5,0),"Contracts")</f>
        <v>Contracts</v>
      </c>
      <c r="M293" s="7" t="str">
        <f>IFERROR(VLOOKUP($G293,Mapping!$E$208:$K$236,7,0),"ENDirect")</f>
        <v>ENDirect</v>
      </c>
      <c r="N293" s="7" t="str">
        <f>IFERROR(HLOOKUP(L293,'Calc|Weightings'!$U$5:$W$5,1,0),"Excl")</f>
        <v>Contracts</v>
      </c>
      <c r="O293" s="7" t="str">
        <f>VLOOKUP(E293,Mapping!$E$11:$I$204,5,0)</f>
        <v>SCS</v>
      </c>
      <c r="Q293" s="32" t="s">
        <v>114</v>
      </c>
      <c r="R293" s="32"/>
      <c r="S293" s="32">
        <v>71000</v>
      </c>
      <c r="T293" s="32" t="s">
        <v>457</v>
      </c>
      <c r="U293" s="33">
        <v>67.326999999999998</v>
      </c>
      <c r="V293" s="7"/>
      <c r="W293" s="7" t="str">
        <f>VLOOKUP($Q293,Mapping!$E$11:$I$204,3,0)</f>
        <v>Connections</v>
      </c>
      <c r="X293" s="7" t="str">
        <f>IFERROR(VLOOKUP($S293,Mapping!$E$208:$K$236,5,0),"Contracts")</f>
        <v>Labour</v>
      </c>
      <c r="Y293" s="7" t="str">
        <f>IFERROR(VLOOKUP($S293,Mapping!$E$208:$K$236,7,0),"ENDirect")</f>
        <v>ENDirect</v>
      </c>
      <c r="Z293" s="7" t="str">
        <f>IFERROR(HLOOKUP(X293,'Calc|Weightings'!$U$5:$W$5,1,0),"Excl")</f>
        <v>Labour</v>
      </c>
      <c r="AA293" s="7" t="str">
        <f>VLOOKUP(Q293,Mapping!$E$11:$I$204,5,0)</f>
        <v>SCS</v>
      </c>
      <c r="AC293" s="35" t="s">
        <v>118</v>
      </c>
      <c r="AD293" s="35"/>
      <c r="AE293" s="35">
        <v>71000</v>
      </c>
      <c r="AF293" s="35" t="s">
        <v>457</v>
      </c>
      <c r="AG293" s="36">
        <v>154.41999999999999</v>
      </c>
      <c r="AI293" s="7" t="str">
        <f>VLOOKUP($AC293,Mapping!$E$11:$I$204,3,0)</f>
        <v>Connections</v>
      </c>
      <c r="AJ293" s="7" t="str">
        <f>IFERROR(VLOOKUP($AE293,Mapping!$E$208:$K$236,5,0),"Contracts")</f>
        <v>Labour</v>
      </c>
      <c r="AK293" s="7" t="str">
        <f>IFERROR(VLOOKUP($AE293,Mapping!$E$208:$K$236,7,0),"ENDirect")</f>
        <v>ENDirect</v>
      </c>
      <c r="AL293" s="7" t="str">
        <f>IFERROR(HLOOKUP(AJ293,'Calc|Weightings'!$U$5:$W$5,1,0),"Excl")</f>
        <v>Labour</v>
      </c>
      <c r="AM293" s="7" t="str">
        <f>VLOOKUP(AC293,Mapping!$E$11:$I$204,5,0)</f>
        <v>SCS</v>
      </c>
      <c r="AO293" s="35" t="s">
        <v>147</v>
      </c>
      <c r="AP293" s="35"/>
      <c r="AQ293" s="35">
        <v>71005</v>
      </c>
      <c r="AR293" s="35" t="s">
        <v>461</v>
      </c>
      <c r="AS293" s="121">
        <v>59.727199999999996</v>
      </c>
      <c r="AU293" s="7" t="str">
        <f>VLOOKUP($AO293,Mapping!$E$11:$I$204,3,0)</f>
        <v>Augmentation</v>
      </c>
      <c r="AV293" s="7" t="str">
        <f>IFERROR(VLOOKUP($AQ293,Mapping!$E$208:$K$236,5,0),"Contracts")</f>
        <v>Materials</v>
      </c>
      <c r="AW293" s="7" t="str">
        <f>IFERROR(VLOOKUP($AQ293,Mapping!$E$208:$K$236,7,0),"ENDirect")</f>
        <v>ENDirect</v>
      </c>
      <c r="AX293" s="7" t="str">
        <f>IFERROR(HLOOKUP(AV293,'Calc|Weightings'!$U$5:$W$5,1,0),"Excl")</f>
        <v>Materials</v>
      </c>
      <c r="AY293" s="7" t="str">
        <f>VLOOKUP(AO293,Mapping!$E$11:$I$204,5,0)</f>
        <v>SCS</v>
      </c>
    </row>
    <row r="294" spans="1:51" x14ac:dyDescent="0.3">
      <c r="A294" s="7"/>
      <c r="B294" s="7"/>
      <c r="C294" s="7"/>
      <c r="D294" s="7"/>
      <c r="E294" s="32" t="s">
        <v>552</v>
      </c>
      <c r="F294" s="32"/>
      <c r="G294" s="32">
        <v>72345</v>
      </c>
      <c r="H294" s="32" t="s">
        <v>467</v>
      </c>
      <c r="I294" s="33">
        <v>37.593000000000004</v>
      </c>
      <c r="J294" s="170"/>
      <c r="K294" s="7" t="str">
        <f>VLOOKUP($E294,Mapping!$E$11:$I$204,3,0)</f>
        <v>Connections</v>
      </c>
      <c r="L294" s="7" t="str">
        <f>IFERROR(VLOOKUP($G294,Mapping!$E$208:$K$236,5,0),"Contracts")</f>
        <v>Contracts</v>
      </c>
      <c r="M294" s="7" t="str">
        <f>IFERROR(VLOOKUP($G294,Mapping!$E$208:$K$236,7,0),"ENDirect")</f>
        <v>ENDirect</v>
      </c>
      <c r="N294" s="7" t="str">
        <f>IFERROR(HLOOKUP(L294,'Calc|Weightings'!$U$5:$W$5,1,0),"Excl")</f>
        <v>Contracts</v>
      </c>
      <c r="O294" s="7" t="str">
        <f>VLOOKUP(E294,Mapping!$E$11:$I$204,5,0)</f>
        <v>SCS</v>
      </c>
      <c r="Q294" s="32" t="s">
        <v>114</v>
      </c>
      <c r="R294" s="32"/>
      <c r="S294" s="32">
        <v>71005</v>
      </c>
      <c r="T294" s="32" t="s">
        <v>461</v>
      </c>
      <c r="U294" s="33">
        <v>21.187999999999999</v>
      </c>
      <c r="V294" s="7"/>
      <c r="W294" s="7" t="str">
        <f>VLOOKUP($Q294,Mapping!$E$11:$I$204,3,0)</f>
        <v>Connections</v>
      </c>
      <c r="X294" s="7" t="str">
        <f>IFERROR(VLOOKUP($S294,Mapping!$E$208:$K$236,5,0),"Contracts")</f>
        <v>Materials</v>
      </c>
      <c r="Y294" s="7" t="str">
        <f>IFERROR(VLOOKUP($S294,Mapping!$E$208:$K$236,7,0),"ENDirect")</f>
        <v>ENDirect</v>
      </c>
      <c r="Z294" s="7" t="str">
        <f>IFERROR(HLOOKUP(X294,'Calc|Weightings'!$U$5:$W$5,1,0),"Excl")</f>
        <v>Materials</v>
      </c>
      <c r="AA294" s="7" t="str">
        <f>VLOOKUP(Q294,Mapping!$E$11:$I$204,5,0)</f>
        <v>SCS</v>
      </c>
      <c r="AC294" s="35" t="s">
        <v>118</v>
      </c>
      <c r="AD294" s="35"/>
      <c r="AE294" s="35">
        <v>71010</v>
      </c>
      <c r="AF294" s="35" t="s">
        <v>462</v>
      </c>
      <c r="AG294" s="36">
        <v>13.388</v>
      </c>
      <c r="AI294" s="7" t="str">
        <f>VLOOKUP($AC294,Mapping!$E$11:$I$204,3,0)</f>
        <v>Connections</v>
      </c>
      <c r="AJ294" s="7" t="str">
        <f>IFERROR(VLOOKUP($AE294,Mapping!$E$208:$K$236,5,0),"Contracts")</f>
        <v>Labour</v>
      </c>
      <c r="AK294" s="7" t="str">
        <f>IFERROR(VLOOKUP($AE294,Mapping!$E$208:$K$236,7,0),"ENDirect")</f>
        <v>ENDirect</v>
      </c>
      <c r="AL294" s="7" t="str">
        <f>IFERROR(HLOOKUP(AJ294,'Calc|Weightings'!$U$5:$W$5,1,0),"Excl")</f>
        <v>Labour</v>
      </c>
      <c r="AM294" s="7" t="str">
        <f>VLOOKUP(AC294,Mapping!$E$11:$I$204,5,0)</f>
        <v>SCS</v>
      </c>
      <c r="AO294" s="35" t="s">
        <v>147</v>
      </c>
      <c r="AP294" s="35"/>
      <c r="AQ294" s="35">
        <v>71010</v>
      </c>
      <c r="AR294" s="35" t="s">
        <v>487</v>
      </c>
      <c r="AS294" s="121">
        <v>141.58512999999999</v>
      </c>
      <c r="AU294" s="7" t="str">
        <f>VLOOKUP($AO294,Mapping!$E$11:$I$204,3,0)</f>
        <v>Augmentation</v>
      </c>
      <c r="AV294" s="7" t="str">
        <f>IFERROR(VLOOKUP($AQ294,Mapping!$E$208:$K$236,5,0),"Contracts")</f>
        <v>Labour</v>
      </c>
      <c r="AW294" s="7" t="str">
        <f>IFERROR(VLOOKUP($AQ294,Mapping!$E$208:$K$236,7,0),"ENDirect")</f>
        <v>ENDirect</v>
      </c>
      <c r="AX294" s="7" t="str">
        <f>IFERROR(HLOOKUP(AV294,'Calc|Weightings'!$U$5:$W$5,1,0),"Excl")</f>
        <v>Labour</v>
      </c>
      <c r="AY294" s="7" t="str">
        <f>VLOOKUP(AO294,Mapping!$E$11:$I$204,5,0)</f>
        <v>SCS</v>
      </c>
    </row>
    <row r="295" spans="1:51" x14ac:dyDescent="0.3">
      <c r="A295" s="7"/>
      <c r="B295" s="7"/>
      <c r="C295" s="7"/>
      <c r="D295" s="7"/>
      <c r="E295" s="32" t="s">
        <v>145</v>
      </c>
      <c r="F295" s="32"/>
      <c r="G295" s="32">
        <v>70815</v>
      </c>
      <c r="H295" s="32" t="s">
        <v>451</v>
      </c>
      <c r="I295" s="33">
        <v>94.775999999999996</v>
      </c>
      <c r="J295" s="170"/>
      <c r="K295" s="7" t="str">
        <f>VLOOKUP($E295,Mapping!$E$11:$I$204,3,0)</f>
        <v>Augmentation</v>
      </c>
      <c r="L295" s="7" t="str">
        <f>IFERROR(VLOOKUP($G295,Mapping!$E$208:$K$236,5,0),"Contracts")</f>
        <v>Materials</v>
      </c>
      <c r="M295" s="7" t="str">
        <f>IFERROR(VLOOKUP($G295,Mapping!$E$208:$K$236,7,0),"ENDirect")</f>
        <v>ENDirect</v>
      </c>
      <c r="N295" s="7" t="str">
        <f>IFERROR(HLOOKUP(L295,'Calc|Weightings'!$U$5:$W$5,1,0),"Excl")</f>
        <v>Materials</v>
      </c>
      <c r="O295" s="7" t="str">
        <f>VLOOKUP(E295,Mapping!$E$11:$I$204,5,0)</f>
        <v>SCS</v>
      </c>
      <c r="Q295" s="32" t="s">
        <v>114</v>
      </c>
      <c r="R295" s="32"/>
      <c r="S295" s="32">
        <v>71006</v>
      </c>
      <c r="T295" s="32" t="s">
        <v>468</v>
      </c>
      <c r="U295" s="33">
        <v>12.013999999999999</v>
      </c>
      <c r="V295" s="7"/>
      <c r="W295" s="7" t="str">
        <f>VLOOKUP($Q295,Mapping!$E$11:$I$204,3,0)</f>
        <v>Connections</v>
      </c>
      <c r="X295" s="7" t="str">
        <f>IFERROR(VLOOKUP($S295,Mapping!$E$208:$K$236,5,0),"Contracts")</f>
        <v>Materials</v>
      </c>
      <c r="Y295" s="7" t="str">
        <f>IFERROR(VLOOKUP($S295,Mapping!$E$208:$K$236,7,0),"ENDirect")</f>
        <v>ENDirect</v>
      </c>
      <c r="Z295" s="7" t="str">
        <f>IFERROR(HLOOKUP(X295,'Calc|Weightings'!$U$5:$W$5,1,0),"Excl")</f>
        <v>Materials</v>
      </c>
      <c r="AA295" s="7" t="str">
        <f>VLOOKUP(Q295,Mapping!$E$11:$I$204,5,0)</f>
        <v>SCS</v>
      </c>
      <c r="AC295" s="35" t="s">
        <v>118</v>
      </c>
      <c r="AD295" s="35"/>
      <c r="AE295" s="35">
        <v>71015</v>
      </c>
      <c r="AF295" s="35" t="s">
        <v>463</v>
      </c>
      <c r="AG295" s="36">
        <v>21.030999999999999</v>
      </c>
      <c r="AI295" s="7" t="str">
        <f>VLOOKUP($AC295,Mapping!$E$11:$I$204,3,0)</f>
        <v>Connections</v>
      </c>
      <c r="AJ295" s="7" t="str">
        <f>IFERROR(VLOOKUP($AE295,Mapping!$E$208:$K$236,5,0),"Contracts")</f>
        <v>Materials</v>
      </c>
      <c r="AK295" s="7" t="str">
        <f>IFERROR(VLOOKUP($AE295,Mapping!$E$208:$K$236,7,0),"ENDirect")</f>
        <v>ENDirect</v>
      </c>
      <c r="AL295" s="7" t="str">
        <f>IFERROR(HLOOKUP(AJ295,'Calc|Weightings'!$U$5:$W$5,1,0),"Excl")</f>
        <v>Materials</v>
      </c>
      <c r="AM295" s="7" t="str">
        <f>VLOOKUP(AC295,Mapping!$E$11:$I$204,5,0)</f>
        <v>SCS</v>
      </c>
      <c r="AO295" s="35" t="s">
        <v>147</v>
      </c>
      <c r="AP295" s="35"/>
      <c r="AQ295" s="35">
        <v>71015</v>
      </c>
      <c r="AR295" s="35" t="s">
        <v>585</v>
      </c>
      <c r="AS295" s="121">
        <v>44.834350000000001</v>
      </c>
      <c r="AU295" s="7" t="str">
        <f>VLOOKUP($AO295,Mapping!$E$11:$I$204,3,0)</f>
        <v>Augmentation</v>
      </c>
      <c r="AV295" s="7" t="str">
        <f>IFERROR(VLOOKUP($AQ295,Mapping!$E$208:$K$236,5,0),"Contracts")</f>
        <v>Materials</v>
      </c>
      <c r="AW295" s="7" t="str">
        <f>IFERROR(VLOOKUP($AQ295,Mapping!$E$208:$K$236,7,0),"ENDirect")</f>
        <v>ENDirect</v>
      </c>
      <c r="AX295" s="7" t="str">
        <f>IFERROR(HLOOKUP(AV295,'Calc|Weightings'!$U$5:$W$5,1,0),"Excl")</f>
        <v>Materials</v>
      </c>
      <c r="AY295" s="7" t="str">
        <f>VLOOKUP(AO295,Mapping!$E$11:$I$204,5,0)</f>
        <v>SCS</v>
      </c>
    </row>
    <row r="296" spans="1:51" x14ac:dyDescent="0.3">
      <c r="A296" s="7"/>
      <c r="B296" s="7"/>
      <c r="C296" s="7"/>
      <c r="D296" s="7"/>
      <c r="E296" s="32" t="s">
        <v>145</v>
      </c>
      <c r="F296" s="32"/>
      <c r="G296" s="32">
        <v>71005</v>
      </c>
      <c r="H296" s="32" t="s">
        <v>461</v>
      </c>
      <c r="I296" s="33">
        <v>2252.0340000000001</v>
      </c>
      <c r="J296" s="170"/>
      <c r="K296" s="7" t="str">
        <f>VLOOKUP($E296,Mapping!$E$11:$I$204,3,0)</f>
        <v>Augmentation</v>
      </c>
      <c r="L296" s="7" t="str">
        <f>IFERROR(VLOOKUP($G296,Mapping!$E$208:$K$236,5,0),"Contracts")</f>
        <v>Materials</v>
      </c>
      <c r="M296" s="7" t="str">
        <f>IFERROR(VLOOKUP($G296,Mapping!$E$208:$K$236,7,0),"ENDirect")</f>
        <v>ENDirect</v>
      </c>
      <c r="N296" s="7" t="str">
        <f>IFERROR(HLOOKUP(L296,'Calc|Weightings'!$U$5:$W$5,1,0),"Excl")</f>
        <v>Materials</v>
      </c>
      <c r="O296" s="7" t="str">
        <f>VLOOKUP(E296,Mapping!$E$11:$I$204,5,0)</f>
        <v>SCS</v>
      </c>
      <c r="Q296" s="32" t="s">
        <v>114</v>
      </c>
      <c r="R296" s="32"/>
      <c r="S296" s="32">
        <v>71010</v>
      </c>
      <c r="T296" s="32" t="s">
        <v>462</v>
      </c>
      <c r="U296" s="33">
        <v>23.416</v>
      </c>
      <c r="V296" s="7"/>
      <c r="W296" s="7" t="str">
        <f>VLOOKUP($Q296,Mapping!$E$11:$I$204,3,0)</f>
        <v>Connections</v>
      </c>
      <c r="X296" s="7" t="str">
        <f>IFERROR(VLOOKUP($S296,Mapping!$E$208:$K$236,5,0),"Contracts")</f>
        <v>Labour</v>
      </c>
      <c r="Y296" s="7" t="str">
        <f>IFERROR(VLOOKUP($S296,Mapping!$E$208:$K$236,7,0),"ENDirect")</f>
        <v>ENDirect</v>
      </c>
      <c r="Z296" s="7" t="str">
        <f>IFERROR(HLOOKUP(X296,'Calc|Weightings'!$U$5:$W$5,1,0),"Excl")</f>
        <v>Labour</v>
      </c>
      <c r="AA296" s="7" t="str">
        <f>VLOOKUP(Q296,Mapping!$E$11:$I$204,5,0)</f>
        <v>SCS</v>
      </c>
      <c r="AC296" s="35" t="s">
        <v>118</v>
      </c>
      <c r="AD296" s="35"/>
      <c r="AE296" s="35">
        <v>71030</v>
      </c>
      <c r="AF296" s="35" t="s">
        <v>464</v>
      </c>
      <c r="AG296" s="36">
        <v>17.901</v>
      </c>
      <c r="AI296" s="7" t="str">
        <f>VLOOKUP($AC296,Mapping!$E$11:$I$204,3,0)</f>
        <v>Connections</v>
      </c>
      <c r="AJ296" s="7" t="str">
        <f>IFERROR(VLOOKUP($AE296,Mapping!$E$208:$K$236,5,0),"Contracts")</f>
        <v>Contracts</v>
      </c>
      <c r="AK296" s="7" t="str">
        <f>IFERROR(VLOOKUP($AE296,Mapping!$E$208:$K$236,7,0),"ENDirect")</f>
        <v>ENDirect</v>
      </c>
      <c r="AL296" s="7" t="str">
        <f>IFERROR(HLOOKUP(AJ296,'Calc|Weightings'!$U$5:$W$5,1,0),"Excl")</f>
        <v>Contracts</v>
      </c>
      <c r="AM296" s="7" t="str">
        <f>VLOOKUP(AC296,Mapping!$E$11:$I$204,5,0)</f>
        <v>SCS</v>
      </c>
      <c r="AO296" s="35" t="s">
        <v>147</v>
      </c>
      <c r="AP296" s="35"/>
      <c r="AQ296" s="35">
        <v>71030</v>
      </c>
      <c r="AR296" s="35" t="s">
        <v>464</v>
      </c>
      <c r="AS296" s="121">
        <v>1.2414400000000001</v>
      </c>
      <c r="AU296" s="7" t="str">
        <f>VLOOKUP($AO296,Mapping!$E$11:$I$204,3,0)</f>
        <v>Augmentation</v>
      </c>
      <c r="AV296" s="7" t="str">
        <f>IFERROR(VLOOKUP($AQ296,Mapping!$E$208:$K$236,5,0),"Contracts")</f>
        <v>Contracts</v>
      </c>
      <c r="AW296" s="7" t="str">
        <f>IFERROR(VLOOKUP($AQ296,Mapping!$E$208:$K$236,7,0),"ENDirect")</f>
        <v>ENDirect</v>
      </c>
      <c r="AX296" s="7" t="str">
        <f>IFERROR(HLOOKUP(AV296,'Calc|Weightings'!$U$5:$W$5,1,0),"Excl")</f>
        <v>Contracts</v>
      </c>
      <c r="AY296" s="7" t="str">
        <f>VLOOKUP(AO296,Mapping!$E$11:$I$204,5,0)</f>
        <v>SCS</v>
      </c>
    </row>
    <row r="297" spans="1:51" x14ac:dyDescent="0.3">
      <c r="A297" s="7"/>
      <c r="B297" s="7"/>
      <c r="C297" s="7"/>
      <c r="D297" s="7"/>
      <c r="E297" s="32" t="s">
        <v>145</v>
      </c>
      <c r="F297" s="32"/>
      <c r="G297" s="32">
        <v>71010</v>
      </c>
      <c r="H297" s="32" t="s">
        <v>462</v>
      </c>
      <c r="I297" s="33">
        <v>3892.5529999999999</v>
      </c>
      <c r="J297" s="170"/>
      <c r="K297" s="7" t="str">
        <f>VLOOKUP($E297,Mapping!$E$11:$I$204,3,0)</f>
        <v>Augmentation</v>
      </c>
      <c r="L297" s="7" t="str">
        <f>IFERROR(VLOOKUP($G297,Mapping!$E$208:$K$236,5,0),"Contracts")</f>
        <v>Labour</v>
      </c>
      <c r="M297" s="7" t="str">
        <f>IFERROR(VLOOKUP($G297,Mapping!$E$208:$K$236,7,0),"ENDirect")</f>
        <v>ENDirect</v>
      </c>
      <c r="N297" s="7" t="str">
        <f>IFERROR(HLOOKUP(L297,'Calc|Weightings'!$U$5:$W$5,1,0),"Excl")</f>
        <v>Labour</v>
      </c>
      <c r="O297" s="7" t="str">
        <f>VLOOKUP(E297,Mapping!$E$11:$I$204,5,0)</f>
        <v>SCS</v>
      </c>
      <c r="Q297" s="32" t="s">
        <v>114</v>
      </c>
      <c r="R297" s="32"/>
      <c r="S297" s="32">
        <v>71015</v>
      </c>
      <c r="T297" s="32" t="s">
        <v>463</v>
      </c>
      <c r="U297" s="33">
        <v>12.515000000000001</v>
      </c>
      <c r="V297" s="7"/>
      <c r="W297" s="7" t="str">
        <f>VLOOKUP($Q297,Mapping!$E$11:$I$204,3,0)</f>
        <v>Connections</v>
      </c>
      <c r="X297" s="7" t="str">
        <f>IFERROR(VLOOKUP($S297,Mapping!$E$208:$K$236,5,0),"Contracts")</f>
        <v>Materials</v>
      </c>
      <c r="Y297" s="7" t="str">
        <f>IFERROR(VLOOKUP($S297,Mapping!$E$208:$K$236,7,0),"ENDirect")</f>
        <v>ENDirect</v>
      </c>
      <c r="Z297" s="7" t="str">
        <f>IFERROR(HLOOKUP(X297,'Calc|Weightings'!$U$5:$W$5,1,0),"Excl")</f>
        <v>Materials</v>
      </c>
      <c r="AA297" s="7" t="str">
        <f>VLOOKUP(Q297,Mapping!$E$11:$I$204,5,0)</f>
        <v>SCS</v>
      </c>
      <c r="AC297" s="35" t="s">
        <v>118</v>
      </c>
      <c r="AD297" s="35"/>
      <c r="AE297" s="35">
        <v>71055</v>
      </c>
      <c r="AF297" s="35" t="s">
        <v>465</v>
      </c>
      <c r="AG297" s="36">
        <v>31.795999999999999</v>
      </c>
      <c r="AI297" s="7" t="str">
        <f>VLOOKUP($AC297,Mapping!$E$11:$I$204,3,0)</f>
        <v>Connections</v>
      </c>
      <c r="AJ297" s="7" t="str">
        <f>IFERROR(VLOOKUP($AE297,Mapping!$E$208:$K$236,5,0),"Contracts")</f>
        <v>Contracts</v>
      </c>
      <c r="AK297" s="7" t="str">
        <f>IFERROR(VLOOKUP($AE297,Mapping!$E$208:$K$236,7,0),"ENDirect")</f>
        <v>ENDirect</v>
      </c>
      <c r="AL297" s="7" t="str">
        <f>IFERROR(HLOOKUP(AJ297,'Calc|Weightings'!$U$5:$W$5,1,0),"Excl")</f>
        <v>Contracts</v>
      </c>
      <c r="AM297" s="7" t="str">
        <f>VLOOKUP(AC297,Mapping!$E$11:$I$204,5,0)</f>
        <v>SCS</v>
      </c>
      <c r="AO297" s="35" t="s">
        <v>147</v>
      </c>
      <c r="AP297" s="35"/>
      <c r="AQ297" s="35">
        <v>71055</v>
      </c>
      <c r="AR297" s="35" t="s">
        <v>465</v>
      </c>
      <c r="AS297" s="121">
        <v>1.22847</v>
      </c>
      <c r="AU297" s="7" t="str">
        <f>VLOOKUP($AO297,Mapping!$E$11:$I$204,3,0)</f>
        <v>Augmentation</v>
      </c>
      <c r="AV297" s="7" t="str">
        <f>IFERROR(VLOOKUP($AQ297,Mapping!$E$208:$K$236,5,0),"Contracts")</f>
        <v>Contracts</v>
      </c>
      <c r="AW297" s="7" t="str">
        <f>IFERROR(VLOOKUP($AQ297,Mapping!$E$208:$K$236,7,0),"ENDirect")</f>
        <v>ENDirect</v>
      </c>
      <c r="AX297" s="7" t="str">
        <f>IFERROR(HLOOKUP(AV297,'Calc|Weightings'!$U$5:$W$5,1,0),"Excl")</f>
        <v>Contracts</v>
      </c>
      <c r="AY297" s="7" t="str">
        <f>VLOOKUP(AO297,Mapping!$E$11:$I$204,5,0)</f>
        <v>SCS</v>
      </c>
    </row>
    <row r="298" spans="1:51" x14ac:dyDescent="0.3">
      <c r="A298" s="7"/>
      <c r="B298" s="7"/>
      <c r="C298" s="7"/>
      <c r="D298" s="7"/>
      <c r="E298" s="32" t="s">
        <v>145</v>
      </c>
      <c r="F298" s="32"/>
      <c r="G298" s="32">
        <v>71030</v>
      </c>
      <c r="H298" s="32" t="s">
        <v>464</v>
      </c>
      <c r="I298" s="33">
        <v>754.95299999999997</v>
      </c>
      <c r="J298" s="170"/>
      <c r="K298" s="7" t="str">
        <f>VLOOKUP($E298,Mapping!$E$11:$I$204,3,0)</f>
        <v>Augmentation</v>
      </c>
      <c r="L298" s="7" t="str">
        <f>IFERROR(VLOOKUP($G298,Mapping!$E$208:$K$236,5,0),"Contracts")</f>
        <v>Contracts</v>
      </c>
      <c r="M298" s="7" t="str">
        <f>IFERROR(VLOOKUP($G298,Mapping!$E$208:$K$236,7,0),"ENDirect")</f>
        <v>ENDirect</v>
      </c>
      <c r="N298" s="7" t="str">
        <f>IFERROR(HLOOKUP(L298,'Calc|Weightings'!$U$5:$W$5,1,0),"Excl")</f>
        <v>Contracts</v>
      </c>
      <c r="O298" s="7" t="str">
        <f>VLOOKUP(E298,Mapping!$E$11:$I$204,5,0)</f>
        <v>SCS</v>
      </c>
      <c r="Q298" s="32" t="s">
        <v>114</v>
      </c>
      <c r="R298" s="32"/>
      <c r="S298" s="32">
        <v>71030</v>
      </c>
      <c r="T298" s="32" t="s">
        <v>464</v>
      </c>
      <c r="U298" s="33">
        <v>10.709</v>
      </c>
      <c r="V298" s="7"/>
      <c r="W298" s="7" t="str">
        <f>VLOOKUP($Q298,Mapping!$E$11:$I$204,3,0)</f>
        <v>Connections</v>
      </c>
      <c r="X298" s="7" t="str">
        <f>IFERROR(VLOOKUP($S298,Mapping!$E$208:$K$236,5,0),"Contracts")</f>
        <v>Contracts</v>
      </c>
      <c r="Y298" s="7" t="str">
        <f>IFERROR(VLOOKUP($S298,Mapping!$E$208:$K$236,7,0),"ENDirect")</f>
        <v>ENDirect</v>
      </c>
      <c r="Z298" s="7" t="str">
        <f>IFERROR(HLOOKUP(X298,'Calc|Weightings'!$U$5:$W$5,1,0),"Excl")</f>
        <v>Contracts</v>
      </c>
      <c r="AA298" s="7" t="str">
        <f>VLOOKUP(Q298,Mapping!$E$11:$I$204,5,0)</f>
        <v>SCS</v>
      </c>
      <c r="AC298" s="35" t="s">
        <v>118</v>
      </c>
      <c r="AD298" s="35"/>
      <c r="AE298" s="35">
        <v>80000</v>
      </c>
      <c r="AF298" s="35" t="s">
        <v>453</v>
      </c>
      <c r="AG298" s="36">
        <v>39.098999999999997</v>
      </c>
      <c r="AI298" s="7" t="str">
        <f>VLOOKUP($AC298,Mapping!$E$11:$I$204,3,0)</f>
        <v>Connections</v>
      </c>
      <c r="AJ298" s="7" t="str">
        <f>IFERROR(VLOOKUP($AE298,Mapping!$E$208:$K$236,5,0),"Contracts")</f>
        <v>Overhead</v>
      </c>
      <c r="AK298" s="7" t="str">
        <f>IFERROR(VLOOKUP($AE298,Mapping!$E$208:$K$236,7,0),"ENDirect")</f>
        <v>OH</v>
      </c>
      <c r="AL298" s="7" t="str">
        <f>IFERROR(HLOOKUP(AJ298,'Calc|Weightings'!$U$5:$W$5,1,0),"Excl")</f>
        <v>Excl</v>
      </c>
      <c r="AM298" s="7" t="str">
        <f>VLOOKUP(AC298,Mapping!$E$11:$I$204,5,0)</f>
        <v>SCS</v>
      </c>
      <c r="AO298" s="35" t="s">
        <v>147</v>
      </c>
      <c r="AP298" s="35"/>
      <c r="AQ298" s="35">
        <v>71060</v>
      </c>
      <c r="AR298" s="35" t="s">
        <v>597</v>
      </c>
      <c r="AS298" s="121">
        <v>0.52110999999999996</v>
      </c>
      <c r="AU298" s="7" t="str">
        <f>VLOOKUP($AO298,Mapping!$E$11:$I$204,3,0)</f>
        <v>Augmentation</v>
      </c>
      <c r="AV298" s="7" t="str">
        <f>IFERROR(VLOOKUP($AQ298,Mapping!$E$208:$K$236,5,0),"Contracts")</f>
        <v>Contracts</v>
      </c>
      <c r="AW298" s="7" t="str">
        <f>IFERROR(VLOOKUP($AQ298,Mapping!$E$208:$K$236,7,0),"ENDirect")</f>
        <v>ENDirect</v>
      </c>
      <c r="AX298" s="7" t="str">
        <f>IFERROR(HLOOKUP(AV298,'Calc|Weightings'!$U$5:$W$5,1,0),"Excl")</f>
        <v>Contracts</v>
      </c>
      <c r="AY298" s="7" t="str">
        <f>VLOOKUP(AO298,Mapping!$E$11:$I$204,5,0)</f>
        <v>SCS</v>
      </c>
    </row>
    <row r="299" spans="1:51" x14ac:dyDescent="0.3">
      <c r="A299" s="7"/>
      <c r="B299" s="7"/>
      <c r="C299" s="7"/>
      <c r="D299" s="7"/>
      <c r="E299" s="32" t="s">
        <v>145</v>
      </c>
      <c r="F299" s="32"/>
      <c r="G299" s="32">
        <v>71055</v>
      </c>
      <c r="H299" s="32" t="s">
        <v>465</v>
      </c>
      <c r="I299" s="33">
        <v>1302.4469999999999</v>
      </c>
      <c r="J299" s="170"/>
      <c r="K299" s="7" t="str">
        <f>VLOOKUP($E299,Mapping!$E$11:$I$204,3,0)</f>
        <v>Augmentation</v>
      </c>
      <c r="L299" s="7" t="str">
        <f>IFERROR(VLOOKUP($G299,Mapping!$E$208:$K$236,5,0),"Contracts")</f>
        <v>Contracts</v>
      </c>
      <c r="M299" s="7" t="str">
        <f>IFERROR(VLOOKUP($G299,Mapping!$E$208:$K$236,7,0),"ENDirect")</f>
        <v>ENDirect</v>
      </c>
      <c r="N299" s="7" t="str">
        <f>IFERROR(HLOOKUP(L299,'Calc|Weightings'!$U$5:$W$5,1,0),"Excl")</f>
        <v>Contracts</v>
      </c>
      <c r="O299" s="7" t="str">
        <f>VLOOKUP(E299,Mapping!$E$11:$I$204,5,0)</f>
        <v>SCS</v>
      </c>
      <c r="Q299" s="32" t="s">
        <v>114</v>
      </c>
      <c r="R299" s="32"/>
      <c r="S299" s="32">
        <v>71055</v>
      </c>
      <c r="T299" s="32" t="s">
        <v>465</v>
      </c>
      <c r="U299" s="33">
        <v>28.518999999999998</v>
      </c>
      <c r="V299" s="7"/>
      <c r="W299" s="7" t="str">
        <f>VLOOKUP($Q299,Mapping!$E$11:$I$204,3,0)</f>
        <v>Connections</v>
      </c>
      <c r="X299" s="7" t="str">
        <f>IFERROR(VLOOKUP($S299,Mapping!$E$208:$K$236,5,0),"Contracts")</f>
        <v>Contracts</v>
      </c>
      <c r="Y299" s="7" t="str">
        <f>IFERROR(VLOOKUP($S299,Mapping!$E$208:$K$236,7,0),"ENDirect")</f>
        <v>ENDirect</v>
      </c>
      <c r="Z299" s="7" t="str">
        <f>IFERROR(HLOOKUP(X299,'Calc|Weightings'!$U$5:$W$5,1,0),"Excl")</f>
        <v>Contracts</v>
      </c>
      <c r="AA299" s="7" t="str">
        <f>VLOOKUP(Q299,Mapping!$E$11:$I$204,5,0)</f>
        <v>SCS</v>
      </c>
      <c r="AC299" s="35" t="s">
        <v>225</v>
      </c>
      <c r="AD299" s="35"/>
      <c r="AE299" s="35">
        <v>70815</v>
      </c>
      <c r="AF299" s="35" t="s">
        <v>451</v>
      </c>
      <c r="AG299" s="36">
        <v>8.3879999999999999</v>
      </c>
      <c r="AI299" s="7" t="str">
        <f>VLOOKUP($AC299,Mapping!$E$11:$I$204,3,0)</f>
        <v>Replacement</v>
      </c>
      <c r="AJ299" s="7" t="str">
        <f>IFERROR(VLOOKUP($AE299,Mapping!$E$208:$K$236,5,0),"Contracts")</f>
        <v>Materials</v>
      </c>
      <c r="AK299" s="7" t="str">
        <f>IFERROR(VLOOKUP($AE299,Mapping!$E$208:$K$236,7,0),"ENDirect")</f>
        <v>ENDirect</v>
      </c>
      <c r="AL299" s="7" t="str">
        <f>IFERROR(HLOOKUP(AJ299,'Calc|Weightings'!$U$5:$W$5,1,0),"Excl")</f>
        <v>Materials</v>
      </c>
      <c r="AM299" s="7" t="str">
        <f>VLOOKUP(AC299,Mapping!$E$11:$I$204,5,0)</f>
        <v>SCS</v>
      </c>
      <c r="AO299" s="35" t="s">
        <v>147</v>
      </c>
      <c r="AP299" s="35"/>
      <c r="AQ299" s="35">
        <v>71130</v>
      </c>
      <c r="AR299" s="35" t="s">
        <v>592</v>
      </c>
      <c r="AS299" s="121">
        <v>74.567229999999995</v>
      </c>
      <c r="AU299" s="7" t="str">
        <f>VLOOKUP($AO299,Mapping!$E$11:$I$204,3,0)</f>
        <v>Augmentation</v>
      </c>
      <c r="AV299" s="7" t="str">
        <f>IFERROR(VLOOKUP($AQ299,Mapping!$E$208:$K$236,5,0),"Contracts")</f>
        <v>Contracts</v>
      </c>
      <c r="AW299" s="7" t="str">
        <f>IFERROR(VLOOKUP($AQ299,Mapping!$E$208:$K$236,7,0),"ENDirect")</f>
        <v>ENDirect</v>
      </c>
      <c r="AX299" s="7" t="str">
        <f>IFERROR(HLOOKUP(AV299,'Calc|Weightings'!$U$5:$W$5,1,0),"Excl")</f>
        <v>Contracts</v>
      </c>
      <c r="AY299" s="7" t="str">
        <f>VLOOKUP(AO299,Mapping!$E$11:$I$204,5,0)</f>
        <v>SCS</v>
      </c>
    </row>
    <row r="300" spans="1:51" x14ac:dyDescent="0.3">
      <c r="A300" s="7"/>
      <c r="B300" s="7"/>
      <c r="C300" s="7"/>
      <c r="D300" s="7"/>
      <c r="E300" s="32" t="s">
        <v>145</v>
      </c>
      <c r="F300" s="32"/>
      <c r="G300" s="32">
        <v>80000</v>
      </c>
      <c r="H300" s="32" t="s">
        <v>453</v>
      </c>
      <c r="I300" s="33">
        <v>1090.289</v>
      </c>
      <c r="J300" s="170"/>
      <c r="K300" s="7" t="str">
        <f>VLOOKUP($E300,Mapping!$E$11:$I$204,3,0)</f>
        <v>Augmentation</v>
      </c>
      <c r="L300" s="7" t="str">
        <f>IFERROR(VLOOKUP($G300,Mapping!$E$208:$K$236,5,0),"Contracts")</f>
        <v>Overhead</v>
      </c>
      <c r="M300" s="7" t="str">
        <f>IFERROR(VLOOKUP($G300,Mapping!$E$208:$K$236,7,0),"ENDirect")</f>
        <v>OH</v>
      </c>
      <c r="N300" s="7" t="str">
        <f>IFERROR(HLOOKUP(L300,'Calc|Weightings'!$U$5:$W$5,1,0),"Excl")</f>
        <v>Excl</v>
      </c>
      <c r="O300" s="7" t="str">
        <f>VLOOKUP(E300,Mapping!$E$11:$I$204,5,0)</f>
        <v>SCS</v>
      </c>
      <c r="Q300" s="32" t="s">
        <v>114</v>
      </c>
      <c r="R300" s="32"/>
      <c r="S300" s="32">
        <v>80000</v>
      </c>
      <c r="T300" s="32" t="s">
        <v>453</v>
      </c>
      <c r="U300" s="33">
        <v>28.181000000000001</v>
      </c>
      <c r="V300" s="7"/>
      <c r="W300" s="7" t="str">
        <f>VLOOKUP($Q300,Mapping!$E$11:$I$204,3,0)</f>
        <v>Connections</v>
      </c>
      <c r="X300" s="7" t="str">
        <f>IFERROR(VLOOKUP($S300,Mapping!$E$208:$K$236,5,0),"Contracts")</f>
        <v>Overhead</v>
      </c>
      <c r="Y300" s="7" t="str">
        <f>IFERROR(VLOOKUP($S300,Mapping!$E$208:$K$236,7,0),"ENDirect")</f>
        <v>OH</v>
      </c>
      <c r="Z300" s="7" t="str">
        <f>IFERROR(HLOOKUP(X300,'Calc|Weightings'!$U$5:$W$5,1,0),"Excl")</f>
        <v>Excl</v>
      </c>
      <c r="AA300" s="7" t="str">
        <f>VLOOKUP(Q300,Mapping!$E$11:$I$204,5,0)</f>
        <v>SCS</v>
      </c>
      <c r="AC300" s="35" t="s">
        <v>225</v>
      </c>
      <c r="AD300" s="35"/>
      <c r="AE300" s="35">
        <v>71000</v>
      </c>
      <c r="AF300" s="35" t="s">
        <v>457</v>
      </c>
      <c r="AG300" s="36">
        <v>472.387</v>
      </c>
      <c r="AI300" s="7" t="str">
        <f>VLOOKUP($AC300,Mapping!$E$11:$I$204,3,0)</f>
        <v>Replacement</v>
      </c>
      <c r="AJ300" s="7" t="str">
        <f>IFERROR(VLOOKUP($AE300,Mapping!$E$208:$K$236,5,0),"Contracts")</f>
        <v>Labour</v>
      </c>
      <c r="AK300" s="7" t="str">
        <f>IFERROR(VLOOKUP($AE300,Mapping!$E$208:$K$236,7,0),"ENDirect")</f>
        <v>ENDirect</v>
      </c>
      <c r="AL300" s="7" t="str">
        <f>IFERROR(HLOOKUP(AJ300,'Calc|Weightings'!$U$5:$W$5,1,0),"Excl")</f>
        <v>Labour</v>
      </c>
      <c r="AM300" s="7" t="str">
        <f>VLOOKUP(AC300,Mapping!$E$11:$I$204,5,0)</f>
        <v>SCS</v>
      </c>
      <c r="AO300" s="35" t="s">
        <v>147</v>
      </c>
      <c r="AP300" s="35"/>
      <c r="AQ300" s="35">
        <v>71140</v>
      </c>
      <c r="AR300" s="35" t="s">
        <v>593</v>
      </c>
      <c r="AS300" s="121">
        <v>15.186999999999999</v>
      </c>
      <c r="AU300" s="7" t="str">
        <f>VLOOKUP($AO300,Mapping!$E$11:$I$204,3,0)</f>
        <v>Augmentation</v>
      </c>
      <c r="AV300" s="7" t="str">
        <f>IFERROR(VLOOKUP($AQ300,Mapping!$E$208:$K$236,5,0),"Contracts")</f>
        <v>Contracts</v>
      </c>
      <c r="AW300" s="7" t="str">
        <f>IFERROR(VLOOKUP($AQ300,Mapping!$E$208:$K$236,7,0),"ENDirect")</f>
        <v>ENDirect</v>
      </c>
      <c r="AX300" s="7" t="str">
        <f>IFERROR(HLOOKUP(AV300,'Calc|Weightings'!$U$5:$W$5,1,0),"Excl")</f>
        <v>Contracts</v>
      </c>
      <c r="AY300" s="7" t="str">
        <f>VLOOKUP(AO300,Mapping!$E$11:$I$204,5,0)</f>
        <v>SCS</v>
      </c>
    </row>
    <row r="301" spans="1:51" x14ac:dyDescent="0.3">
      <c r="A301" s="7"/>
      <c r="B301" s="7"/>
      <c r="C301" s="7"/>
      <c r="D301" s="7"/>
      <c r="E301" s="32" t="s">
        <v>103</v>
      </c>
      <c r="F301" s="32"/>
      <c r="G301" s="32">
        <v>71055</v>
      </c>
      <c r="H301" s="32" t="s">
        <v>465</v>
      </c>
      <c r="I301" s="33">
        <v>11.444000000000001</v>
      </c>
      <c r="J301" s="170"/>
      <c r="K301" s="7" t="str">
        <f>VLOOKUP($E301,Mapping!$E$11:$I$204,3,0)</f>
        <v>Public Lighting</v>
      </c>
      <c r="L301" s="7" t="str">
        <f>IFERROR(VLOOKUP($G301,Mapping!$E$208:$K$236,5,0),"Contracts")</f>
        <v>Contracts</v>
      </c>
      <c r="M301" s="7" t="str">
        <f>IFERROR(VLOOKUP($G301,Mapping!$E$208:$K$236,7,0),"ENDirect")</f>
        <v>ENDirect</v>
      </c>
      <c r="N301" s="7" t="str">
        <f>IFERROR(HLOOKUP(L301,'Calc|Weightings'!$U$5:$W$5,1,0),"Excl")</f>
        <v>Contracts</v>
      </c>
      <c r="O301" s="7" t="str">
        <f>VLOOKUP(E301,Mapping!$E$11:$I$204,5,0)</f>
        <v>Public Lighting</v>
      </c>
      <c r="Q301" s="32" t="s">
        <v>176</v>
      </c>
      <c r="R301" s="32"/>
      <c r="S301" s="32">
        <v>71015</v>
      </c>
      <c r="T301" s="32" t="s">
        <v>463</v>
      </c>
      <c r="U301" s="33">
        <v>40.286999999999999</v>
      </c>
      <c r="V301" s="7"/>
      <c r="W301" s="7" t="str">
        <f>VLOOKUP($Q301,Mapping!$E$11:$I$204,3,0)</f>
        <v>Replacement</v>
      </c>
      <c r="X301" s="7" t="str">
        <f>IFERROR(VLOOKUP($S301,Mapping!$E$208:$K$236,5,0),"Contracts")</f>
        <v>Materials</v>
      </c>
      <c r="Y301" s="7" t="str">
        <f>IFERROR(VLOOKUP($S301,Mapping!$E$208:$K$236,7,0),"ENDirect")</f>
        <v>ENDirect</v>
      </c>
      <c r="Z301" s="7" t="str">
        <f>IFERROR(HLOOKUP(X301,'Calc|Weightings'!$U$5:$W$5,1,0),"Excl")</f>
        <v>Materials</v>
      </c>
      <c r="AA301" s="7" t="str">
        <f>VLOOKUP(Q301,Mapping!$E$11:$I$204,5,0)</f>
        <v>SCS</v>
      </c>
      <c r="AC301" s="35" t="s">
        <v>225</v>
      </c>
      <c r="AD301" s="35"/>
      <c r="AE301" s="35">
        <v>71040</v>
      </c>
      <c r="AF301" s="35" t="s">
        <v>460</v>
      </c>
      <c r="AG301" s="36">
        <v>166.74600000000001</v>
      </c>
      <c r="AI301" s="7" t="str">
        <f>VLOOKUP($AC301,Mapping!$E$11:$I$204,3,0)</f>
        <v>Replacement</v>
      </c>
      <c r="AJ301" s="7" t="str">
        <f>IFERROR(VLOOKUP($AE301,Mapping!$E$208:$K$236,5,0),"Contracts")</f>
        <v>Contracts</v>
      </c>
      <c r="AK301" s="7" t="str">
        <f>IFERROR(VLOOKUP($AE301,Mapping!$E$208:$K$236,7,0),"ENDirect")</f>
        <v>ENDirect</v>
      </c>
      <c r="AL301" s="7" t="str">
        <f>IFERROR(HLOOKUP(AJ301,'Calc|Weightings'!$U$5:$W$5,1,0),"Excl")</f>
        <v>Contracts</v>
      </c>
      <c r="AM301" s="7" t="str">
        <f>VLOOKUP(AC301,Mapping!$E$11:$I$204,5,0)</f>
        <v>SCS</v>
      </c>
      <c r="AO301" s="35" t="s">
        <v>147</v>
      </c>
      <c r="AP301" s="35"/>
      <c r="AQ301" s="35">
        <v>80000</v>
      </c>
      <c r="AR301" s="35" t="s">
        <v>589</v>
      </c>
      <c r="AS301" s="121">
        <v>390.89812999999998</v>
      </c>
      <c r="AU301" s="7" t="str">
        <f>VLOOKUP($AO301,Mapping!$E$11:$I$204,3,0)</f>
        <v>Augmentation</v>
      </c>
      <c r="AV301" s="7" t="str">
        <f>IFERROR(VLOOKUP($AQ301,Mapping!$E$208:$K$236,5,0),"Contracts")</f>
        <v>Overhead</v>
      </c>
      <c r="AW301" s="7" t="str">
        <f>IFERROR(VLOOKUP($AQ301,Mapping!$E$208:$K$236,7,0),"ENDirect")</f>
        <v>OH</v>
      </c>
      <c r="AX301" s="7" t="str">
        <f>IFERROR(HLOOKUP(AV301,'Calc|Weightings'!$U$5:$W$5,1,0),"Excl")</f>
        <v>Excl</v>
      </c>
      <c r="AY301" s="7" t="str">
        <f>VLOOKUP(AO301,Mapping!$E$11:$I$204,5,0)</f>
        <v>SCS</v>
      </c>
    </row>
    <row r="302" spans="1:51" x14ac:dyDescent="0.3">
      <c r="A302" s="7"/>
      <c r="B302" s="7"/>
      <c r="C302" s="7"/>
      <c r="D302" s="7"/>
      <c r="E302" s="32" t="s">
        <v>547</v>
      </c>
      <c r="F302" s="32"/>
      <c r="G302" s="32">
        <v>71000</v>
      </c>
      <c r="H302" s="32" t="s">
        <v>457</v>
      </c>
      <c r="I302" s="33">
        <v>70.948999999999998</v>
      </c>
      <c r="J302" s="170"/>
      <c r="K302" s="7" t="str">
        <f>VLOOKUP($E302,Mapping!$E$11:$I$204,3,0)</f>
        <v>Connections</v>
      </c>
      <c r="L302" s="7" t="str">
        <f>IFERROR(VLOOKUP($G302,Mapping!$E$208:$K$236,5,0),"Contracts")</f>
        <v>Labour</v>
      </c>
      <c r="M302" s="7" t="str">
        <f>IFERROR(VLOOKUP($G302,Mapping!$E$208:$K$236,7,0),"ENDirect")</f>
        <v>ENDirect</v>
      </c>
      <c r="N302" s="7" t="str">
        <f>IFERROR(HLOOKUP(L302,'Calc|Weightings'!$U$5:$W$5,1,0),"Excl")</f>
        <v>Labour</v>
      </c>
      <c r="O302" s="7" t="str">
        <f>VLOOKUP(E302,Mapping!$E$11:$I$204,5,0)</f>
        <v>SCS</v>
      </c>
      <c r="Q302" s="32" t="s">
        <v>176</v>
      </c>
      <c r="R302" s="32"/>
      <c r="S302" s="32">
        <v>80000</v>
      </c>
      <c r="T302" s="32" t="s">
        <v>453</v>
      </c>
      <c r="U302" s="33">
        <v>89.688999999999993</v>
      </c>
      <c r="V302" s="7"/>
      <c r="W302" s="7" t="str">
        <f>VLOOKUP($Q302,Mapping!$E$11:$I$204,3,0)</f>
        <v>Replacement</v>
      </c>
      <c r="X302" s="7" t="str">
        <f>IFERROR(VLOOKUP($S302,Mapping!$E$208:$K$236,5,0),"Contracts")</f>
        <v>Overhead</v>
      </c>
      <c r="Y302" s="7" t="str">
        <f>IFERROR(VLOOKUP($S302,Mapping!$E$208:$K$236,7,0),"ENDirect")</f>
        <v>OH</v>
      </c>
      <c r="Z302" s="7" t="str">
        <f>IFERROR(HLOOKUP(X302,'Calc|Weightings'!$U$5:$W$5,1,0),"Excl")</f>
        <v>Excl</v>
      </c>
      <c r="AA302" s="7" t="str">
        <f>VLOOKUP(Q302,Mapping!$E$11:$I$204,5,0)</f>
        <v>SCS</v>
      </c>
      <c r="AC302" s="35" t="s">
        <v>118</v>
      </c>
      <c r="AD302" s="35"/>
      <c r="AE302" s="35">
        <v>71005</v>
      </c>
      <c r="AF302" s="35" t="s">
        <v>461</v>
      </c>
      <c r="AG302" s="36">
        <v>35.091000000000001</v>
      </c>
      <c r="AI302" s="7" t="str">
        <f>VLOOKUP($AC302,Mapping!$E$11:$I$204,3,0)</f>
        <v>Connections</v>
      </c>
      <c r="AJ302" s="7" t="str">
        <f>IFERROR(VLOOKUP($AE302,Mapping!$E$208:$K$236,5,0),"Contracts")</f>
        <v>Materials</v>
      </c>
      <c r="AK302" s="7" t="str">
        <f>IFERROR(VLOOKUP($AE302,Mapping!$E$208:$K$236,7,0),"ENDirect")</f>
        <v>ENDirect</v>
      </c>
      <c r="AL302" s="7" t="str">
        <f>IFERROR(HLOOKUP(AJ302,'Calc|Weightings'!$U$5:$W$5,1,0),"Excl")</f>
        <v>Materials</v>
      </c>
      <c r="AM302" s="7" t="str">
        <f>VLOOKUP(AC302,Mapping!$E$11:$I$204,5,0)</f>
        <v>SCS</v>
      </c>
      <c r="AO302" s="35" t="s">
        <v>260</v>
      </c>
      <c r="AP302" s="35"/>
      <c r="AQ302" s="35">
        <v>71000</v>
      </c>
      <c r="AR302" s="35" t="s">
        <v>457</v>
      </c>
      <c r="AS302" s="121">
        <v>-36.142259999999993</v>
      </c>
      <c r="AU302" s="7" t="str">
        <f>VLOOKUP($AO302,Mapping!$E$11:$I$204,3,0)</f>
        <v>Replacement</v>
      </c>
      <c r="AV302" s="7" t="str">
        <f>IFERROR(VLOOKUP($AQ302,Mapping!$E$208:$K$236,5,0),"Contracts")</f>
        <v>Labour</v>
      </c>
      <c r="AW302" s="7" t="str">
        <f>IFERROR(VLOOKUP($AQ302,Mapping!$E$208:$K$236,7,0),"ENDirect")</f>
        <v>ENDirect</v>
      </c>
      <c r="AX302" s="7" t="str">
        <f>IFERROR(HLOOKUP(AV302,'Calc|Weightings'!$U$5:$W$5,1,0),"Excl")</f>
        <v>Labour</v>
      </c>
      <c r="AY302" s="7" t="str">
        <f>VLOOKUP(AO302,Mapping!$E$11:$I$204,5,0)</f>
        <v>SCS</v>
      </c>
    </row>
    <row r="303" spans="1:51" x14ac:dyDescent="0.3">
      <c r="A303" s="7"/>
      <c r="B303" s="7"/>
      <c r="C303" s="7"/>
      <c r="D303" s="7"/>
      <c r="E303" s="32" t="s">
        <v>547</v>
      </c>
      <c r="F303" s="32"/>
      <c r="G303" s="32">
        <v>71030</v>
      </c>
      <c r="H303" s="32" t="s">
        <v>464</v>
      </c>
      <c r="I303" s="33">
        <v>10.294</v>
      </c>
      <c r="J303" s="170"/>
      <c r="K303" s="7" t="str">
        <f>VLOOKUP($E303,Mapping!$E$11:$I$204,3,0)</f>
        <v>Connections</v>
      </c>
      <c r="L303" s="7" t="str">
        <f>IFERROR(VLOOKUP($G303,Mapping!$E$208:$K$236,5,0),"Contracts")</f>
        <v>Contracts</v>
      </c>
      <c r="M303" s="7" t="str">
        <f>IFERROR(VLOOKUP($G303,Mapping!$E$208:$K$236,7,0),"ENDirect")</f>
        <v>ENDirect</v>
      </c>
      <c r="N303" s="7" t="str">
        <f>IFERROR(HLOOKUP(L303,'Calc|Weightings'!$U$5:$W$5,1,0),"Excl")</f>
        <v>Contracts</v>
      </c>
      <c r="O303" s="7" t="str">
        <f>VLOOKUP(E303,Mapping!$E$11:$I$204,5,0)</f>
        <v>SCS</v>
      </c>
      <c r="Q303" s="32" t="s">
        <v>162</v>
      </c>
      <c r="R303" s="32"/>
      <c r="S303" s="32">
        <v>71006</v>
      </c>
      <c r="T303" s="32" t="s">
        <v>468</v>
      </c>
      <c r="U303" s="33">
        <v>45.04</v>
      </c>
      <c r="V303" s="7"/>
      <c r="W303" s="7" t="str">
        <f>VLOOKUP($Q303,Mapping!$E$11:$I$204,3,0)</f>
        <v>Replacement</v>
      </c>
      <c r="X303" s="7" t="str">
        <f>IFERROR(VLOOKUP($S303,Mapping!$E$208:$K$236,5,0),"Contracts")</f>
        <v>Materials</v>
      </c>
      <c r="Y303" s="7" t="str">
        <f>IFERROR(VLOOKUP($S303,Mapping!$E$208:$K$236,7,0),"ENDirect")</f>
        <v>ENDirect</v>
      </c>
      <c r="Z303" s="7" t="str">
        <f>IFERROR(HLOOKUP(X303,'Calc|Weightings'!$U$5:$W$5,1,0),"Excl")</f>
        <v>Materials</v>
      </c>
      <c r="AA303" s="7" t="str">
        <f>VLOOKUP(Q303,Mapping!$E$11:$I$204,5,0)</f>
        <v>SCS</v>
      </c>
      <c r="AC303" s="35" t="s">
        <v>118</v>
      </c>
      <c r="AD303" s="35"/>
      <c r="AE303" s="35">
        <v>71006</v>
      </c>
      <c r="AF303" s="35" t="s">
        <v>468</v>
      </c>
      <c r="AG303" s="36">
        <v>22.861999999999998</v>
      </c>
      <c r="AI303" s="7" t="str">
        <f>VLOOKUP($AC303,Mapping!$E$11:$I$204,3,0)</f>
        <v>Connections</v>
      </c>
      <c r="AJ303" s="7" t="str">
        <f>IFERROR(VLOOKUP($AE303,Mapping!$E$208:$K$236,5,0),"Contracts")</f>
        <v>Materials</v>
      </c>
      <c r="AK303" s="7" t="str">
        <f>IFERROR(VLOOKUP($AE303,Mapping!$E$208:$K$236,7,0),"ENDirect")</f>
        <v>ENDirect</v>
      </c>
      <c r="AL303" s="7" t="str">
        <f>IFERROR(HLOOKUP(AJ303,'Calc|Weightings'!$U$5:$W$5,1,0),"Excl")</f>
        <v>Materials</v>
      </c>
      <c r="AM303" s="7" t="str">
        <f>VLOOKUP(AC303,Mapping!$E$11:$I$204,5,0)</f>
        <v>SCS</v>
      </c>
      <c r="AO303" s="35" t="s">
        <v>260</v>
      </c>
      <c r="AP303" s="35"/>
      <c r="AQ303" s="35">
        <v>71005</v>
      </c>
      <c r="AR303" s="35" t="s">
        <v>461</v>
      </c>
      <c r="AS303" s="121">
        <v>-29.458760000000005</v>
      </c>
      <c r="AU303" s="7" t="str">
        <f>VLOOKUP($AO303,Mapping!$E$11:$I$204,3,0)</f>
        <v>Replacement</v>
      </c>
      <c r="AV303" s="7" t="str">
        <f>IFERROR(VLOOKUP($AQ303,Mapping!$E$208:$K$236,5,0),"Contracts")</f>
        <v>Materials</v>
      </c>
      <c r="AW303" s="7" t="str">
        <f>IFERROR(VLOOKUP($AQ303,Mapping!$E$208:$K$236,7,0),"ENDirect")</f>
        <v>ENDirect</v>
      </c>
      <c r="AX303" s="7" t="str">
        <f>IFERROR(HLOOKUP(AV303,'Calc|Weightings'!$U$5:$W$5,1,0),"Excl")</f>
        <v>Materials</v>
      </c>
      <c r="AY303" s="7" t="str">
        <f>VLOOKUP(AO303,Mapping!$E$11:$I$204,5,0)</f>
        <v>SCS</v>
      </c>
    </row>
    <row r="304" spans="1:51" x14ac:dyDescent="0.3">
      <c r="A304" s="7"/>
      <c r="B304" s="7"/>
      <c r="C304" s="7"/>
      <c r="D304" s="7"/>
      <c r="E304" s="32" t="s">
        <v>547</v>
      </c>
      <c r="F304" s="32"/>
      <c r="G304" s="32">
        <v>71055</v>
      </c>
      <c r="H304" s="32" t="s">
        <v>465</v>
      </c>
      <c r="I304" s="33">
        <v>16.183</v>
      </c>
      <c r="J304" s="170"/>
      <c r="K304" s="7" t="str">
        <f>VLOOKUP($E304,Mapping!$E$11:$I$204,3,0)</f>
        <v>Connections</v>
      </c>
      <c r="L304" s="7" t="str">
        <f>IFERROR(VLOOKUP($G304,Mapping!$E$208:$K$236,5,0),"Contracts")</f>
        <v>Contracts</v>
      </c>
      <c r="M304" s="7" t="str">
        <f>IFERROR(VLOOKUP($G304,Mapping!$E$208:$K$236,7,0),"ENDirect")</f>
        <v>ENDirect</v>
      </c>
      <c r="N304" s="7" t="str">
        <f>IFERROR(HLOOKUP(L304,'Calc|Weightings'!$U$5:$W$5,1,0),"Excl")</f>
        <v>Contracts</v>
      </c>
      <c r="O304" s="7" t="str">
        <f>VLOOKUP(E304,Mapping!$E$11:$I$204,5,0)</f>
        <v>SCS</v>
      </c>
      <c r="Q304" s="32" t="s">
        <v>157</v>
      </c>
      <c r="R304" s="32"/>
      <c r="S304" s="32">
        <v>70815</v>
      </c>
      <c r="T304" s="32" t="s">
        <v>451</v>
      </c>
      <c r="U304" s="33">
        <v>24.244</v>
      </c>
      <c r="V304" s="7"/>
      <c r="W304" s="7" t="str">
        <f>VLOOKUP($Q304,Mapping!$E$11:$I$204,3,0)</f>
        <v>Replacement</v>
      </c>
      <c r="X304" s="7" t="str">
        <f>IFERROR(VLOOKUP($S304,Mapping!$E$208:$K$236,5,0),"Contracts")</f>
        <v>Materials</v>
      </c>
      <c r="Y304" s="7" t="str">
        <f>IFERROR(VLOOKUP($S304,Mapping!$E$208:$K$236,7,0),"ENDirect")</f>
        <v>ENDirect</v>
      </c>
      <c r="Z304" s="7" t="str">
        <f>IFERROR(HLOOKUP(X304,'Calc|Weightings'!$U$5:$W$5,1,0),"Excl")</f>
        <v>Materials</v>
      </c>
      <c r="AA304" s="7" t="str">
        <f>VLOOKUP(Q304,Mapping!$E$11:$I$204,5,0)</f>
        <v>SCS</v>
      </c>
      <c r="AC304" s="35" t="s">
        <v>118</v>
      </c>
      <c r="AD304" s="35"/>
      <c r="AE304" s="35">
        <v>71020</v>
      </c>
      <c r="AF304" s="35" t="s">
        <v>459</v>
      </c>
      <c r="AG304" s="36">
        <v>0</v>
      </c>
      <c r="AI304" s="7" t="str">
        <f>VLOOKUP($AC304,Mapping!$E$11:$I$204,3,0)</f>
        <v>Connections</v>
      </c>
      <c r="AJ304" s="7" t="str">
        <f>IFERROR(VLOOKUP($AE304,Mapping!$E$208:$K$236,5,0),"Contracts")</f>
        <v>Contracts</v>
      </c>
      <c r="AK304" s="7" t="str">
        <f>IFERROR(VLOOKUP($AE304,Mapping!$E$208:$K$236,7,0),"ENDirect")</f>
        <v>ENDirect</v>
      </c>
      <c r="AL304" s="7" t="str">
        <f>IFERROR(HLOOKUP(AJ304,'Calc|Weightings'!$U$5:$W$5,1,0),"Excl")</f>
        <v>Contracts</v>
      </c>
      <c r="AM304" s="7" t="str">
        <f>VLOOKUP(AC304,Mapping!$E$11:$I$204,5,0)</f>
        <v>SCS</v>
      </c>
      <c r="AO304" s="35" t="s">
        <v>260</v>
      </c>
      <c r="AP304" s="35"/>
      <c r="AQ304" s="35">
        <v>71010</v>
      </c>
      <c r="AR304" s="35" t="s">
        <v>487</v>
      </c>
      <c r="AS304" s="121">
        <v>-0.11416999999999997</v>
      </c>
      <c r="AU304" s="7" t="str">
        <f>VLOOKUP($AO304,Mapping!$E$11:$I$204,3,0)</f>
        <v>Replacement</v>
      </c>
      <c r="AV304" s="7" t="str">
        <f>IFERROR(VLOOKUP($AQ304,Mapping!$E$208:$K$236,5,0),"Contracts")</f>
        <v>Labour</v>
      </c>
      <c r="AW304" s="7" t="str">
        <f>IFERROR(VLOOKUP($AQ304,Mapping!$E$208:$K$236,7,0),"ENDirect")</f>
        <v>ENDirect</v>
      </c>
      <c r="AX304" s="7" t="str">
        <f>IFERROR(HLOOKUP(AV304,'Calc|Weightings'!$U$5:$W$5,1,0),"Excl")</f>
        <v>Labour</v>
      </c>
      <c r="AY304" s="7" t="str">
        <f>VLOOKUP(AO304,Mapping!$E$11:$I$204,5,0)</f>
        <v>SCS</v>
      </c>
    </row>
    <row r="305" spans="1:51" x14ac:dyDescent="0.3">
      <c r="A305" s="7"/>
      <c r="B305" s="7"/>
      <c r="C305" s="7"/>
      <c r="D305" s="7"/>
      <c r="E305" s="32" t="s">
        <v>547</v>
      </c>
      <c r="F305" s="32"/>
      <c r="G305" s="32">
        <v>80000</v>
      </c>
      <c r="H305" s="32" t="s">
        <v>453</v>
      </c>
      <c r="I305" s="33">
        <v>31.375</v>
      </c>
      <c r="J305" s="170"/>
      <c r="K305" s="7" t="str">
        <f>VLOOKUP($E305,Mapping!$E$11:$I$204,3,0)</f>
        <v>Connections</v>
      </c>
      <c r="L305" s="7" t="str">
        <f>IFERROR(VLOOKUP($G305,Mapping!$E$208:$K$236,5,0),"Contracts")</f>
        <v>Overhead</v>
      </c>
      <c r="M305" s="7" t="str">
        <f>IFERROR(VLOOKUP($G305,Mapping!$E$208:$K$236,7,0),"ENDirect")</f>
        <v>OH</v>
      </c>
      <c r="N305" s="7" t="str">
        <f>IFERROR(HLOOKUP(L305,'Calc|Weightings'!$U$5:$W$5,1,0),"Excl")</f>
        <v>Excl</v>
      </c>
      <c r="O305" s="7" t="str">
        <f>VLOOKUP(E305,Mapping!$E$11:$I$204,5,0)</f>
        <v>SCS</v>
      </c>
      <c r="Q305" s="32" t="s">
        <v>157</v>
      </c>
      <c r="R305" s="32"/>
      <c r="S305" s="32">
        <v>72200</v>
      </c>
      <c r="T305" s="32" t="s">
        <v>455</v>
      </c>
      <c r="U305" s="33">
        <v>0</v>
      </c>
      <c r="V305" s="7"/>
      <c r="W305" s="7" t="str">
        <f>VLOOKUP($Q305,Mapping!$E$11:$I$204,3,0)</f>
        <v>Replacement</v>
      </c>
      <c r="X305" s="7" t="str">
        <f>IFERROR(VLOOKUP($S305,Mapping!$E$208:$K$236,5,0),"Contracts")</f>
        <v>Labour</v>
      </c>
      <c r="Y305" s="7" t="str">
        <f>IFERROR(VLOOKUP($S305,Mapping!$E$208:$K$236,7,0),"ENDirect")</f>
        <v>ENDirect</v>
      </c>
      <c r="Z305" s="7" t="str">
        <f>IFERROR(HLOOKUP(X305,'Calc|Weightings'!$U$5:$W$5,1,0),"Excl")</f>
        <v>Labour</v>
      </c>
      <c r="AA305" s="7" t="str">
        <f>VLOOKUP(Q305,Mapping!$E$11:$I$204,5,0)</f>
        <v>SCS</v>
      </c>
      <c r="AC305" s="35" t="s">
        <v>553</v>
      </c>
      <c r="AD305" s="35"/>
      <c r="AE305" s="35">
        <v>71005</v>
      </c>
      <c r="AF305" s="35" t="s">
        <v>461</v>
      </c>
      <c r="AG305" s="36">
        <v>115.98099999999999</v>
      </c>
      <c r="AI305" s="7" t="str">
        <f>VLOOKUP($AC305,Mapping!$E$11:$I$204,3,0)</f>
        <v>Connections</v>
      </c>
      <c r="AJ305" s="7" t="str">
        <f>IFERROR(VLOOKUP($AE305,Mapping!$E$208:$K$236,5,0),"Contracts")</f>
        <v>Materials</v>
      </c>
      <c r="AK305" s="7" t="str">
        <f>IFERROR(VLOOKUP($AE305,Mapping!$E$208:$K$236,7,0),"ENDirect")</f>
        <v>ENDirect</v>
      </c>
      <c r="AL305" s="7" t="str">
        <f>IFERROR(HLOOKUP(AJ305,'Calc|Weightings'!$U$5:$W$5,1,0),"Excl")</f>
        <v>Materials</v>
      </c>
      <c r="AM305" s="7" t="str">
        <f>VLOOKUP(AC305,Mapping!$E$11:$I$204,5,0)</f>
        <v>SCS</v>
      </c>
      <c r="AO305" s="35" t="s">
        <v>260</v>
      </c>
      <c r="AP305" s="35"/>
      <c r="AQ305" s="35">
        <v>71015</v>
      </c>
      <c r="AR305" s="35" t="s">
        <v>585</v>
      </c>
      <c r="AS305" s="121">
        <v>-4.9769400000000008</v>
      </c>
      <c r="AU305" s="7" t="str">
        <f>VLOOKUP($AO305,Mapping!$E$11:$I$204,3,0)</f>
        <v>Replacement</v>
      </c>
      <c r="AV305" s="7" t="str">
        <f>IFERROR(VLOOKUP($AQ305,Mapping!$E$208:$K$236,5,0),"Contracts")</f>
        <v>Materials</v>
      </c>
      <c r="AW305" s="7" t="str">
        <f>IFERROR(VLOOKUP($AQ305,Mapping!$E$208:$K$236,7,0),"ENDirect")</f>
        <v>ENDirect</v>
      </c>
      <c r="AX305" s="7" t="str">
        <f>IFERROR(HLOOKUP(AV305,'Calc|Weightings'!$U$5:$W$5,1,0),"Excl")</f>
        <v>Materials</v>
      </c>
      <c r="AY305" s="7" t="str">
        <f>VLOOKUP(AO305,Mapping!$E$11:$I$204,5,0)</f>
        <v>SCS</v>
      </c>
    </row>
    <row r="306" spans="1:51" x14ac:dyDescent="0.3">
      <c r="A306" s="7"/>
      <c r="B306" s="7"/>
      <c r="C306" s="7"/>
      <c r="D306" s="7"/>
      <c r="E306" s="32" t="s">
        <v>147</v>
      </c>
      <c r="F306" s="32"/>
      <c r="G306" s="32">
        <v>71005</v>
      </c>
      <c r="H306" s="32" t="s">
        <v>461</v>
      </c>
      <c r="I306" s="33">
        <v>18.616</v>
      </c>
      <c r="J306" s="170"/>
      <c r="K306" s="7" t="str">
        <f>VLOOKUP($E306,Mapping!$E$11:$I$204,3,0)</f>
        <v>Augmentation</v>
      </c>
      <c r="L306" s="7" t="str">
        <f>IFERROR(VLOOKUP($G306,Mapping!$E$208:$K$236,5,0),"Contracts")</f>
        <v>Materials</v>
      </c>
      <c r="M306" s="7" t="str">
        <f>IFERROR(VLOOKUP($G306,Mapping!$E$208:$K$236,7,0),"ENDirect")</f>
        <v>ENDirect</v>
      </c>
      <c r="N306" s="7" t="str">
        <f>IFERROR(HLOOKUP(L306,'Calc|Weightings'!$U$5:$W$5,1,0),"Excl")</f>
        <v>Materials</v>
      </c>
      <c r="O306" s="7" t="str">
        <f>VLOOKUP(E306,Mapping!$E$11:$I$204,5,0)</f>
        <v>SCS</v>
      </c>
      <c r="Q306" s="32" t="s">
        <v>159</v>
      </c>
      <c r="R306" s="32"/>
      <c r="S306" s="32">
        <v>71020</v>
      </c>
      <c r="T306" s="32" t="s">
        <v>459</v>
      </c>
      <c r="U306" s="33">
        <v>4.7220000000000004</v>
      </c>
      <c r="V306" s="7"/>
      <c r="W306" s="7" t="str">
        <f>VLOOKUP($Q306,Mapping!$E$11:$I$204,3,0)</f>
        <v>Replacement</v>
      </c>
      <c r="X306" s="7" t="str">
        <f>IFERROR(VLOOKUP($S306,Mapping!$E$208:$K$236,5,0),"Contracts")</f>
        <v>Contracts</v>
      </c>
      <c r="Y306" s="7" t="str">
        <f>IFERROR(VLOOKUP($S306,Mapping!$E$208:$K$236,7,0),"ENDirect")</f>
        <v>ENDirect</v>
      </c>
      <c r="Z306" s="7" t="str">
        <f>IFERROR(HLOOKUP(X306,'Calc|Weightings'!$U$5:$W$5,1,0),"Excl")</f>
        <v>Contracts</v>
      </c>
      <c r="AA306" s="7" t="str">
        <f>VLOOKUP(Q306,Mapping!$E$11:$I$204,5,0)</f>
        <v>SCS</v>
      </c>
      <c r="AC306" s="35" t="s">
        <v>553</v>
      </c>
      <c r="AD306" s="35"/>
      <c r="AE306" s="35">
        <v>71006</v>
      </c>
      <c r="AF306" s="35" t="s">
        <v>468</v>
      </c>
      <c r="AG306" s="36">
        <v>186.10400000000001</v>
      </c>
      <c r="AI306" s="7" t="str">
        <f>VLOOKUP($AC306,Mapping!$E$11:$I$204,3,0)</f>
        <v>Connections</v>
      </c>
      <c r="AJ306" s="7" t="str">
        <f>IFERROR(VLOOKUP($AE306,Mapping!$E$208:$K$236,5,0),"Contracts")</f>
        <v>Materials</v>
      </c>
      <c r="AK306" s="7" t="str">
        <f>IFERROR(VLOOKUP($AE306,Mapping!$E$208:$K$236,7,0),"ENDirect")</f>
        <v>ENDirect</v>
      </c>
      <c r="AL306" s="7" t="str">
        <f>IFERROR(HLOOKUP(AJ306,'Calc|Weightings'!$U$5:$W$5,1,0),"Excl")</f>
        <v>Materials</v>
      </c>
      <c r="AM306" s="7" t="str">
        <f>VLOOKUP(AC306,Mapping!$E$11:$I$204,5,0)</f>
        <v>SCS</v>
      </c>
      <c r="AO306" s="35" t="s">
        <v>260</v>
      </c>
      <c r="AP306" s="35"/>
      <c r="AQ306" s="35">
        <v>71030</v>
      </c>
      <c r="AR306" s="35" t="s">
        <v>464</v>
      </c>
      <c r="AS306" s="121">
        <v>-6.1132000000000017</v>
      </c>
      <c r="AU306" s="7" t="str">
        <f>VLOOKUP($AO306,Mapping!$E$11:$I$204,3,0)</f>
        <v>Replacement</v>
      </c>
      <c r="AV306" s="7" t="str">
        <f>IFERROR(VLOOKUP($AQ306,Mapping!$E$208:$K$236,5,0),"Contracts")</f>
        <v>Contracts</v>
      </c>
      <c r="AW306" s="7" t="str">
        <f>IFERROR(VLOOKUP($AQ306,Mapping!$E$208:$K$236,7,0),"ENDirect")</f>
        <v>ENDirect</v>
      </c>
      <c r="AX306" s="7" t="str">
        <f>IFERROR(HLOOKUP(AV306,'Calc|Weightings'!$U$5:$W$5,1,0),"Excl")</f>
        <v>Contracts</v>
      </c>
      <c r="AY306" s="7" t="str">
        <f>VLOOKUP(AO306,Mapping!$E$11:$I$204,5,0)</f>
        <v>SCS</v>
      </c>
    </row>
    <row r="307" spans="1:51" x14ac:dyDescent="0.3">
      <c r="A307" s="7"/>
      <c r="B307" s="7"/>
      <c r="C307" s="7"/>
      <c r="D307" s="7"/>
      <c r="E307" s="32" t="s">
        <v>147</v>
      </c>
      <c r="F307" s="32"/>
      <c r="G307" s="32">
        <v>71010</v>
      </c>
      <c r="H307" s="32" t="s">
        <v>462</v>
      </c>
      <c r="I307" s="33">
        <v>16.565999999999999</v>
      </c>
      <c r="J307" s="170"/>
      <c r="K307" s="7" t="str">
        <f>VLOOKUP($E307,Mapping!$E$11:$I$204,3,0)</f>
        <v>Augmentation</v>
      </c>
      <c r="L307" s="7" t="str">
        <f>IFERROR(VLOOKUP($G307,Mapping!$E$208:$K$236,5,0),"Contracts")</f>
        <v>Labour</v>
      </c>
      <c r="M307" s="7" t="str">
        <f>IFERROR(VLOOKUP($G307,Mapping!$E$208:$K$236,7,0),"ENDirect")</f>
        <v>ENDirect</v>
      </c>
      <c r="N307" s="7" t="str">
        <f>IFERROR(HLOOKUP(L307,'Calc|Weightings'!$U$5:$W$5,1,0),"Excl")</f>
        <v>Labour</v>
      </c>
      <c r="O307" s="7" t="str">
        <f>VLOOKUP(E307,Mapping!$E$11:$I$204,5,0)</f>
        <v>SCS</v>
      </c>
      <c r="Q307" s="32" t="s">
        <v>152</v>
      </c>
      <c r="R307" s="32"/>
      <c r="S307" s="32">
        <v>71000</v>
      </c>
      <c r="T307" s="32" t="s">
        <v>457</v>
      </c>
      <c r="U307" s="33">
        <v>187.06299999999999</v>
      </c>
      <c r="V307" s="7"/>
      <c r="W307" s="7" t="str">
        <f>VLOOKUP($Q307,Mapping!$E$11:$I$204,3,0)</f>
        <v>Augmentation</v>
      </c>
      <c r="X307" s="7" t="str">
        <f>IFERROR(VLOOKUP($S307,Mapping!$E$208:$K$236,5,0),"Contracts")</f>
        <v>Labour</v>
      </c>
      <c r="Y307" s="7" t="str">
        <f>IFERROR(VLOOKUP($S307,Mapping!$E$208:$K$236,7,0),"ENDirect")</f>
        <v>ENDirect</v>
      </c>
      <c r="Z307" s="7" t="str">
        <f>IFERROR(HLOOKUP(X307,'Calc|Weightings'!$U$5:$W$5,1,0),"Excl")</f>
        <v>Labour</v>
      </c>
      <c r="AA307" s="7" t="str">
        <f>VLOOKUP(Q307,Mapping!$E$11:$I$204,5,0)</f>
        <v>SCS</v>
      </c>
      <c r="AC307" s="35" t="s">
        <v>547</v>
      </c>
      <c r="AD307" s="35"/>
      <c r="AE307" s="35">
        <v>71005</v>
      </c>
      <c r="AF307" s="35" t="s">
        <v>461</v>
      </c>
      <c r="AG307" s="36">
        <v>58.006</v>
      </c>
      <c r="AI307" s="7" t="str">
        <f>VLOOKUP($AC307,Mapping!$E$11:$I$204,3,0)</f>
        <v>Connections</v>
      </c>
      <c r="AJ307" s="7" t="str">
        <f>IFERROR(VLOOKUP($AE307,Mapping!$E$208:$K$236,5,0),"Contracts")</f>
        <v>Materials</v>
      </c>
      <c r="AK307" s="7" t="str">
        <f>IFERROR(VLOOKUP($AE307,Mapping!$E$208:$K$236,7,0),"ENDirect")</f>
        <v>ENDirect</v>
      </c>
      <c r="AL307" s="7" t="str">
        <f>IFERROR(HLOOKUP(AJ307,'Calc|Weightings'!$U$5:$W$5,1,0),"Excl")</f>
        <v>Materials</v>
      </c>
      <c r="AM307" s="7" t="str">
        <f>VLOOKUP(AC307,Mapping!$E$11:$I$204,5,0)</f>
        <v>SCS</v>
      </c>
      <c r="AO307" s="35" t="s">
        <v>260</v>
      </c>
      <c r="AP307" s="35"/>
      <c r="AQ307" s="35">
        <v>71055</v>
      </c>
      <c r="AR307" s="35" t="s">
        <v>465</v>
      </c>
      <c r="AS307" s="121">
        <v>-16.639479999999995</v>
      </c>
      <c r="AU307" s="7" t="str">
        <f>VLOOKUP($AO307,Mapping!$E$11:$I$204,3,0)</f>
        <v>Replacement</v>
      </c>
      <c r="AV307" s="7" t="str">
        <f>IFERROR(VLOOKUP($AQ307,Mapping!$E$208:$K$236,5,0),"Contracts")</f>
        <v>Contracts</v>
      </c>
      <c r="AW307" s="7" t="str">
        <f>IFERROR(VLOOKUP($AQ307,Mapping!$E$208:$K$236,7,0),"ENDirect")</f>
        <v>ENDirect</v>
      </c>
      <c r="AX307" s="7" t="str">
        <f>IFERROR(HLOOKUP(AV307,'Calc|Weightings'!$U$5:$W$5,1,0),"Excl")</f>
        <v>Contracts</v>
      </c>
      <c r="AY307" s="7" t="str">
        <f>VLOOKUP(AO307,Mapping!$E$11:$I$204,5,0)</f>
        <v>SCS</v>
      </c>
    </row>
    <row r="308" spans="1:51" x14ac:dyDescent="0.3">
      <c r="A308" s="7"/>
      <c r="B308" s="7"/>
      <c r="C308" s="7"/>
      <c r="D308" s="7"/>
      <c r="E308" s="32" t="s">
        <v>109</v>
      </c>
      <c r="F308" s="32"/>
      <c r="G308" s="32">
        <v>71040</v>
      </c>
      <c r="H308" s="32" t="s">
        <v>460</v>
      </c>
      <c r="I308" s="33">
        <v>0</v>
      </c>
      <c r="J308" s="170"/>
      <c r="K308" s="7" t="str">
        <f>VLOOKUP($E308,Mapping!$E$11:$I$204,3,0)</f>
        <v>Public Lighting</v>
      </c>
      <c r="L308" s="7" t="str">
        <f>IFERROR(VLOOKUP($G308,Mapping!$E$208:$K$236,5,0),"Contracts")</f>
        <v>Contracts</v>
      </c>
      <c r="M308" s="7" t="str">
        <f>IFERROR(VLOOKUP($G308,Mapping!$E$208:$K$236,7,0),"ENDirect")</f>
        <v>ENDirect</v>
      </c>
      <c r="N308" s="7" t="str">
        <f>IFERROR(HLOOKUP(L308,'Calc|Weightings'!$U$5:$W$5,1,0),"Excl")</f>
        <v>Contracts</v>
      </c>
      <c r="O308" s="7" t="str">
        <f>VLOOKUP(E308,Mapping!$E$11:$I$204,5,0)</f>
        <v>Public Lighting</v>
      </c>
      <c r="Q308" s="32" t="s">
        <v>152</v>
      </c>
      <c r="R308" s="32"/>
      <c r="S308" s="32">
        <v>71030</v>
      </c>
      <c r="T308" s="32" t="s">
        <v>464</v>
      </c>
      <c r="U308" s="33">
        <v>77.128</v>
      </c>
      <c r="V308" s="7"/>
      <c r="W308" s="7" t="str">
        <f>VLOOKUP($Q308,Mapping!$E$11:$I$204,3,0)</f>
        <v>Augmentation</v>
      </c>
      <c r="X308" s="7" t="str">
        <f>IFERROR(VLOOKUP($S308,Mapping!$E$208:$K$236,5,0),"Contracts")</f>
        <v>Contracts</v>
      </c>
      <c r="Y308" s="7" t="str">
        <f>IFERROR(VLOOKUP($S308,Mapping!$E$208:$K$236,7,0),"ENDirect")</f>
        <v>ENDirect</v>
      </c>
      <c r="Z308" s="7" t="str">
        <f>IFERROR(HLOOKUP(X308,'Calc|Weightings'!$U$5:$W$5,1,0),"Excl")</f>
        <v>Contracts</v>
      </c>
      <c r="AA308" s="7" t="str">
        <f>VLOOKUP(Q308,Mapping!$E$11:$I$204,5,0)</f>
        <v>SCS</v>
      </c>
      <c r="AC308" s="35" t="s">
        <v>547</v>
      </c>
      <c r="AD308" s="35"/>
      <c r="AE308" s="35">
        <v>71006</v>
      </c>
      <c r="AF308" s="35" t="s">
        <v>468</v>
      </c>
      <c r="AG308" s="36">
        <v>150.423</v>
      </c>
      <c r="AI308" s="7" t="str">
        <f>VLOOKUP($AC308,Mapping!$E$11:$I$204,3,0)</f>
        <v>Connections</v>
      </c>
      <c r="AJ308" s="7" t="str">
        <f>IFERROR(VLOOKUP($AE308,Mapping!$E$208:$K$236,5,0),"Contracts")</f>
        <v>Materials</v>
      </c>
      <c r="AK308" s="7" t="str">
        <f>IFERROR(VLOOKUP($AE308,Mapping!$E$208:$K$236,7,0),"ENDirect")</f>
        <v>ENDirect</v>
      </c>
      <c r="AL308" s="7" t="str">
        <f>IFERROR(HLOOKUP(AJ308,'Calc|Weightings'!$U$5:$W$5,1,0),"Excl")</f>
        <v>Materials</v>
      </c>
      <c r="AM308" s="7" t="str">
        <f>VLOOKUP(AC308,Mapping!$E$11:$I$204,5,0)</f>
        <v>SCS</v>
      </c>
      <c r="AO308" s="35" t="s">
        <v>260</v>
      </c>
      <c r="AP308" s="35"/>
      <c r="AQ308" s="35">
        <v>71075</v>
      </c>
      <c r="AR308" s="35" t="s">
        <v>587</v>
      </c>
      <c r="AS308" s="121">
        <v>32.260449999999999</v>
      </c>
      <c r="AU308" s="7" t="str">
        <f>VLOOKUP($AO308,Mapping!$E$11:$I$204,3,0)</f>
        <v>Replacement</v>
      </c>
      <c r="AV308" s="7" t="str">
        <f>IFERROR(VLOOKUP($AQ308,Mapping!$E$208:$K$236,5,0),"Contracts")</f>
        <v>Contracts</v>
      </c>
      <c r="AW308" s="7" t="str">
        <f>IFERROR(VLOOKUP($AQ308,Mapping!$E$208:$K$236,7,0),"ENDirect")</f>
        <v>ENDirect</v>
      </c>
      <c r="AX308" s="7" t="str">
        <f>IFERROR(HLOOKUP(AV308,'Calc|Weightings'!$U$5:$W$5,1,0),"Excl")</f>
        <v>Contracts</v>
      </c>
      <c r="AY308" s="7" t="str">
        <f>VLOOKUP(AO308,Mapping!$E$11:$I$204,5,0)</f>
        <v>SCS</v>
      </c>
    </row>
    <row r="309" spans="1:51" x14ac:dyDescent="0.3">
      <c r="A309" s="7"/>
      <c r="B309" s="7"/>
      <c r="C309" s="7"/>
      <c r="D309" s="7"/>
      <c r="E309" s="32" t="s">
        <v>123</v>
      </c>
      <c r="F309" s="32"/>
      <c r="G309" s="32">
        <v>71040</v>
      </c>
      <c r="H309" s="32" t="s">
        <v>460</v>
      </c>
      <c r="I309" s="33">
        <v>-1.8089999999999999</v>
      </c>
      <c r="J309" s="170"/>
      <c r="K309" s="7" t="str">
        <f>VLOOKUP($E309,Mapping!$E$11:$I$204,3,0)</f>
        <v>Augmentation</v>
      </c>
      <c r="L309" s="7" t="str">
        <f>IFERROR(VLOOKUP($G309,Mapping!$E$208:$K$236,5,0),"Contracts")</f>
        <v>Contracts</v>
      </c>
      <c r="M309" s="7" t="str">
        <f>IFERROR(VLOOKUP($G309,Mapping!$E$208:$K$236,7,0),"ENDirect")</f>
        <v>ENDirect</v>
      </c>
      <c r="N309" s="7" t="str">
        <f>IFERROR(HLOOKUP(L309,'Calc|Weightings'!$U$5:$W$5,1,0),"Excl")</f>
        <v>Contracts</v>
      </c>
      <c r="O309" s="7" t="str">
        <f>VLOOKUP(E309,Mapping!$E$11:$I$204,5,0)</f>
        <v>SCS</v>
      </c>
      <c r="Q309" s="32" t="s">
        <v>152</v>
      </c>
      <c r="R309" s="32"/>
      <c r="S309" s="32">
        <v>71055</v>
      </c>
      <c r="T309" s="32" t="s">
        <v>465</v>
      </c>
      <c r="U309" s="33">
        <v>132.47499999999999</v>
      </c>
      <c r="V309" s="7"/>
      <c r="W309" s="7" t="str">
        <f>VLOOKUP($Q309,Mapping!$E$11:$I$204,3,0)</f>
        <v>Augmentation</v>
      </c>
      <c r="X309" s="7" t="str">
        <f>IFERROR(VLOOKUP($S309,Mapping!$E$208:$K$236,5,0),"Contracts")</f>
        <v>Contracts</v>
      </c>
      <c r="Y309" s="7" t="str">
        <f>IFERROR(VLOOKUP($S309,Mapping!$E$208:$K$236,7,0),"ENDirect")</f>
        <v>ENDirect</v>
      </c>
      <c r="Z309" s="7" t="str">
        <f>IFERROR(HLOOKUP(X309,'Calc|Weightings'!$U$5:$W$5,1,0),"Excl")</f>
        <v>Contracts</v>
      </c>
      <c r="AA309" s="7" t="str">
        <f>VLOOKUP(Q309,Mapping!$E$11:$I$204,5,0)</f>
        <v>SCS</v>
      </c>
      <c r="AC309" s="35" t="s">
        <v>547</v>
      </c>
      <c r="AD309" s="35"/>
      <c r="AE309" s="35">
        <v>71010</v>
      </c>
      <c r="AF309" s="35" t="s">
        <v>462</v>
      </c>
      <c r="AG309" s="36">
        <v>16.39</v>
      </c>
      <c r="AI309" s="7" t="str">
        <f>VLOOKUP($AC309,Mapping!$E$11:$I$204,3,0)</f>
        <v>Connections</v>
      </c>
      <c r="AJ309" s="7" t="str">
        <f>IFERROR(VLOOKUP($AE309,Mapping!$E$208:$K$236,5,0),"Contracts")</f>
        <v>Labour</v>
      </c>
      <c r="AK309" s="7" t="str">
        <f>IFERROR(VLOOKUP($AE309,Mapping!$E$208:$K$236,7,0),"ENDirect")</f>
        <v>ENDirect</v>
      </c>
      <c r="AL309" s="7" t="str">
        <f>IFERROR(HLOOKUP(AJ309,'Calc|Weightings'!$U$5:$W$5,1,0),"Excl")</f>
        <v>Labour</v>
      </c>
      <c r="AM309" s="7" t="str">
        <f>VLOOKUP(AC309,Mapping!$E$11:$I$204,5,0)</f>
        <v>SCS</v>
      </c>
      <c r="AO309" s="35" t="s">
        <v>260</v>
      </c>
      <c r="AP309" s="35"/>
      <c r="AQ309" s="35">
        <v>80000</v>
      </c>
      <c r="AR309" s="35" t="s">
        <v>589</v>
      </c>
      <c r="AS309" s="121">
        <v>30.115589999999997</v>
      </c>
      <c r="AU309" s="7" t="str">
        <f>VLOOKUP($AO309,Mapping!$E$11:$I$204,3,0)</f>
        <v>Replacement</v>
      </c>
      <c r="AV309" s="7" t="str">
        <f>IFERROR(VLOOKUP($AQ309,Mapping!$E$208:$K$236,5,0),"Contracts")</f>
        <v>Overhead</v>
      </c>
      <c r="AW309" s="7" t="str">
        <f>IFERROR(VLOOKUP($AQ309,Mapping!$E$208:$K$236,7,0),"ENDirect")</f>
        <v>OH</v>
      </c>
      <c r="AX309" s="7" t="str">
        <f>IFERROR(HLOOKUP(AV309,'Calc|Weightings'!$U$5:$W$5,1,0),"Excl")</f>
        <v>Excl</v>
      </c>
      <c r="AY309" s="7" t="str">
        <f>VLOOKUP(AO309,Mapping!$E$11:$I$204,5,0)</f>
        <v>SCS</v>
      </c>
    </row>
    <row r="310" spans="1:51" x14ac:dyDescent="0.3">
      <c r="A310" s="7"/>
      <c r="B310" s="7"/>
      <c r="C310" s="7"/>
      <c r="D310" s="7"/>
      <c r="E310" s="32" t="s">
        <v>145</v>
      </c>
      <c r="F310" s="32"/>
      <c r="G310" s="32">
        <v>71040</v>
      </c>
      <c r="H310" s="32" t="s">
        <v>460</v>
      </c>
      <c r="I310" s="33">
        <v>-29.663</v>
      </c>
      <c r="J310" s="170"/>
      <c r="K310" s="7" t="str">
        <f>VLOOKUP($E310,Mapping!$E$11:$I$204,3,0)</f>
        <v>Augmentation</v>
      </c>
      <c r="L310" s="7" t="str">
        <f>IFERROR(VLOOKUP($G310,Mapping!$E$208:$K$236,5,0),"Contracts")</f>
        <v>Contracts</v>
      </c>
      <c r="M310" s="7" t="str">
        <f>IFERROR(VLOOKUP($G310,Mapping!$E$208:$K$236,7,0),"ENDirect")</f>
        <v>ENDirect</v>
      </c>
      <c r="N310" s="7" t="str">
        <f>IFERROR(HLOOKUP(L310,'Calc|Weightings'!$U$5:$W$5,1,0),"Excl")</f>
        <v>Contracts</v>
      </c>
      <c r="O310" s="7" t="str">
        <f>VLOOKUP(E310,Mapping!$E$11:$I$204,5,0)</f>
        <v>SCS</v>
      </c>
      <c r="Q310" s="32" t="s">
        <v>112</v>
      </c>
      <c r="R310" s="32"/>
      <c r="S310" s="32">
        <v>71000</v>
      </c>
      <c r="T310" s="32" t="s">
        <v>457</v>
      </c>
      <c r="U310" s="33">
        <v>4.556</v>
      </c>
      <c r="V310" s="7"/>
      <c r="W310" s="7" t="str">
        <f>VLOOKUP($Q310,Mapping!$E$11:$I$204,3,0)</f>
        <v>Connections</v>
      </c>
      <c r="X310" s="7" t="str">
        <f>IFERROR(VLOOKUP($S310,Mapping!$E$208:$K$236,5,0),"Contracts")</f>
        <v>Labour</v>
      </c>
      <c r="Y310" s="7" t="str">
        <f>IFERROR(VLOOKUP($S310,Mapping!$E$208:$K$236,7,0),"ENDirect")</f>
        <v>ENDirect</v>
      </c>
      <c r="Z310" s="7" t="str">
        <f>IFERROR(HLOOKUP(X310,'Calc|Weightings'!$U$5:$W$5,1,0),"Excl")</f>
        <v>Labour</v>
      </c>
      <c r="AA310" s="7" t="str">
        <f>VLOOKUP(Q310,Mapping!$E$11:$I$204,5,0)</f>
        <v>SCS</v>
      </c>
      <c r="AC310" s="35" t="s">
        <v>547</v>
      </c>
      <c r="AD310" s="35"/>
      <c r="AE310" s="35">
        <v>71015</v>
      </c>
      <c r="AF310" s="35" t="s">
        <v>463</v>
      </c>
      <c r="AG310" s="36">
        <v>17.675999999999998</v>
      </c>
      <c r="AI310" s="7" t="str">
        <f>VLOOKUP($AC310,Mapping!$E$11:$I$204,3,0)</f>
        <v>Connections</v>
      </c>
      <c r="AJ310" s="7" t="str">
        <f>IFERROR(VLOOKUP($AE310,Mapping!$E$208:$K$236,5,0),"Contracts")</f>
        <v>Materials</v>
      </c>
      <c r="AK310" s="7" t="str">
        <f>IFERROR(VLOOKUP($AE310,Mapping!$E$208:$K$236,7,0),"ENDirect")</f>
        <v>ENDirect</v>
      </c>
      <c r="AL310" s="7" t="str">
        <f>IFERROR(HLOOKUP(AJ310,'Calc|Weightings'!$U$5:$W$5,1,0),"Excl")</f>
        <v>Materials</v>
      </c>
      <c r="AM310" s="7" t="str">
        <f>VLOOKUP(AC310,Mapping!$E$11:$I$204,5,0)</f>
        <v>SCS</v>
      </c>
      <c r="AO310" s="35" t="s">
        <v>260</v>
      </c>
      <c r="AP310" s="35"/>
      <c r="AQ310" s="35">
        <v>83010</v>
      </c>
      <c r="AR310" s="35" t="s">
        <v>591</v>
      </c>
      <c r="AS310" s="121">
        <v>278.15367999999995</v>
      </c>
      <c r="AU310" s="7" t="str">
        <f>VLOOKUP($AO310,Mapping!$E$11:$I$204,3,0)</f>
        <v>Replacement</v>
      </c>
      <c r="AV310" s="7" t="str">
        <f>IFERROR(VLOOKUP($AQ310,Mapping!$E$208:$K$236,5,0),"Contracts")</f>
        <v>Contracts</v>
      </c>
      <c r="AW310" s="7" t="str">
        <f>IFERROR(VLOOKUP($AQ310,Mapping!$E$208:$K$236,7,0),"ENDirect")</f>
        <v>ENDirect</v>
      </c>
      <c r="AX310" s="7" t="str">
        <f>IFERROR(HLOOKUP(AV310,'Calc|Weightings'!$U$5:$W$5,1,0),"Excl")</f>
        <v>Contracts</v>
      </c>
      <c r="AY310" s="7" t="str">
        <f>VLOOKUP(AO310,Mapping!$E$11:$I$204,5,0)</f>
        <v>SCS</v>
      </c>
    </row>
    <row r="311" spans="1:51" x14ac:dyDescent="0.3">
      <c r="A311" s="7"/>
      <c r="B311" s="7"/>
      <c r="C311" s="7"/>
      <c r="D311" s="7"/>
      <c r="E311" s="32" t="s">
        <v>152</v>
      </c>
      <c r="F311" s="32"/>
      <c r="G311" s="32">
        <v>71040</v>
      </c>
      <c r="H311" s="32" t="s">
        <v>460</v>
      </c>
      <c r="I311" s="33">
        <v>-3.6219999999999999</v>
      </c>
      <c r="J311" s="170"/>
      <c r="K311" s="7" t="str">
        <f>VLOOKUP($E311,Mapping!$E$11:$I$204,3,0)</f>
        <v>Augmentation</v>
      </c>
      <c r="L311" s="7" t="str">
        <f>IFERROR(VLOOKUP($G311,Mapping!$E$208:$K$236,5,0),"Contracts")</f>
        <v>Contracts</v>
      </c>
      <c r="M311" s="7" t="str">
        <f>IFERROR(VLOOKUP($G311,Mapping!$E$208:$K$236,7,0),"ENDirect")</f>
        <v>ENDirect</v>
      </c>
      <c r="N311" s="7" t="str">
        <f>IFERROR(HLOOKUP(L311,'Calc|Weightings'!$U$5:$W$5,1,0),"Excl")</f>
        <v>Contracts</v>
      </c>
      <c r="O311" s="7" t="str">
        <f>VLOOKUP(E311,Mapping!$E$11:$I$204,5,0)</f>
        <v>SCS</v>
      </c>
      <c r="Q311" s="32" t="s">
        <v>112</v>
      </c>
      <c r="R311" s="32"/>
      <c r="S311" s="32">
        <v>71030</v>
      </c>
      <c r="T311" s="32" t="s">
        <v>464</v>
      </c>
      <c r="U311" s="33">
        <v>0.38500000000000001</v>
      </c>
      <c r="V311" s="7"/>
      <c r="W311" s="7" t="str">
        <f>VLOOKUP($Q311,Mapping!$E$11:$I$204,3,0)</f>
        <v>Connections</v>
      </c>
      <c r="X311" s="7" t="str">
        <f>IFERROR(VLOOKUP($S311,Mapping!$E$208:$K$236,5,0),"Contracts")</f>
        <v>Contracts</v>
      </c>
      <c r="Y311" s="7" t="str">
        <f>IFERROR(VLOOKUP($S311,Mapping!$E$208:$K$236,7,0),"ENDirect")</f>
        <v>ENDirect</v>
      </c>
      <c r="Z311" s="7" t="str">
        <f>IFERROR(HLOOKUP(X311,'Calc|Weightings'!$U$5:$W$5,1,0),"Excl")</f>
        <v>Contracts</v>
      </c>
      <c r="AA311" s="7" t="str">
        <f>VLOOKUP(Q311,Mapping!$E$11:$I$204,5,0)</f>
        <v>SCS</v>
      </c>
      <c r="AC311" s="35" t="s">
        <v>547</v>
      </c>
      <c r="AD311" s="35"/>
      <c r="AE311" s="35">
        <v>71020</v>
      </c>
      <c r="AF311" s="35" t="s">
        <v>459</v>
      </c>
      <c r="AG311" s="36">
        <v>0</v>
      </c>
      <c r="AI311" s="7" t="str">
        <f>VLOOKUP($AC311,Mapping!$E$11:$I$204,3,0)</f>
        <v>Connections</v>
      </c>
      <c r="AJ311" s="7" t="str">
        <f>IFERROR(VLOOKUP($AE311,Mapping!$E$208:$K$236,5,0),"Contracts")</f>
        <v>Contracts</v>
      </c>
      <c r="AK311" s="7" t="str">
        <f>IFERROR(VLOOKUP($AE311,Mapping!$E$208:$K$236,7,0),"ENDirect")</f>
        <v>ENDirect</v>
      </c>
      <c r="AL311" s="7" t="str">
        <f>IFERROR(HLOOKUP(AJ311,'Calc|Weightings'!$U$5:$W$5,1,0),"Excl")</f>
        <v>Contracts</v>
      </c>
      <c r="AM311" s="7" t="str">
        <f>VLOOKUP(AC311,Mapping!$E$11:$I$204,5,0)</f>
        <v>SCS</v>
      </c>
      <c r="AO311" s="35" t="s">
        <v>148</v>
      </c>
      <c r="AP311" s="35"/>
      <c r="AQ311" s="35">
        <v>71075</v>
      </c>
      <c r="AR311" s="35" t="s">
        <v>587</v>
      </c>
      <c r="AS311" s="121">
        <v>10.499589999999996</v>
      </c>
      <c r="AU311" s="7" t="str">
        <f>VLOOKUP($AO311,Mapping!$E$11:$I$204,3,0)</f>
        <v>VBRC</v>
      </c>
      <c r="AV311" s="7" t="str">
        <f>IFERROR(VLOOKUP($AQ311,Mapping!$E$208:$K$236,5,0),"Contracts")</f>
        <v>Contracts</v>
      </c>
      <c r="AW311" s="7" t="str">
        <f>IFERROR(VLOOKUP($AQ311,Mapping!$E$208:$K$236,7,0),"ENDirect")</f>
        <v>ENDirect</v>
      </c>
      <c r="AX311" s="7" t="str">
        <f>IFERROR(HLOOKUP(AV311,'Calc|Weightings'!$U$5:$W$5,1,0),"Excl")</f>
        <v>Contracts</v>
      </c>
      <c r="AY311" s="7" t="str">
        <f>VLOOKUP(AO311,Mapping!$E$11:$I$204,5,0)</f>
        <v>SCS</v>
      </c>
    </row>
    <row r="312" spans="1:51" x14ac:dyDescent="0.3">
      <c r="A312" s="7"/>
      <c r="B312" s="7"/>
      <c r="C312" s="7"/>
      <c r="D312" s="7"/>
      <c r="E312" s="32" t="s">
        <v>165</v>
      </c>
      <c r="F312" s="32"/>
      <c r="G312" s="32">
        <v>71040</v>
      </c>
      <c r="H312" s="32" t="s">
        <v>460</v>
      </c>
      <c r="I312" s="33">
        <v>-1.405</v>
      </c>
      <c r="J312" s="170"/>
      <c r="K312" s="7" t="str">
        <f>VLOOKUP($E312,Mapping!$E$11:$I$204,3,0)</f>
        <v>Replacement</v>
      </c>
      <c r="L312" s="7" t="str">
        <f>IFERROR(VLOOKUP($G312,Mapping!$E$208:$K$236,5,0),"Contracts")</f>
        <v>Contracts</v>
      </c>
      <c r="M312" s="7" t="str">
        <f>IFERROR(VLOOKUP($G312,Mapping!$E$208:$K$236,7,0),"ENDirect")</f>
        <v>ENDirect</v>
      </c>
      <c r="N312" s="7" t="str">
        <f>IFERROR(HLOOKUP(L312,'Calc|Weightings'!$U$5:$W$5,1,0),"Excl")</f>
        <v>Contracts</v>
      </c>
      <c r="O312" s="7" t="str">
        <f>VLOOKUP(E312,Mapping!$E$11:$I$204,5,0)</f>
        <v>SCS</v>
      </c>
      <c r="Q312" s="32" t="s">
        <v>112</v>
      </c>
      <c r="R312" s="32"/>
      <c r="S312" s="32">
        <v>71055</v>
      </c>
      <c r="T312" s="32" t="s">
        <v>465</v>
      </c>
      <c r="U312" s="33">
        <v>0.74099999999999999</v>
      </c>
      <c r="V312" s="7"/>
      <c r="W312" s="7" t="str">
        <f>VLOOKUP($Q312,Mapping!$E$11:$I$204,3,0)</f>
        <v>Connections</v>
      </c>
      <c r="X312" s="7" t="str">
        <f>IFERROR(VLOOKUP($S312,Mapping!$E$208:$K$236,5,0),"Contracts")</f>
        <v>Contracts</v>
      </c>
      <c r="Y312" s="7" t="str">
        <f>IFERROR(VLOOKUP($S312,Mapping!$E$208:$K$236,7,0),"ENDirect")</f>
        <v>ENDirect</v>
      </c>
      <c r="Z312" s="7" t="str">
        <f>IFERROR(HLOOKUP(X312,'Calc|Weightings'!$U$5:$W$5,1,0),"Excl")</f>
        <v>Contracts</v>
      </c>
      <c r="AA312" s="7" t="str">
        <f>VLOOKUP(Q312,Mapping!$E$11:$I$204,5,0)</f>
        <v>SCS</v>
      </c>
      <c r="AC312" s="35" t="s">
        <v>547</v>
      </c>
      <c r="AD312" s="35"/>
      <c r="AE312" s="35">
        <v>71030</v>
      </c>
      <c r="AF312" s="35" t="s">
        <v>464</v>
      </c>
      <c r="AG312" s="36">
        <v>18.873999999999999</v>
      </c>
      <c r="AI312" s="7" t="str">
        <f>VLOOKUP($AC312,Mapping!$E$11:$I$204,3,0)</f>
        <v>Connections</v>
      </c>
      <c r="AJ312" s="7" t="str">
        <f>IFERROR(VLOOKUP($AE312,Mapping!$E$208:$K$236,5,0),"Contracts")</f>
        <v>Contracts</v>
      </c>
      <c r="AK312" s="7" t="str">
        <f>IFERROR(VLOOKUP($AE312,Mapping!$E$208:$K$236,7,0),"ENDirect")</f>
        <v>ENDirect</v>
      </c>
      <c r="AL312" s="7" t="str">
        <f>IFERROR(HLOOKUP(AJ312,'Calc|Weightings'!$U$5:$W$5,1,0),"Excl")</f>
        <v>Contracts</v>
      </c>
      <c r="AM312" s="7" t="str">
        <f>VLOOKUP(AC312,Mapping!$E$11:$I$204,5,0)</f>
        <v>SCS</v>
      </c>
      <c r="AO312" s="35" t="s">
        <v>148</v>
      </c>
      <c r="AP312" s="35"/>
      <c r="AQ312" s="35">
        <v>80000</v>
      </c>
      <c r="AR312" s="35" t="s">
        <v>589</v>
      </c>
      <c r="AS312" s="121">
        <v>15.58672</v>
      </c>
      <c r="AU312" s="7" t="str">
        <f>VLOOKUP($AO312,Mapping!$E$11:$I$204,3,0)</f>
        <v>VBRC</v>
      </c>
      <c r="AV312" s="7" t="str">
        <f>IFERROR(VLOOKUP($AQ312,Mapping!$E$208:$K$236,5,0),"Contracts")</f>
        <v>Overhead</v>
      </c>
      <c r="AW312" s="7" t="str">
        <f>IFERROR(VLOOKUP($AQ312,Mapping!$E$208:$K$236,7,0),"ENDirect")</f>
        <v>OH</v>
      </c>
      <c r="AX312" s="7" t="str">
        <f>IFERROR(HLOOKUP(AV312,'Calc|Weightings'!$U$5:$W$5,1,0),"Excl")</f>
        <v>Excl</v>
      </c>
      <c r="AY312" s="7" t="str">
        <f>VLOOKUP(AO312,Mapping!$E$11:$I$204,5,0)</f>
        <v>SCS</v>
      </c>
    </row>
    <row r="313" spans="1:51" x14ac:dyDescent="0.3">
      <c r="A313" s="7"/>
      <c r="B313" s="7"/>
      <c r="C313" s="7"/>
      <c r="D313" s="7"/>
      <c r="E313" s="32" t="s">
        <v>166</v>
      </c>
      <c r="F313" s="32"/>
      <c r="G313" s="32">
        <v>71040</v>
      </c>
      <c r="H313" s="32" t="s">
        <v>460</v>
      </c>
      <c r="I313" s="33">
        <v>-3.6019999999999999</v>
      </c>
      <c r="J313" s="170"/>
      <c r="K313" s="7" t="str">
        <f>VLOOKUP($E313,Mapping!$E$11:$I$204,3,0)</f>
        <v>Replacement</v>
      </c>
      <c r="L313" s="7" t="str">
        <f>IFERROR(VLOOKUP($G313,Mapping!$E$208:$K$236,5,0),"Contracts")</f>
        <v>Contracts</v>
      </c>
      <c r="M313" s="7" t="str">
        <f>IFERROR(VLOOKUP($G313,Mapping!$E$208:$K$236,7,0),"ENDirect")</f>
        <v>ENDirect</v>
      </c>
      <c r="N313" s="7" t="str">
        <f>IFERROR(HLOOKUP(L313,'Calc|Weightings'!$U$5:$W$5,1,0),"Excl")</f>
        <v>Contracts</v>
      </c>
      <c r="O313" s="7" t="str">
        <f>VLOOKUP(E313,Mapping!$E$11:$I$204,5,0)</f>
        <v>SCS</v>
      </c>
      <c r="Q313" s="32" t="s">
        <v>112</v>
      </c>
      <c r="R313" s="32"/>
      <c r="S313" s="32">
        <v>80000</v>
      </c>
      <c r="T313" s="32" t="s">
        <v>453</v>
      </c>
      <c r="U313" s="33">
        <v>0.81</v>
      </c>
      <c r="V313" s="7"/>
      <c r="W313" s="7" t="str">
        <f>VLOOKUP($Q313,Mapping!$E$11:$I$204,3,0)</f>
        <v>Connections</v>
      </c>
      <c r="X313" s="7" t="str">
        <f>IFERROR(VLOOKUP($S313,Mapping!$E$208:$K$236,5,0),"Contracts")</f>
        <v>Overhead</v>
      </c>
      <c r="Y313" s="7" t="str">
        <f>IFERROR(VLOOKUP($S313,Mapping!$E$208:$K$236,7,0),"ENDirect")</f>
        <v>OH</v>
      </c>
      <c r="Z313" s="7" t="str">
        <f>IFERROR(HLOOKUP(X313,'Calc|Weightings'!$U$5:$W$5,1,0),"Excl")</f>
        <v>Excl</v>
      </c>
      <c r="AA313" s="7" t="str">
        <f>VLOOKUP(Q313,Mapping!$E$11:$I$204,5,0)</f>
        <v>SCS</v>
      </c>
      <c r="AC313" s="35" t="s">
        <v>547</v>
      </c>
      <c r="AD313" s="35"/>
      <c r="AE313" s="35">
        <v>71055</v>
      </c>
      <c r="AF313" s="35" t="s">
        <v>465</v>
      </c>
      <c r="AG313" s="36">
        <v>42.749000000000002</v>
      </c>
      <c r="AI313" s="7" t="str">
        <f>VLOOKUP($AC313,Mapping!$E$11:$I$204,3,0)</f>
        <v>Connections</v>
      </c>
      <c r="AJ313" s="7" t="str">
        <f>IFERROR(VLOOKUP($AE313,Mapping!$E$208:$K$236,5,0),"Contracts")</f>
        <v>Contracts</v>
      </c>
      <c r="AK313" s="7" t="str">
        <f>IFERROR(VLOOKUP($AE313,Mapping!$E$208:$K$236,7,0),"ENDirect")</f>
        <v>ENDirect</v>
      </c>
      <c r="AL313" s="7" t="str">
        <f>IFERROR(HLOOKUP(AJ313,'Calc|Weightings'!$U$5:$W$5,1,0),"Excl")</f>
        <v>Contracts</v>
      </c>
      <c r="AM313" s="7" t="str">
        <f>VLOOKUP(AC313,Mapping!$E$11:$I$204,5,0)</f>
        <v>SCS</v>
      </c>
      <c r="AO313" s="35" t="s">
        <v>148</v>
      </c>
      <c r="AP313" s="35"/>
      <c r="AQ313" s="35">
        <v>83010</v>
      </c>
      <c r="AR313" s="35" t="s">
        <v>591</v>
      </c>
      <c r="AS313" s="121">
        <v>79.97957000000001</v>
      </c>
      <c r="AU313" s="7" t="str">
        <f>VLOOKUP($AO313,Mapping!$E$11:$I$204,3,0)</f>
        <v>VBRC</v>
      </c>
      <c r="AV313" s="7" t="str">
        <f>IFERROR(VLOOKUP($AQ313,Mapping!$E$208:$K$236,5,0),"Contracts")</f>
        <v>Contracts</v>
      </c>
      <c r="AW313" s="7" t="str">
        <f>IFERROR(VLOOKUP($AQ313,Mapping!$E$208:$K$236,7,0),"ENDirect")</f>
        <v>ENDirect</v>
      </c>
      <c r="AX313" s="7" t="str">
        <f>IFERROR(HLOOKUP(AV313,'Calc|Weightings'!$U$5:$W$5,1,0),"Excl")</f>
        <v>Contracts</v>
      </c>
      <c r="AY313" s="7" t="str">
        <f>VLOOKUP(AO313,Mapping!$E$11:$I$204,5,0)</f>
        <v>SCS</v>
      </c>
    </row>
    <row r="314" spans="1:51" x14ac:dyDescent="0.3">
      <c r="A314" s="7"/>
      <c r="B314" s="7"/>
      <c r="C314" s="7"/>
      <c r="D314" s="7"/>
      <c r="E314" s="32" t="s">
        <v>167</v>
      </c>
      <c r="F314" s="32"/>
      <c r="G314" s="32">
        <v>71040</v>
      </c>
      <c r="H314" s="32" t="s">
        <v>460</v>
      </c>
      <c r="I314" s="33">
        <v>0</v>
      </c>
      <c r="J314" s="170"/>
      <c r="K314" s="7" t="str">
        <f>VLOOKUP($E314,Mapping!$E$11:$I$204,3,0)</f>
        <v>Replacement</v>
      </c>
      <c r="L314" s="7" t="str">
        <f>IFERROR(VLOOKUP($G314,Mapping!$E$208:$K$236,5,0),"Contracts")</f>
        <v>Contracts</v>
      </c>
      <c r="M314" s="7" t="str">
        <f>IFERROR(VLOOKUP($G314,Mapping!$E$208:$K$236,7,0),"ENDirect")</f>
        <v>ENDirect</v>
      </c>
      <c r="N314" s="7" t="str">
        <f>IFERROR(HLOOKUP(L314,'Calc|Weightings'!$U$5:$W$5,1,0),"Excl")</f>
        <v>Contracts</v>
      </c>
      <c r="O314" s="7" t="str">
        <f>VLOOKUP(E314,Mapping!$E$11:$I$204,5,0)</f>
        <v>SCS</v>
      </c>
      <c r="Q314" s="32" t="s">
        <v>103</v>
      </c>
      <c r="R314" s="32"/>
      <c r="S314" s="32">
        <v>71040</v>
      </c>
      <c r="T314" s="32" t="s">
        <v>460</v>
      </c>
      <c r="U314" s="33">
        <v>26</v>
      </c>
      <c r="V314" s="7"/>
      <c r="W314" s="7" t="str">
        <f>VLOOKUP($Q314,Mapping!$E$11:$I$204,3,0)</f>
        <v>Public Lighting</v>
      </c>
      <c r="X314" s="7" t="str">
        <f>IFERROR(VLOOKUP($S314,Mapping!$E$208:$K$236,5,0),"Contracts")</f>
        <v>Contracts</v>
      </c>
      <c r="Y314" s="7" t="str">
        <f>IFERROR(VLOOKUP($S314,Mapping!$E$208:$K$236,7,0),"ENDirect")</f>
        <v>ENDirect</v>
      </c>
      <c r="Z314" s="7" t="str">
        <f>IFERROR(HLOOKUP(X314,'Calc|Weightings'!$U$5:$W$5,1,0),"Excl")</f>
        <v>Contracts</v>
      </c>
      <c r="AA314" s="7" t="str">
        <f>VLOOKUP(Q314,Mapping!$E$11:$I$204,5,0)</f>
        <v>Public Lighting</v>
      </c>
      <c r="AC314" s="35" t="s">
        <v>547</v>
      </c>
      <c r="AD314" s="35"/>
      <c r="AE314" s="35">
        <v>80000</v>
      </c>
      <c r="AF314" s="35" t="s">
        <v>453</v>
      </c>
      <c r="AG314" s="36">
        <v>59.975999999999999</v>
      </c>
      <c r="AI314" s="7" t="str">
        <f>VLOOKUP($AC314,Mapping!$E$11:$I$204,3,0)</f>
        <v>Connections</v>
      </c>
      <c r="AJ314" s="7" t="str">
        <f>IFERROR(VLOOKUP($AE314,Mapping!$E$208:$K$236,5,0),"Contracts")</f>
        <v>Overhead</v>
      </c>
      <c r="AK314" s="7" t="str">
        <f>IFERROR(VLOOKUP($AE314,Mapping!$E$208:$K$236,7,0),"ENDirect")</f>
        <v>OH</v>
      </c>
      <c r="AL314" s="7" t="str">
        <f>IFERROR(HLOOKUP(AJ314,'Calc|Weightings'!$U$5:$W$5,1,0),"Excl")</f>
        <v>Excl</v>
      </c>
      <c r="AM314" s="7" t="str">
        <f>VLOOKUP(AC314,Mapping!$E$11:$I$204,5,0)</f>
        <v>SCS</v>
      </c>
      <c r="AO314" s="35" t="s">
        <v>149</v>
      </c>
      <c r="AP314" s="35"/>
      <c r="AQ314" s="35">
        <v>70815</v>
      </c>
      <c r="AR314" s="35" t="s">
        <v>594</v>
      </c>
      <c r="AS314" s="121">
        <v>203.5</v>
      </c>
      <c r="AU314" s="7" t="str">
        <f>VLOOKUP($AO314,Mapping!$E$11:$I$204,3,0)</f>
        <v>VBRC</v>
      </c>
      <c r="AV314" s="7" t="str">
        <f>IFERROR(VLOOKUP($AQ314,Mapping!$E$208:$K$236,5,0),"Contracts")</f>
        <v>Materials</v>
      </c>
      <c r="AW314" s="7" t="str">
        <f>IFERROR(VLOOKUP($AQ314,Mapping!$E$208:$K$236,7,0),"ENDirect")</f>
        <v>ENDirect</v>
      </c>
      <c r="AX314" s="7" t="str">
        <f>IFERROR(HLOOKUP(AV314,'Calc|Weightings'!$U$5:$W$5,1,0),"Excl")</f>
        <v>Materials</v>
      </c>
      <c r="AY314" s="7" t="str">
        <f>VLOOKUP(AO314,Mapping!$E$11:$I$204,5,0)</f>
        <v>SCS</v>
      </c>
    </row>
    <row r="315" spans="1:51" x14ac:dyDescent="0.3">
      <c r="A315" s="7"/>
      <c r="B315" s="7"/>
      <c r="C315" s="7"/>
      <c r="D315" s="7"/>
      <c r="E315" s="32" t="s">
        <v>168</v>
      </c>
      <c r="F315" s="32"/>
      <c r="G315" s="32">
        <v>71040</v>
      </c>
      <c r="H315" s="32" t="s">
        <v>460</v>
      </c>
      <c r="I315" s="33">
        <v>-6.5129999999999999</v>
      </c>
      <c r="J315" s="170"/>
      <c r="K315" s="7" t="str">
        <f>VLOOKUP($E315,Mapping!$E$11:$I$204,3,0)</f>
        <v>Replacement</v>
      </c>
      <c r="L315" s="7" t="str">
        <f>IFERROR(VLOOKUP($G315,Mapping!$E$208:$K$236,5,0),"Contracts")</f>
        <v>Contracts</v>
      </c>
      <c r="M315" s="7" t="str">
        <f>IFERROR(VLOOKUP($G315,Mapping!$E$208:$K$236,7,0),"ENDirect")</f>
        <v>ENDirect</v>
      </c>
      <c r="N315" s="7" t="str">
        <f>IFERROR(HLOOKUP(L315,'Calc|Weightings'!$U$5:$W$5,1,0),"Excl")</f>
        <v>Contracts</v>
      </c>
      <c r="O315" s="7" t="str">
        <f>VLOOKUP(E315,Mapping!$E$11:$I$204,5,0)</f>
        <v>SCS</v>
      </c>
      <c r="Q315" s="32" t="s">
        <v>145</v>
      </c>
      <c r="R315" s="32"/>
      <c r="S315" s="32">
        <v>71020</v>
      </c>
      <c r="T315" s="32" t="s">
        <v>459</v>
      </c>
      <c r="U315" s="33">
        <v>189.23699999999999</v>
      </c>
      <c r="V315" s="7"/>
      <c r="W315" s="7" t="str">
        <f>VLOOKUP($Q315,Mapping!$E$11:$I$204,3,0)</f>
        <v>Augmentation</v>
      </c>
      <c r="X315" s="7" t="str">
        <f>IFERROR(VLOOKUP($S315,Mapping!$E$208:$K$236,5,0),"Contracts")</f>
        <v>Contracts</v>
      </c>
      <c r="Y315" s="7" t="str">
        <f>IFERROR(VLOOKUP($S315,Mapping!$E$208:$K$236,7,0),"ENDirect")</f>
        <v>ENDirect</v>
      </c>
      <c r="Z315" s="7" t="str">
        <f>IFERROR(HLOOKUP(X315,'Calc|Weightings'!$U$5:$W$5,1,0),"Excl")</f>
        <v>Contracts</v>
      </c>
      <c r="AA315" s="7" t="str">
        <f>VLOOKUP(Q315,Mapping!$E$11:$I$204,5,0)</f>
        <v>SCS</v>
      </c>
      <c r="AC315" s="35" t="s">
        <v>551</v>
      </c>
      <c r="AD315" s="35"/>
      <c r="AE315" s="35">
        <v>72345</v>
      </c>
      <c r="AF315" s="35" t="s">
        <v>467</v>
      </c>
      <c r="AG315" s="36">
        <v>399.67599999999999</v>
      </c>
      <c r="AI315" s="7" t="str">
        <f>VLOOKUP($AC315,Mapping!$E$11:$I$204,3,0)</f>
        <v>Connections</v>
      </c>
      <c r="AJ315" s="7" t="str">
        <f>IFERROR(VLOOKUP($AE315,Mapping!$E$208:$K$236,5,0),"Contracts")</f>
        <v>Contracts</v>
      </c>
      <c r="AK315" s="7" t="str">
        <f>IFERROR(VLOOKUP($AE315,Mapping!$E$208:$K$236,7,0),"ENDirect")</f>
        <v>ENDirect</v>
      </c>
      <c r="AL315" s="7" t="str">
        <f>IFERROR(HLOOKUP(AJ315,'Calc|Weightings'!$U$5:$W$5,1,0),"Excl")</f>
        <v>Contracts</v>
      </c>
      <c r="AM315" s="7" t="str">
        <f>VLOOKUP(AC315,Mapping!$E$11:$I$204,5,0)</f>
        <v>SCS</v>
      </c>
      <c r="AO315" s="35" t="s">
        <v>149</v>
      </c>
      <c r="AP315" s="35"/>
      <c r="AQ315" s="35">
        <v>71000</v>
      </c>
      <c r="AR315" s="35" t="s">
        <v>457</v>
      </c>
      <c r="AS315" s="121">
        <v>10.035399999999999</v>
      </c>
      <c r="AU315" s="7" t="str">
        <f>VLOOKUP($AO315,Mapping!$E$11:$I$204,3,0)</f>
        <v>VBRC</v>
      </c>
      <c r="AV315" s="7" t="str">
        <f>IFERROR(VLOOKUP($AQ315,Mapping!$E$208:$K$236,5,0),"Contracts")</f>
        <v>Labour</v>
      </c>
      <c r="AW315" s="7" t="str">
        <f>IFERROR(VLOOKUP($AQ315,Mapping!$E$208:$K$236,7,0),"ENDirect")</f>
        <v>ENDirect</v>
      </c>
      <c r="AX315" s="7" t="str">
        <f>IFERROR(HLOOKUP(AV315,'Calc|Weightings'!$U$5:$W$5,1,0),"Excl")</f>
        <v>Labour</v>
      </c>
      <c r="AY315" s="7" t="str">
        <f>VLOOKUP(AO315,Mapping!$E$11:$I$204,5,0)</f>
        <v>SCS</v>
      </c>
    </row>
    <row r="316" spans="1:51" x14ac:dyDescent="0.3">
      <c r="A316" s="7"/>
      <c r="B316" s="7"/>
      <c r="C316" s="7"/>
      <c r="D316" s="7"/>
      <c r="E316" s="32" t="s">
        <v>171</v>
      </c>
      <c r="F316" s="32"/>
      <c r="G316" s="32">
        <v>71000</v>
      </c>
      <c r="H316" s="32" t="s">
        <v>457</v>
      </c>
      <c r="I316" s="33">
        <v>103.867</v>
      </c>
      <c r="J316" s="170"/>
      <c r="K316" s="7" t="str">
        <f>VLOOKUP($E316,Mapping!$E$11:$I$204,3,0)</f>
        <v>Replacement</v>
      </c>
      <c r="L316" s="7" t="str">
        <f>IFERROR(VLOOKUP($G316,Mapping!$E$208:$K$236,5,0),"Contracts")</f>
        <v>Labour</v>
      </c>
      <c r="M316" s="7" t="str">
        <f>IFERROR(VLOOKUP($G316,Mapping!$E$208:$K$236,7,0),"ENDirect")</f>
        <v>ENDirect</v>
      </c>
      <c r="N316" s="7" t="str">
        <f>IFERROR(HLOOKUP(L316,'Calc|Weightings'!$U$5:$W$5,1,0),"Excl")</f>
        <v>Labour</v>
      </c>
      <c r="O316" s="7" t="str">
        <f>VLOOKUP(E316,Mapping!$E$11:$I$204,5,0)</f>
        <v>SCS</v>
      </c>
      <c r="Q316" s="32" t="s">
        <v>145</v>
      </c>
      <c r="R316" s="32"/>
      <c r="S316" s="32">
        <v>71040</v>
      </c>
      <c r="T316" s="32" t="s">
        <v>460</v>
      </c>
      <c r="U316" s="33">
        <v>25.936</v>
      </c>
      <c r="V316" s="7"/>
      <c r="W316" s="7" t="str">
        <f>VLOOKUP($Q316,Mapping!$E$11:$I$204,3,0)</f>
        <v>Augmentation</v>
      </c>
      <c r="X316" s="7" t="str">
        <f>IFERROR(VLOOKUP($S316,Mapping!$E$208:$K$236,5,0),"Contracts")</f>
        <v>Contracts</v>
      </c>
      <c r="Y316" s="7" t="str">
        <f>IFERROR(VLOOKUP($S316,Mapping!$E$208:$K$236,7,0),"ENDirect")</f>
        <v>ENDirect</v>
      </c>
      <c r="Z316" s="7" t="str">
        <f>IFERROR(HLOOKUP(X316,'Calc|Weightings'!$U$5:$W$5,1,0),"Excl")</f>
        <v>Contracts</v>
      </c>
      <c r="AA316" s="7" t="str">
        <f>VLOOKUP(Q316,Mapping!$E$11:$I$204,5,0)</f>
        <v>SCS</v>
      </c>
      <c r="AC316" s="35" t="s">
        <v>162</v>
      </c>
      <c r="AD316" s="35"/>
      <c r="AE316" s="35">
        <v>71045</v>
      </c>
      <c r="AF316" s="35" t="s">
        <v>469</v>
      </c>
      <c r="AG316" s="36">
        <v>42.768000000000001</v>
      </c>
      <c r="AI316" s="7" t="str">
        <f>VLOOKUP($AC316,Mapping!$E$11:$I$204,3,0)</f>
        <v>Replacement</v>
      </c>
      <c r="AJ316" s="7" t="str">
        <f>IFERROR(VLOOKUP($AE316,Mapping!$E$208:$K$236,5,0),"Contracts")</f>
        <v>Materials</v>
      </c>
      <c r="AK316" s="7" t="str">
        <f>IFERROR(VLOOKUP($AE316,Mapping!$E$208:$K$236,7,0),"ENDirect")</f>
        <v>ENDirect</v>
      </c>
      <c r="AL316" s="7" t="str">
        <f>IFERROR(HLOOKUP(AJ316,'Calc|Weightings'!$U$5:$W$5,1,0),"Excl")</f>
        <v>Materials</v>
      </c>
      <c r="AM316" s="7" t="str">
        <f>VLOOKUP(AC316,Mapping!$E$11:$I$204,5,0)</f>
        <v>SCS</v>
      </c>
      <c r="AO316" s="35" t="s">
        <v>149</v>
      </c>
      <c r="AP316" s="35"/>
      <c r="AQ316" s="35">
        <v>71005</v>
      </c>
      <c r="AR316" s="35" t="s">
        <v>461</v>
      </c>
      <c r="AS316" s="121">
        <v>1.6805699999999997</v>
      </c>
      <c r="AU316" s="7" t="str">
        <f>VLOOKUP($AO316,Mapping!$E$11:$I$204,3,0)</f>
        <v>VBRC</v>
      </c>
      <c r="AV316" s="7" t="str">
        <f>IFERROR(VLOOKUP($AQ316,Mapping!$E$208:$K$236,5,0),"Contracts")</f>
        <v>Materials</v>
      </c>
      <c r="AW316" s="7" t="str">
        <f>IFERROR(VLOOKUP($AQ316,Mapping!$E$208:$K$236,7,0),"ENDirect")</f>
        <v>ENDirect</v>
      </c>
      <c r="AX316" s="7" t="str">
        <f>IFERROR(HLOOKUP(AV316,'Calc|Weightings'!$U$5:$W$5,1,0),"Excl")</f>
        <v>Materials</v>
      </c>
      <c r="AY316" s="7" t="str">
        <f>VLOOKUP(AO316,Mapping!$E$11:$I$204,5,0)</f>
        <v>SCS</v>
      </c>
    </row>
    <row r="317" spans="1:51" x14ac:dyDescent="0.3">
      <c r="A317" s="7"/>
      <c r="B317" s="7"/>
      <c r="C317" s="7"/>
      <c r="D317" s="7"/>
      <c r="E317" s="32" t="s">
        <v>171</v>
      </c>
      <c r="F317" s="32"/>
      <c r="G317" s="32">
        <v>71006</v>
      </c>
      <c r="H317" s="32" t="s">
        <v>468</v>
      </c>
      <c r="I317" s="33">
        <v>428.04300000000001</v>
      </c>
      <c r="J317" s="170"/>
      <c r="K317" s="7" t="str">
        <f>VLOOKUP($E317,Mapping!$E$11:$I$204,3,0)</f>
        <v>Replacement</v>
      </c>
      <c r="L317" s="7" t="str">
        <f>IFERROR(VLOOKUP($G317,Mapping!$E$208:$K$236,5,0),"Contracts")</f>
        <v>Materials</v>
      </c>
      <c r="M317" s="7" t="str">
        <f>IFERROR(VLOOKUP($G317,Mapping!$E$208:$K$236,7,0),"ENDirect")</f>
        <v>ENDirect</v>
      </c>
      <c r="N317" s="7" t="str">
        <f>IFERROR(HLOOKUP(L317,'Calc|Weightings'!$U$5:$W$5,1,0),"Excl")</f>
        <v>Materials</v>
      </c>
      <c r="O317" s="7" t="str">
        <f>VLOOKUP(E317,Mapping!$E$11:$I$204,5,0)</f>
        <v>SCS</v>
      </c>
      <c r="Q317" s="32" t="s">
        <v>546</v>
      </c>
      <c r="R317" s="32"/>
      <c r="S317" s="32">
        <v>72345</v>
      </c>
      <c r="T317" s="32" t="s">
        <v>467</v>
      </c>
      <c r="U317" s="33">
        <v>105.714</v>
      </c>
      <c r="V317" s="7"/>
      <c r="W317" s="7" t="str">
        <f>VLOOKUP($Q317,Mapping!$E$11:$I$204,3,0)</f>
        <v>Connections</v>
      </c>
      <c r="X317" s="7" t="str">
        <f>IFERROR(VLOOKUP($S317,Mapping!$E$208:$K$236,5,0),"Contracts")</f>
        <v>Contracts</v>
      </c>
      <c r="Y317" s="7" t="str">
        <f>IFERROR(VLOOKUP($S317,Mapping!$E$208:$K$236,7,0),"ENDirect")</f>
        <v>ENDirect</v>
      </c>
      <c r="Z317" s="7" t="str">
        <f>IFERROR(HLOOKUP(X317,'Calc|Weightings'!$U$5:$W$5,1,0),"Excl")</f>
        <v>Contracts</v>
      </c>
      <c r="AA317" s="7" t="str">
        <f>VLOOKUP(Q317,Mapping!$E$11:$I$204,5,0)</f>
        <v>SCS</v>
      </c>
      <c r="AC317" s="35" t="s">
        <v>210</v>
      </c>
      <c r="AD317" s="35"/>
      <c r="AE317" s="35">
        <v>70815</v>
      </c>
      <c r="AF317" s="35" t="s">
        <v>451</v>
      </c>
      <c r="AG317" s="36">
        <v>316.75299999999999</v>
      </c>
      <c r="AI317" s="7" t="str">
        <f>VLOOKUP($AC317,Mapping!$E$11:$I$204,3,0)</f>
        <v>Replacement</v>
      </c>
      <c r="AJ317" s="7" t="str">
        <f>IFERROR(VLOOKUP($AE317,Mapping!$E$208:$K$236,5,0),"Contracts")</f>
        <v>Materials</v>
      </c>
      <c r="AK317" s="7" t="str">
        <f>IFERROR(VLOOKUP($AE317,Mapping!$E$208:$K$236,7,0),"ENDirect")</f>
        <v>ENDirect</v>
      </c>
      <c r="AL317" s="7" t="str">
        <f>IFERROR(HLOOKUP(AJ317,'Calc|Weightings'!$U$5:$W$5,1,0),"Excl")</f>
        <v>Materials</v>
      </c>
      <c r="AM317" s="7" t="str">
        <f>VLOOKUP(AC317,Mapping!$E$11:$I$204,5,0)</f>
        <v>SCS</v>
      </c>
      <c r="AO317" s="35" t="s">
        <v>149</v>
      </c>
      <c r="AP317" s="35"/>
      <c r="AQ317" s="35">
        <v>71010</v>
      </c>
      <c r="AR317" s="35" t="s">
        <v>487</v>
      </c>
      <c r="AS317" s="121">
        <v>3.1278800000000002</v>
      </c>
      <c r="AU317" s="7" t="str">
        <f>VLOOKUP($AO317,Mapping!$E$11:$I$204,3,0)</f>
        <v>VBRC</v>
      </c>
      <c r="AV317" s="7" t="str">
        <f>IFERROR(VLOOKUP($AQ317,Mapping!$E$208:$K$236,5,0),"Contracts")</f>
        <v>Labour</v>
      </c>
      <c r="AW317" s="7" t="str">
        <f>IFERROR(VLOOKUP($AQ317,Mapping!$E$208:$K$236,7,0),"ENDirect")</f>
        <v>ENDirect</v>
      </c>
      <c r="AX317" s="7" t="str">
        <f>IFERROR(HLOOKUP(AV317,'Calc|Weightings'!$U$5:$W$5,1,0),"Excl")</f>
        <v>Labour</v>
      </c>
      <c r="AY317" s="7" t="str">
        <f>VLOOKUP(AO317,Mapping!$E$11:$I$204,5,0)</f>
        <v>SCS</v>
      </c>
    </row>
    <row r="318" spans="1:51" x14ac:dyDescent="0.3">
      <c r="A318" s="7"/>
      <c r="B318" s="7"/>
      <c r="C318" s="7"/>
      <c r="D318" s="7"/>
      <c r="E318" s="32" t="s">
        <v>171</v>
      </c>
      <c r="F318" s="32"/>
      <c r="G318" s="32">
        <v>71010</v>
      </c>
      <c r="H318" s="32" t="s">
        <v>462</v>
      </c>
      <c r="I318" s="33">
        <v>38.548000000000002</v>
      </c>
      <c r="J318" s="170"/>
      <c r="K318" s="7" t="str">
        <f>VLOOKUP($E318,Mapping!$E$11:$I$204,3,0)</f>
        <v>Replacement</v>
      </c>
      <c r="L318" s="7" t="str">
        <f>IFERROR(VLOOKUP($G318,Mapping!$E$208:$K$236,5,0),"Contracts")</f>
        <v>Labour</v>
      </c>
      <c r="M318" s="7" t="str">
        <f>IFERROR(VLOOKUP($G318,Mapping!$E$208:$K$236,7,0),"ENDirect")</f>
        <v>ENDirect</v>
      </c>
      <c r="N318" s="7" t="str">
        <f>IFERROR(HLOOKUP(L318,'Calc|Weightings'!$U$5:$W$5,1,0),"Excl")</f>
        <v>Labour</v>
      </c>
      <c r="O318" s="7" t="str">
        <f>VLOOKUP(E318,Mapping!$E$11:$I$204,5,0)</f>
        <v>SCS</v>
      </c>
      <c r="Q318" s="32" t="s">
        <v>113</v>
      </c>
      <c r="R318" s="32"/>
      <c r="S318" s="32">
        <v>72345</v>
      </c>
      <c r="T318" s="32" t="s">
        <v>467</v>
      </c>
      <c r="U318" s="33">
        <v>594.89</v>
      </c>
      <c r="V318" s="7"/>
      <c r="W318" s="7" t="str">
        <f>VLOOKUP($Q318,Mapping!$E$11:$I$204,3,0)</f>
        <v>Connections</v>
      </c>
      <c r="X318" s="7" t="str">
        <f>IFERROR(VLOOKUP($S318,Mapping!$E$208:$K$236,5,0),"Contracts")</f>
        <v>Contracts</v>
      </c>
      <c r="Y318" s="7" t="str">
        <f>IFERROR(VLOOKUP($S318,Mapping!$E$208:$K$236,7,0),"ENDirect")</f>
        <v>ENDirect</v>
      </c>
      <c r="Z318" s="7" t="str">
        <f>IFERROR(HLOOKUP(X318,'Calc|Weightings'!$U$5:$W$5,1,0),"Excl")</f>
        <v>Contracts</v>
      </c>
      <c r="AA318" s="7" t="str">
        <f>VLOOKUP(Q318,Mapping!$E$11:$I$204,5,0)</f>
        <v>SCS</v>
      </c>
      <c r="AC318" s="35" t="s">
        <v>210</v>
      </c>
      <c r="AD318" s="35"/>
      <c r="AE318" s="35">
        <v>71020</v>
      </c>
      <c r="AF318" s="35" t="s">
        <v>459</v>
      </c>
      <c r="AG318" s="36">
        <v>101.559</v>
      </c>
      <c r="AI318" s="7" t="str">
        <f>VLOOKUP($AC318,Mapping!$E$11:$I$204,3,0)</f>
        <v>Replacement</v>
      </c>
      <c r="AJ318" s="7" t="str">
        <f>IFERROR(VLOOKUP($AE318,Mapping!$E$208:$K$236,5,0),"Contracts")</f>
        <v>Contracts</v>
      </c>
      <c r="AK318" s="7" t="str">
        <f>IFERROR(VLOOKUP($AE318,Mapping!$E$208:$K$236,7,0),"ENDirect")</f>
        <v>ENDirect</v>
      </c>
      <c r="AL318" s="7" t="str">
        <f>IFERROR(HLOOKUP(AJ318,'Calc|Weightings'!$U$5:$W$5,1,0),"Excl")</f>
        <v>Contracts</v>
      </c>
      <c r="AM318" s="7" t="str">
        <f>VLOOKUP(AC318,Mapping!$E$11:$I$204,5,0)</f>
        <v>SCS</v>
      </c>
      <c r="AO318" s="35" t="s">
        <v>149</v>
      </c>
      <c r="AP318" s="35"/>
      <c r="AQ318" s="35">
        <v>71015</v>
      </c>
      <c r="AR318" s="35" t="s">
        <v>585</v>
      </c>
      <c r="AS318" s="121">
        <v>0.90615999999999997</v>
      </c>
      <c r="AU318" s="7" t="str">
        <f>VLOOKUP($AO318,Mapping!$E$11:$I$204,3,0)</f>
        <v>VBRC</v>
      </c>
      <c r="AV318" s="7" t="str">
        <f>IFERROR(VLOOKUP($AQ318,Mapping!$E$208:$K$236,5,0),"Contracts")</f>
        <v>Materials</v>
      </c>
      <c r="AW318" s="7" t="str">
        <f>IFERROR(VLOOKUP($AQ318,Mapping!$E$208:$K$236,7,0),"ENDirect")</f>
        <v>ENDirect</v>
      </c>
      <c r="AX318" s="7" t="str">
        <f>IFERROR(HLOOKUP(AV318,'Calc|Weightings'!$U$5:$W$5,1,0),"Excl")</f>
        <v>Materials</v>
      </c>
      <c r="AY318" s="7" t="str">
        <f>VLOOKUP(AO318,Mapping!$E$11:$I$204,5,0)</f>
        <v>SCS</v>
      </c>
    </row>
    <row r="319" spans="1:51" x14ac:dyDescent="0.3">
      <c r="A319" s="7"/>
      <c r="B319" s="7"/>
      <c r="C319" s="7"/>
      <c r="D319" s="7"/>
      <c r="E319" s="32" t="s">
        <v>171</v>
      </c>
      <c r="F319" s="32"/>
      <c r="G319" s="32">
        <v>71015</v>
      </c>
      <c r="H319" s="32" t="s">
        <v>463</v>
      </c>
      <c r="I319" s="33">
        <v>31.922999999999998</v>
      </c>
      <c r="J319" s="170"/>
      <c r="K319" s="7" t="str">
        <f>VLOOKUP($E319,Mapping!$E$11:$I$204,3,0)</f>
        <v>Replacement</v>
      </c>
      <c r="L319" s="7" t="str">
        <f>IFERROR(VLOOKUP($G319,Mapping!$E$208:$K$236,5,0),"Contracts")</f>
        <v>Materials</v>
      </c>
      <c r="M319" s="7" t="str">
        <f>IFERROR(VLOOKUP($G319,Mapping!$E$208:$K$236,7,0),"ENDirect")</f>
        <v>ENDirect</v>
      </c>
      <c r="N319" s="7" t="str">
        <f>IFERROR(HLOOKUP(L319,'Calc|Weightings'!$U$5:$W$5,1,0),"Excl")</f>
        <v>Materials</v>
      </c>
      <c r="O319" s="7" t="str">
        <f>VLOOKUP(E319,Mapping!$E$11:$I$204,5,0)</f>
        <v>SCS</v>
      </c>
      <c r="Q319" s="32" t="s">
        <v>118</v>
      </c>
      <c r="R319" s="32"/>
      <c r="S319" s="32">
        <v>71006</v>
      </c>
      <c r="T319" s="32" t="s">
        <v>468</v>
      </c>
      <c r="U319" s="33">
        <v>84.387</v>
      </c>
      <c r="V319" s="7"/>
      <c r="W319" s="7" t="str">
        <f>VLOOKUP($Q319,Mapping!$E$11:$I$204,3,0)</f>
        <v>Connections</v>
      </c>
      <c r="X319" s="7" t="str">
        <f>IFERROR(VLOOKUP($S319,Mapping!$E$208:$K$236,5,0),"Contracts")</f>
        <v>Materials</v>
      </c>
      <c r="Y319" s="7" t="str">
        <f>IFERROR(VLOOKUP($S319,Mapping!$E$208:$K$236,7,0),"ENDirect")</f>
        <v>ENDirect</v>
      </c>
      <c r="Z319" s="7" t="str">
        <f>IFERROR(HLOOKUP(X319,'Calc|Weightings'!$U$5:$W$5,1,0),"Excl")</f>
        <v>Materials</v>
      </c>
      <c r="AA319" s="7" t="str">
        <f>VLOOKUP(Q319,Mapping!$E$11:$I$204,5,0)</f>
        <v>SCS</v>
      </c>
      <c r="AC319" s="35" t="s">
        <v>210</v>
      </c>
      <c r="AD319" s="35"/>
      <c r="AE319" s="35">
        <v>80000</v>
      </c>
      <c r="AF319" s="35" t="s">
        <v>453</v>
      </c>
      <c r="AG319" s="36">
        <v>558.65899999999999</v>
      </c>
      <c r="AI319" s="7" t="str">
        <f>VLOOKUP($AC319,Mapping!$E$11:$I$204,3,0)</f>
        <v>Replacement</v>
      </c>
      <c r="AJ319" s="7" t="str">
        <f>IFERROR(VLOOKUP($AE319,Mapping!$E$208:$K$236,5,0),"Contracts")</f>
        <v>Overhead</v>
      </c>
      <c r="AK319" s="7" t="str">
        <f>IFERROR(VLOOKUP($AE319,Mapping!$E$208:$K$236,7,0),"ENDirect")</f>
        <v>OH</v>
      </c>
      <c r="AL319" s="7" t="str">
        <f>IFERROR(HLOOKUP(AJ319,'Calc|Weightings'!$U$5:$W$5,1,0),"Excl")</f>
        <v>Excl</v>
      </c>
      <c r="AM319" s="7" t="str">
        <f>VLOOKUP(AC319,Mapping!$E$11:$I$204,5,0)</f>
        <v>SCS</v>
      </c>
      <c r="AO319" s="35" t="s">
        <v>149</v>
      </c>
      <c r="AP319" s="35"/>
      <c r="AQ319" s="35">
        <v>71030</v>
      </c>
      <c r="AR319" s="35" t="s">
        <v>464</v>
      </c>
      <c r="AS319" s="121">
        <v>1.2330499999999998</v>
      </c>
      <c r="AU319" s="7" t="str">
        <f>VLOOKUP($AO319,Mapping!$E$11:$I$204,3,0)</f>
        <v>VBRC</v>
      </c>
      <c r="AV319" s="7" t="str">
        <f>IFERROR(VLOOKUP($AQ319,Mapping!$E$208:$K$236,5,0),"Contracts")</f>
        <v>Contracts</v>
      </c>
      <c r="AW319" s="7" t="str">
        <f>IFERROR(VLOOKUP($AQ319,Mapping!$E$208:$K$236,7,0),"ENDirect")</f>
        <v>ENDirect</v>
      </c>
      <c r="AX319" s="7" t="str">
        <f>IFERROR(HLOOKUP(AV319,'Calc|Weightings'!$U$5:$W$5,1,0),"Excl")</f>
        <v>Contracts</v>
      </c>
      <c r="AY319" s="7" t="str">
        <f>VLOOKUP(AO319,Mapping!$E$11:$I$204,5,0)</f>
        <v>SCS</v>
      </c>
    </row>
    <row r="320" spans="1:51" x14ac:dyDescent="0.3">
      <c r="A320" s="7"/>
      <c r="B320" s="7"/>
      <c r="C320" s="7"/>
      <c r="D320" s="7"/>
      <c r="E320" s="32" t="s">
        <v>171</v>
      </c>
      <c r="F320" s="32"/>
      <c r="G320" s="32">
        <v>71030</v>
      </c>
      <c r="H320" s="32" t="s">
        <v>464</v>
      </c>
      <c r="I320" s="33">
        <v>13.138</v>
      </c>
      <c r="J320" s="170"/>
      <c r="K320" s="7" t="str">
        <f>VLOOKUP($E320,Mapping!$E$11:$I$204,3,0)</f>
        <v>Replacement</v>
      </c>
      <c r="L320" s="7" t="str">
        <f>IFERROR(VLOOKUP($G320,Mapping!$E$208:$K$236,5,0),"Contracts")</f>
        <v>Contracts</v>
      </c>
      <c r="M320" s="7" t="str">
        <f>IFERROR(VLOOKUP($G320,Mapping!$E$208:$K$236,7,0),"ENDirect")</f>
        <v>ENDirect</v>
      </c>
      <c r="N320" s="7" t="str">
        <f>IFERROR(HLOOKUP(L320,'Calc|Weightings'!$U$5:$W$5,1,0),"Excl")</f>
        <v>Contracts</v>
      </c>
      <c r="O320" s="7" t="str">
        <f>VLOOKUP(E320,Mapping!$E$11:$I$204,5,0)</f>
        <v>SCS</v>
      </c>
      <c r="Q320" s="32" t="s">
        <v>550</v>
      </c>
      <c r="R320" s="32"/>
      <c r="S320" s="32">
        <v>71020</v>
      </c>
      <c r="T320" s="32" t="s">
        <v>459</v>
      </c>
      <c r="U320" s="33">
        <v>19.145</v>
      </c>
      <c r="V320" s="7"/>
      <c r="W320" s="7" t="str">
        <f>VLOOKUP($Q320,Mapping!$E$11:$I$204,3,0)</f>
        <v>Connections</v>
      </c>
      <c r="X320" s="7" t="str">
        <f>IFERROR(VLOOKUP($S320,Mapping!$E$208:$K$236,5,0),"Contracts")</f>
        <v>Contracts</v>
      </c>
      <c r="Y320" s="7" t="str">
        <f>IFERROR(VLOOKUP($S320,Mapping!$E$208:$K$236,7,0),"ENDirect")</f>
        <v>ENDirect</v>
      </c>
      <c r="Z320" s="7" t="str">
        <f>IFERROR(HLOOKUP(X320,'Calc|Weightings'!$U$5:$W$5,1,0),"Excl")</f>
        <v>Contracts</v>
      </c>
      <c r="AA320" s="7" t="str">
        <f>VLOOKUP(Q320,Mapping!$E$11:$I$204,5,0)</f>
        <v>SCS</v>
      </c>
      <c r="AC320" s="35" t="s">
        <v>162</v>
      </c>
      <c r="AD320" s="35"/>
      <c r="AE320" s="35">
        <v>71130</v>
      </c>
      <c r="AF320" s="35" t="s">
        <v>482</v>
      </c>
      <c r="AG320" s="36">
        <v>30.745000000000001</v>
      </c>
      <c r="AI320" s="7" t="str">
        <f>VLOOKUP($AC320,Mapping!$E$11:$I$204,3,0)</f>
        <v>Replacement</v>
      </c>
      <c r="AJ320" s="7" t="str">
        <f>IFERROR(VLOOKUP($AE320,Mapping!$E$208:$K$236,5,0),"Contracts")</f>
        <v>Contracts</v>
      </c>
      <c r="AK320" s="7" t="str">
        <f>IFERROR(VLOOKUP($AE320,Mapping!$E$208:$K$236,7,0),"ENDirect")</f>
        <v>ENDirect</v>
      </c>
      <c r="AL320" s="7" t="str">
        <f>IFERROR(HLOOKUP(AJ320,'Calc|Weightings'!$U$5:$W$5,1,0),"Excl")</f>
        <v>Contracts</v>
      </c>
      <c r="AM320" s="7" t="str">
        <f>VLOOKUP(AC320,Mapping!$E$11:$I$204,5,0)</f>
        <v>SCS</v>
      </c>
      <c r="AO320" s="35" t="s">
        <v>149</v>
      </c>
      <c r="AP320" s="35"/>
      <c r="AQ320" s="35">
        <v>71055</v>
      </c>
      <c r="AR320" s="35" t="s">
        <v>465</v>
      </c>
      <c r="AS320" s="121">
        <v>1.8640500000000002</v>
      </c>
      <c r="AU320" s="7" t="str">
        <f>VLOOKUP($AO320,Mapping!$E$11:$I$204,3,0)</f>
        <v>VBRC</v>
      </c>
      <c r="AV320" s="7" t="str">
        <f>IFERROR(VLOOKUP($AQ320,Mapping!$E$208:$K$236,5,0),"Contracts")</f>
        <v>Contracts</v>
      </c>
      <c r="AW320" s="7" t="str">
        <f>IFERROR(VLOOKUP($AQ320,Mapping!$E$208:$K$236,7,0),"ENDirect")</f>
        <v>ENDirect</v>
      </c>
      <c r="AX320" s="7" t="str">
        <f>IFERROR(HLOOKUP(AV320,'Calc|Weightings'!$U$5:$W$5,1,0),"Excl")</f>
        <v>Contracts</v>
      </c>
      <c r="AY320" s="7" t="str">
        <f>VLOOKUP(AO320,Mapping!$E$11:$I$204,5,0)</f>
        <v>SCS</v>
      </c>
    </row>
    <row r="321" spans="1:51" x14ac:dyDescent="0.3">
      <c r="A321" s="7"/>
      <c r="B321" s="7"/>
      <c r="C321" s="7"/>
      <c r="D321" s="7"/>
      <c r="E321" s="32" t="s">
        <v>171</v>
      </c>
      <c r="F321" s="32"/>
      <c r="G321" s="32">
        <v>71055</v>
      </c>
      <c r="H321" s="32" t="s">
        <v>465</v>
      </c>
      <c r="I321" s="33">
        <v>24.123999999999999</v>
      </c>
      <c r="J321" s="170"/>
      <c r="K321" s="7" t="str">
        <f>VLOOKUP($E321,Mapping!$E$11:$I$204,3,0)</f>
        <v>Replacement</v>
      </c>
      <c r="L321" s="7" t="str">
        <f>IFERROR(VLOOKUP($G321,Mapping!$E$208:$K$236,5,0),"Contracts")</f>
        <v>Contracts</v>
      </c>
      <c r="M321" s="7" t="str">
        <f>IFERROR(VLOOKUP($G321,Mapping!$E$208:$K$236,7,0),"ENDirect")</f>
        <v>ENDirect</v>
      </c>
      <c r="N321" s="7" t="str">
        <f>IFERROR(HLOOKUP(L321,'Calc|Weightings'!$U$5:$W$5,1,0),"Excl")</f>
        <v>Contracts</v>
      </c>
      <c r="O321" s="7" t="str">
        <f>VLOOKUP(E321,Mapping!$E$11:$I$204,5,0)</f>
        <v>SCS</v>
      </c>
      <c r="Q321" s="32" t="s">
        <v>268</v>
      </c>
      <c r="R321" s="32"/>
      <c r="S321" s="32">
        <v>71020</v>
      </c>
      <c r="T321" s="32" t="s">
        <v>459</v>
      </c>
      <c r="U321" s="33">
        <v>-29.645</v>
      </c>
      <c r="V321" s="7"/>
      <c r="W321" s="7" t="str">
        <f>VLOOKUP($Q321,Mapping!$E$11:$I$204,3,0)</f>
        <v>Replacement</v>
      </c>
      <c r="X321" s="7" t="str">
        <f>IFERROR(VLOOKUP($S321,Mapping!$E$208:$K$236,5,0),"Contracts")</f>
        <v>Contracts</v>
      </c>
      <c r="Y321" s="7" t="str">
        <f>IFERROR(VLOOKUP($S321,Mapping!$E$208:$K$236,7,0),"ENDirect")</f>
        <v>ENDirect</v>
      </c>
      <c r="Z321" s="7" t="str">
        <f>IFERROR(HLOOKUP(X321,'Calc|Weightings'!$U$5:$W$5,1,0),"Excl")</f>
        <v>Contracts</v>
      </c>
      <c r="AA321" s="7" t="str">
        <f>VLOOKUP(Q321,Mapping!$E$11:$I$204,5,0)</f>
        <v>SCS</v>
      </c>
      <c r="AC321" s="35" t="s">
        <v>161</v>
      </c>
      <c r="AD321" s="35"/>
      <c r="AE321" s="35">
        <v>70815</v>
      </c>
      <c r="AF321" s="35" t="s">
        <v>451</v>
      </c>
      <c r="AG321" s="36">
        <v>1310.463</v>
      </c>
      <c r="AI321" s="7" t="str">
        <f>VLOOKUP($AC321,Mapping!$E$11:$I$204,3,0)</f>
        <v>Augmentation</v>
      </c>
      <c r="AJ321" s="7" t="str">
        <f>IFERROR(VLOOKUP($AE321,Mapping!$E$208:$K$236,5,0),"Contracts")</f>
        <v>Materials</v>
      </c>
      <c r="AK321" s="7" t="str">
        <f>IFERROR(VLOOKUP($AE321,Mapping!$E$208:$K$236,7,0),"ENDirect")</f>
        <v>ENDirect</v>
      </c>
      <c r="AL321" s="7" t="str">
        <f>IFERROR(HLOOKUP(AJ321,'Calc|Weightings'!$U$5:$W$5,1,0),"Excl")</f>
        <v>Materials</v>
      </c>
      <c r="AM321" s="7" t="str">
        <f>VLOOKUP(AC321,Mapping!$E$11:$I$204,5,0)</f>
        <v>SCS</v>
      </c>
      <c r="AO321" s="35" t="s">
        <v>149</v>
      </c>
      <c r="AP321" s="35"/>
      <c r="AQ321" s="35">
        <v>71070</v>
      </c>
      <c r="AR321" s="35" t="s">
        <v>586</v>
      </c>
      <c r="AS321" s="121">
        <v>0.68335999999999986</v>
      </c>
      <c r="AU321" s="7" t="str">
        <f>VLOOKUP($AO321,Mapping!$E$11:$I$204,3,0)</f>
        <v>VBRC</v>
      </c>
      <c r="AV321" s="7" t="str">
        <f>IFERROR(VLOOKUP($AQ321,Mapping!$E$208:$K$236,5,0),"Contracts")</f>
        <v>Contracts</v>
      </c>
      <c r="AW321" s="7" t="str">
        <f>IFERROR(VLOOKUP($AQ321,Mapping!$E$208:$K$236,7,0),"ENDirect")</f>
        <v>ENDirect</v>
      </c>
      <c r="AX321" s="7" t="str">
        <f>IFERROR(HLOOKUP(AV321,'Calc|Weightings'!$U$5:$W$5,1,0),"Excl")</f>
        <v>Contracts</v>
      </c>
      <c r="AY321" s="7" t="str">
        <f>VLOOKUP(AO321,Mapping!$E$11:$I$204,5,0)</f>
        <v>SCS</v>
      </c>
    </row>
    <row r="322" spans="1:51" x14ac:dyDescent="0.3">
      <c r="A322" s="7"/>
      <c r="B322" s="7"/>
      <c r="C322" s="7"/>
      <c r="D322" s="7"/>
      <c r="E322" s="32" t="s">
        <v>172</v>
      </c>
      <c r="F322" s="32"/>
      <c r="G322" s="32">
        <v>71040</v>
      </c>
      <c r="H322" s="32" t="s">
        <v>460</v>
      </c>
      <c r="I322" s="33">
        <v>-4.7300000000000004</v>
      </c>
      <c r="J322" s="170"/>
      <c r="K322" s="7" t="str">
        <f>VLOOKUP($E322,Mapping!$E$11:$I$204,3,0)</f>
        <v>Replacement</v>
      </c>
      <c r="L322" s="7" t="str">
        <f>IFERROR(VLOOKUP($G322,Mapping!$E$208:$K$236,5,0),"Contracts")</f>
        <v>Contracts</v>
      </c>
      <c r="M322" s="7" t="str">
        <f>IFERROR(VLOOKUP($G322,Mapping!$E$208:$K$236,7,0),"ENDirect")</f>
        <v>ENDirect</v>
      </c>
      <c r="N322" s="7" t="str">
        <f>IFERROR(HLOOKUP(L322,'Calc|Weightings'!$U$5:$W$5,1,0),"Excl")</f>
        <v>Contracts</v>
      </c>
      <c r="O322" s="7" t="str">
        <f>VLOOKUP(E322,Mapping!$E$11:$I$204,5,0)</f>
        <v>SCS</v>
      </c>
      <c r="Q322" s="32" t="s">
        <v>125</v>
      </c>
      <c r="R322" s="32"/>
      <c r="S322" s="32">
        <v>71015</v>
      </c>
      <c r="T322" s="32" t="s">
        <v>463</v>
      </c>
      <c r="U322" s="33">
        <v>106.858</v>
      </c>
      <c r="V322" s="7"/>
      <c r="W322" s="7" t="str">
        <f>VLOOKUP($Q322,Mapping!$E$11:$I$204,3,0)</f>
        <v>Augmentation</v>
      </c>
      <c r="X322" s="7" t="str">
        <f>IFERROR(VLOOKUP($S322,Mapping!$E$208:$K$236,5,0),"Contracts")</f>
        <v>Materials</v>
      </c>
      <c r="Y322" s="7" t="str">
        <f>IFERROR(VLOOKUP($S322,Mapping!$E$208:$K$236,7,0),"ENDirect")</f>
        <v>ENDirect</v>
      </c>
      <c r="Z322" s="7" t="str">
        <f>IFERROR(HLOOKUP(X322,'Calc|Weightings'!$U$5:$W$5,1,0),"Excl")</f>
        <v>Materials</v>
      </c>
      <c r="AA322" s="7" t="str">
        <f>VLOOKUP(Q322,Mapping!$E$11:$I$204,5,0)</f>
        <v>SCS</v>
      </c>
      <c r="AC322" s="35" t="s">
        <v>161</v>
      </c>
      <c r="AD322" s="35"/>
      <c r="AE322" s="35">
        <v>71130</v>
      </c>
      <c r="AF322" s="35" t="s">
        <v>482</v>
      </c>
      <c r="AG322" s="36">
        <v>47.051000000000002</v>
      </c>
      <c r="AI322" s="7" t="str">
        <f>VLOOKUP($AC322,Mapping!$E$11:$I$204,3,0)</f>
        <v>Augmentation</v>
      </c>
      <c r="AJ322" s="7" t="str">
        <f>IFERROR(VLOOKUP($AE322,Mapping!$E$208:$K$236,5,0),"Contracts")</f>
        <v>Contracts</v>
      </c>
      <c r="AK322" s="7" t="str">
        <f>IFERROR(VLOOKUP($AE322,Mapping!$E$208:$K$236,7,0),"ENDirect")</f>
        <v>ENDirect</v>
      </c>
      <c r="AL322" s="7" t="str">
        <f>IFERROR(HLOOKUP(AJ322,'Calc|Weightings'!$U$5:$W$5,1,0),"Excl")</f>
        <v>Contracts</v>
      </c>
      <c r="AM322" s="7" t="str">
        <f>VLOOKUP(AC322,Mapping!$E$11:$I$204,5,0)</f>
        <v>SCS</v>
      </c>
      <c r="AO322" s="35" t="s">
        <v>149</v>
      </c>
      <c r="AP322" s="35"/>
      <c r="AQ322" s="35">
        <v>71075</v>
      </c>
      <c r="AR322" s="35" t="s">
        <v>587</v>
      </c>
      <c r="AS322" s="121">
        <v>6.1621900000000007</v>
      </c>
      <c r="AU322" s="7" t="str">
        <f>VLOOKUP($AO322,Mapping!$E$11:$I$204,3,0)</f>
        <v>VBRC</v>
      </c>
      <c r="AV322" s="7" t="str">
        <f>IFERROR(VLOOKUP($AQ322,Mapping!$E$208:$K$236,5,0),"Contracts")</f>
        <v>Contracts</v>
      </c>
      <c r="AW322" s="7" t="str">
        <f>IFERROR(VLOOKUP($AQ322,Mapping!$E$208:$K$236,7,0),"ENDirect")</f>
        <v>ENDirect</v>
      </c>
      <c r="AX322" s="7" t="str">
        <f>IFERROR(HLOOKUP(AV322,'Calc|Weightings'!$U$5:$W$5,1,0),"Excl")</f>
        <v>Contracts</v>
      </c>
      <c r="AY322" s="7" t="str">
        <f>VLOOKUP(AO322,Mapping!$E$11:$I$204,5,0)</f>
        <v>SCS</v>
      </c>
    </row>
    <row r="323" spans="1:51" x14ac:dyDescent="0.3">
      <c r="A323" s="7"/>
      <c r="B323" s="7"/>
      <c r="C323" s="7"/>
      <c r="D323" s="7"/>
      <c r="E323" s="32" t="s">
        <v>184</v>
      </c>
      <c r="F323" s="32"/>
      <c r="G323" s="32">
        <v>71040</v>
      </c>
      <c r="H323" s="32" t="s">
        <v>460</v>
      </c>
      <c r="I323" s="33">
        <v>0</v>
      </c>
      <c r="J323" s="170"/>
      <c r="K323" s="7" t="str">
        <f>VLOOKUP($E323,Mapping!$E$11:$I$204,3,0)</f>
        <v>Public Lighting</v>
      </c>
      <c r="L323" s="7" t="str">
        <f>IFERROR(VLOOKUP($G323,Mapping!$E$208:$K$236,5,0),"Contracts")</f>
        <v>Contracts</v>
      </c>
      <c r="M323" s="7" t="str">
        <f>IFERROR(VLOOKUP($G323,Mapping!$E$208:$K$236,7,0),"ENDirect")</f>
        <v>ENDirect</v>
      </c>
      <c r="N323" s="7" t="str">
        <f>IFERROR(HLOOKUP(L323,'Calc|Weightings'!$U$5:$W$5,1,0),"Excl")</f>
        <v>Contracts</v>
      </c>
      <c r="O323" s="7" t="str">
        <f>VLOOKUP(E323,Mapping!$E$11:$I$204,5,0)</f>
        <v>Public Lighting</v>
      </c>
      <c r="Q323" s="32" t="s">
        <v>125</v>
      </c>
      <c r="R323" s="32"/>
      <c r="S323" s="32">
        <v>71020</v>
      </c>
      <c r="T323" s="32" t="s">
        <v>459</v>
      </c>
      <c r="U323" s="33">
        <v>58.390999999999998</v>
      </c>
      <c r="V323" s="7"/>
      <c r="W323" s="7" t="str">
        <f>VLOOKUP($Q323,Mapping!$E$11:$I$204,3,0)</f>
        <v>Augmentation</v>
      </c>
      <c r="X323" s="7" t="str">
        <f>IFERROR(VLOOKUP($S323,Mapping!$E$208:$K$236,5,0),"Contracts")</f>
        <v>Contracts</v>
      </c>
      <c r="Y323" s="7" t="str">
        <f>IFERROR(VLOOKUP($S323,Mapping!$E$208:$K$236,7,0),"ENDirect")</f>
        <v>ENDirect</v>
      </c>
      <c r="Z323" s="7" t="str">
        <f>IFERROR(HLOOKUP(X323,'Calc|Weightings'!$U$5:$W$5,1,0),"Excl")</f>
        <v>Contracts</v>
      </c>
      <c r="AA323" s="7" t="str">
        <f>VLOOKUP(Q323,Mapping!$E$11:$I$204,5,0)</f>
        <v>SCS</v>
      </c>
      <c r="AC323" s="35" t="s">
        <v>162</v>
      </c>
      <c r="AD323" s="35"/>
      <c r="AE323" s="35">
        <v>71020</v>
      </c>
      <c r="AF323" s="35" t="s">
        <v>459</v>
      </c>
      <c r="AG323" s="36">
        <v>-3.2690000000000001</v>
      </c>
      <c r="AI323" s="7" t="str">
        <f>VLOOKUP($AC323,Mapping!$E$11:$I$204,3,0)</f>
        <v>Replacement</v>
      </c>
      <c r="AJ323" s="7" t="str">
        <f>IFERROR(VLOOKUP($AE323,Mapping!$E$208:$K$236,5,0),"Contracts")</f>
        <v>Contracts</v>
      </c>
      <c r="AK323" s="7" t="str">
        <f>IFERROR(VLOOKUP($AE323,Mapping!$E$208:$K$236,7,0),"ENDirect")</f>
        <v>ENDirect</v>
      </c>
      <c r="AL323" s="7" t="str">
        <f>IFERROR(HLOOKUP(AJ323,'Calc|Weightings'!$U$5:$W$5,1,0),"Excl")</f>
        <v>Contracts</v>
      </c>
      <c r="AM323" s="7" t="str">
        <f>VLOOKUP(AC323,Mapping!$E$11:$I$204,5,0)</f>
        <v>SCS</v>
      </c>
      <c r="AO323" s="35" t="s">
        <v>149</v>
      </c>
      <c r="AP323" s="35"/>
      <c r="AQ323" s="35">
        <v>80000</v>
      </c>
      <c r="AR323" s="35" t="s">
        <v>589</v>
      </c>
      <c r="AS323" s="121">
        <v>13.883389999999997</v>
      </c>
      <c r="AU323" s="7" t="str">
        <f>VLOOKUP($AO323,Mapping!$E$11:$I$204,3,0)</f>
        <v>VBRC</v>
      </c>
      <c r="AV323" s="7" t="str">
        <f>IFERROR(VLOOKUP($AQ323,Mapping!$E$208:$K$236,5,0),"Contracts")</f>
        <v>Overhead</v>
      </c>
      <c r="AW323" s="7" t="str">
        <f>IFERROR(VLOOKUP($AQ323,Mapping!$E$208:$K$236,7,0),"ENDirect")</f>
        <v>OH</v>
      </c>
      <c r="AX323" s="7" t="str">
        <f>IFERROR(HLOOKUP(AV323,'Calc|Weightings'!$U$5:$W$5,1,0),"Excl")</f>
        <v>Excl</v>
      </c>
      <c r="AY323" s="7" t="str">
        <f>VLOOKUP(AO323,Mapping!$E$11:$I$204,5,0)</f>
        <v>SCS</v>
      </c>
    </row>
    <row r="324" spans="1:51" x14ac:dyDescent="0.3">
      <c r="A324" s="7"/>
      <c r="B324" s="7"/>
      <c r="C324" s="7"/>
      <c r="D324" s="7"/>
      <c r="E324" s="32" t="s">
        <v>185</v>
      </c>
      <c r="F324" s="32"/>
      <c r="G324" s="32">
        <v>71040</v>
      </c>
      <c r="H324" s="32" t="s">
        <v>460</v>
      </c>
      <c r="I324" s="33">
        <v>0</v>
      </c>
      <c r="J324" s="170"/>
      <c r="K324" s="7" t="str">
        <f>VLOOKUP($E324,Mapping!$E$11:$I$204,3,0)</f>
        <v>Public Lighting</v>
      </c>
      <c r="L324" s="7" t="str">
        <f>IFERROR(VLOOKUP($G324,Mapping!$E$208:$K$236,5,0),"Contracts")</f>
        <v>Contracts</v>
      </c>
      <c r="M324" s="7" t="str">
        <f>IFERROR(VLOOKUP($G324,Mapping!$E$208:$K$236,7,0),"ENDirect")</f>
        <v>ENDirect</v>
      </c>
      <c r="N324" s="7" t="str">
        <f>IFERROR(HLOOKUP(L324,'Calc|Weightings'!$U$5:$W$5,1,0),"Excl")</f>
        <v>Contracts</v>
      </c>
      <c r="O324" s="7" t="str">
        <f>VLOOKUP(E324,Mapping!$E$11:$I$204,5,0)</f>
        <v>Public Lighting</v>
      </c>
      <c r="Q324" s="32" t="s">
        <v>192</v>
      </c>
      <c r="R324" s="32"/>
      <c r="S324" s="32">
        <v>71005</v>
      </c>
      <c r="T324" s="32" t="s">
        <v>461</v>
      </c>
      <c r="U324" s="33">
        <v>2102.96</v>
      </c>
      <c r="V324" s="7"/>
      <c r="W324" s="7" t="str">
        <f>VLOOKUP($Q324,Mapping!$E$11:$I$204,3,0)</f>
        <v>VBRC</v>
      </c>
      <c r="X324" s="7" t="str">
        <f>IFERROR(VLOOKUP($S324,Mapping!$E$208:$K$236,5,0),"Contracts")</f>
        <v>Materials</v>
      </c>
      <c r="Y324" s="7" t="str">
        <f>IFERROR(VLOOKUP($S324,Mapping!$E$208:$K$236,7,0),"ENDirect")</f>
        <v>ENDirect</v>
      </c>
      <c r="Z324" s="7" t="str">
        <f>IFERROR(HLOOKUP(X324,'Calc|Weightings'!$U$5:$W$5,1,0),"Excl")</f>
        <v>Materials</v>
      </c>
      <c r="AA324" s="7" t="str">
        <f>VLOOKUP(Q324,Mapping!$E$11:$I$204,5,0)</f>
        <v>SCS</v>
      </c>
      <c r="AC324" s="35" t="s">
        <v>163</v>
      </c>
      <c r="AD324" s="35"/>
      <c r="AE324" s="35">
        <v>71045</v>
      </c>
      <c r="AF324" s="35" t="s">
        <v>469</v>
      </c>
      <c r="AG324" s="36">
        <v>26.954999999999998</v>
      </c>
      <c r="AI324" s="7" t="str">
        <f>VLOOKUP($AC324,Mapping!$E$11:$I$204,3,0)</f>
        <v>Replacement</v>
      </c>
      <c r="AJ324" s="7" t="str">
        <f>IFERROR(VLOOKUP($AE324,Mapping!$E$208:$K$236,5,0),"Contracts")</f>
        <v>Materials</v>
      </c>
      <c r="AK324" s="7" t="str">
        <f>IFERROR(VLOOKUP($AE324,Mapping!$E$208:$K$236,7,0),"ENDirect")</f>
        <v>ENDirect</v>
      </c>
      <c r="AL324" s="7" t="str">
        <f>IFERROR(HLOOKUP(AJ324,'Calc|Weightings'!$U$5:$W$5,1,0),"Excl")</f>
        <v>Materials</v>
      </c>
      <c r="AM324" s="7" t="str">
        <f>VLOOKUP(AC324,Mapping!$E$11:$I$204,5,0)</f>
        <v>SCS</v>
      </c>
      <c r="AO324" s="35" t="s">
        <v>149</v>
      </c>
      <c r="AP324" s="35"/>
      <c r="AQ324" s="35">
        <v>83010</v>
      </c>
      <c r="AR324" s="35" t="s">
        <v>591</v>
      </c>
      <c r="AS324" s="121">
        <v>51.252000000000031</v>
      </c>
      <c r="AU324" s="7" t="str">
        <f>VLOOKUP($AO324,Mapping!$E$11:$I$204,3,0)</f>
        <v>VBRC</v>
      </c>
      <c r="AV324" s="7" t="str">
        <f>IFERROR(VLOOKUP($AQ324,Mapping!$E$208:$K$236,5,0),"Contracts")</f>
        <v>Contracts</v>
      </c>
      <c r="AW324" s="7" t="str">
        <f>IFERROR(VLOOKUP($AQ324,Mapping!$E$208:$K$236,7,0),"ENDirect")</f>
        <v>ENDirect</v>
      </c>
      <c r="AX324" s="7" t="str">
        <f>IFERROR(HLOOKUP(AV324,'Calc|Weightings'!$U$5:$W$5,1,0),"Excl")</f>
        <v>Contracts</v>
      </c>
      <c r="AY324" s="7" t="str">
        <f>VLOOKUP(AO324,Mapping!$E$11:$I$204,5,0)</f>
        <v>SCS</v>
      </c>
    </row>
    <row r="325" spans="1:51" x14ac:dyDescent="0.3">
      <c r="A325" s="7"/>
      <c r="B325" s="7"/>
      <c r="C325" s="7"/>
      <c r="D325" s="7"/>
      <c r="E325" s="32" t="s">
        <v>188</v>
      </c>
      <c r="F325" s="32"/>
      <c r="G325" s="32">
        <v>71040</v>
      </c>
      <c r="H325" s="32" t="s">
        <v>460</v>
      </c>
      <c r="I325" s="33">
        <v>0</v>
      </c>
      <c r="J325" s="170"/>
      <c r="K325" s="7" t="str">
        <f>VLOOKUP($E325,Mapping!$E$11:$I$204,3,0)</f>
        <v>Replacement</v>
      </c>
      <c r="L325" s="7" t="str">
        <f>IFERROR(VLOOKUP($G325,Mapping!$E$208:$K$236,5,0),"Contracts")</f>
        <v>Contracts</v>
      </c>
      <c r="M325" s="7" t="str">
        <f>IFERROR(VLOOKUP($G325,Mapping!$E$208:$K$236,7,0),"ENDirect")</f>
        <v>ENDirect</v>
      </c>
      <c r="N325" s="7" t="str">
        <f>IFERROR(HLOOKUP(L325,'Calc|Weightings'!$U$5:$W$5,1,0),"Excl")</f>
        <v>Contracts</v>
      </c>
      <c r="O325" s="7" t="str">
        <f>VLOOKUP(E325,Mapping!$E$11:$I$204,5,0)</f>
        <v>SCS</v>
      </c>
      <c r="Q325" s="32" t="s">
        <v>111</v>
      </c>
      <c r="R325" s="32"/>
      <c r="S325" s="32">
        <v>71006</v>
      </c>
      <c r="T325" s="32" t="s">
        <v>468</v>
      </c>
      <c r="U325" s="33">
        <v>132.642</v>
      </c>
      <c r="V325" s="7"/>
      <c r="W325" s="7" t="str">
        <f>VLOOKUP($Q325,Mapping!$E$11:$I$204,3,0)</f>
        <v>Connections</v>
      </c>
      <c r="X325" s="7" t="str">
        <f>IFERROR(VLOOKUP($S325,Mapping!$E$208:$K$236,5,0),"Contracts")</f>
        <v>Materials</v>
      </c>
      <c r="Y325" s="7" t="str">
        <f>IFERROR(VLOOKUP($S325,Mapping!$E$208:$K$236,7,0),"ENDirect")</f>
        <v>ENDirect</v>
      </c>
      <c r="Z325" s="7" t="str">
        <f>IFERROR(HLOOKUP(X325,'Calc|Weightings'!$U$5:$W$5,1,0),"Excl")</f>
        <v>Materials</v>
      </c>
      <c r="AA325" s="7" t="str">
        <f>VLOOKUP(Q325,Mapping!$E$11:$I$204,5,0)</f>
        <v>SCS</v>
      </c>
      <c r="AC325" s="35" t="s">
        <v>163</v>
      </c>
      <c r="AD325" s="35"/>
      <c r="AE325" s="35">
        <v>72300</v>
      </c>
      <c r="AF325" s="35" t="s">
        <v>450</v>
      </c>
      <c r="AG325" s="36">
        <v>45.441000000000003</v>
      </c>
      <c r="AI325" s="7" t="str">
        <f>VLOOKUP($AC325,Mapping!$E$11:$I$204,3,0)</f>
        <v>Replacement</v>
      </c>
      <c r="AJ325" s="7" t="str">
        <f>IFERROR(VLOOKUP($AE325,Mapping!$E$208:$K$236,5,0),"Contracts")</f>
        <v>Contracts</v>
      </c>
      <c r="AK325" s="7" t="str">
        <f>IFERROR(VLOOKUP($AE325,Mapping!$E$208:$K$236,7,0),"ENDirect")</f>
        <v>ENDirect</v>
      </c>
      <c r="AL325" s="7" t="str">
        <f>IFERROR(HLOOKUP(AJ325,'Calc|Weightings'!$U$5:$W$5,1,0),"Excl")</f>
        <v>Contracts</v>
      </c>
      <c r="AM325" s="7" t="str">
        <f>VLOOKUP(AC325,Mapping!$E$11:$I$204,5,0)</f>
        <v>SCS</v>
      </c>
      <c r="AO325" s="35" t="s">
        <v>150</v>
      </c>
      <c r="AP325" s="35"/>
      <c r="AQ325" s="35">
        <v>71075</v>
      </c>
      <c r="AR325" s="35" t="s">
        <v>587</v>
      </c>
      <c r="AS325" s="121">
        <v>10.137370000000002</v>
      </c>
      <c r="AU325" s="7" t="str">
        <f>VLOOKUP($AO325,Mapping!$E$11:$I$204,3,0)</f>
        <v>Replacement</v>
      </c>
      <c r="AV325" s="7" t="str">
        <f>IFERROR(VLOOKUP($AQ325,Mapping!$E$208:$K$236,5,0),"Contracts")</f>
        <v>Contracts</v>
      </c>
      <c r="AW325" s="7" t="str">
        <f>IFERROR(VLOOKUP($AQ325,Mapping!$E$208:$K$236,7,0),"ENDirect")</f>
        <v>ENDirect</v>
      </c>
      <c r="AX325" s="7" t="str">
        <f>IFERROR(HLOOKUP(AV325,'Calc|Weightings'!$U$5:$W$5,1,0),"Excl")</f>
        <v>Contracts</v>
      </c>
      <c r="AY325" s="7" t="str">
        <f>VLOOKUP(AO325,Mapping!$E$11:$I$204,5,0)</f>
        <v>SCS</v>
      </c>
    </row>
    <row r="326" spans="1:51" x14ac:dyDescent="0.3">
      <c r="A326" s="7"/>
      <c r="B326" s="7"/>
      <c r="C326" s="7"/>
      <c r="D326" s="7"/>
      <c r="E326" s="32" t="s">
        <v>189</v>
      </c>
      <c r="F326" s="32"/>
      <c r="G326" s="32">
        <v>71040</v>
      </c>
      <c r="H326" s="32" t="s">
        <v>460</v>
      </c>
      <c r="I326" s="33">
        <v>-1.754</v>
      </c>
      <c r="J326" s="170"/>
      <c r="K326" s="7" t="str">
        <f>VLOOKUP($E326,Mapping!$E$11:$I$204,3,0)</f>
        <v>Replacement</v>
      </c>
      <c r="L326" s="7" t="str">
        <f>IFERROR(VLOOKUP($G326,Mapping!$E$208:$K$236,5,0),"Contracts")</f>
        <v>Contracts</v>
      </c>
      <c r="M326" s="7" t="str">
        <f>IFERROR(VLOOKUP($G326,Mapping!$E$208:$K$236,7,0),"ENDirect")</f>
        <v>ENDirect</v>
      </c>
      <c r="N326" s="7" t="str">
        <f>IFERROR(HLOOKUP(L326,'Calc|Weightings'!$U$5:$W$5,1,0),"Excl")</f>
        <v>Contracts</v>
      </c>
      <c r="O326" s="7" t="str">
        <f>VLOOKUP(E326,Mapping!$E$11:$I$204,5,0)</f>
        <v>SCS</v>
      </c>
      <c r="Q326" s="32" t="s">
        <v>552</v>
      </c>
      <c r="R326" s="32"/>
      <c r="S326" s="32">
        <v>72345</v>
      </c>
      <c r="T326" s="32" t="s">
        <v>467</v>
      </c>
      <c r="U326" s="33">
        <v>211.43299999999999</v>
      </c>
      <c r="V326" s="7"/>
      <c r="W326" s="7" t="str">
        <f>VLOOKUP($Q326,Mapping!$E$11:$I$204,3,0)</f>
        <v>Connections</v>
      </c>
      <c r="X326" s="7" t="str">
        <f>IFERROR(VLOOKUP($S326,Mapping!$E$208:$K$236,5,0),"Contracts")</f>
        <v>Contracts</v>
      </c>
      <c r="Y326" s="7" t="str">
        <f>IFERROR(VLOOKUP($S326,Mapping!$E$208:$K$236,7,0),"ENDirect")</f>
        <v>ENDirect</v>
      </c>
      <c r="Z326" s="7" t="str">
        <f>IFERROR(HLOOKUP(X326,'Calc|Weightings'!$U$5:$W$5,1,0),"Excl")</f>
        <v>Contracts</v>
      </c>
      <c r="AA326" s="7" t="str">
        <f>VLOOKUP(Q326,Mapping!$E$11:$I$204,5,0)</f>
        <v>SCS</v>
      </c>
      <c r="AC326" s="35" t="s">
        <v>152</v>
      </c>
      <c r="AD326" s="35"/>
      <c r="AE326" s="35">
        <v>71000</v>
      </c>
      <c r="AF326" s="35" t="s">
        <v>457</v>
      </c>
      <c r="AG326" s="36">
        <v>114.917</v>
      </c>
      <c r="AI326" s="7" t="str">
        <f>VLOOKUP($AC326,Mapping!$E$11:$I$204,3,0)</f>
        <v>Augmentation</v>
      </c>
      <c r="AJ326" s="7" t="str">
        <f>IFERROR(VLOOKUP($AE326,Mapping!$E$208:$K$236,5,0),"Contracts")</f>
        <v>Labour</v>
      </c>
      <c r="AK326" s="7" t="str">
        <f>IFERROR(VLOOKUP($AE326,Mapping!$E$208:$K$236,7,0),"ENDirect")</f>
        <v>ENDirect</v>
      </c>
      <c r="AL326" s="7" t="str">
        <f>IFERROR(HLOOKUP(AJ326,'Calc|Weightings'!$U$5:$W$5,1,0),"Excl")</f>
        <v>Labour</v>
      </c>
      <c r="AM326" s="7" t="str">
        <f>VLOOKUP(AC326,Mapping!$E$11:$I$204,5,0)</f>
        <v>SCS</v>
      </c>
      <c r="AO326" s="35" t="s">
        <v>150</v>
      </c>
      <c r="AP326" s="35"/>
      <c r="AQ326" s="35">
        <v>80000</v>
      </c>
      <c r="AR326" s="35" t="s">
        <v>589</v>
      </c>
      <c r="AS326" s="121">
        <v>16.679479999999998</v>
      </c>
      <c r="AU326" s="7" t="str">
        <f>VLOOKUP($AO326,Mapping!$E$11:$I$204,3,0)</f>
        <v>Replacement</v>
      </c>
      <c r="AV326" s="7" t="str">
        <f>IFERROR(VLOOKUP($AQ326,Mapping!$E$208:$K$236,5,0),"Contracts")</f>
        <v>Overhead</v>
      </c>
      <c r="AW326" s="7" t="str">
        <f>IFERROR(VLOOKUP($AQ326,Mapping!$E$208:$K$236,7,0),"ENDirect")</f>
        <v>OH</v>
      </c>
      <c r="AX326" s="7" t="str">
        <f>IFERROR(HLOOKUP(AV326,'Calc|Weightings'!$U$5:$W$5,1,0),"Excl")</f>
        <v>Excl</v>
      </c>
      <c r="AY326" s="7" t="str">
        <f>VLOOKUP(AO326,Mapping!$E$11:$I$204,5,0)</f>
        <v>SCS</v>
      </c>
    </row>
    <row r="327" spans="1:51" x14ac:dyDescent="0.3">
      <c r="A327" s="7"/>
      <c r="B327" s="7"/>
      <c r="C327" s="7"/>
      <c r="D327" s="7"/>
      <c r="E327" s="32" t="s">
        <v>190</v>
      </c>
      <c r="F327" s="32"/>
      <c r="G327" s="32">
        <v>71000</v>
      </c>
      <c r="H327" s="32" t="s">
        <v>457</v>
      </c>
      <c r="I327" s="33">
        <v>1175.847</v>
      </c>
      <c r="J327" s="170"/>
      <c r="K327" s="7" t="str">
        <f>VLOOKUP($E327,Mapping!$E$11:$I$204,3,0)</f>
        <v>Replacement</v>
      </c>
      <c r="L327" s="7" t="str">
        <f>IFERROR(VLOOKUP($G327,Mapping!$E$208:$K$236,5,0),"Contracts")</f>
        <v>Labour</v>
      </c>
      <c r="M327" s="7" t="str">
        <f>IFERROR(VLOOKUP($G327,Mapping!$E$208:$K$236,7,0),"ENDirect")</f>
        <v>ENDirect</v>
      </c>
      <c r="N327" s="7" t="str">
        <f>IFERROR(HLOOKUP(L327,'Calc|Weightings'!$U$5:$W$5,1,0),"Excl")</f>
        <v>Labour</v>
      </c>
      <c r="O327" s="7" t="str">
        <f>VLOOKUP(E327,Mapping!$E$11:$I$204,5,0)</f>
        <v>SCS</v>
      </c>
      <c r="Q327" s="32" t="s">
        <v>115</v>
      </c>
      <c r="R327" s="32"/>
      <c r="S327" s="32">
        <v>71006</v>
      </c>
      <c r="T327" s="32" t="s">
        <v>468</v>
      </c>
      <c r="U327" s="33">
        <v>3.919</v>
      </c>
      <c r="V327" s="7"/>
      <c r="W327" s="7" t="str">
        <f>VLOOKUP($Q327,Mapping!$E$11:$I$204,3,0)</f>
        <v>Connections</v>
      </c>
      <c r="X327" s="7" t="str">
        <f>IFERROR(VLOOKUP($S327,Mapping!$E$208:$K$236,5,0),"Contracts")</f>
        <v>Materials</v>
      </c>
      <c r="Y327" s="7" t="str">
        <f>IFERROR(VLOOKUP($S327,Mapping!$E$208:$K$236,7,0),"ENDirect")</f>
        <v>ENDirect</v>
      </c>
      <c r="Z327" s="7" t="str">
        <f>IFERROR(HLOOKUP(X327,'Calc|Weightings'!$U$5:$W$5,1,0),"Excl")</f>
        <v>Materials</v>
      </c>
      <c r="AA327" s="7" t="str">
        <f>VLOOKUP(Q327,Mapping!$E$11:$I$204,5,0)</f>
        <v>SCS</v>
      </c>
      <c r="AC327" s="35" t="s">
        <v>152</v>
      </c>
      <c r="AD327" s="35"/>
      <c r="AE327" s="35">
        <v>71030</v>
      </c>
      <c r="AF327" s="35" t="s">
        <v>464</v>
      </c>
      <c r="AG327" s="36">
        <v>19.481000000000002</v>
      </c>
      <c r="AI327" s="7" t="str">
        <f>VLOOKUP($AC327,Mapping!$E$11:$I$204,3,0)</f>
        <v>Augmentation</v>
      </c>
      <c r="AJ327" s="7" t="str">
        <f>IFERROR(VLOOKUP($AE327,Mapping!$E$208:$K$236,5,0),"Contracts")</f>
        <v>Contracts</v>
      </c>
      <c r="AK327" s="7" t="str">
        <f>IFERROR(VLOOKUP($AE327,Mapping!$E$208:$K$236,7,0),"ENDirect")</f>
        <v>ENDirect</v>
      </c>
      <c r="AL327" s="7" t="str">
        <f>IFERROR(HLOOKUP(AJ327,'Calc|Weightings'!$U$5:$W$5,1,0),"Excl")</f>
        <v>Contracts</v>
      </c>
      <c r="AM327" s="7" t="str">
        <f>VLOOKUP(AC327,Mapping!$E$11:$I$204,5,0)</f>
        <v>SCS</v>
      </c>
      <c r="AO327" s="35" t="s">
        <v>150</v>
      </c>
      <c r="AP327" s="35"/>
      <c r="AQ327" s="35">
        <v>83010</v>
      </c>
      <c r="AR327" s="35" t="s">
        <v>591</v>
      </c>
      <c r="AS327" s="121">
        <v>89.528659999999945</v>
      </c>
      <c r="AU327" s="7" t="str">
        <f>VLOOKUP($AO327,Mapping!$E$11:$I$204,3,0)</f>
        <v>Replacement</v>
      </c>
      <c r="AV327" s="7" t="str">
        <f>IFERROR(VLOOKUP($AQ327,Mapping!$E$208:$K$236,5,0),"Contracts")</f>
        <v>Contracts</v>
      </c>
      <c r="AW327" s="7" t="str">
        <f>IFERROR(VLOOKUP($AQ327,Mapping!$E$208:$K$236,7,0),"ENDirect")</f>
        <v>ENDirect</v>
      </c>
      <c r="AX327" s="7" t="str">
        <f>IFERROR(HLOOKUP(AV327,'Calc|Weightings'!$U$5:$W$5,1,0),"Excl")</f>
        <v>Contracts</v>
      </c>
      <c r="AY327" s="7" t="str">
        <f>VLOOKUP(AO327,Mapping!$E$11:$I$204,5,0)</f>
        <v>SCS</v>
      </c>
    </row>
    <row r="328" spans="1:51" x14ac:dyDescent="0.3">
      <c r="A328" s="7"/>
      <c r="B328" s="7"/>
      <c r="C328" s="7"/>
      <c r="D328" s="7"/>
      <c r="E328" s="32" t="s">
        <v>190</v>
      </c>
      <c r="F328" s="32"/>
      <c r="G328" s="32">
        <v>71005</v>
      </c>
      <c r="H328" s="32" t="s">
        <v>461</v>
      </c>
      <c r="I328" s="33">
        <v>764.88300000000004</v>
      </c>
      <c r="J328" s="170"/>
      <c r="K328" s="7" t="str">
        <f>VLOOKUP($E328,Mapping!$E$11:$I$204,3,0)</f>
        <v>Replacement</v>
      </c>
      <c r="L328" s="7" t="str">
        <f>IFERROR(VLOOKUP($G328,Mapping!$E$208:$K$236,5,0),"Contracts")</f>
        <v>Materials</v>
      </c>
      <c r="M328" s="7" t="str">
        <f>IFERROR(VLOOKUP($G328,Mapping!$E$208:$K$236,7,0),"ENDirect")</f>
        <v>ENDirect</v>
      </c>
      <c r="N328" s="7" t="str">
        <f>IFERROR(HLOOKUP(L328,'Calc|Weightings'!$U$5:$W$5,1,0),"Excl")</f>
        <v>Materials</v>
      </c>
      <c r="O328" s="7" t="str">
        <f>VLOOKUP(E328,Mapping!$E$11:$I$204,5,0)</f>
        <v>SCS</v>
      </c>
      <c r="Q328" s="32" t="s">
        <v>104</v>
      </c>
      <c r="R328" s="32"/>
      <c r="S328" s="32">
        <v>60401</v>
      </c>
      <c r="T328" s="32" t="s">
        <v>481</v>
      </c>
      <c r="U328" s="33">
        <v>0</v>
      </c>
      <c r="V328" s="7"/>
      <c r="W328" s="7" t="str">
        <f>VLOOKUP($Q328,Mapping!$E$11:$I$204,3,0)</f>
        <v>Public Lighting</v>
      </c>
      <c r="X328" s="7" t="str">
        <f>IFERROR(VLOOKUP($S328,Mapping!$E$208:$K$236,5,0),"Contracts")</f>
        <v>Contracts</v>
      </c>
      <c r="Y328" s="7" t="str">
        <f>IFERROR(VLOOKUP($S328,Mapping!$E$208:$K$236,7,0),"ENDirect")</f>
        <v>ENDirect</v>
      </c>
      <c r="Z328" s="7" t="str">
        <f>IFERROR(HLOOKUP(X328,'Calc|Weightings'!$U$5:$W$5,1,0),"Excl")</f>
        <v>Contracts</v>
      </c>
      <c r="AA328" s="7" t="str">
        <f>VLOOKUP(Q328,Mapping!$E$11:$I$204,5,0)</f>
        <v>Public Lighting</v>
      </c>
      <c r="AC328" s="35" t="s">
        <v>152</v>
      </c>
      <c r="AD328" s="35"/>
      <c r="AE328" s="35">
        <v>80000</v>
      </c>
      <c r="AF328" s="35" t="s">
        <v>453</v>
      </c>
      <c r="AG328" s="36">
        <v>30.693000000000001</v>
      </c>
      <c r="AI328" s="7" t="str">
        <f>VLOOKUP($AC328,Mapping!$E$11:$I$204,3,0)</f>
        <v>Augmentation</v>
      </c>
      <c r="AJ328" s="7" t="str">
        <f>IFERROR(VLOOKUP($AE328,Mapping!$E$208:$K$236,5,0),"Contracts")</f>
        <v>Overhead</v>
      </c>
      <c r="AK328" s="7" t="str">
        <f>IFERROR(VLOOKUP($AE328,Mapping!$E$208:$K$236,7,0),"ENDirect")</f>
        <v>OH</v>
      </c>
      <c r="AL328" s="7" t="str">
        <f>IFERROR(HLOOKUP(AJ328,'Calc|Weightings'!$U$5:$W$5,1,0),"Excl")</f>
        <v>Excl</v>
      </c>
      <c r="AM328" s="7" t="str">
        <f>VLOOKUP(AC328,Mapping!$E$11:$I$204,5,0)</f>
        <v>SCS</v>
      </c>
      <c r="AO328" s="35" t="s">
        <v>151</v>
      </c>
      <c r="AP328" s="35"/>
      <c r="AQ328" s="35">
        <v>71000</v>
      </c>
      <c r="AR328" s="35" t="s">
        <v>457</v>
      </c>
      <c r="AS328" s="121">
        <v>1.9173499999999999</v>
      </c>
      <c r="AU328" s="7" t="str">
        <f>VLOOKUP($AO328,Mapping!$E$11:$I$204,3,0)</f>
        <v>Replacement</v>
      </c>
      <c r="AV328" s="7" t="str">
        <f>IFERROR(VLOOKUP($AQ328,Mapping!$E$208:$K$236,5,0),"Contracts")</f>
        <v>Labour</v>
      </c>
      <c r="AW328" s="7" t="str">
        <f>IFERROR(VLOOKUP($AQ328,Mapping!$E$208:$K$236,7,0),"ENDirect")</f>
        <v>ENDirect</v>
      </c>
      <c r="AX328" s="7" t="str">
        <f>IFERROR(HLOOKUP(AV328,'Calc|Weightings'!$U$5:$W$5,1,0),"Excl")</f>
        <v>Labour</v>
      </c>
      <c r="AY328" s="7" t="str">
        <f>VLOOKUP(AO328,Mapping!$E$11:$I$204,5,0)</f>
        <v>SCS</v>
      </c>
    </row>
    <row r="329" spans="1:51" x14ac:dyDescent="0.3">
      <c r="A329" s="7"/>
      <c r="B329" s="7"/>
      <c r="C329" s="7"/>
      <c r="D329" s="7"/>
      <c r="E329" s="32" t="s">
        <v>190</v>
      </c>
      <c r="F329" s="32"/>
      <c r="G329" s="32">
        <v>71010</v>
      </c>
      <c r="H329" s="32" t="s">
        <v>462</v>
      </c>
      <c r="I329" s="33">
        <v>2247.7849999999999</v>
      </c>
      <c r="J329" s="170"/>
      <c r="K329" s="7" t="str">
        <f>VLOOKUP($E329,Mapping!$E$11:$I$204,3,0)</f>
        <v>Replacement</v>
      </c>
      <c r="L329" s="7" t="str">
        <f>IFERROR(VLOOKUP($G329,Mapping!$E$208:$K$236,5,0),"Contracts")</f>
        <v>Labour</v>
      </c>
      <c r="M329" s="7" t="str">
        <f>IFERROR(VLOOKUP($G329,Mapping!$E$208:$K$236,7,0),"ENDirect")</f>
        <v>ENDirect</v>
      </c>
      <c r="N329" s="7" t="str">
        <f>IFERROR(HLOOKUP(L329,'Calc|Weightings'!$U$5:$W$5,1,0),"Excl")</f>
        <v>Labour</v>
      </c>
      <c r="O329" s="7" t="str">
        <f>VLOOKUP(E329,Mapping!$E$11:$I$204,5,0)</f>
        <v>SCS</v>
      </c>
      <c r="Q329" s="32" t="s">
        <v>157</v>
      </c>
      <c r="R329" s="32"/>
      <c r="S329" s="32">
        <v>71000</v>
      </c>
      <c r="T329" s="32" t="s">
        <v>457</v>
      </c>
      <c r="U329" s="33">
        <v>35.834000000000003</v>
      </c>
      <c r="V329" s="7"/>
      <c r="W329" s="7" t="str">
        <f>VLOOKUP($Q329,Mapping!$E$11:$I$204,3,0)</f>
        <v>Replacement</v>
      </c>
      <c r="X329" s="7" t="str">
        <f>IFERROR(VLOOKUP($S329,Mapping!$E$208:$K$236,5,0),"Contracts")</f>
        <v>Labour</v>
      </c>
      <c r="Y329" s="7" t="str">
        <f>IFERROR(VLOOKUP($S329,Mapping!$E$208:$K$236,7,0),"ENDirect")</f>
        <v>ENDirect</v>
      </c>
      <c r="Z329" s="7" t="str">
        <f>IFERROR(HLOOKUP(X329,'Calc|Weightings'!$U$5:$W$5,1,0),"Excl")</f>
        <v>Labour</v>
      </c>
      <c r="AA329" s="7" t="str">
        <f>VLOOKUP(Q329,Mapping!$E$11:$I$204,5,0)</f>
        <v>SCS</v>
      </c>
      <c r="AC329" s="35" t="s">
        <v>176</v>
      </c>
      <c r="AD329" s="35"/>
      <c r="AE329" s="35">
        <v>71040</v>
      </c>
      <c r="AF329" s="35" t="s">
        <v>460</v>
      </c>
      <c r="AG329" s="36">
        <v>30.702000000000002</v>
      </c>
      <c r="AI329" s="7" t="str">
        <f>VLOOKUP($AC329,Mapping!$E$11:$I$204,3,0)</f>
        <v>Replacement</v>
      </c>
      <c r="AJ329" s="7" t="str">
        <f>IFERROR(VLOOKUP($AE329,Mapping!$E$208:$K$236,5,0),"Contracts")</f>
        <v>Contracts</v>
      </c>
      <c r="AK329" s="7" t="str">
        <f>IFERROR(VLOOKUP($AE329,Mapping!$E$208:$K$236,7,0),"ENDirect")</f>
        <v>ENDirect</v>
      </c>
      <c r="AL329" s="7" t="str">
        <f>IFERROR(HLOOKUP(AJ329,'Calc|Weightings'!$U$5:$W$5,1,0),"Excl")</f>
        <v>Contracts</v>
      </c>
      <c r="AM329" s="7" t="str">
        <f>VLOOKUP(AC329,Mapping!$E$11:$I$204,5,0)</f>
        <v>SCS</v>
      </c>
      <c r="AO329" s="35" t="s">
        <v>151</v>
      </c>
      <c r="AP329" s="35"/>
      <c r="AQ329" s="35">
        <v>71005</v>
      </c>
      <c r="AR329" s="35" t="s">
        <v>461</v>
      </c>
      <c r="AS329" s="121">
        <v>0.55955999999999995</v>
      </c>
      <c r="AU329" s="7" t="str">
        <f>VLOOKUP($AO329,Mapping!$E$11:$I$204,3,0)</f>
        <v>Replacement</v>
      </c>
      <c r="AV329" s="7" t="str">
        <f>IFERROR(VLOOKUP($AQ329,Mapping!$E$208:$K$236,5,0),"Contracts")</f>
        <v>Materials</v>
      </c>
      <c r="AW329" s="7" t="str">
        <f>IFERROR(VLOOKUP($AQ329,Mapping!$E$208:$K$236,7,0),"ENDirect")</f>
        <v>ENDirect</v>
      </c>
      <c r="AX329" s="7" t="str">
        <f>IFERROR(HLOOKUP(AV329,'Calc|Weightings'!$U$5:$W$5,1,0),"Excl")</f>
        <v>Materials</v>
      </c>
      <c r="AY329" s="7" t="str">
        <f>VLOOKUP(AO329,Mapping!$E$11:$I$204,5,0)</f>
        <v>SCS</v>
      </c>
    </row>
    <row r="330" spans="1:51" x14ac:dyDescent="0.3">
      <c r="A330" s="7"/>
      <c r="B330" s="7"/>
      <c r="C330" s="7"/>
      <c r="D330" s="7"/>
      <c r="E330" s="32" t="s">
        <v>190</v>
      </c>
      <c r="F330" s="32"/>
      <c r="G330" s="32">
        <v>71015</v>
      </c>
      <c r="H330" s="32" t="s">
        <v>463</v>
      </c>
      <c r="I330" s="33">
        <v>363.12799999999999</v>
      </c>
      <c r="J330" s="170"/>
      <c r="K330" s="7" t="str">
        <f>VLOOKUP($E330,Mapping!$E$11:$I$204,3,0)</f>
        <v>Replacement</v>
      </c>
      <c r="L330" s="7" t="str">
        <f>IFERROR(VLOOKUP($G330,Mapping!$E$208:$K$236,5,0),"Contracts")</f>
        <v>Materials</v>
      </c>
      <c r="M330" s="7" t="str">
        <f>IFERROR(VLOOKUP($G330,Mapping!$E$208:$K$236,7,0),"ENDirect")</f>
        <v>ENDirect</v>
      </c>
      <c r="N330" s="7" t="str">
        <f>IFERROR(HLOOKUP(L330,'Calc|Weightings'!$U$5:$W$5,1,0),"Excl")</f>
        <v>Materials</v>
      </c>
      <c r="O330" s="7" t="str">
        <f>VLOOKUP(E330,Mapping!$E$11:$I$204,5,0)</f>
        <v>SCS</v>
      </c>
      <c r="Q330" s="32" t="s">
        <v>157</v>
      </c>
      <c r="R330" s="32"/>
      <c r="S330" s="32">
        <v>71015</v>
      </c>
      <c r="T330" s="32" t="s">
        <v>463</v>
      </c>
      <c r="U330" s="33">
        <v>2.6280000000000001</v>
      </c>
      <c r="V330" s="7"/>
      <c r="W330" s="7" t="str">
        <f>VLOOKUP($Q330,Mapping!$E$11:$I$204,3,0)</f>
        <v>Replacement</v>
      </c>
      <c r="X330" s="7" t="str">
        <f>IFERROR(VLOOKUP($S330,Mapping!$E$208:$K$236,5,0),"Contracts")</f>
        <v>Materials</v>
      </c>
      <c r="Y330" s="7" t="str">
        <f>IFERROR(VLOOKUP($S330,Mapping!$E$208:$K$236,7,0),"ENDirect")</f>
        <v>ENDirect</v>
      </c>
      <c r="Z330" s="7" t="str">
        <f>IFERROR(HLOOKUP(X330,'Calc|Weightings'!$U$5:$W$5,1,0),"Excl")</f>
        <v>Materials</v>
      </c>
      <c r="AA330" s="7" t="str">
        <f>VLOOKUP(Q330,Mapping!$E$11:$I$204,5,0)</f>
        <v>SCS</v>
      </c>
      <c r="AC330" s="35" t="s">
        <v>176</v>
      </c>
      <c r="AD330" s="35"/>
      <c r="AE330" s="35">
        <v>71000</v>
      </c>
      <c r="AF330" s="35" t="s">
        <v>457</v>
      </c>
      <c r="AG330" s="36">
        <v>155.273</v>
      </c>
      <c r="AI330" s="7" t="str">
        <f>VLOOKUP($AC330,Mapping!$E$11:$I$204,3,0)</f>
        <v>Replacement</v>
      </c>
      <c r="AJ330" s="7" t="str">
        <f>IFERROR(VLOOKUP($AE330,Mapping!$E$208:$K$236,5,0),"Contracts")</f>
        <v>Labour</v>
      </c>
      <c r="AK330" s="7" t="str">
        <f>IFERROR(VLOOKUP($AE330,Mapping!$E$208:$K$236,7,0),"ENDirect")</f>
        <v>ENDirect</v>
      </c>
      <c r="AL330" s="7" t="str">
        <f>IFERROR(HLOOKUP(AJ330,'Calc|Weightings'!$U$5:$W$5,1,0),"Excl")</f>
        <v>Labour</v>
      </c>
      <c r="AM330" s="7" t="str">
        <f>VLOOKUP(AC330,Mapping!$E$11:$I$204,5,0)</f>
        <v>SCS</v>
      </c>
      <c r="AO330" s="35" t="s">
        <v>151</v>
      </c>
      <c r="AP330" s="35"/>
      <c r="AQ330" s="35">
        <v>71010</v>
      </c>
      <c r="AR330" s="35" t="s">
        <v>487</v>
      </c>
      <c r="AS330" s="121">
        <v>0.60511000000000004</v>
      </c>
      <c r="AU330" s="7" t="str">
        <f>VLOOKUP($AO330,Mapping!$E$11:$I$204,3,0)</f>
        <v>Replacement</v>
      </c>
      <c r="AV330" s="7" t="str">
        <f>IFERROR(VLOOKUP($AQ330,Mapping!$E$208:$K$236,5,0),"Contracts")</f>
        <v>Labour</v>
      </c>
      <c r="AW330" s="7" t="str">
        <f>IFERROR(VLOOKUP($AQ330,Mapping!$E$208:$K$236,7,0),"ENDirect")</f>
        <v>ENDirect</v>
      </c>
      <c r="AX330" s="7" t="str">
        <f>IFERROR(HLOOKUP(AV330,'Calc|Weightings'!$U$5:$W$5,1,0),"Excl")</f>
        <v>Labour</v>
      </c>
      <c r="AY330" s="7" t="str">
        <f>VLOOKUP(AO330,Mapping!$E$11:$I$204,5,0)</f>
        <v>SCS</v>
      </c>
    </row>
    <row r="331" spans="1:51" x14ac:dyDescent="0.3">
      <c r="A331" s="7"/>
      <c r="B331" s="7"/>
      <c r="C331" s="7"/>
      <c r="D331" s="7"/>
      <c r="E331" s="32" t="s">
        <v>190</v>
      </c>
      <c r="F331" s="32"/>
      <c r="G331" s="32">
        <v>71030</v>
      </c>
      <c r="H331" s="32" t="s">
        <v>464</v>
      </c>
      <c r="I331" s="33">
        <v>414.75299999999999</v>
      </c>
      <c r="J331" s="170"/>
      <c r="K331" s="7" t="str">
        <f>VLOOKUP($E331,Mapping!$E$11:$I$204,3,0)</f>
        <v>Replacement</v>
      </c>
      <c r="L331" s="7" t="str">
        <f>IFERROR(VLOOKUP($G331,Mapping!$E$208:$K$236,5,0),"Contracts")</f>
        <v>Contracts</v>
      </c>
      <c r="M331" s="7" t="str">
        <f>IFERROR(VLOOKUP($G331,Mapping!$E$208:$K$236,7,0),"ENDirect")</f>
        <v>ENDirect</v>
      </c>
      <c r="N331" s="7" t="str">
        <f>IFERROR(HLOOKUP(L331,'Calc|Weightings'!$U$5:$W$5,1,0),"Excl")</f>
        <v>Contracts</v>
      </c>
      <c r="O331" s="7" t="str">
        <f>VLOOKUP(E331,Mapping!$E$11:$I$204,5,0)</f>
        <v>SCS</v>
      </c>
      <c r="Q331" s="32" t="s">
        <v>157</v>
      </c>
      <c r="R331" s="32"/>
      <c r="S331" s="32">
        <v>71030</v>
      </c>
      <c r="T331" s="32" t="s">
        <v>464</v>
      </c>
      <c r="U331" s="33">
        <v>16.524000000000001</v>
      </c>
      <c r="V331" s="7"/>
      <c r="W331" s="7" t="str">
        <f>VLOOKUP($Q331,Mapping!$E$11:$I$204,3,0)</f>
        <v>Replacement</v>
      </c>
      <c r="X331" s="7" t="str">
        <f>IFERROR(VLOOKUP($S331,Mapping!$E$208:$K$236,5,0),"Contracts")</f>
        <v>Contracts</v>
      </c>
      <c r="Y331" s="7" t="str">
        <f>IFERROR(VLOOKUP($S331,Mapping!$E$208:$K$236,7,0),"ENDirect")</f>
        <v>ENDirect</v>
      </c>
      <c r="Z331" s="7" t="str">
        <f>IFERROR(HLOOKUP(X331,'Calc|Weightings'!$U$5:$W$5,1,0),"Excl")</f>
        <v>Contracts</v>
      </c>
      <c r="AA331" s="7" t="str">
        <f>VLOOKUP(Q331,Mapping!$E$11:$I$204,5,0)</f>
        <v>SCS</v>
      </c>
      <c r="AC331" s="35" t="s">
        <v>176</v>
      </c>
      <c r="AD331" s="35"/>
      <c r="AE331" s="35">
        <v>71005</v>
      </c>
      <c r="AF331" s="35" t="s">
        <v>461</v>
      </c>
      <c r="AG331" s="36">
        <v>55.884</v>
      </c>
      <c r="AI331" s="7" t="str">
        <f>VLOOKUP($AC331,Mapping!$E$11:$I$204,3,0)</f>
        <v>Replacement</v>
      </c>
      <c r="AJ331" s="7" t="str">
        <f>IFERROR(VLOOKUP($AE331,Mapping!$E$208:$K$236,5,0),"Contracts")</f>
        <v>Materials</v>
      </c>
      <c r="AK331" s="7" t="str">
        <f>IFERROR(VLOOKUP($AE331,Mapping!$E$208:$K$236,7,0),"ENDirect")</f>
        <v>ENDirect</v>
      </c>
      <c r="AL331" s="7" t="str">
        <f>IFERROR(HLOOKUP(AJ331,'Calc|Weightings'!$U$5:$W$5,1,0),"Excl")</f>
        <v>Materials</v>
      </c>
      <c r="AM331" s="7" t="str">
        <f>VLOOKUP(AC331,Mapping!$E$11:$I$204,5,0)</f>
        <v>SCS</v>
      </c>
      <c r="AO331" s="35" t="s">
        <v>151</v>
      </c>
      <c r="AP331" s="35"/>
      <c r="AQ331" s="35">
        <v>71015</v>
      </c>
      <c r="AR331" s="35" t="s">
        <v>585</v>
      </c>
      <c r="AS331" s="121">
        <v>0.36862</v>
      </c>
      <c r="AU331" s="7" t="str">
        <f>VLOOKUP($AO331,Mapping!$E$11:$I$204,3,0)</f>
        <v>Replacement</v>
      </c>
      <c r="AV331" s="7" t="str">
        <f>IFERROR(VLOOKUP($AQ331,Mapping!$E$208:$K$236,5,0),"Contracts")</f>
        <v>Materials</v>
      </c>
      <c r="AW331" s="7" t="str">
        <f>IFERROR(VLOOKUP($AQ331,Mapping!$E$208:$K$236,7,0),"ENDirect")</f>
        <v>ENDirect</v>
      </c>
      <c r="AX331" s="7" t="str">
        <f>IFERROR(HLOOKUP(AV331,'Calc|Weightings'!$U$5:$W$5,1,0),"Excl")</f>
        <v>Materials</v>
      </c>
      <c r="AY331" s="7" t="str">
        <f>VLOOKUP(AO331,Mapping!$E$11:$I$204,5,0)</f>
        <v>SCS</v>
      </c>
    </row>
    <row r="332" spans="1:51" x14ac:dyDescent="0.3">
      <c r="A332" s="7"/>
      <c r="B332" s="7"/>
      <c r="C332" s="7"/>
      <c r="D332" s="7"/>
      <c r="E332" s="32" t="s">
        <v>190</v>
      </c>
      <c r="F332" s="32"/>
      <c r="G332" s="32">
        <v>71055</v>
      </c>
      <c r="H332" s="32" t="s">
        <v>465</v>
      </c>
      <c r="I332" s="33">
        <v>1264.4090000000001</v>
      </c>
      <c r="J332" s="170"/>
      <c r="K332" s="7" t="str">
        <f>VLOOKUP($E332,Mapping!$E$11:$I$204,3,0)</f>
        <v>Replacement</v>
      </c>
      <c r="L332" s="7" t="str">
        <f>IFERROR(VLOOKUP($G332,Mapping!$E$208:$K$236,5,0),"Contracts")</f>
        <v>Contracts</v>
      </c>
      <c r="M332" s="7" t="str">
        <f>IFERROR(VLOOKUP($G332,Mapping!$E$208:$K$236,7,0),"ENDirect")</f>
        <v>ENDirect</v>
      </c>
      <c r="N332" s="7" t="str">
        <f>IFERROR(HLOOKUP(L332,'Calc|Weightings'!$U$5:$W$5,1,0),"Excl")</f>
        <v>Contracts</v>
      </c>
      <c r="O332" s="7" t="str">
        <f>VLOOKUP(E332,Mapping!$E$11:$I$204,5,0)</f>
        <v>SCS</v>
      </c>
      <c r="Q332" s="32" t="s">
        <v>157</v>
      </c>
      <c r="R332" s="32"/>
      <c r="S332" s="32">
        <v>71055</v>
      </c>
      <c r="T332" s="32" t="s">
        <v>465</v>
      </c>
      <c r="U332" s="33">
        <v>34.311999999999998</v>
      </c>
      <c r="V332" s="7"/>
      <c r="W332" s="7" t="str">
        <f>VLOOKUP($Q332,Mapping!$E$11:$I$204,3,0)</f>
        <v>Replacement</v>
      </c>
      <c r="X332" s="7" t="str">
        <f>IFERROR(VLOOKUP($S332,Mapping!$E$208:$K$236,5,0),"Contracts")</f>
        <v>Contracts</v>
      </c>
      <c r="Y332" s="7" t="str">
        <f>IFERROR(VLOOKUP($S332,Mapping!$E$208:$K$236,7,0),"ENDirect")</f>
        <v>ENDirect</v>
      </c>
      <c r="Z332" s="7" t="str">
        <f>IFERROR(HLOOKUP(X332,'Calc|Weightings'!$U$5:$W$5,1,0),"Excl")</f>
        <v>Contracts</v>
      </c>
      <c r="AA332" s="7" t="str">
        <f>VLOOKUP(Q332,Mapping!$E$11:$I$204,5,0)</f>
        <v>SCS</v>
      </c>
      <c r="AC332" s="35" t="s">
        <v>176</v>
      </c>
      <c r="AD332" s="35"/>
      <c r="AE332" s="35">
        <v>71010</v>
      </c>
      <c r="AF332" s="35" t="s">
        <v>462</v>
      </c>
      <c r="AG332" s="36">
        <v>301.47199999999998</v>
      </c>
      <c r="AI332" s="7" t="str">
        <f>VLOOKUP($AC332,Mapping!$E$11:$I$204,3,0)</f>
        <v>Replacement</v>
      </c>
      <c r="AJ332" s="7" t="str">
        <f>IFERROR(VLOOKUP($AE332,Mapping!$E$208:$K$236,5,0),"Contracts")</f>
        <v>Labour</v>
      </c>
      <c r="AK332" s="7" t="str">
        <f>IFERROR(VLOOKUP($AE332,Mapping!$E$208:$K$236,7,0),"ENDirect")</f>
        <v>ENDirect</v>
      </c>
      <c r="AL332" s="7" t="str">
        <f>IFERROR(HLOOKUP(AJ332,'Calc|Weightings'!$U$5:$W$5,1,0),"Excl")</f>
        <v>Labour</v>
      </c>
      <c r="AM332" s="7" t="str">
        <f>VLOOKUP(AC332,Mapping!$E$11:$I$204,5,0)</f>
        <v>SCS</v>
      </c>
      <c r="AO332" s="35" t="s">
        <v>151</v>
      </c>
      <c r="AP332" s="35"/>
      <c r="AQ332" s="35">
        <v>71030</v>
      </c>
      <c r="AR332" s="35" t="s">
        <v>464</v>
      </c>
      <c r="AS332" s="121">
        <v>0.30264999999999997</v>
      </c>
      <c r="AU332" s="7" t="str">
        <f>VLOOKUP($AO332,Mapping!$E$11:$I$204,3,0)</f>
        <v>Replacement</v>
      </c>
      <c r="AV332" s="7" t="str">
        <f>IFERROR(VLOOKUP($AQ332,Mapping!$E$208:$K$236,5,0),"Contracts")</f>
        <v>Contracts</v>
      </c>
      <c r="AW332" s="7" t="str">
        <f>IFERROR(VLOOKUP($AQ332,Mapping!$E$208:$K$236,7,0),"ENDirect")</f>
        <v>ENDirect</v>
      </c>
      <c r="AX332" s="7" t="str">
        <f>IFERROR(HLOOKUP(AV332,'Calc|Weightings'!$U$5:$W$5,1,0),"Excl")</f>
        <v>Contracts</v>
      </c>
      <c r="AY332" s="7" t="str">
        <f>VLOOKUP(AO332,Mapping!$E$11:$I$204,5,0)</f>
        <v>SCS</v>
      </c>
    </row>
    <row r="333" spans="1:51" x14ac:dyDescent="0.3">
      <c r="A333" s="7"/>
      <c r="B333" s="7"/>
      <c r="C333" s="7"/>
      <c r="D333" s="7"/>
      <c r="E333" s="32" t="s">
        <v>190</v>
      </c>
      <c r="F333" s="32"/>
      <c r="G333" s="32">
        <v>80000</v>
      </c>
      <c r="H333" s="32" t="s">
        <v>453</v>
      </c>
      <c r="I333" s="33">
        <v>602.82799999999997</v>
      </c>
      <c r="J333" s="170"/>
      <c r="K333" s="7" t="str">
        <f>VLOOKUP($E333,Mapping!$E$11:$I$204,3,0)</f>
        <v>Replacement</v>
      </c>
      <c r="L333" s="7" t="str">
        <f>IFERROR(VLOOKUP($G333,Mapping!$E$208:$K$236,5,0),"Contracts")</f>
        <v>Overhead</v>
      </c>
      <c r="M333" s="7" t="str">
        <f>IFERROR(VLOOKUP($G333,Mapping!$E$208:$K$236,7,0),"ENDirect")</f>
        <v>OH</v>
      </c>
      <c r="N333" s="7" t="str">
        <f>IFERROR(HLOOKUP(L333,'Calc|Weightings'!$U$5:$W$5,1,0),"Excl")</f>
        <v>Excl</v>
      </c>
      <c r="O333" s="7" t="str">
        <f>VLOOKUP(E333,Mapping!$E$11:$I$204,5,0)</f>
        <v>SCS</v>
      </c>
      <c r="Q333" s="32" t="s">
        <v>157</v>
      </c>
      <c r="R333" s="32"/>
      <c r="S333" s="32">
        <v>80000</v>
      </c>
      <c r="T333" s="32" t="s">
        <v>453</v>
      </c>
      <c r="U333" s="33">
        <v>31.516999999999999</v>
      </c>
      <c r="V333" s="7"/>
      <c r="W333" s="7" t="str">
        <f>VLOOKUP($Q333,Mapping!$E$11:$I$204,3,0)</f>
        <v>Replacement</v>
      </c>
      <c r="X333" s="7" t="str">
        <f>IFERROR(VLOOKUP($S333,Mapping!$E$208:$K$236,5,0),"Contracts")</f>
        <v>Overhead</v>
      </c>
      <c r="Y333" s="7" t="str">
        <f>IFERROR(VLOOKUP($S333,Mapping!$E$208:$K$236,7,0),"ENDirect")</f>
        <v>OH</v>
      </c>
      <c r="Z333" s="7" t="str">
        <f>IFERROR(HLOOKUP(X333,'Calc|Weightings'!$U$5:$W$5,1,0),"Excl")</f>
        <v>Excl</v>
      </c>
      <c r="AA333" s="7" t="str">
        <f>VLOOKUP(Q333,Mapping!$E$11:$I$204,5,0)</f>
        <v>SCS</v>
      </c>
      <c r="AC333" s="35" t="s">
        <v>176</v>
      </c>
      <c r="AD333" s="35"/>
      <c r="AE333" s="35">
        <v>71015</v>
      </c>
      <c r="AF333" s="35" t="s">
        <v>463</v>
      </c>
      <c r="AG333" s="36">
        <v>29.652000000000001</v>
      </c>
      <c r="AI333" s="7" t="str">
        <f>VLOOKUP($AC333,Mapping!$E$11:$I$204,3,0)</f>
        <v>Replacement</v>
      </c>
      <c r="AJ333" s="7" t="str">
        <f>IFERROR(VLOOKUP($AE333,Mapping!$E$208:$K$236,5,0),"Contracts")</f>
        <v>Materials</v>
      </c>
      <c r="AK333" s="7" t="str">
        <f>IFERROR(VLOOKUP($AE333,Mapping!$E$208:$K$236,7,0),"ENDirect")</f>
        <v>ENDirect</v>
      </c>
      <c r="AL333" s="7" t="str">
        <f>IFERROR(HLOOKUP(AJ333,'Calc|Weightings'!$U$5:$W$5,1,0),"Excl")</f>
        <v>Materials</v>
      </c>
      <c r="AM333" s="7" t="str">
        <f>VLOOKUP(AC333,Mapping!$E$11:$I$204,5,0)</f>
        <v>SCS</v>
      </c>
      <c r="AO333" s="35" t="s">
        <v>151</v>
      </c>
      <c r="AP333" s="35"/>
      <c r="AQ333" s="35">
        <v>71055</v>
      </c>
      <c r="AR333" s="35" t="s">
        <v>465</v>
      </c>
      <c r="AS333" s="121">
        <v>0.87289000000000005</v>
      </c>
      <c r="AU333" s="7" t="str">
        <f>VLOOKUP($AO333,Mapping!$E$11:$I$204,3,0)</f>
        <v>Replacement</v>
      </c>
      <c r="AV333" s="7" t="str">
        <f>IFERROR(VLOOKUP($AQ333,Mapping!$E$208:$K$236,5,0),"Contracts")</f>
        <v>Contracts</v>
      </c>
      <c r="AW333" s="7" t="str">
        <f>IFERROR(VLOOKUP($AQ333,Mapping!$E$208:$K$236,7,0),"ENDirect")</f>
        <v>ENDirect</v>
      </c>
      <c r="AX333" s="7" t="str">
        <f>IFERROR(HLOOKUP(AV333,'Calc|Weightings'!$U$5:$W$5,1,0),"Excl")</f>
        <v>Contracts</v>
      </c>
      <c r="AY333" s="7" t="str">
        <f>VLOOKUP(AO333,Mapping!$E$11:$I$204,5,0)</f>
        <v>SCS</v>
      </c>
    </row>
    <row r="334" spans="1:51" x14ac:dyDescent="0.3">
      <c r="A334" s="7"/>
      <c r="B334" s="7"/>
      <c r="C334" s="7"/>
      <c r="D334" s="7"/>
      <c r="E334" s="32" t="s">
        <v>201</v>
      </c>
      <c r="F334" s="32"/>
      <c r="G334" s="32">
        <v>71040</v>
      </c>
      <c r="H334" s="32" t="s">
        <v>460</v>
      </c>
      <c r="I334" s="33">
        <v>-15.933</v>
      </c>
      <c r="J334" s="170"/>
      <c r="K334" s="7" t="str">
        <f>VLOOKUP($E334,Mapping!$E$11:$I$204,3,0)</f>
        <v>Replacement</v>
      </c>
      <c r="L334" s="7" t="str">
        <f>IFERROR(VLOOKUP($G334,Mapping!$E$208:$K$236,5,0),"Contracts")</f>
        <v>Contracts</v>
      </c>
      <c r="M334" s="7" t="str">
        <f>IFERROR(VLOOKUP($G334,Mapping!$E$208:$K$236,7,0),"ENDirect")</f>
        <v>ENDirect</v>
      </c>
      <c r="N334" s="7" t="str">
        <f>IFERROR(HLOOKUP(L334,'Calc|Weightings'!$U$5:$W$5,1,0),"Excl")</f>
        <v>Contracts</v>
      </c>
      <c r="O334" s="7" t="str">
        <f>VLOOKUP(E334,Mapping!$E$11:$I$204,5,0)</f>
        <v>SCS</v>
      </c>
      <c r="Q334" s="32" t="s">
        <v>157</v>
      </c>
      <c r="R334" s="32"/>
      <c r="S334" s="32">
        <v>71005</v>
      </c>
      <c r="T334" s="32" t="s">
        <v>461</v>
      </c>
      <c r="U334" s="33">
        <v>2.4329999999999998</v>
      </c>
      <c r="V334" s="7"/>
      <c r="W334" s="7" t="str">
        <f>VLOOKUP($Q334,Mapping!$E$11:$I$204,3,0)</f>
        <v>Replacement</v>
      </c>
      <c r="X334" s="7" t="str">
        <f>IFERROR(VLOOKUP($S334,Mapping!$E$208:$K$236,5,0),"Contracts")</f>
        <v>Materials</v>
      </c>
      <c r="Y334" s="7" t="str">
        <f>IFERROR(VLOOKUP($S334,Mapping!$E$208:$K$236,7,0),"ENDirect")</f>
        <v>ENDirect</v>
      </c>
      <c r="Z334" s="7" t="str">
        <f>IFERROR(HLOOKUP(X334,'Calc|Weightings'!$U$5:$W$5,1,0),"Excl")</f>
        <v>Materials</v>
      </c>
      <c r="AA334" s="7" t="str">
        <f>VLOOKUP(Q334,Mapping!$E$11:$I$204,5,0)</f>
        <v>SCS</v>
      </c>
      <c r="AC334" s="35" t="s">
        <v>176</v>
      </c>
      <c r="AD334" s="35"/>
      <c r="AE334" s="35">
        <v>71020</v>
      </c>
      <c r="AF334" s="35" t="s">
        <v>459</v>
      </c>
      <c r="AG334" s="36">
        <v>7.6379999999999999</v>
      </c>
      <c r="AI334" s="7" t="str">
        <f>VLOOKUP($AC334,Mapping!$E$11:$I$204,3,0)</f>
        <v>Replacement</v>
      </c>
      <c r="AJ334" s="7" t="str">
        <f>IFERROR(VLOOKUP($AE334,Mapping!$E$208:$K$236,5,0),"Contracts")</f>
        <v>Contracts</v>
      </c>
      <c r="AK334" s="7" t="str">
        <f>IFERROR(VLOOKUP($AE334,Mapping!$E$208:$K$236,7,0),"ENDirect")</f>
        <v>ENDirect</v>
      </c>
      <c r="AL334" s="7" t="str">
        <f>IFERROR(HLOOKUP(AJ334,'Calc|Weightings'!$U$5:$W$5,1,0),"Excl")</f>
        <v>Contracts</v>
      </c>
      <c r="AM334" s="7" t="str">
        <f>VLOOKUP(AC334,Mapping!$E$11:$I$204,5,0)</f>
        <v>SCS</v>
      </c>
      <c r="AO334" s="35" t="s">
        <v>151</v>
      </c>
      <c r="AP334" s="35"/>
      <c r="AQ334" s="35">
        <v>71075</v>
      </c>
      <c r="AR334" s="35" t="s">
        <v>587</v>
      </c>
      <c r="AS334" s="121">
        <v>1.32847</v>
      </c>
      <c r="AU334" s="7" t="str">
        <f>VLOOKUP($AO334,Mapping!$E$11:$I$204,3,0)</f>
        <v>Replacement</v>
      </c>
      <c r="AV334" s="7" t="str">
        <f>IFERROR(VLOOKUP($AQ334,Mapping!$E$208:$K$236,5,0),"Contracts")</f>
        <v>Contracts</v>
      </c>
      <c r="AW334" s="7" t="str">
        <f>IFERROR(VLOOKUP($AQ334,Mapping!$E$208:$K$236,7,0),"ENDirect")</f>
        <v>ENDirect</v>
      </c>
      <c r="AX334" s="7" t="str">
        <f>IFERROR(HLOOKUP(AV334,'Calc|Weightings'!$U$5:$W$5,1,0),"Excl")</f>
        <v>Contracts</v>
      </c>
      <c r="AY334" s="7" t="str">
        <f>VLOOKUP(AO334,Mapping!$E$11:$I$204,5,0)</f>
        <v>SCS</v>
      </c>
    </row>
    <row r="335" spans="1:51" x14ac:dyDescent="0.3">
      <c r="A335" s="7"/>
      <c r="B335" s="7"/>
      <c r="C335" s="7"/>
      <c r="D335" s="7"/>
      <c r="E335" s="32" t="s">
        <v>202</v>
      </c>
      <c r="F335" s="32"/>
      <c r="G335" s="32">
        <v>71040</v>
      </c>
      <c r="H335" s="32" t="s">
        <v>460</v>
      </c>
      <c r="I335" s="33">
        <v>-5.258</v>
      </c>
      <c r="J335" s="170"/>
      <c r="K335" s="7" t="str">
        <f>VLOOKUP($E335,Mapping!$E$11:$I$204,3,0)</f>
        <v>Replacement</v>
      </c>
      <c r="L335" s="7" t="str">
        <f>IFERROR(VLOOKUP($G335,Mapping!$E$208:$K$236,5,0),"Contracts")</f>
        <v>Contracts</v>
      </c>
      <c r="M335" s="7" t="str">
        <f>IFERROR(VLOOKUP($G335,Mapping!$E$208:$K$236,7,0),"ENDirect")</f>
        <v>ENDirect</v>
      </c>
      <c r="N335" s="7" t="str">
        <f>IFERROR(HLOOKUP(L335,'Calc|Weightings'!$U$5:$W$5,1,0),"Excl")</f>
        <v>Contracts</v>
      </c>
      <c r="O335" s="7" t="str">
        <f>VLOOKUP(E335,Mapping!$E$11:$I$204,5,0)</f>
        <v>SCS</v>
      </c>
      <c r="Q335" s="32" t="s">
        <v>157</v>
      </c>
      <c r="R335" s="32"/>
      <c r="S335" s="32">
        <v>71010</v>
      </c>
      <c r="T335" s="32" t="s">
        <v>462</v>
      </c>
      <c r="U335" s="33">
        <v>160.84</v>
      </c>
      <c r="V335" s="7"/>
      <c r="W335" s="7" t="str">
        <f>VLOOKUP($Q335,Mapping!$E$11:$I$204,3,0)</f>
        <v>Replacement</v>
      </c>
      <c r="X335" s="7" t="str">
        <f>IFERROR(VLOOKUP($S335,Mapping!$E$208:$K$236,5,0),"Contracts")</f>
        <v>Labour</v>
      </c>
      <c r="Y335" s="7" t="str">
        <f>IFERROR(VLOOKUP($S335,Mapping!$E$208:$K$236,7,0),"ENDirect")</f>
        <v>ENDirect</v>
      </c>
      <c r="Z335" s="7" t="str">
        <f>IFERROR(HLOOKUP(X335,'Calc|Weightings'!$U$5:$W$5,1,0),"Excl")</f>
        <v>Labour</v>
      </c>
      <c r="AA335" s="7" t="str">
        <f>VLOOKUP(Q335,Mapping!$E$11:$I$204,5,0)</f>
        <v>SCS</v>
      </c>
      <c r="AC335" s="35" t="s">
        <v>176</v>
      </c>
      <c r="AD335" s="35"/>
      <c r="AE335" s="35">
        <v>71030</v>
      </c>
      <c r="AF335" s="35" t="s">
        <v>464</v>
      </c>
      <c r="AG335" s="36">
        <v>25.17</v>
      </c>
      <c r="AI335" s="7" t="str">
        <f>VLOOKUP($AC335,Mapping!$E$11:$I$204,3,0)</f>
        <v>Replacement</v>
      </c>
      <c r="AJ335" s="7" t="str">
        <f>IFERROR(VLOOKUP($AE335,Mapping!$E$208:$K$236,5,0),"Contracts")</f>
        <v>Contracts</v>
      </c>
      <c r="AK335" s="7" t="str">
        <f>IFERROR(VLOOKUP($AE335,Mapping!$E$208:$K$236,7,0),"ENDirect")</f>
        <v>ENDirect</v>
      </c>
      <c r="AL335" s="7" t="str">
        <f>IFERROR(HLOOKUP(AJ335,'Calc|Weightings'!$U$5:$W$5,1,0),"Excl")</f>
        <v>Contracts</v>
      </c>
      <c r="AM335" s="7" t="str">
        <f>VLOOKUP(AC335,Mapping!$E$11:$I$204,5,0)</f>
        <v>SCS</v>
      </c>
      <c r="AO335" s="35" t="s">
        <v>151</v>
      </c>
      <c r="AP335" s="35"/>
      <c r="AQ335" s="35">
        <v>80000</v>
      </c>
      <c r="AR335" s="35" t="s">
        <v>589</v>
      </c>
      <c r="AS335" s="121">
        <v>2.9042500000000002</v>
      </c>
      <c r="AU335" s="7" t="str">
        <f>VLOOKUP($AO335,Mapping!$E$11:$I$204,3,0)</f>
        <v>Replacement</v>
      </c>
      <c r="AV335" s="7" t="str">
        <f>IFERROR(VLOOKUP($AQ335,Mapping!$E$208:$K$236,5,0),"Contracts")</f>
        <v>Overhead</v>
      </c>
      <c r="AW335" s="7" t="str">
        <f>IFERROR(VLOOKUP($AQ335,Mapping!$E$208:$K$236,7,0),"ENDirect")</f>
        <v>OH</v>
      </c>
      <c r="AX335" s="7" t="str">
        <f>IFERROR(HLOOKUP(AV335,'Calc|Weightings'!$U$5:$W$5,1,0),"Excl")</f>
        <v>Excl</v>
      </c>
      <c r="AY335" s="7" t="str">
        <f>VLOOKUP(AO335,Mapping!$E$11:$I$204,5,0)</f>
        <v>SCS</v>
      </c>
    </row>
    <row r="336" spans="1:51" x14ac:dyDescent="0.3">
      <c r="A336" s="7"/>
      <c r="B336" s="7"/>
      <c r="C336" s="7"/>
      <c r="D336" s="7"/>
      <c r="E336" s="32" t="s">
        <v>203</v>
      </c>
      <c r="F336" s="32"/>
      <c r="G336" s="32">
        <v>71040</v>
      </c>
      <c r="H336" s="32" t="s">
        <v>460</v>
      </c>
      <c r="I336" s="33">
        <v>-2.5859999999999999</v>
      </c>
      <c r="J336" s="170"/>
      <c r="K336" s="7" t="str">
        <f>VLOOKUP($E336,Mapping!$E$11:$I$204,3,0)</f>
        <v>Replacement</v>
      </c>
      <c r="L336" s="7" t="str">
        <f>IFERROR(VLOOKUP($G336,Mapping!$E$208:$K$236,5,0),"Contracts")</f>
        <v>Contracts</v>
      </c>
      <c r="M336" s="7" t="str">
        <f>IFERROR(VLOOKUP($G336,Mapping!$E$208:$K$236,7,0),"ENDirect")</f>
        <v>ENDirect</v>
      </c>
      <c r="N336" s="7" t="str">
        <f>IFERROR(HLOOKUP(L336,'Calc|Weightings'!$U$5:$W$5,1,0),"Excl")</f>
        <v>Contracts</v>
      </c>
      <c r="O336" s="7" t="str">
        <f>VLOOKUP(E336,Mapping!$E$11:$I$204,5,0)</f>
        <v>SCS</v>
      </c>
      <c r="Q336" s="32" t="s">
        <v>157</v>
      </c>
      <c r="R336" s="32"/>
      <c r="S336" s="32">
        <v>71020</v>
      </c>
      <c r="T336" s="32" t="s">
        <v>459</v>
      </c>
      <c r="U336" s="33">
        <v>3.6110000000000002</v>
      </c>
      <c r="V336" s="7"/>
      <c r="W336" s="7" t="str">
        <f>VLOOKUP($Q336,Mapping!$E$11:$I$204,3,0)</f>
        <v>Replacement</v>
      </c>
      <c r="X336" s="7" t="str">
        <f>IFERROR(VLOOKUP($S336,Mapping!$E$208:$K$236,5,0),"Contracts")</f>
        <v>Contracts</v>
      </c>
      <c r="Y336" s="7" t="str">
        <f>IFERROR(VLOOKUP($S336,Mapping!$E$208:$K$236,7,0),"ENDirect")</f>
        <v>ENDirect</v>
      </c>
      <c r="Z336" s="7" t="str">
        <f>IFERROR(HLOOKUP(X336,'Calc|Weightings'!$U$5:$W$5,1,0),"Excl")</f>
        <v>Contracts</v>
      </c>
      <c r="AA336" s="7" t="str">
        <f>VLOOKUP(Q336,Mapping!$E$11:$I$204,5,0)</f>
        <v>SCS</v>
      </c>
      <c r="AC336" s="35" t="s">
        <v>176</v>
      </c>
      <c r="AD336" s="35"/>
      <c r="AE336" s="35">
        <v>71055</v>
      </c>
      <c r="AF336" s="35" t="s">
        <v>465</v>
      </c>
      <c r="AG336" s="36">
        <v>26.792999999999999</v>
      </c>
      <c r="AI336" s="7" t="str">
        <f>VLOOKUP($AC336,Mapping!$E$11:$I$204,3,0)</f>
        <v>Replacement</v>
      </c>
      <c r="AJ336" s="7" t="str">
        <f>IFERROR(VLOOKUP($AE336,Mapping!$E$208:$K$236,5,0),"Contracts")</f>
        <v>Contracts</v>
      </c>
      <c r="AK336" s="7" t="str">
        <f>IFERROR(VLOOKUP($AE336,Mapping!$E$208:$K$236,7,0),"ENDirect")</f>
        <v>ENDirect</v>
      </c>
      <c r="AL336" s="7" t="str">
        <f>IFERROR(HLOOKUP(AJ336,'Calc|Weightings'!$U$5:$W$5,1,0),"Excl")</f>
        <v>Contracts</v>
      </c>
      <c r="AM336" s="7" t="str">
        <f>VLOOKUP(AC336,Mapping!$E$11:$I$204,5,0)</f>
        <v>SCS</v>
      </c>
      <c r="AO336" s="35" t="s">
        <v>151</v>
      </c>
      <c r="AP336" s="35"/>
      <c r="AQ336" s="35">
        <v>83010</v>
      </c>
      <c r="AR336" s="35" t="s">
        <v>591</v>
      </c>
      <c r="AS336" s="121">
        <v>10.970970000000001</v>
      </c>
      <c r="AU336" s="7" t="str">
        <f>VLOOKUP($AO336,Mapping!$E$11:$I$204,3,0)</f>
        <v>Replacement</v>
      </c>
      <c r="AV336" s="7" t="str">
        <f>IFERROR(VLOOKUP($AQ336,Mapping!$E$208:$K$236,5,0),"Contracts")</f>
        <v>Contracts</v>
      </c>
      <c r="AW336" s="7" t="str">
        <f>IFERROR(VLOOKUP($AQ336,Mapping!$E$208:$K$236,7,0),"ENDirect")</f>
        <v>ENDirect</v>
      </c>
      <c r="AX336" s="7" t="str">
        <f>IFERROR(HLOOKUP(AV336,'Calc|Weightings'!$U$5:$W$5,1,0),"Excl")</f>
        <v>Contracts</v>
      </c>
      <c r="AY336" s="7" t="str">
        <f>VLOOKUP(AO336,Mapping!$E$11:$I$204,5,0)</f>
        <v>SCS</v>
      </c>
    </row>
    <row r="337" spans="1:51" x14ac:dyDescent="0.3">
      <c r="A337" s="7"/>
      <c r="B337" s="7"/>
      <c r="C337" s="7"/>
      <c r="D337" s="7"/>
      <c r="E337" s="32" t="s">
        <v>205</v>
      </c>
      <c r="F337" s="32"/>
      <c r="G337" s="32">
        <v>71040</v>
      </c>
      <c r="H337" s="32" t="s">
        <v>460</v>
      </c>
      <c r="I337" s="33">
        <v>0</v>
      </c>
      <c r="J337" s="170"/>
      <c r="K337" s="7" t="str">
        <f>VLOOKUP($E337,Mapping!$E$11:$I$204,3,0)</f>
        <v>Replacement</v>
      </c>
      <c r="L337" s="7" t="str">
        <f>IFERROR(VLOOKUP($G337,Mapping!$E$208:$K$236,5,0),"Contracts")</f>
        <v>Contracts</v>
      </c>
      <c r="M337" s="7" t="str">
        <f>IFERROR(VLOOKUP($G337,Mapping!$E$208:$K$236,7,0),"ENDirect")</f>
        <v>ENDirect</v>
      </c>
      <c r="N337" s="7" t="str">
        <f>IFERROR(HLOOKUP(L337,'Calc|Weightings'!$U$5:$W$5,1,0),"Excl")</f>
        <v>Contracts</v>
      </c>
      <c r="O337" s="7" t="str">
        <f>VLOOKUP(E337,Mapping!$E$11:$I$204,5,0)</f>
        <v>SCS</v>
      </c>
      <c r="Q337" s="32" t="s">
        <v>528</v>
      </c>
      <c r="R337" s="32"/>
      <c r="S337" s="32">
        <v>71006</v>
      </c>
      <c r="T337" s="32" t="s">
        <v>468</v>
      </c>
      <c r="U337" s="33">
        <v>96.864999999999995</v>
      </c>
      <c r="V337" s="7"/>
      <c r="W337" s="7" t="str">
        <f>VLOOKUP($Q337,Mapping!$E$11:$I$204,3,0)</f>
        <v>Connections</v>
      </c>
      <c r="X337" s="7" t="str">
        <f>IFERROR(VLOOKUP($S337,Mapping!$E$208:$K$236,5,0),"Contracts")</f>
        <v>Materials</v>
      </c>
      <c r="Y337" s="7" t="str">
        <f>IFERROR(VLOOKUP($S337,Mapping!$E$208:$K$236,7,0),"ENDirect")</f>
        <v>ENDirect</v>
      </c>
      <c r="Z337" s="7" t="str">
        <f>IFERROR(HLOOKUP(X337,'Calc|Weightings'!$U$5:$W$5,1,0),"Excl")</f>
        <v>Materials</v>
      </c>
      <c r="AA337" s="7" t="str">
        <f>VLOOKUP(Q337,Mapping!$E$11:$I$204,5,0)</f>
        <v>SCS</v>
      </c>
      <c r="AC337" s="35" t="s">
        <v>176</v>
      </c>
      <c r="AD337" s="35"/>
      <c r="AE337" s="35">
        <v>80000</v>
      </c>
      <c r="AF337" s="35" t="s">
        <v>453</v>
      </c>
      <c r="AG337" s="36">
        <v>66.932000000000002</v>
      </c>
      <c r="AI337" s="7" t="str">
        <f>VLOOKUP($AC337,Mapping!$E$11:$I$204,3,0)</f>
        <v>Replacement</v>
      </c>
      <c r="AJ337" s="7" t="str">
        <f>IFERROR(VLOOKUP($AE337,Mapping!$E$208:$K$236,5,0),"Contracts")</f>
        <v>Overhead</v>
      </c>
      <c r="AK337" s="7" t="str">
        <f>IFERROR(VLOOKUP($AE337,Mapping!$E$208:$K$236,7,0),"ENDirect")</f>
        <v>OH</v>
      </c>
      <c r="AL337" s="7" t="str">
        <f>IFERROR(HLOOKUP(AJ337,'Calc|Weightings'!$U$5:$W$5,1,0),"Excl")</f>
        <v>Excl</v>
      </c>
      <c r="AM337" s="7" t="str">
        <f>VLOOKUP(AC337,Mapping!$E$11:$I$204,5,0)</f>
        <v>SCS</v>
      </c>
      <c r="AO337" s="35" t="s">
        <v>152</v>
      </c>
      <c r="AP337" s="35"/>
      <c r="AQ337" s="35">
        <v>71000</v>
      </c>
      <c r="AR337" s="35" t="s">
        <v>457</v>
      </c>
      <c r="AS337" s="121">
        <v>18.105089999999997</v>
      </c>
      <c r="AU337" s="7" t="str">
        <f>VLOOKUP($AO337,Mapping!$E$11:$I$204,3,0)</f>
        <v>Augmentation</v>
      </c>
      <c r="AV337" s="7" t="str">
        <f>IFERROR(VLOOKUP($AQ337,Mapping!$E$208:$K$236,5,0),"Contracts")</f>
        <v>Labour</v>
      </c>
      <c r="AW337" s="7" t="str">
        <f>IFERROR(VLOOKUP($AQ337,Mapping!$E$208:$K$236,7,0),"ENDirect")</f>
        <v>ENDirect</v>
      </c>
      <c r="AX337" s="7" t="str">
        <f>IFERROR(HLOOKUP(AV337,'Calc|Weightings'!$U$5:$W$5,1,0),"Excl")</f>
        <v>Labour</v>
      </c>
      <c r="AY337" s="7" t="str">
        <f>VLOOKUP(AO337,Mapping!$E$11:$I$204,5,0)</f>
        <v>SCS</v>
      </c>
    </row>
    <row r="338" spans="1:51" x14ac:dyDescent="0.3">
      <c r="A338" s="7"/>
      <c r="B338" s="7"/>
      <c r="C338" s="7"/>
      <c r="D338" s="7"/>
      <c r="E338" s="32" t="s">
        <v>206</v>
      </c>
      <c r="F338" s="32"/>
      <c r="G338" s="32">
        <v>71040</v>
      </c>
      <c r="H338" s="32" t="s">
        <v>460</v>
      </c>
      <c r="I338" s="33">
        <v>0</v>
      </c>
      <c r="J338" s="170"/>
      <c r="K338" s="7" t="str">
        <f>VLOOKUP($E338,Mapping!$E$11:$I$204,3,0)</f>
        <v>Replacement</v>
      </c>
      <c r="L338" s="7" t="str">
        <f>IFERROR(VLOOKUP($G338,Mapping!$E$208:$K$236,5,0),"Contracts")</f>
        <v>Contracts</v>
      </c>
      <c r="M338" s="7" t="str">
        <f>IFERROR(VLOOKUP($G338,Mapping!$E$208:$K$236,7,0),"ENDirect")</f>
        <v>ENDirect</v>
      </c>
      <c r="N338" s="7" t="str">
        <f>IFERROR(HLOOKUP(L338,'Calc|Weightings'!$U$5:$W$5,1,0),"Excl")</f>
        <v>Contracts</v>
      </c>
      <c r="O338" s="7" t="str">
        <f>VLOOKUP(E338,Mapping!$E$11:$I$204,5,0)</f>
        <v>SCS</v>
      </c>
      <c r="Q338" s="32" t="s">
        <v>113</v>
      </c>
      <c r="R338" s="32"/>
      <c r="S338" s="32">
        <v>71006</v>
      </c>
      <c r="T338" s="32" t="s">
        <v>468</v>
      </c>
      <c r="U338" s="33">
        <v>31.228999999999999</v>
      </c>
      <c r="V338" s="7"/>
      <c r="W338" s="7" t="str">
        <f>VLOOKUP($Q338,Mapping!$E$11:$I$204,3,0)</f>
        <v>Connections</v>
      </c>
      <c r="X338" s="7" t="str">
        <f>IFERROR(VLOOKUP($S338,Mapping!$E$208:$K$236,5,0),"Contracts")</f>
        <v>Materials</v>
      </c>
      <c r="Y338" s="7" t="str">
        <f>IFERROR(VLOOKUP($S338,Mapping!$E$208:$K$236,7,0),"ENDirect")</f>
        <v>ENDirect</v>
      </c>
      <c r="Z338" s="7" t="str">
        <f>IFERROR(HLOOKUP(X338,'Calc|Weightings'!$U$5:$W$5,1,0),"Excl")</f>
        <v>Materials</v>
      </c>
      <c r="AA338" s="7" t="str">
        <f>VLOOKUP(Q338,Mapping!$E$11:$I$204,5,0)</f>
        <v>SCS</v>
      </c>
      <c r="AC338" s="35" t="s">
        <v>119</v>
      </c>
      <c r="AD338" s="35"/>
      <c r="AE338" s="35">
        <v>71000</v>
      </c>
      <c r="AF338" s="35" t="s">
        <v>457</v>
      </c>
      <c r="AG338" s="36">
        <v>41.28</v>
      </c>
      <c r="AI338" s="7" t="str">
        <f>VLOOKUP($AC338,Mapping!$E$11:$I$204,3,0)</f>
        <v>Connections</v>
      </c>
      <c r="AJ338" s="7" t="str">
        <f>IFERROR(VLOOKUP($AE338,Mapping!$E$208:$K$236,5,0),"Contracts")</f>
        <v>Labour</v>
      </c>
      <c r="AK338" s="7" t="str">
        <f>IFERROR(VLOOKUP($AE338,Mapping!$E$208:$K$236,7,0),"ENDirect")</f>
        <v>ENDirect</v>
      </c>
      <c r="AL338" s="7" t="str">
        <f>IFERROR(HLOOKUP(AJ338,'Calc|Weightings'!$U$5:$W$5,1,0),"Excl")</f>
        <v>Labour</v>
      </c>
      <c r="AM338" s="7" t="str">
        <f>VLOOKUP(AC338,Mapping!$E$11:$I$204,5,0)</f>
        <v>SCS</v>
      </c>
      <c r="AO338" s="35" t="s">
        <v>152</v>
      </c>
      <c r="AP338" s="35"/>
      <c r="AQ338" s="35">
        <v>71005</v>
      </c>
      <c r="AR338" s="35" t="s">
        <v>461</v>
      </c>
      <c r="AS338" s="121">
        <v>7.1138399999999997</v>
      </c>
      <c r="AU338" s="7" t="str">
        <f>VLOOKUP($AO338,Mapping!$E$11:$I$204,3,0)</f>
        <v>Augmentation</v>
      </c>
      <c r="AV338" s="7" t="str">
        <f>IFERROR(VLOOKUP($AQ338,Mapping!$E$208:$K$236,5,0),"Contracts")</f>
        <v>Materials</v>
      </c>
      <c r="AW338" s="7" t="str">
        <f>IFERROR(VLOOKUP($AQ338,Mapping!$E$208:$K$236,7,0),"ENDirect")</f>
        <v>ENDirect</v>
      </c>
      <c r="AX338" s="7" t="str">
        <f>IFERROR(HLOOKUP(AV338,'Calc|Weightings'!$U$5:$W$5,1,0),"Excl")</f>
        <v>Materials</v>
      </c>
      <c r="AY338" s="7" t="str">
        <f>VLOOKUP(AO338,Mapping!$E$11:$I$204,5,0)</f>
        <v>SCS</v>
      </c>
    </row>
    <row r="339" spans="1:51" x14ac:dyDescent="0.3">
      <c r="A339" s="7"/>
      <c r="B339" s="7"/>
      <c r="C339" s="7"/>
      <c r="D339" s="7"/>
      <c r="E339" s="32" t="s">
        <v>217</v>
      </c>
      <c r="F339" s="32"/>
      <c r="G339" s="32">
        <v>71040</v>
      </c>
      <c r="H339" s="32" t="s">
        <v>460</v>
      </c>
      <c r="I339" s="33">
        <v>-1.421</v>
      </c>
      <c r="J339" s="170"/>
      <c r="K339" s="7" t="str">
        <f>VLOOKUP($E339,Mapping!$E$11:$I$204,3,0)</f>
        <v>Replacement</v>
      </c>
      <c r="L339" s="7" t="str">
        <f>IFERROR(VLOOKUP($G339,Mapping!$E$208:$K$236,5,0),"Contracts")</f>
        <v>Contracts</v>
      </c>
      <c r="M339" s="7" t="str">
        <f>IFERROR(VLOOKUP($G339,Mapping!$E$208:$K$236,7,0),"ENDirect")</f>
        <v>ENDirect</v>
      </c>
      <c r="N339" s="7" t="str">
        <f>IFERROR(HLOOKUP(L339,'Calc|Weightings'!$U$5:$W$5,1,0),"Excl")</f>
        <v>Contracts</v>
      </c>
      <c r="O339" s="7" t="str">
        <f>VLOOKUP(E339,Mapping!$E$11:$I$204,5,0)</f>
        <v>SCS</v>
      </c>
      <c r="Q339" s="32" t="s">
        <v>160</v>
      </c>
      <c r="R339" s="32"/>
      <c r="S339" s="32">
        <v>71000</v>
      </c>
      <c r="T339" s="32" t="s">
        <v>457</v>
      </c>
      <c r="U339" s="33">
        <v>237.02600000000001</v>
      </c>
      <c r="V339" s="7"/>
      <c r="W339" s="7" t="str">
        <f>VLOOKUP($Q339,Mapping!$E$11:$I$204,3,0)</f>
        <v>Augmentation</v>
      </c>
      <c r="X339" s="7" t="str">
        <f>IFERROR(VLOOKUP($S339,Mapping!$E$208:$K$236,5,0),"Contracts")</f>
        <v>Labour</v>
      </c>
      <c r="Y339" s="7" t="str">
        <f>IFERROR(VLOOKUP($S339,Mapping!$E$208:$K$236,7,0),"ENDirect")</f>
        <v>ENDirect</v>
      </c>
      <c r="Z339" s="7" t="str">
        <f>IFERROR(HLOOKUP(X339,'Calc|Weightings'!$U$5:$W$5,1,0),"Excl")</f>
        <v>Labour</v>
      </c>
      <c r="AA339" s="7" t="str">
        <f>VLOOKUP(Q339,Mapping!$E$11:$I$204,5,0)</f>
        <v>SCS</v>
      </c>
      <c r="AC339" s="35" t="s">
        <v>119</v>
      </c>
      <c r="AD339" s="35"/>
      <c r="AE339" s="35">
        <v>71005</v>
      </c>
      <c r="AF339" s="35" t="s">
        <v>461</v>
      </c>
      <c r="AG339" s="36">
        <v>17.045000000000002</v>
      </c>
      <c r="AI339" s="7" t="str">
        <f>VLOOKUP($AC339,Mapping!$E$11:$I$204,3,0)</f>
        <v>Connections</v>
      </c>
      <c r="AJ339" s="7" t="str">
        <f>IFERROR(VLOOKUP($AE339,Mapping!$E$208:$K$236,5,0),"Contracts")</f>
        <v>Materials</v>
      </c>
      <c r="AK339" s="7" t="str">
        <f>IFERROR(VLOOKUP($AE339,Mapping!$E$208:$K$236,7,0),"ENDirect")</f>
        <v>ENDirect</v>
      </c>
      <c r="AL339" s="7" t="str">
        <f>IFERROR(HLOOKUP(AJ339,'Calc|Weightings'!$U$5:$W$5,1,0),"Excl")</f>
        <v>Materials</v>
      </c>
      <c r="AM339" s="7" t="str">
        <f>VLOOKUP(AC339,Mapping!$E$11:$I$204,5,0)</f>
        <v>SCS</v>
      </c>
      <c r="AO339" s="35" t="s">
        <v>152</v>
      </c>
      <c r="AP339" s="35"/>
      <c r="AQ339" s="35">
        <v>71010</v>
      </c>
      <c r="AR339" s="35" t="s">
        <v>487</v>
      </c>
      <c r="AS339" s="121">
        <v>15.392109999999997</v>
      </c>
      <c r="AU339" s="7" t="str">
        <f>VLOOKUP($AO339,Mapping!$E$11:$I$204,3,0)</f>
        <v>Augmentation</v>
      </c>
      <c r="AV339" s="7" t="str">
        <f>IFERROR(VLOOKUP($AQ339,Mapping!$E$208:$K$236,5,0),"Contracts")</f>
        <v>Labour</v>
      </c>
      <c r="AW339" s="7" t="str">
        <f>IFERROR(VLOOKUP($AQ339,Mapping!$E$208:$K$236,7,0),"ENDirect")</f>
        <v>ENDirect</v>
      </c>
      <c r="AX339" s="7" t="str">
        <f>IFERROR(HLOOKUP(AV339,'Calc|Weightings'!$U$5:$W$5,1,0),"Excl")</f>
        <v>Labour</v>
      </c>
      <c r="AY339" s="7" t="str">
        <f>VLOOKUP(AO339,Mapping!$E$11:$I$204,5,0)</f>
        <v>SCS</v>
      </c>
    </row>
    <row r="340" spans="1:51" x14ac:dyDescent="0.3">
      <c r="A340" s="7"/>
      <c r="B340" s="7"/>
      <c r="C340" s="7"/>
      <c r="D340" s="7"/>
      <c r="E340" s="32" t="s">
        <v>221</v>
      </c>
      <c r="F340" s="32"/>
      <c r="G340" s="32">
        <v>71040</v>
      </c>
      <c r="H340" s="32" t="s">
        <v>460</v>
      </c>
      <c r="I340" s="33">
        <v>0</v>
      </c>
      <c r="J340" s="170"/>
      <c r="K340" s="7" t="str">
        <f>VLOOKUP($E340,Mapping!$E$11:$I$204,3,0)</f>
        <v>Replacement</v>
      </c>
      <c r="L340" s="7" t="str">
        <f>IFERROR(VLOOKUP($G340,Mapping!$E$208:$K$236,5,0),"Contracts")</f>
        <v>Contracts</v>
      </c>
      <c r="M340" s="7" t="str">
        <f>IFERROR(VLOOKUP($G340,Mapping!$E$208:$K$236,7,0),"ENDirect")</f>
        <v>ENDirect</v>
      </c>
      <c r="N340" s="7" t="str">
        <f>IFERROR(HLOOKUP(L340,'Calc|Weightings'!$U$5:$W$5,1,0),"Excl")</f>
        <v>Contracts</v>
      </c>
      <c r="O340" s="7" t="str">
        <f>VLOOKUP(E340,Mapping!$E$11:$I$204,5,0)</f>
        <v>SCS</v>
      </c>
      <c r="Q340" s="32" t="s">
        <v>160</v>
      </c>
      <c r="R340" s="32"/>
      <c r="S340" s="32">
        <v>71005</v>
      </c>
      <c r="T340" s="32" t="s">
        <v>461</v>
      </c>
      <c r="U340" s="33">
        <v>136.24299999999999</v>
      </c>
      <c r="V340" s="7"/>
      <c r="W340" s="7" t="str">
        <f>VLOOKUP($Q340,Mapping!$E$11:$I$204,3,0)</f>
        <v>Augmentation</v>
      </c>
      <c r="X340" s="7" t="str">
        <f>IFERROR(VLOOKUP($S340,Mapping!$E$208:$K$236,5,0),"Contracts")</f>
        <v>Materials</v>
      </c>
      <c r="Y340" s="7" t="str">
        <f>IFERROR(VLOOKUP($S340,Mapping!$E$208:$K$236,7,0),"ENDirect")</f>
        <v>ENDirect</v>
      </c>
      <c r="Z340" s="7" t="str">
        <f>IFERROR(HLOOKUP(X340,'Calc|Weightings'!$U$5:$W$5,1,0),"Excl")</f>
        <v>Materials</v>
      </c>
      <c r="AA340" s="7" t="str">
        <f>VLOOKUP(Q340,Mapping!$E$11:$I$204,5,0)</f>
        <v>SCS</v>
      </c>
      <c r="AC340" s="35" t="s">
        <v>119</v>
      </c>
      <c r="AD340" s="35"/>
      <c r="AE340" s="35">
        <v>71030</v>
      </c>
      <c r="AF340" s="35" t="s">
        <v>464</v>
      </c>
      <c r="AG340" s="36">
        <v>6.3040000000000003</v>
      </c>
      <c r="AI340" s="7" t="str">
        <f>VLOOKUP($AC340,Mapping!$E$11:$I$204,3,0)</f>
        <v>Connections</v>
      </c>
      <c r="AJ340" s="7" t="str">
        <f>IFERROR(VLOOKUP($AE340,Mapping!$E$208:$K$236,5,0),"Contracts")</f>
        <v>Contracts</v>
      </c>
      <c r="AK340" s="7" t="str">
        <f>IFERROR(VLOOKUP($AE340,Mapping!$E$208:$K$236,7,0),"ENDirect")</f>
        <v>ENDirect</v>
      </c>
      <c r="AL340" s="7" t="str">
        <f>IFERROR(HLOOKUP(AJ340,'Calc|Weightings'!$U$5:$W$5,1,0),"Excl")</f>
        <v>Contracts</v>
      </c>
      <c r="AM340" s="7" t="str">
        <f>VLOOKUP(AC340,Mapping!$E$11:$I$204,5,0)</f>
        <v>SCS</v>
      </c>
      <c r="AO340" s="35" t="s">
        <v>152</v>
      </c>
      <c r="AP340" s="35"/>
      <c r="AQ340" s="35">
        <v>71015</v>
      </c>
      <c r="AR340" s="35" t="s">
        <v>585</v>
      </c>
      <c r="AS340" s="121">
        <v>2.8473200000000007</v>
      </c>
      <c r="AU340" s="7" t="str">
        <f>VLOOKUP($AO340,Mapping!$E$11:$I$204,3,0)</f>
        <v>Augmentation</v>
      </c>
      <c r="AV340" s="7" t="str">
        <f>IFERROR(VLOOKUP($AQ340,Mapping!$E$208:$K$236,5,0),"Contracts")</f>
        <v>Materials</v>
      </c>
      <c r="AW340" s="7" t="str">
        <f>IFERROR(VLOOKUP($AQ340,Mapping!$E$208:$K$236,7,0),"ENDirect")</f>
        <v>ENDirect</v>
      </c>
      <c r="AX340" s="7" t="str">
        <f>IFERROR(HLOOKUP(AV340,'Calc|Weightings'!$U$5:$W$5,1,0),"Excl")</f>
        <v>Materials</v>
      </c>
      <c r="AY340" s="7" t="str">
        <f>VLOOKUP(AO340,Mapping!$E$11:$I$204,5,0)</f>
        <v>SCS</v>
      </c>
    </row>
    <row r="341" spans="1:51" x14ac:dyDescent="0.3">
      <c r="A341" s="7"/>
      <c r="B341" s="7"/>
      <c r="C341" s="7"/>
      <c r="D341" s="7"/>
      <c r="E341" s="32" t="s">
        <v>222</v>
      </c>
      <c r="F341" s="32"/>
      <c r="G341" s="32">
        <v>71040</v>
      </c>
      <c r="H341" s="32" t="s">
        <v>460</v>
      </c>
      <c r="I341" s="33">
        <v>-3.105</v>
      </c>
      <c r="J341" s="170"/>
      <c r="K341" s="7" t="str">
        <f>VLOOKUP($E341,Mapping!$E$11:$I$204,3,0)</f>
        <v>Replacement</v>
      </c>
      <c r="L341" s="7" t="str">
        <f>IFERROR(VLOOKUP($G341,Mapping!$E$208:$K$236,5,0),"Contracts")</f>
        <v>Contracts</v>
      </c>
      <c r="M341" s="7" t="str">
        <f>IFERROR(VLOOKUP($G341,Mapping!$E$208:$K$236,7,0),"ENDirect")</f>
        <v>ENDirect</v>
      </c>
      <c r="N341" s="7" t="str">
        <f>IFERROR(HLOOKUP(L341,'Calc|Weightings'!$U$5:$W$5,1,0),"Excl")</f>
        <v>Contracts</v>
      </c>
      <c r="O341" s="7" t="str">
        <f>VLOOKUP(E341,Mapping!$E$11:$I$204,5,0)</f>
        <v>SCS</v>
      </c>
      <c r="Q341" s="32" t="s">
        <v>160</v>
      </c>
      <c r="R341" s="32"/>
      <c r="S341" s="32">
        <v>71010</v>
      </c>
      <c r="T341" s="32" t="s">
        <v>462</v>
      </c>
      <c r="U341" s="33">
        <v>69.438000000000002</v>
      </c>
      <c r="V341" s="7"/>
      <c r="W341" s="7" t="str">
        <f>VLOOKUP($Q341,Mapping!$E$11:$I$204,3,0)</f>
        <v>Augmentation</v>
      </c>
      <c r="X341" s="7" t="str">
        <f>IFERROR(VLOOKUP($S341,Mapping!$E$208:$K$236,5,0),"Contracts")</f>
        <v>Labour</v>
      </c>
      <c r="Y341" s="7" t="str">
        <f>IFERROR(VLOOKUP($S341,Mapping!$E$208:$K$236,7,0),"ENDirect")</f>
        <v>ENDirect</v>
      </c>
      <c r="Z341" s="7" t="str">
        <f>IFERROR(HLOOKUP(X341,'Calc|Weightings'!$U$5:$W$5,1,0),"Excl")</f>
        <v>Labour</v>
      </c>
      <c r="AA341" s="7" t="str">
        <f>VLOOKUP(Q341,Mapping!$E$11:$I$204,5,0)</f>
        <v>SCS</v>
      </c>
      <c r="AC341" s="35" t="s">
        <v>119</v>
      </c>
      <c r="AD341" s="35"/>
      <c r="AE341" s="35">
        <v>71055</v>
      </c>
      <c r="AF341" s="35" t="s">
        <v>465</v>
      </c>
      <c r="AG341" s="36">
        <v>11.327</v>
      </c>
      <c r="AI341" s="7" t="str">
        <f>VLOOKUP($AC341,Mapping!$E$11:$I$204,3,0)</f>
        <v>Connections</v>
      </c>
      <c r="AJ341" s="7" t="str">
        <f>IFERROR(VLOOKUP($AE341,Mapping!$E$208:$K$236,5,0),"Contracts")</f>
        <v>Contracts</v>
      </c>
      <c r="AK341" s="7" t="str">
        <f>IFERROR(VLOOKUP($AE341,Mapping!$E$208:$K$236,7,0),"ENDirect")</f>
        <v>ENDirect</v>
      </c>
      <c r="AL341" s="7" t="str">
        <f>IFERROR(HLOOKUP(AJ341,'Calc|Weightings'!$U$5:$W$5,1,0),"Excl")</f>
        <v>Contracts</v>
      </c>
      <c r="AM341" s="7" t="str">
        <f>VLOOKUP(AC341,Mapping!$E$11:$I$204,5,0)</f>
        <v>SCS</v>
      </c>
      <c r="AO341" s="35" t="s">
        <v>152</v>
      </c>
      <c r="AP341" s="35"/>
      <c r="AQ341" s="35">
        <v>71030</v>
      </c>
      <c r="AR341" s="35" t="s">
        <v>464</v>
      </c>
      <c r="AS341" s="121">
        <v>3.3274900000000005</v>
      </c>
      <c r="AU341" s="7" t="str">
        <f>VLOOKUP($AO341,Mapping!$E$11:$I$204,3,0)</f>
        <v>Augmentation</v>
      </c>
      <c r="AV341" s="7" t="str">
        <f>IFERROR(VLOOKUP($AQ341,Mapping!$E$208:$K$236,5,0),"Contracts")</f>
        <v>Contracts</v>
      </c>
      <c r="AW341" s="7" t="str">
        <f>IFERROR(VLOOKUP($AQ341,Mapping!$E$208:$K$236,7,0),"ENDirect")</f>
        <v>ENDirect</v>
      </c>
      <c r="AX341" s="7" t="str">
        <f>IFERROR(HLOOKUP(AV341,'Calc|Weightings'!$U$5:$W$5,1,0),"Excl")</f>
        <v>Contracts</v>
      </c>
      <c r="AY341" s="7" t="str">
        <f>VLOOKUP(AO341,Mapping!$E$11:$I$204,5,0)</f>
        <v>SCS</v>
      </c>
    </row>
    <row r="342" spans="1:51" x14ac:dyDescent="0.3">
      <c r="A342" s="7"/>
      <c r="B342" s="7"/>
      <c r="C342" s="7"/>
      <c r="D342" s="7"/>
      <c r="E342" s="32" t="s">
        <v>223</v>
      </c>
      <c r="F342" s="32"/>
      <c r="G342" s="32">
        <v>71040</v>
      </c>
      <c r="H342" s="32" t="s">
        <v>460</v>
      </c>
      <c r="I342" s="33">
        <v>0</v>
      </c>
      <c r="J342" s="170"/>
      <c r="K342" s="7" t="str">
        <f>VLOOKUP($E342,Mapping!$E$11:$I$204,3,0)</f>
        <v>Replacement</v>
      </c>
      <c r="L342" s="7" t="str">
        <f>IFERROR(VLOOKUP($G342,Mapping!$E$208:$K$236,5,0),"Contracts")</f>
        <v>Contracts</v>
      </c>
      <c r="M342" s="7" t="str">
        <f>IFERROR(VLOOKUP($G342,Mapping!$E$208:$K$236,7,0),"ENDirect")</f>
        <v>ENDirect</v>
      </c>
      <c r="N342" s="7" t="str">
        <f>IFERROR(HLOOKUP(L342,'Calc|Weightings'!$U$5:$W$5,1,0),"Excl")</f>
        <v>Contracts</v>
      </c>
      <c r="O342" s="7" t="str">
        <f>VLOOKUP(E342,Mapping!$E$11:$I$204,5,0)</f>
        <v>SCS</v>
      </c>
      <c r="Q342" s="32" t="s">
        <v>160</v>
      </c>
      <c r="R342" s="32"/>
      <c r="S342" s="32">
        <v>71015</v>
      </c>
      <c r="T342" s="32" t="s">
        <v>463</v>
      </c>
      <c r="U342" s="33">
        <v>26.966000000000001</v>
      </c>
      <c r="V342" s="7"/>
      <c r="W342" s="7" t="str">
        <f>VLOOKUP($Q342,Mapping!$E$11:$I$204,3,0)</f>
        <v>Augmentation</v>
      </c>
      <c r="X342" s="7" t="str">
        <f>IFERROR(VLOOKUP($S342,Mapping!$E$208:$K$236,5,0),"Contracts")</f>
        <v>Materials</v>
      </c>
      <c r="Y342" s="7" t="str">
        <f>IFERROR(VLOOKUP($S342,Mapping!$E$208:$K$236,7,0),"ENDirect")</f>
        <v>ENDirect</v>
      </c>
      <c r="Z342" s="7" t="str">
        <f>IFERROR(HLOOKUP(X342,'Calc|Weightings'!$U$5:$W$5,1,0),"Excl")</f>
        <v>Materials</v>
      </c>
      <c r="AA342" s="7" t="str">
        <f>VLOOKUP(Q342,Mapping!$E$11:$I$204,5,0)</f>
        <v>SCS</v>
      </c>
      <c r="AC342" s="35" t="s">
        <v>119</v>
      </c>
      <c r="AD342" s="35"/>
      <c r="AE342" s="35">
        <v>80000</v>
      </c>
      <c r="AF342" s="35" t="s">
        <v>453</v>
      </c>
      <c r="AG342" s="36">
        <v>15.359</v>
      </c>
      <c r="AI342" s="7" t="str">
        <f>VLOOKUP($AC342,Mapping!$E$11:$I$204,3,0)</f>
        <v>Connections</v>
      </c>
      <c r="AJ342" s="7" t="str">
        <f>IFERROR(VLOOKUP($AE342,Mapping!$E$208:$K$236,5,0),"Contracts")</f>
        <v>Overhead</v>
      </c>
      <c r="AK342" s="7" t="str">
        <f>IFERROR(VLOOKUP($AE342,Mapping!$E$208:$K$236,7,0),"ENDirect")</f>
        <v>OH</v>
      </c>
      <c r="AL342" s="7" t="str">
        <f>IFERROR(HLOOKUP(AJ342,'Calc|Weightings'!$U$5:$W$5,1,0),"Excl")</f>
        <v>Excl</v>
      </c>
      <c r="AM342" s="7" t="str">
        <f>VLOOKUP(AC342,Mapping!$E$11:$I$204,5,0)</f>
        <v>SCS</v>
      </c>
      <c r="AO342" s="35" t="s">
        <v>152</v>
      </c>
      <c r="AP342" s="35"/>
      <c r="AQ342" s="35">
        <v>71055</v>
      </c>
      <c r="AR342" s="35" t="s">
        <v>465</v>
      </c>
      <c r="AS342" s="121">
        <v>4.0762500000000017</v>
      </c>
      <c r="AU342" s="7" t="str">
        <f>VLOOKUP($AO342,Mapping!$E$11:$I$204,3,0)</f>
        <v>Augmentation</v>
      </c>
      <c r="AV342" s="7" t="str">
        <f>IFERROR(VLOOKUP($AQ342,Mapping!$E$208:$K$236,5,0),"Contracts")</f>
        <v>Contracts</v>
      </c>
      <c r="AW342" s="7" t="str">
        <f>IFERROR(VLOOKUP($AQ342,Mapping!$E$208:$K$236,7,0),"ENDirect")</f>
        <v>ENDirect</v>
      </c>
      <c r="AX342" s="7" t="str">
        <f>IFERROR(HLOOKUP(AV342,'Calc|Weightings'!$U$5:$W$5,1,0),"Excl")</f>
        <v>Contracts</v>
      </c>
      <c r="AY342" s="7" t="str">
        <f>VLOOKUP(AO342,Mapping!$E$11:$I$204,5,0)</f>
        <v>SCS</v>
      </c>
    </row>
    <row r="343" spans="1:51" x14ac:dyDescent="0.3">
      <c r="A343" s="7"/>
      <c r="B343" s="7"/>
      <c r="C343" s="7"/>
      <c r="D343" s="7"/>
      <c r="E343" s="32" t="s">
        <v>224</v>
      </c>
      <c r="F343" s="32"/>
      <c r="G343" s="32">
        <v>71040</v>
      </c>
      <c r="H343" s="32" t="s">
        <v>460</v>
      </c>
      <c r="I343" s="33">
        <v>-1.5920000000000001</v>
      </c>
      <c r="J343" s="170"/>
      <c r="K343" s="7" t="str">
        <f>VLOOKUP($E343,Mapping!$E$11:$I$204,3,0)</f>
        <v>Replacement</v>
      </c>
      <c r="L343" s="7" t="str">
        <f>IFERROR(VLOOKUP($G343,Mapping!$E$208:$K$236,5,0),"Contracts")</f>
        <v>Contracts</v>
      </c>
      <c r="M343" s="7" t="str">
        <f>IFERROR(VLOOKUP($G343,Mapping!$E$208:$K$236,7,0),"ENDirect")</f>
        <v>ENDirect</v>
      </c>
      <c r="N343" s="7" t="str">
        <f>IFERROR(HLOOKUP(L343,'Calc|Weightings'!$U$5:$W$5,1,0),"Excl")</f>
        <v>Contracts</v>
      </c>
      <c r="O343" s="7" t="str">
        <f>VLOOKUP(E343,Mapping!$E$11:$I$204,5,0)</f>
        <v>SCS</v>
      </c>
      <c r="Q343" s="32" t="s">
        <v>160</v>
      </c>
      <c r="R343" s="32"/>
      <c r="S343" s="32">
        <v>71020</v>
      </c>
      <c r="T343" s="32" t="s">
        <v>459</v>
      </c>
      <c r="U343" s="33">
        <v>-10.426</v>
      </c>
      <c r="V343" s="7"/>
      <c r="W343" s="7" t="str">
        <f>VLOOKUP($Q343,Mapping!$E$11:$I$204,3,0)</f>
        <v>Augmentation</v>
      </c>
      <c r="X343" s="7" t="str">
        <f>IFERROR(VLOOKUP($S343,Mapping!$E$208:$K$236,5,0),"Contracts")</f>
        <v>Contracts</v>
      </c>
      <c r="Y343" s="7" t="str">
        <f>IFERROR(VLOOKUP($S343,Mapping!$E$208:$K$236,7,0),"ENDirect")</f>
        <v>ENDirect</v>
      </c>
      <c r="Z343" s="7" t="str">
        <f>IFERROR(HLOOKUP(X343,'Calc|Weightings'!$U$5:$W$5,1,0),"Excl")</f>
        <v>Contracts</v>
      </c>
      <c r="AA343" s="7" t="str">
        <f>VLOOKUP(Q343,Mapping!$E$11:$I$204,5,0)</f>
        <v>SCS</v>
      </c>
      <c r="AC343" s="35" t="s">
        <v>112</v>
      </c>
      <c r="AD343" s="35"/>
      <c r="AE343" s="35">
        <v>71000</v>
      </c>
      <c r="AF343" s="35" t="s">
        <v>457</v>
      </c>
      <c r="AG343" s="36">
        <v>4.3559999999999999</v>
      </c>
      <c r="AI343" s="7" t="str">
        <f>VLOOKUP($AC343,Mapping!$E$11:$I$204,3,0)</f>
        <v>Connections</v>
      </c>
      <c r="AJ343" s="7" t="str">
        <f>IFERROR(VLOOKUP($AE343,Mapping!$E$208:$K$236,5,0),"Contracts")</f>
        <v>Labour</v>
      </c>
      <c r="AK343" s="7" t="str">
        <f>IFERROR(VLOOKUP($AE343,Mapping!$E$208:$K$236,7,0),"ENDirect")</f>
        <v>ENDirect</v>
      </c>
      <c r="AL343" s="7" t="str">
        <f>IFERROR(HLOOKUP(AJ343,'Calc|Weightings'!$U$5:$W$5,1,0),"Excl")</f>
        <v>Labour</v>
      </c>
      <c r="AM343" s="7" t="str">
        <f>VLOOKUP(AC343,Mapping!$E$11:$I$204,5,0)</f>
        <v>SCS</v>
      </c>
      <c r="AO343" s="35" t="s">
        <v>152</v>
      </c>
      <c r="AP343" s="35"/>
      <c r="AQ343" s="35">
        <v>71070</v>
      </c>
      <c r="AR343" s="35" t="s">
        <v>586</v>
      </c>
      <c r="AS343" s="121">
        <v>7.0402999999999993</v>
      </c>
      <c r="AU343" s="7" t="str">
        <f>VLOOKUP($AO343,Mapping!$E$11:$I$204,3,0)</f>
        <v>Augmentation</v>
      </c>
      <c r="AV343" s="7" t="str">
        <f>IFERROR(VLOOKUP($AQ343,Mapping!$E$208:$K$236,5,0),"Contracts")</f>
        <v>Contracts</v>
      </c>
      <c r="AW343" s="7" t="str">
        <f>IFERROR(VLOOKUP($AQ343,Mapping!$E$208:$K$236,7,0),"ENDirect")</f>
        <v>ENDirect</v>
      </c>
      <c r="AX343" s="7" t="str">
        <f>IFERROR(HLOOKUP(AV343,'Calc|Weightings'!$U$5:$W$5,1,0),"Excl")</f>
        <v>Contracts</v>
      </c>
      <c r="AY343" s="7" t="str">
        <f>VLOOKUP(AO343,Mapping!$E$11:$I$204,5,0)</f>
        <v>SCS</v>
      </c>
    </row>
    <row r="344" spans="1:51" x14ac:dyDescent="0.3">
      <c r="A344" s="7"/>
      <c r="B344" s="7"/>
      <c r="C344" s="7"/>
      <c r="D344" s="7"/>
      <c r="E344" s="32" t="s">
        <v>227</v>
      </c>
      <c r="F344" s="32"/>
      <c r="G344" s="32">
        <v>71040</v>
      </c>
      <c r="H344" s="32" t="s">
        <v>460</v>
      </c>
      <c r="I344" s="33">
        <v>-8.2539999999999996</v>
      </c>
      <c r="J344" s="170"/>
      <c r="K344" s="7" t="str">
        <f>VLOOKUP($E344,Mapping!$E$11:$I$204,3,0)</f>
        <v>Replacement</v>
      </c>
      <c r="L344" s="7" t="str">
        <f>IFERROR(VLOOKUP($G344,Mapping!$E$208:$K$236,5,0),"Contracts")</f>
        <v>Contracts</v>
      </c>
      <c r="M344" s="7" t="str">
        <f>IFERROR(VLOOKUP($G344,Mapping!$E$208:$K$236,7,0),"ENDirect")</f>
        <v>ENDirect</v>
      </c>
      <c r="N344" s="7" t="str">
        <f>IFERROR(HLOOKUP(L344,'Calc|Weightings'!$U$5:$W$5,1,0),"Excl")</f>
        <v>Contracts</v>
      </c>
      <c r="O344" s="7" t="str">
        <f>VLOOKUP(E344,Mapping!$E$11:$I$204,5,0)</f>
        <v>SCS</v>
      </c>
      <c r="Q344" s="32" t="s">
        <v>160</v>
      </c>
      <c r="R344" s="32"/>
      <c r="S344" s="32">
        <v>71030</v>
      </c>
      <c r="T344" s="32" t="s">
        <v>464</v>
      </c>
      <c r="U344" s="33">
        <v>37.756999999999998</v>
      </c>
      <c r="V344" s="7"/>
      <c r="W344" s="7" t="str">
        <f>VLOOKUP($Q344,Mapping!$E$11:$I$204,3,0)</f>
        <v>Augmentation</v>
      </c>
      <c r="X344" s="7" t="str">
        <f>IFERROR(VLOOKUP($S344,Mapping!$E$208:$K$236,5,0),"Contracts")</f>
        <v>Contracts</v>
      </c>
      <c r="Y344" s="7" t="str">
        <f>IFERROR(VLOOKUP($S344,Mapping!$E$208:$K$236,7,0),"ENDirect")</f>
        <v>ENDirect</v>
      </c>
      <c r="Z344" s="7" t="str">
        <f>IFERROR(HLOOKUP(X344,'Calc|Weightings'!$U$5:$W$5,1,0),"Excl")</f>
        <v>Contracts</v>
      </c>
      <c r="AA344" s="7" t="str">
        <f>VLOOKUP(Q344,Mapping!$E$11:$I$204,5,0)</f>
        <v>SCS</v>
      </c>
      <c r="AC344" s="35" t="s">
        <v>112</v>
      </c>
      <c r="AD344" s="35"/>
      <c r="AE344" s="35">
        <v>71010</v>
      </c>
      <c r="AF344" s="35" t="s">
        <v>462</v>
      </c>
      <c r="AG344" s="36">
        <v>0.12</v>
      </c>
      <c r="AI344" s="7" t="str">
        <f>VLOOKUP($AC344,Mapping!$E$11:$I$204,3,0)</f>
        <v>Connections</v>
      </c>
      <c r="AJ344" s="7" t="str">
        <f>IFERROR(VLOOKUP($AE344,Mapping!$E$208:$K$236,5,0),"Contracts")</f>
        <v>Labour</v>
      </c>
      <c r="AK344" s="7" t="str">
        <f>IFERROR(VLOOKUP($AE344,Mapping!$E$208:$K$236,7,0),"ENDirect")</f>
        <v>ENDirect</v>
      </c>
      <c r="AL344" s="7" t="str">
        <f>IFERROR(HLOOKUP(AJ344,'Calc|Weightings'!$U$5:$W$5,1,0),"Excl")</f>
        <v>Labour</v>
      </c>
      <c r="AM344" s="7" t="str">
        <f>VLOOKUP(AC344,Mapping!$E$11:$I$204,5,0)</f>
        <v>SCS</v>
      </c>
      <c r="AO344" s="35" t="s">
        <v>152</v>
      </c>
      <c r="AP344" s="35"/>
      <c r="AQ344" s="35">
        <v>71075</v>
      </c>
      <c r="AR344" s="35" t="s">
        <v>587</v>
      </c>
      <c r="AS344" s="121">
        <v>37.481170000000034</v>
      </c>
      <c r="AU344" s="7" t="str">
        <f>VLOOKUP($AO344,Mapping!$E$11:$I$204,3,0)</f>
        <v>Augmentation</v>
      </c>
      <c r="AV344" s="7" t="str">
        <f>IFERROR(VLOOKUP($AQ344,Mapping!$E$208:$K$236,5,0),"Contracts")</f>
        <v>Contracts</v>
      </c>
      <c r="AW344" s="7" t="str">
        <f>IFERROR(VLOOKUP($AQ344,Mapping!$E$208:$K$236,7,0),"ENDirect")</f>
        <v>ENDirect</v>
      </c>
      <c r="AX344" s="7" t="str">
        <f>IFERROR(HLOOKUP(AV344,'Calc|Weightings'!$U$5:$W$5,1,0),"Excl")</f>
        <v>Contracts</v>
      </c>
      <c r="AY344" s="7" t="str">
        <f>VLOOKUP(AO344,Mapping!$E$11:$I$204,5,0)</f>
        <v>SCS</v>
      </c>
    </row>
    <row r="345" spans="1:51" x14ac:dyDescent="0.3">
      <c r="A345" s="7"/>
      <c r="B345" s="7"/>
      <c r="C345" s="7"/>
      <c r="D345" s="7"/>
      <c r="E345" s="32" t="s">
        <v>228</v>
      </c>
      <c r="F345" s="32"/>
      <c r="G345" s="32">
        <v>71040</v>
      </c>
      <c r="H345" s="32" t="s">
        <v>460</v>
      </c>
      <c r="I345" s="33">
        <v>-4.7809999999999997</v>
      </c>
      <c r="J345" s="170"/>
      <c r="K345" s="7" t="str">
        <f>VLOOKUP($E345,Mapping!$E$11:$I$204,3,0)</f>
        <v>Replacement</v>
      </c>
      <c r="L345" s="7" t="str">
        <f>IFERROR(VLOOKUP($G345,Mapping!$E$208:$K$236,5,0),"Contracts")</f>
        <v>Contracts</v>
      </c>
      <c r="M345" s="7" t="str">
        <f>IFERROR(VLOOKUP($G345,Mapping!$E$208:$K$236,7,0),"ENDirect")</f>
        <v>ENDirect</v>
      </c>
      <c r="N345" s="7" t="str">
        <f>IFERROR(HLOOKUP(L345,'Calc|Weightings'!$U$5:$W$5,1,0),"Excl")</f>
        <v>Contracts</v>
      </c>
      <c r="O345" s="7" t="str">
        <f>VLOOKUP(E345,Mapping!$E$11:$I$204,5,0)</f>
        <v>SCS</v>
      </c>
      <c r="Q345" s="32" t="s">
        <v>160</v>
      </c>
      <c r="R345" s="32"/>
      <c r="S345" s="32">
        <v>71040</v>
      </c>
      <c r="T345" s="32" t="s">
        <v>460</v>
      </c>
      <c r="U345" s="33">
        <v>-40.470999999999997</v>
      </c>
      <c r="V345" s="7"/>
      <c r="W345" s="7" t="str">
        <f>VLOOKUP($Q345,Mapping!$E$11:$I$204,3,0)</f>
        <v>Augmentation</v>
      </c>
      <c r="X345" s="7" t="str">
        <f>IFERROR(VLOOKUP($S345,Mapping!$E$208:$K$236,5,0),"Contracts")</f>
        <v>Contracts</v>
      </c>
      <c r="Y345" s="7" t="str">
        <f>IFERROR(VLOOKUP($S345,Mapping!$E$208:$K$236,7,0),"ENDirect")</f>
        <v>ENDirect</v>
      </c>
      <c r="Z345" s="7" t="str">
        <f>IFERROR(HLOOKUP(X345,'Calc|Weightings'!$U$5:$W$5,1,0),"Excl")</f>
        <v>Contracts</v>
      </c>
      <c r="AA345" s="7" t="str">
        <f>VLOOKUP(Q345,Mapping!$E$11:$I$204,5,0)</f>
        <v>SCS</v>
      </c>
      <c r="AC345" s="35" t="s">
        <v>112</v>
      </c>
      <c r="AD345" s="35"/>
      <c r="AE345" s="35">
        <v>71030</v>
      </c>
      <c r="AF345" s="35" t="s">
        <v>464</v>
      </c>
      <c r="AG345" s="36">
        <v>0.36499999999999999</v>
      </c>
      <c r="AI345" s="7" t="str">
        <f>VLOOKUP($AC345,Mapping!$E$11:$I$204,3,0)</f>
        <v>Connections</v>
      </c>
      <c r="AJ345" s="7" t="str">
        <f>IFERROR(VLOOKUP($AE345,Mapping!$E$208:$K$236,5,0),"Contracts")</f>
        <v>Contracts</v>
      </c>
      <c r="AK345" s="7" t="str">
        <f>IFERROR(VLOOKUP($AE345,Mapping!$E$208:$K$236,7,0),"ENDirect")</f>
        <v>ENDirect</v>
      </c>
      <c r="AL345" s="7" t="str">
        <f>IFERROR(HLOOKUP(AJ345,'Calc|Weightings'!$U$5:$W$5,1,0),"Excl")</f>
        <v>Contracts</v>
      </c>
      <c r="AM345" s="7" t="str">
        <f>VLOOKUP(AC345,Mapping!$E$11:$I$204,5,0)</f>
        <v>SCS</v>
      </c>
      <c r="AO345" s="35" t="s">
        <v>152</v>
      </c>
      <c r="AP345" s="35"/>
      <c r="AQ345" s="35">
        <v>80000</v>
      </c>
      <c r="AR345" s="35" t="s">
        <v>589</v>
      </c>
      <c r="AS345" s="121">
        <v>71.741959999999992</v>
      </c>
      <c r="AU345" s="7" t="str">
        <f>VLOOKUP($AO345,Mapping!$E$11:$I$204,3,0)</f>
        <v>Augmentation</v>
      </c>
      <c r="AV345" s="7" t="str">
        <f>IFERROR(VLOOKUP($AQ345,Mapping!$E$208:$K$236,5,0),"Contracts")</f>
        <v>Overhead</v>
      </c>
      <c r="AW345" s="7" t="str">
        <f>IFERROR(VLOOKUP($AQ345,Mapping!$E$208:$K$236,7,0),"ENDirect")</f>
        <v>OH</v>
      </c>
      <c r="AX345" s="7" t="str">
        <f>IFERROR(HLOOKUP(AV345,'Calc|Weightings'!$U$5:$W$5,1,0),"Excl")</f>
        <v>Excl</v>
      </c>
      <c r="AY345" s="7" t="str">
        <f>VLOOKUP(AO345,Mapping!$E$11:$I$204,5,0)</f>
        <v>SCS</v>
      </c>
    </row>
    <row r="346" spans="1:51" x14ac:dyDescent="0.3">
      <c r="A346" s="7"/>
      <c r="B346" s="7"/>
      <c r="C346" s="7"/>
      <c r="D346" s="7"/>
      <c r="E346" s="32" t="s">
        <v>230</v>
      </c>
      <c r="F346" s="32"/>
      <c r="G346" s="32">
        <v>71040</v>
      </c>
      <c r="H346" s="32" t="s">
        <v>460</v>
      </c>
      <c r="I346" s="33">
        <v>-45.85</v>
      </c>
      <c r="J346" s="170"/>
      <c r="K346" s="7" t="str">
        <f>VLOOKUP($E346,Mapping!$E$11:$I$204,3,0)</f>
        <v>Replacement</v>
      </c>
      <c r="L346" s="7" t="str">
        <f>IFERROR(VLOOKUP($G346,Mapping!$E$208:$K$236,5,0),"Contracts")</f>
        <v>Contracts</v>
      </c>
      <c r="M346" s="7" t="str">
        <f>IFERROR(VLOOKUP($G346,Mapping!$E$208:$K$236,7,0),"ENDirect")</f>
        <v>ENDirect</v>
      </c>
      <c r="N346" s="7" t="str">
        <f>IFERROR(HLOOKUP(L346,'Calc|Weightings'!$U$5:$W$5,1,0),"Excl")</f>
        <v>Contracts</v>
      </c>
      <c r="O346" s="7" t="str">
        <f>VLOOKUP(E346,Mapping!$E$11:$I$204,5,0)</f>
        <v>SCS</v>
      </c>
      <c r="Q346" s="32" t="s">
        <v>160</v>
      </c>
      <c r="R346" s="32"/>
      <c r="S346" s="32">
        <v>71045</v>
      </c>
      <c r="T346" s="32" t="s">
        <v>469</v>
      </c>
      <c r="U346" s="33">
        <v>80.546999999999997</v>
      </c>
      <c r="V346" s="7"/>
      <c r="W346" s="7" t="str">
        <f>VLOOKUP($Q346,Mapping!$E$11:$I$204,3,0)</f>
        <v>Augmentation</v>
      </c>
      <c r="X346" s="7" t="str">
        <f>IFERROR(VLOOKUP($S346,Mapping!$E$208:$K$236,5,0),"Contracts")</f>
        <v>Materials</v>
      </c>
      <c r="Y346" s="7" t="str">
        <f>IFERROR(VLOOKUP($S346,Mapping!$E$208:$K$236,7,0),"ENDirect")</f>
        <v>ENDirect</v>
      </c>
      <c r="Z346" s="7" t="str">
        <f>IFERROR(HLOOKUP(X346,'Calc|Weightings'!$U$5:$W$5,1,0),"Excl")</f>
        <v>Materials</v>
      </c>
      <c r="AA346" s="7" t="str">
        <f>VLOOKUP(Q346,Mapping!$E$11:$I$204,5,0)</f>
        <v>SCS</v>
      </c>
      <c r="AC346" s="35" t="s">
        <v>112</v>
      </c>
      <c r="AD346" s="35"/>
      <c r="AE346" s="35">
        <v>71055</v>
      </c>
      <c r="AF346" s="35" t="s">
        <v>465</v>
      </c>
      <c r="AG346" s="36">
        <v>0.61</v>
      </c>
      <c r="AI346" s="7" t="str">
        <f>VLOOKUP($AC346,Mapping!$E$11:$I$204,3,0)</f>
        <v>Connections</v>
      </c>
      <c r="AJ346" s="7" t="str">
        <f>IFERROR(VLOOKUP($AE346,Mapping!$E$208:$K$236,5,0),"Contracts")</f>
        <v>Contracts</v>
      </c>
      <c r="AK346" s="7" t="str">
        <f>IFERROR(VLOOKUP($AE346,Mapping!$E$208:$K$236,7,0),"ENDirect")</f>
        <v>ENDirect</v>
      </c>
      <c r="AL346" s="7" t="str">
        <f>IFERROR(HLOOKUP(AJ346,'Calc|Weightings'!$U$5:$W$5,1,0),"Excl")</f>
        <v>Contracts</v>
      </c>
      <c r="AM346" s="7" t="str">
        <f>VLOOKUP(AC346,Mapping!$E$11:$I$204,5,0)</f>
        <v>SCS</v>
      </c>
      <c r="AO346" s="35" t="s">
        <v>152</v>
      </c>
      <c r="AP346" s="35"/>
      <c r="AQ346" s="35">
        <v>83010</v>
      </c>
      <c r="AR346" s="35" t="s">
        <v>591</v>
      </c>
      <c r="AS346" s="121">
        <v>322.4457399999996</v>
      </c>
      <c r="AU346" s="7" t="str">
        <f>VLOOKUP($AO346,Mapping!$E$11:$I$204,3,0)</f>
        <v>Augmentation</v>
      </c>
      <c r="AV346" s="7" t="str">
        <f>IFERROR(VLOOKUP($AQ346,Mapping!$E$208:$K$236,5,0),"Contracts")</f>
        <v>Contracts</v>
      </c>
      <c r="AW346" s="7" t="str">
        <f>IFERROR(VLOOKUP($AQ346,Mapping!$E$208:$K$236,7,0),"ENDirect")</f>
        <v>ENDirect</v>
      </c>
      <c r="AX346" s="7" t="str">
        <f>IFERROR(HLOOKUP(AV346,'Calc|Weightings'!$U$5:$W$5,1,0),"Excl")</f>
        <v>Contracts</v>
      </c>
      <c r="AY346" s="7" t="str">
        <f>VLOOKUP(AO346,Mapping!$E$11:$I$204,5,0)</f>
        <v>SCS</v>
      </c>
    </row>
    <row r="347" spans="1:51" x14ac:dyDescent="0.3">
      <c r="A347" s="7"/>
      <c r="B347" s="7"/>
      <c r="C347" s="7"/>
      <c r="D347" s="7"/>
      <c r="E347" s="32" t="s">
        <v>234</v>
      </c>
      <c r="F347" s="32"/>
      <c r="G347" s="32">
        <v>71040</v>
      </c>
      <c r="H347" s="32" t="s">
        <v>460</v>
      </c>
      <c r="I347" s="33">
        <v>-77.343000000000004</v>
      </c>
      <c r="J347" s="170"/>
      <c r="K347" s="7" t="str">
        <f>VLOOKUP($E347,Mapping!$E$11:$I$204,3,0)</f>
        <v>Replacement</v>
      </c>
      <c r="L347" s="7" t="str">
        <f>IFERROR(VLOOKUP($G347,Mapping!$E$208:$K$236,5,0),"Contracts")</f>
        <v>Contracts</v>
      </c>
      <c r="M347" s="7" t="str">
        <f>IFERROR(VLOOKUP($G347,Mapping!$E$208:$K$236,7,0),"ENDirect")</f>
        <v>ENDirect</v>
      </c>
      <c r="N347" s="7" t="str">
        <f>IFERROR(HLOOKUP(L347,'Calc|Weightings'!$U$5:$W$5,1,0),"Excl")</f>
        <v>Contracts</v>
      </c>
      <c r="O347" s="7" t="str">
        <f>VLOOKUP(E347,Mapping!$E$11:$I$204,5,0)</f>
        <v>SCS</v>
      </c>
      <c r="Q347" s="32" t="s">
        <v>160</v>
      </c>
      <c r="R347" s="32"/>
      <c r="S347" s="32">
        <v>71055</v>
      </c>
      <c r="T347" s="32" t="s">
        <v>465</v>
      </c>
      <c r="U347" s="33">
        <v>93.781000000000006</v>
      </c>
      <c r="V347" s="7"/>
      <c r="W347" s="7" t="str">
        <f>VLOOKUP($Q347,Mapping!$E$11:$I$204,3,0)</f>
        <v>Augmentation</v>
      </c>
      <c r="X347" s="7" t="str">
        <f>IFERROR(VLOOKUP($S347,Mapping!$E$208:$K$236,5,0),"Contracts")</f>
        <v>Contracts</v>
      </c>
      <c r="Y347" s="7" t="str">
        <f>IFERROR(VLOOKUP($S347,Mapping!$E$208:$K$236,7,0),"ENDirect")</f>
        <v>ENDirect</v>
      </c>
      <c r="Z347" s="7" t="str">
        <f>IFERROR(HLOOKUP(X347,'Calc|Weightings'!$U$5:$W$5,1,0),"Excl")</f>
        <v>Contracts</v>
      </c>
      <c r="AA347" s="7" t="str">
        <f>VLOOKUP(Q347,Mapping!$E$11:$I$204,5,0)</f>
        <v>SCS</v>
      </c>
      <c r="AC347" s="35" t="s">
        <v>112</v>
      </c>
      <c r="AD347" s="35"/>
      <c r="AE347" s="35">
        <v>80000</v>
      </c>
      <c r="AF347" s="35" t="s">
        <v>453</v>
      </c>
      <c r="AG347" s="36">
        <v>0.76700000000000002</v>
      </c>
      <c r="AI347" s="7" t="str">
        <f>VLOOKUP($AC347,Mapping!$E$11:$I$204,3,0)</f>
        <v>Connections</v>
      </c>
      <c r="AJ347" s="7" t="str">
        <f>IFERROR(VLOOKUP($AE347,Mapping!$E$208:$K$236,5,0),"Contracts")</f>
        <v>Overhead</v>
      </c>
      <c r="AK347" s="7" t="str">
        <f>IFERROR(VLOOKUP($AE347,Mapping!$E$208:$K$236,7,0),"ENDirect")</f>
        <v>OH</v>
      </c>
      <c r="AL347" s="7" t="str">
        <f>IFERROR(HLOOKUP(AJ347,'Calc|Weightings'!$U$5:$W$5,1,0),"Excl")</f>
        <v>Excl</v>
      </c>
      <c r="AM347" s="7" t="str">
        <f>VLOOKUP(AC347,Mapping!$E$11:$I$204,5,0)</f>
        <v>SCS</v>
      </c>
      <c r="AO347" s="35" t="s">
        <v>153</v>
      </c>
      <c r="AP347" s="35"/>
      <c r="AQ347" s="35">
        <v>71075</v>
      </c>
      <c r="AR347" s="35" t="s">
        <v>587</v>
      </c>
      <c r="AS347" s="121">
        <v>0.16325000000000001</v>
      </c>
      <c r="AU347" s="171" t="s">
        <v>59</v>
      </c>
      <c r="AV347" s="7" t="str">
        <f>IFERROR(VLOOKUP($AQ347,Mapping!$E$208:$K$236,5,0),"Contracts")</f>
        <v>Contracts</v>
      </c>
      <c r="AW347" s="7" t="str">
        <f>IFERROR(VLOOKUP($AQ347,Mapping!$E$208:$K$236,7,0),"ENDirect")</f>
        <v>ENDirect</v>
      </c>
      <c r="AX347" s="7" t="str">
        <f>IFERROR(HLOOKUP(AV347,'Calc|Weightings'!$U$5:$W$5,1,0),"Excl")</f>
        <v>Contracts</v>
      </c>
      <c r="AY347" s="7" t="str">
        <f>VLOOKUP(AO347,Mapping!$E$11:$I$204,5,0)</f>
        <v>SCS</v>
      </c>
    </row>
    <row r="348" spans="1:51" x14ac:dyDescent="0.3">
      <c r="A348" s="7"/>
      <c r="B348" s="7"/>
      <c r="C348" s="7"/>
      <c r="D348" s="7"/>
      <c r="E348" s="32" t="s">
        <v>240</v>
      </c>
      <c r="F348" s="32"/>
      <c r="G348" s="32">
        <v>71040</v>
      </c>
      <c r="H348" s="32" t="s">
        <v>460</v>
      </c>
      <c r="I348" s="33">
        <v>-3.923</v>
      </c>
      <c r="J348" s="170"/>
      <c r="K348" s="7" t="str">
        <f>VLOOKUP($E348,Mapping!$E$11:$I$204,3,0)</f>
        <v>Replacement</v>
      </c>
      <c r="L348" s="7" t="str">
        <f>IFERROR(VLOOKUP($G348,Mapping!$E$208:$K$236,5,0),"Contracts")</f>
        <v>Contracts</v>
      </c>
      <c r="M348" s="7" t="str">
        <f>IFERROR(VLOOKUP($G348,Mapping!$E$208:$K$236,7,0),"ENDirect")</f>
        <v>ENDirect</v>
      </c>
      <c r="N348" s="7" t="str">
        <f>IFERROR(HLOOKUP(L348,'Calc|Weightings'!$U$5:$W$5,1,0),"Excl")</f>
        <v>Contracts</v>
      </c>
      <c r="O348" s="7" t="str">
        <f>VLOOKUP(E348,Mapping!$E$11:$I$204,5,0)</f>
        <v>SCS</v>
      </c>
      <c r="Q348" s="32" t="s">
        <v>160</v>
      </c>
      <c r="R348" s="32"/>
      <c r="S348" s="32">
        <v>80000</v>
      </c>
      <c r="T348" s="32" t="s">
        <v>453</v>
      </c>
      <c r="U348" s="33">
        <v>79.683999999999997</v>
      </c>
      <c r="V348" s="7"/>
      <c r="W348" s="7" t="str">
        <f>VLOOKUP($Q348,Mapping!$E$11:$I$204,3,0)</f>
        <v>Augmentation</v>
      </c>
      <c r="X348" s="7" t="str">
        <f>IFERROR(VLOOKUP($S348,Mapping!$E$208:$K$236,5,0),"Contracts")</f>
        <v>Overhead</v>
      </c>
      <c r="Y348" s="7" t="str">
        <f>IFERROR(VLOOKUP($S348,Mapping!$E$208:$K$236,7,0),"ENDirect")</f>
        <v>OH</v>
      </c>
      <c r="Z348" s="7" t="str">
        <f>IFERROR(HLOOKUP(X348,'Calc|Weightings'!$U$5:$W$5,1,0),"Excl")</f>
        <v>Excl</v>
      </c>
      <c r="AA348" s="7" t="str">
        <f>VLOOKUP(Q348,Mapping!$E$11:$I$204,5,0)</f>
        <v>SCS</v>
      </c>
      <c r="AC348" s="35" t="s">
        <v>119</v>
      </c>
      <c r="AD348" s="35"/>
      <c r="AE348" s="35">
        <v>71006</v>
      </c>
      <c r="AF348" s="35" t="s">
        <v>468</v>
      </c>
      <c r="AG348" s="36">
        <v>7.5119999999999996</v>
      </c>
      <c r="AI348" s="7" t="str">
        <f>VLOOKUP($AC348,Mapping!$E$11:$I$204,3,0)</f>
        <v>Connections</v>
      </c>
      <c r="AJ348" s="7" t="str">
        <f>IFERROR(VLOOKUP($AE348,Mapping!$E$208:$K$236,5,0),"Contracts")</f>
        <v>Materials</v>
      </c>
      <c r="AK348" s="7" t="str">
        <f>IFERROR(VLOOKUP($AE348,Mapping!$E$208:$K$236,7,0),"ENDirect")</f>
        <v>ENDirect</v>
      </c>
      <c r="AL348" s="7" t="str">
        <f>IFERROR(HLOOKUP(AJ348,'Calc|Weightings'!$U$5:$W$5,1,0),"Excl")</f>
        <v>Materials</v>
      </c>
      <c r="AM348" s="7" t="str">
        <f>VLOOKUP(AC348,Mapping!$E$11:$I$204,5,0)</f>
        <v>SCS</v>
      </c>
      <c r="AO348" s="35" t="s">
        <v>153</v>
      </c>
      <c r="AP348" s="35"/>
      <c r="AQ348" s="35">
        <v>80000</v>
      </c>
      <c r="AR348" s="35" t="s">
        <v>589</v>
      </c>
      <c r="AS348" s="121">
        <v>0.23702999999999999</v>
      </c>
      <c r="AU348" s="171" t="s">
        <v>59</v>
      </c>
      <c r="AV348" s="7" t="str">
        <f>IFERROR(VLOOKUP($AQ348,Mapping!$E$208:$K$236,5,0),"Contracts")</f>
        <v>Overhead</v>
      </c>
      <c r="AW348" s="7" t="str">
        <f>IFERROR(VLOOKUP($AQ348,Mapping!$E$208:$K$236,7,0),"ENDirect")</f>
        <v>OH</v>
      </c>
      <c r="AX348" s="7" t="str">
        <f>IFERROR(HLOOKUP(AV348,'Calc|Weightings'!$U$5:$W$5,1,0),"Excl")</f>
        <v>Excl</v>
      </c>
      <c r="AY348" s="7" t="str">
        <f>VLOOKUP(AO348,Mapping!$E$11:$I$204,5,0)</f>
        <v>SCS</v>
      </c>
    </row>
    <row r="349" spans="1:51" x14ac:dyDescent="0.3">
      <c r="A349" s="7"/>
      <c r="B349" s="7"/>
      <c r="C349" s="7"/>
      <c r="D349" s="7"/>
      <c r="E349" s="32" t="s">
        <v>108</v>
      </c>
      <c r="F349" s="32"/>
      <c r="G349" s="32">
        <v>71010</v>
      </c>
      <c r="H349" s="32" t="s">
        <v>462</v>
      </c>
      <c r="I349" s="33">
        <v>89.144999999999996</v>
      </c>
      <c r="J349" s="170"/>
      <c r="K349" s="7" t="str">
        <f>VLOOKUP($E349,Mapping!$E$11:$I$204,3,0)</f>
        <v>Public Lighting</v>
      </c>
      <c r="L349" s="7" t="str">
        <f>IFERROR(VLOOKUP($G349,Mapping!$E$208:$K$236,5,0),"Contracts")</f>
        <v>Labour</v>
      </c>
      <c r="M349" s="7" t="str">
        <f>IFERROR(VLOOKUP($G349,Mapping!$E$208:$K$236,7,0),"ENDirect")</f>
        <v>ENDirect</v>
      </c>
      <c r="N349" s="7" t="str">
        <f>IFERROR(HLOOKUP(L349,'Calc|Weightings'!$U$5:$W$5,1,0),"Excl")</f>
        <v>Labour</v>
      </c>
      <c r="O349" s="7" t="str">
        <f>VLOOKUP(E349,Mapping!$E$11:$I$204,5,0)</f>
        <v>Public Lighting</v>
      </c>
      <c r="Q349" s="32" t="s">
        <v>97</v>
      </c>
      <c r="R349" s="32"/>
      <c r="S349" s="32">
        <v>71005</v>
      </c>
      <c r="T349" s="32" t="s">
        <v>461</v>
      </c>
      <c r="U349" s="33">
        <v>2179.9899999999998</v>
      </c>
      <c r="V349" s="7"/>
      <c r="W349" s="7" t="str">
        <f>VLOOKUP($Q349,Mapping!$E$11:$I$204,3,0)</f>
        <v>Connections</v>
      </c>
      <c r="X349" s="7" t="str">
        <f>IFERROR(VLOOKUP($S349,Mapping!$E$208:$K$236,5,0),"Contracts")</f>
        <v>Materials</v>
      </c>
      <c r="Y349" s="7" t="str">
        <f>IFERROR(VLOOKUP($S349,Mapping!$E$208:$K$236,7,0),"ENDirect")</f>
        <v>ENDirect</v>
      </c>
      <c r="Z349" s="7" t="str">
        <f>IFERROR(HLOOKUP(X349,'Calc|Weightings'!$U$5:$W$5,1,0),"Excl")</f>
        <v>Materials</v>
      </c>
      <c r="AA349" s="7" t="str">
        <f>VLOOKUP(Q349,Mapping!$E$11:$I$204,5,0)</f>
        <v>SCS</v>
      </c>
      <c r="AC349" s="35" t="s">
        <v>119</v>
      </c>
      <c r="AD349" s="35"/>
      <c r="AE349" s="35">
        <v>71010</v>
      </c>
      <c r="AF349" s="35" t="s">
        <v>462</v>
      </c>
      <c r="AG349" s="36">
        <v>15.449</v>
      </c>
      <c r="AI349" s="7" t="str">
        <f>VLOOKUP($AC349,Mapping!$E$11:$I$204,3,0)</f>
        <v>Connections</v>
      </c>
      <c r="AJ349" s="7" t="str">
        <f>IFERROR(VLOOKUP($AE349,Mapping!$E$208:$K$236,5,0),"Contracts")</f>
        <v>Labour</v>
      </c>
      <c r="AK349" s="7" t="str">
        <f>IFERROR(VLOOKUP($AE349,Mapping!$E$208:$K$236,7,0),"ENDirect")</f>
        <v>ENDirect</v>
      </c>
      <c r="AL349" s="7" t="str">
        <f>IFERROR(HLOOKUP(AJ349,'Calc|Weightings'!$U$5:$W$5,1,0),"Excl")</f>
        <v>Labour</v>
      </c>
      <c r="AM349" s="7" t="str">
        <f>VLOOKUP(AC349,Mapping!$E$11:$I$204,5,0)</f>
        <v>SCS</v>
      </c>
      <c r="AO349" s="35" t="s">
        <v>153</v>
      </c>
      <c r="AP349" s="35"/>
      <c r="AQ349" s="35">
        <v>83010</v>
      </c>
      <c r="AR349" s="35" t="s">
        <v>591</v>
      </c>
      <c r="AS349" s="121">
        <v>1.3395499999999998</v>
      </c>
      <c r="AU349" s="171" t="s">
        <v>59</v>
      </c>
      <c r="AV349" s="7" t="str">
        <f>IFERROR(VLOOKUP($AQ349,Mapping!$E$208:$K$236,5,0),"Contracts")</f>
        <v>Contracts</v>
      </c>
      <c r="AW349" s="7" t="str">
        <f>IFERROR(VLOOKUP($AQ349,Mapping!$E$208:$K$236,7,0),"ENDirect")</f>
        <v>ENDirect</v>
      </c>
      <c r="AX349" s="7" t="str">
        <f>IFERROR(HLOOKUP(AV349,'Calc|Weightings'!$U$5:$W$5,1,0),"Excl")</f>
        <v>Contracts</v>
      </c>
      <c r="AY349" s="7" t="str">
        <f>VLOOKUP(AO349,Mapping!$E$11:$I$204,5,0)</f>
        <v>SCS</v>
      </c>
    </row>
    <row r="350" spans="1:51" x14ac:dyDescent="0.3">
      <c r="A350" s="7"/>
      <c r="B350" s="7"/>
      <c r="C350" s="7"/>
      <c r="D350" s="7"/>
      <c r="E350" s="32" t="s">
        <v>108</v>
      </c>
      <c r="F350" s="32"/>
      <c r="G350" s="32">
        <v>71015</v>
      </c>
      <c r="H350" s="32" t="s">
        <v>463</v>
      </c>
      <c r="I350" s="33">
        <v>7.8250000000000002</v>
      </c>
      <c r="J350" s="170"/>
      <c r="K350" s="7" t="str">
        <f>VLOOKUP($E350,Mapping!$E$11:$I$204,3,0)</f>
        <v>Public Lighting</v>
      </c>
      <c r="L350" s="7" t="str">
        <f>IFERROR(VLOOKUP($G350,Mapping!$E$208:$K$236,5,0),"Contracts")</f>
        <v>Materials</v>
      </c>
      <c r="M350" s="7" t="str">
        <f>IFERROR(VLOOKUP($G350,Mapping!$E$208:$K$236,7,0),"ENDirect")</f>
        <v>ENDirect</v>
      </c>
      <c r="N350" s="7" t="str">
        <f>IFERROR(HLOOKUP(L350,'Calc|Weightings'!$U$5:$W$5,1,0),"Excl")</f>
        <v>Materials</v>
      </c>
      <c r="O350" s="7" t="str">
        <f>VLOOKUP(E350,Mapping!$E$11:$I$204,5,0)</f>
        <v>Public Lighting</v>
      </c>
      <c r="Q350" s="32" t="s">
        <v>105</v>
      </c>
      <c r="R350" s="32"/>
      <c r="S350" s="32">
        <v>71000</v>
      </c>
      <c r="T350" s="32" t="s">
        <v>457</v>
      </c>
      <c r="U350" s="33">
        <v>1071.538</v>
      </c>
      <c r="V350" s="7"/>
      <c r="W350" s="7" t="str">
        <f>VLOOKUP($Q350,Mapping!$E$11:$I$204,3,0)</f>
        <v>ACS</v>
      </c>
      <c r="X350" s="7" t="str">
        <f>IFERROR(VLOOKUP($S350,Mapping!$E$208:$K$236,5,0),"Contracts")</f>
        <v>Labour</v>
      </c>
      <c r="Y350" s="7" t="str">
        <f>IFERROR(VLOOKUP($S350,Mapping!$E$208:$K$236,7,0),"ENDirect")</f>
        <v>ENDirect</v>
      </c>
      <c r="Z350" s="7" t="str">
        <f>IFERROR(HLOOKUP(X350,'Calc|Weightings'!$U$5:$W$5,1,0),"Excl")</f>
        <v>Labour</v>
      </c>
      <c r="AA350" s="7" t="str">
        <f>VLOOKUP(Q350,Mapping!$E$11:$I$204,5,0)</f>
        <v>ACS</v>
      </c>
      <c r="AC350" s="35" t="s">
        <v>119</v>
      </c>
      <c r="AD350" s="35"/>
      <c r="AE350" s="35">
        <v>71015</v>
      </c>
      <c r="AF350" s="35" t="s">
        <v>463</v>
      </c>
      <c r="AG350" s="36">
        <v>4.9470000000000001</v>
      </c>
      <c r="AI350" s="7" t="str">
        <f>VLOOKUP($AC350,Mapping!$E$11:$I$204,3,0)</f>
        <v>Connections</v>
      </c>
      <c r="AJ350" s="7" t="str">
        <f>IFERROR(VLOOKUP($AE350,Mapping!$E$208:$K$236,5,0),"Contracts")</f>
        <v>Materials</v>
      </c>
      <c r="AK350" s="7" t="str">
        <f>IFERROR(VLOOKUP($AE350,Mapping!$E$208:$K$236,7,0),"ENDirect")</f>
        <v>ENDirect</v>
      </c>
      <c r="AL350" s="7" t="str">
        <f>IFERROR(HLOOKUP(AJ350,'Calc|Weightings'!$U$5:$W$5,1,0),"Excl")</f>
        <v>Materials</v>
      </c>
      <c r="AM350" s="7" t="str">
        <f>VLOOKUP(AC350,Mapping!$E$11:$I$204,5,0)</f>
        <v>SCS</v>
      </c>
      <c r="AO350" s="35" t="s">
        <v>155</v>
      </c>
      <c r="AP350" s="35"/>
      <c r="AQ350" s="35">
        <v>71000</v>
      </c>
      <c r="AR350" s="35" t="s">
        <v>457</v>
      </c>
      <c r="AS350" s="121">
        <v>18.058289999999992</v>
      </c>
      <c r="AU350" s="7" t="str">
        <f>VLOOKUP($AO350,Mapping!$E$11:$I$204,3,0)</f>
        <v>Replacement</v>
      </c>
      <c r="AV350" s="7" t="str">
        <f>IFERROR(VLOOKUP($AQ350,Mapping!$E$208:$K$236,5,0),"Contracts")</f>
        <v>Labour</v>
      </c>
      <c r="AW350" s="7" t="str">
        <f>IFERROR(VLOOKUP($AQ350,Mapping!$E$208:$K$236,7,0),"ENDirect")</f>
        <v>ENDirect</v>
      </c>
      <c r="AX350" s="7" t="str">
        <f>IFERROR(HLOOKUP(AV350,'Calc|Weightings'!$U$5:$W$5,1,0),"Excl")</f>
        <v>Labour</v>
      </c>
      <c r="AY350" s="7" t="str">
        <f>VLOOKUP(AO350,Mapping!$E$11:$I$204,5,0)</f>
        <v>SCS</v>
      </c>
    </row>
    <row r="351" spans="1:51" x14ac:dyDescent="0.3">
      <c r="A351" s="7"/>
      <c r="B351" s="7"/>
      <c r="C351" s="7"/>
      <c r="D351" s="7"/>
      <c r="E351" s="32" t="s">
        <v>163</v>
      </c>
      <c r="F351" s="32"/>
      <c r="G351" s="32">
        <v>71006</v>
      </c>
      <c r="H351" s="32" t="s">
        <v>468</v>
      </c>
      <c r="I351" s="33">
        <v>229.67400000000001</v>
      </c>
      <c r="J351" s="170"/>
      <c r="K351" s="7" t="str">
        <f>VLOOKUP($E351,Mapping!$E$11:$I$204,3,0)</f>
        <v>Replacement</v>
      </c>
      <c r="L351" s="7" t="str">
        <f>IFERROR(VLOOKUP($G351,Mapping!$E$208:$K$236,5,0),"Contracts")</f>
        <v>Materials</v>
      </c>
      <c r="M351" s="7" t="str">
        <f>IFERROR(VLOOKUP($G351,Mapping!$E$208:$K$236,7,0),"ENDirect")</f>
        <v>ENDirect</v>
      </c>
      <c r="N351" s="7" t="str">
        <f>IFERROR(HLOOKUP(L351,'Calc|Weightings'!$U$5:$W$5,1,0),"Excl")</f>
        <v>Materials</v>
      </c>
      <c r="O351" s="7" t="str">
        <f>VLOOKUP(E351,Mapping!$E$11:$I$204,5,0)</f>
        <v>SCS</v>
      </c>
      <c r="Q351" s="32" t="s">
        <v>105</v>
      </c>
      <c r="R351" s="32"/>
      <c r="S351" s="32">
        <v>71005</v>
      </c>
      <c r="T351" s="32" t="s">
        <v>461</v>
      </c>
      <c r="U351" s="33">
        <v>217.88399999999999</v>
      </c>
      <c r="V351" s="7"/>
      <c r="W351" s="7" t="str">
        <f>VLOOKUP($Q351,Mapping!$E$11:$I$204,3,0)</f>
        <v>ACS</v>
      </c>
      <c r="X351" s="7" t="str">
        <f>IFERROR(VLOOKUP($S351,Mapping!$E$208:$K$236,5,0),"Contracts")</f>
        <v>Materials</v>
      </c>
      <c r="Y351" s="7" t="str">
        <f>IFERROR(VLOOKUP($S351,Mapping!$E$208:$K$236,7,0),"ENDirect")</f>
        <v>ENDirect</v>
      </c>
      <c r="Z351" s="7" t="str">
        <f>IFERROR(HLOOKUP(X351,'Calc|Weightings'!$U$5:$W$5,1,0),"Excl")</f>
        <v>Materials</v>
      </c>
      <c r="AA351" s="7" t="str">
        <f>VLOOKUP(Q351,Mapping!$E$11:$I$204,5,0)</f>
        <v>ACS</v>
      </c>
      <c r="AC351" s="35" t="s">
        <v>548</v>
      </c>
      <c r="AD351" s="35"/>
      <c r="AE351" s="35">
        <v>71020</v>
      </c>
      <c r="AF351" s="35" t="s">
        <v>459</v>
      </c>
      <c r="AG351" s="36">
        <v>0</v>
      </c>
      <c r="AI351" s="7" t="str">
        <f>VLOOKUP($AC351,Mapping!$E$11:$I$204,3,0)</f>
        <v>Connections</v>
      </c>
      <c r="AJ351" s="7" t="str">
        <f>IFERROR(VLOOKUP($AE351,Mapping!$E$208:$K$236,5,0),"Contracts")</f>
        <v>Contracts</v>
      </c>
      <c r="AK351" s="7" t="str">
        <f>IFERROR(VLOOKUP($AE351,Mapping!$E$208:$K$236,7,0),"ENDirect")</f>
        <v>ENDirect</v>
      </c>
      <c r="AL351" s="7" t="str">
        <f>IFERROR(HLOOKUP(AJ351,'Calc|Weightings'!$U$5:$W$5,1,0),"Excl")</f>
        <v>Contracts</v>
      </c>
      <c r="AM351" s="7" t="str">
        <f>VLOOKUP(AC351,Mapping!$E$11:$I$204,5,0)</f>
        <v>SCS</v>
      </c>
      <c r="AO351" s="35" t="s">
        <v>155</v>
      </c>
      <c r="AP351" s="35"/>
      <c r="AQ351" s="35">
        <v>71005</v>
      </c>
      <c r="AR351" s="35" t="s">
        <v>461</v>
      </c>
      <c r="AS351" s="121">
        <v>10.958460000000001</v>
      </c>
      <c r="AU351" s="7" t="str">
        <f>VLOOKUP($AO351,Mapping!$E$11:$I$204,3,0)</f>
        <v>Replacement</v>
      </c>
      <c r="AV351" s="7" t="str">
        <f>IFERROR(VLOOKUP($AQ351,Mapping!$E$208:$K$236,5,0),"Contracts")</f>
        <v>Materials</v>
      </c>
      <c r="AW351" s="7" t="str">
        <f>IFERROR(VLOOKUP($AQ351,Mapping!$E$208:$K$236,7,0),"ENDirect")</f>
        <v>ENDirect</v>
      </c>
      <c r="AX351" s="7" t="str">
        <f>IFERROR(HLOOKUP(AV351,'Calc|Weightings'!$U$5:$W$5,1,0),"Excl")</f>
        <v>Materials</v>
      </c>
      <c r="AY351" s="7" t="str">
        <f>VLOOKUP(AO351,Mapping!$E$11:$I$204,5,0)</f>
        <v>SCS</v>
      </c>
    </row>
    <row r="352" spans="1:51" x14ac:dyDescent="0.3">
      <c r="A352" s="7"/>
      <c r="B352" s="7"/>
      <c r="C352" s="7"/>
      <c r="D352" s="7"/>
      <c r="E352" s="32" t="s">
        <v>234</v>
      </c>
      <c r="F352" s="32"/>
      <c r="G352" s="32">
        <v>71000</v>
      </c>
      <c r="H352" s="32" t="s">
        <v>457</v>
      </c>
      <c r="I352" s="33">
        <v>3324.95</v>
      </c>
      <c r="J352" s="170"/>
      <c r="K352" s="7" t="str">
        <f>VLOOKUP($E352,Mapping!$E$11:$I$204,3,0)</f>
        <v>Replacement</v>
      </c>
      <c r="L352" s="7" t="str">
        <f>IFERROR(VLOOKUP($G352,Mapping!$E$208:$K$236,5,0),"Contracts")</f>
        <v>Labour</v>
      </c>
      <c r="M352" s="7" t="str">
        <f>IFERROR(VLOOKUP($G352,Mapping!$E$208:$K$236,7,0),"ENDirect")</f>
        <v>ENDirect</v>
      </c>
      <c r="N352" s="7" t="str">
        <f>IFERROR(HLOOKUP(L352,'Calc|Weightings'!$U$5:$W$5,1,0),"Excl")</f>
        <v>Labour</v>
      </c>
      <c r="O352" s="7" t="str">
        <f>VLOOKUP(E352,Mapping!$E$11:$I$204,5,0)</f>
        <v>SCS</v>
      </c>
      <c r="Q352" s="32" t="s">
        <v>105</v>
      </c>
      <c r="R352" s="32"/>
      <c r="S352" s="32">
        <v>71010</v>
      </c>
      <c r="T352" s="32" t="s">
        <v>462</v>
      </c>
      <c r="U352" s="33">
        <v>83.569000000000003</v>
      </c>
      <c r="V352" s="7"/>
      <c r="W352" s="7" t="str">
        <f>VLOOKUP($Q352,Mapping!$E$11:$I$204,3,0)</f>
        <v>ACS</v>
      </c>
      <c r="X352" s="7" t="str">
        <f>IFERROR(VLOOKUP($S352,Mapping!$E$208:$K$236,5,0),"Contracts")</f>
        <v>Labour</v>
      </c>
      <c r="Y352" s="7" t="str">
        <f>IFERROR(VLOOKUP($S352,Mapping!$E$208:$K$236,7,0),"ENDirect")</f>
        <v>ENDirect</v>
      </c>
      <c r="Z352" s="7" t="str">
        <f>IFERROR(HLOOKUP(X352,'Calc|Weightings'!$U$5:$W$5,1,0),"Excl")</f>
        <v>Labour</v>
      </c>
      <c r="AA352" s="7" t="str">
        <f>VLOOKUP(Q352,Mapping!$E$11:$I$204,5,0)</f>
        <v>ACS</v>
      </c>
      <c r="AC352" s="35" t="s">
        <v>115</v>
      </c>
      <c r="AD352" s="35"/>
      <c r="AE352" s="35">
        <v>72345</v>
      </c>
      <c r="AF352" s="35" t="s">
        <v>467</v>
      </c>
      <c r="AG352" s="36">
        <v>58.18</v>
      </c>
      <c r="AI352" s="7" t="str">
        <f>VLOOKUP($AC352,Mapping!$E$11:$I$204,3,0)</f>
        <v>Connections</v>
      </c>
      <c r="AJ352" s="7" t="str">
        <f>IFERROR(VLOOKUP($AE352,Mapping!$E$208:$K$236,5,0),"Contracts")</f>
        <v>Contracts</v>
      </c>
      <c r="AK352" s="7" t="str">
        <f>IFERROR(VLOOKUP($AE352,Mapping!$E$208:$K$236,7,0),"ENDirect")</f>
        <v>ENDirect</v>
      </c>
      <c r="AL352" s="7" t="str">
        <f>IFERROR(HLOOKUP(AJ352,'Calc|Weightings'!$U$5:$W$5,1,0),"Excl")</f>
        <v>Contracts</v>
      </c>
      <c r="AM352" s="7" t="str">
        <f>VLOOKUP(AC352,Mapping!$E$11:$I$204,5,0)</f>
        <v>SCS</v>
      </c>
      <c r="AO352" s="35" t="s">
        <v>155</v>
      </c>
      <c r="AP352" s="35"/>
      <c r="AQ352" s="35">
        <v>71010</v>
      </c>
      <c r="AR352" s="35" t="s">
        <v>487</v>
      </c>
      <c r="AS352" s="121">
        <v>40.728499999999983</v>
      </c>
      <c r="AU352" s="7" t="str">
        <f>VLOOKUP($AO352,Mapping!$E$11:$I$204,3,0)</f>
        <v>Replacement</v>
      </c>
      <c r="AV352" s="7" t="str">
        <f>IFERROR(VLOOKUP($AQ352,Mapping!$E$208:$K$236,5,0),"Contracts")</f>
        <v>Labour</v>
      </c>
      <c r="AW352" s="7" t="str">
        <f>IFERROR(VLOOKUP($AQ352,Mapping!$E$208:$K$236,7,0),"ENDirect")</f>
        <v>ENDirect</v>
      </c>
      <c r="AX352" s="7" t="str">
        <f>IFERROR(HLOOKUP(AV352,'Calc|Weightings'!$U$5:$W$5,1,0),"Excl")</f>
        <v>Labour</v>
      </c>
      <c r="AY352" s="7" t="str">
        <f>VLOOKUP(AO352,Mapping!$E$11:$I$204,5,0)</f>
        <v>SCS</v>
      </c>
    </row>
    <row r="353" spans="1:51" x14ac:dyDescent="0.3">
      <c r="A353" s="7"/>
      <c r="B353" s="7"/>
      <c r="C353" s="7"/>
      <c r="D353" s="7"/>
      <c r="E353" s="32" t="s">
        <v>234</v>
      </c>
      <c r="F353" s="32"/>
      <c r="G353" s="32">
        <v>71005</v>
      </c>
      <c r="H353" s="32" t="s">
        <v>461</v>
      </c>
      <c r="I353" s="33">
        <v>1704.204</v>
      </c>
      <c r="J353" s="170"/>
      <c r="K353" s="7" t="str">
        <f>VLOOKUP($E353,Mapping!$E$11:$I$204,3,0)</f>
        <v>Replacement</v>
      </c>
      <c r="L353" s="7" t="str">
        <f>IFERROR(VLOOKUP($G353,Mapping!$E$208:$K$236,5,0),"Contracts")</f>
        <v>Materials</v>
      </c>
      <c r="M353" s="7" t="str">
        <f>IFERROR(VLOOKUP($G353,Mapping!$E$208:$K$236,7,0),"ENDirect")</f>
        <v>ENDirect</v>
      </c>
      <c r="N353" s="7" t="str">
        <f>IFERROR(HLOOKUP(L353,'Calc|Weightings'!$U$5:$W$5,1,0),"Excl")</f>
        <v>Materials</v>
      </c>
      <c r="O353" s="7" t="str">
        <f>VLOOKUP(E353,Mapping!$E$11:$I$204,5,0)</f>
        <v>SCS</v>
      </c>
      <c r="Q353" s="32" t="s">
        <v>105</v>
      </c>
      <c r="R353" s="32"/>
      <c r="S353" s="32">
        <v>71015</v>
      </c>
      <c r="T353" s="32" t="s">
        <v>463</v>
      </c>
      <c r="U353" s="33">
        <v>150.852</v>
      </c>
      <c r="V353" s="7"/>
      <c r="W353" s="7" t="str">
        <f>VLOOKUP($Q353,Mapping!$E$11:$I$204,3,0)</f>
        <v>ACS</v>
      </c>
      <c r="X353" s="7" t="str">
        <f>IFERROR(VLOOKUP($S353,Mapping!$E$208:$K$236,5,0),"Contracts")</f>
        <v>Materials</v>
      </c>
      <c r="Y353" s="7" t="str">
        <f>IFERROR(VLOOKUP($S353,Mapping!$E$208:$K$236,7,0),"ENDirect")</f>
        <v>ENDirect</v>
      </c>
      <c r="Z353" s="7" t="str">
        <f>IFERROR(HLOOKUP(X353,'Calc|Weightings'!$U$5:$W$5,1,0),"Excl")</f>
        <v>Materials</v>
      </c>
      <c r="AA353" s="7" t="str">
        <f>VLOOKUP(Q353,Mapping!$E$11:$I$204,5,0)</f>
        <v>ACS</v>
      </c>
      <c r="AC353" s="35" t="s">
        <v>113</v>
      </c>
      <c r="AD353" s="35"/>
      <c r="AE353" s="35">
        <v>71005</v>
      </c>
      <c r="AF353" s="35" t="s">
        <v>461</v>
      </c>
      <c r="AG353" s="36">
        <v>96.382999999999996</v>
      </c>
      <c r="AI353" s="7" t="str">
        <f>VLOOKUP($AC353,Mapping!$E$11:$I$204,3,0)</f>
        <v>Connections</v>
      </c>
      <c r="AJ353" s="7" t="str">
        <f>IFERROR(VLOOKUP($AE353,Mapping!$E$208:$K$236,5,0),"Contracts")</f>
        <v>Materials</v>
      </c>
      <c r="AK353" s="7" t="str">
        <f>IFERROR(VLOOKUP($AE353,Mapping!$E$208:$K$236,7,0),"ENDirect")</f>
        <v>ENDirect</v>
      </c>
      <c r="AL353" s="7" t="str">
        <f>IFERROR(HLOOKUP(AJ353,'Calc|Weightings'!$U$5:$W$5,1,0),"Excl")</f>
        <v>Materials</v>
      </c>
      <c r="AM353" s="7" t="str">
        <f>VLOOKUP(AC353,Mapping!$E$11:$I$204,5,0)</f>
        <v>SCS</v>
      </c>
      <c r="AO353" s="35" t="s">
        <v>155</v>
      </c>
      <c r="AP353" s="35"/>
      <c r="AQ353" s="35">
        <v>71015</v>
      </c>
      <c r="AR353" s="35" t="s">
        <v>585</v>
      </c>
      <c r="AS353" s="121">
        <v>2.7746500000000003</v>
      </c>
      <c r="AU353" s="7" t="str">
        <f>VLOOKUP($AO353,Mapping!$E$11:$I$204,3,0)</f>
        <v>Replacement</v>
      </c>
      <c r="AV353" s="7" t="str">
        <f>IFERROR(VLOOKUP($AQ353,Mapping!$E$208:$K$236,5,0),"Contracts")</f>
        <v>Materials</v>
      </c>
      <c r="AW353" s="7" t="str">
        <f>IFERROR(VLOOKUP($AQ353,Mapping!$E$208:$K$236,7,0),"ENDirect")</f>
        <v>ENDirect</v>
      </c>
      <c r="AX353" s="7" t="str">
        <f>IFERROR(HLOOKUP(AV353,'Calc|Weightings'!$U$5:$W$5,1,0),"Excl")</f>
        <v>Materials</v>
      </c>
      <c r="AY353" s="7" t="str">
        <f>VLOOKUP(AO353,Mapping!$E$11:$I$204,5,0)</f>
        <v>SCS</v>
      </c>
    </row>
    <row r="354" spans="1:51" x14ac:dyDescent="0.3">
      <c r="A354" s="7"/>
      <c r="B354" s="7"/>
      <c r="C354" s="7"/>
      <c r="D354" s="7"/>
      <c r="E354" s="32" t="s">
        <v>234</v>
      </c>
      <c r="F354" s="32"/>
      <c r="G354" s="32">
        <v>71010</v>
      </c>
      <c r="H354" s="32" t="s">
        <v>462</v>
      </c>
      <c r="I354" s="33">
        <f>-1450.866-113</f>
        <v>-1563.866</v>
      </c>
      <c r="J354" s="170"/>
      <c r="K354" s="7" t="str">
        <f>VLOOKUP($E354,Mapping!$E$11:$I$204,3,0)</f>
        <v>Replacement</v>
      </c>
      <c r="L354" s="7" t="str">
        <f>IFERROR(VLOOKUP($G354,Mapping!$E$208:$K$236,5,0),"Contracts")</f>
        <v>Labour</v>
      </c>
      <c r="M354" s="7" t="str">
        <f>IFERROR(VLOOKUP($G354,Mapping!$E$208:$K$236,7,0),"ENDirect")</f>
        <v>ENDirect</v>
      </c>
      <c r="N354" s="7" t="str">
        <f>IFERROR(HLOOKUP(L354,'Calc|Weightings'!$U$5:$W$5,1,0),"Excl")</f>
        <v>Labour</v>
      </c>
      <c r="O354" s="7" t="str">
        <f>VLOOKUP(E354,Mapping!$E$11:$I$204,5,0)</f>
        <v>SCS</v>
      </c>
      <c r="Q354" s="32" t="s">
        <v>105</v>
      </c>
      <c r="R354" s="32"/>
      <c r="S354" s="32">
        <v>71030</v>
      </c>
      <c r="T354" s="32" t="s">
        <v>464</v>
      </c>
      <c r="U354" s="33">
        <v>119.051</v>
      </c>
      <c r="V354" s="7"/>
      <c r="W354" s="7" t="str">
        <f>VLOOKUP($Q354,Mapping!$E$11:$I$204,3,0)</f>
        <v>ACS</v>
      </c>
      <c r="X354" s="7" t="str">
        <f>IFERROR(VLOOKUP($S354,Mapping!$E$208:$K$236,5,0),"Contracts")</f>
        <v>Contracts</v>
      </c>
      <c r="Y354" s="7" t="str">
        <f>IFERROR(VLOOKUP($S354,Mapping!$E$208:$K$236,7,0),"ENDirect")</f>
        <v>ENDirect</v>
      </c>
      <c r="Z354" s="7" t="str">
        <f>IFERROR(HLOOKUP(X354,'Calc|Weightings'!$U$5:$W$5,1,0),"Excl")</f>
        <v>Contracts</v>
      </c>
      <c r="AA354" s="7" t="str">
        <f>VLOOKUP(Q354,Mapping!$E$11:$I$204,5,0)</f>
        <v>ACS</v>
      </c>
      <c r="AC354" s="35" t="s">
        <v>113</v>
      </c>
      <c r="AD354" s="35"/>
      <c r="AE354" s="35">
        <v>71020</v>
      </c>
      <c r="AF354" s="35" t="s">
        <v>459</v>
      </c>
      <c r="AG354" s="36">
        <v>4.298</v>
      </c>
      <c r="AI354" s="7" t="str">
        <f>VLOOKUP($AC354,Mapping!$E$11:$I$204,3,0)</f>
        <v>Connections</v>
      </c>
      <c r="AJ354" s="7" t="str">
        <f>IFERROR(VLOOKUP($AE354,Mapping!$E$208:$K$236,5,0),"Contracts")</f>
        <v>Contracts</v>
      </c>
      <c r="AK354" s="7" t="str">
        <f>IFERROR(VLOOKUP($AE354,Mapping!$E$208:$K$236,7,0),"ENDirect")</f>
        <v>ENDirect</v>
      </c>
      <c r="AL354" s="7" t="str">
        <f>IFERROR(HLOOKUP(AJ354,'Calc|Weightings'!$U$5:$W$5,1,0),"Excl")</f>
        <v>Contracts</v>
      </c>
      <c r="AM354" s="7" t="str">
        <f>VLOOKUP(AC354,Mapping!$E$11:$I$204,5,0)</f>
        <v>SCS</v>
      </c>
      <c r="AO354" s="35" t="s">
        <v>155</v>
      </c>
      <c r="AP354" s="35"/>
      <c r="AQ354" s="35">
        <v>71030</v>
      </c>
      <c r="AR354" s="35" t="s">
        <v>464</v>
      </c>
      <c r="AS354" s="121">
        <v>5.9872799999999993</v>
      </c>
      <c r="AU354" s="7" t="str">
        <f>VLOOKUP($AO354,Mapping!$E$11:$I$204,3,0)</f>
        <v>Replacement</v>
      </c>
      <c r="AV354" s="7" t="str">
        <f>IFERROR(VLOOKUP($AQ354,Mapping!$E$208:$K$236,5,0),"Contracts")</f>
        <v>Contracts</v>
      </c>
      <c r="AW354" s="7" t="str">
        <f>IFERROR(VLOOKUP($AQ354,Mapping!$E$208:$K$236,7,0),"ENDirect")</f>
        <v>ENDirect</v>
      </c>
      <c r="AX354" s="7" t="str">
        <f>IFERROR(HLOOKUP(AV354,'Calc|Weightings'!$U$5:$W$5,1,0),"Excl")</f>
        <v>Contracts</v>
      </c>
      <c r="AY354" s="7" t="str">
        <f>VLOOKUP(AO354,Mapping!$E$11:$I$204,5,0)</f>
        <v>SCS</v>
      </c>
    </row>
    <row r="355" spans="1:51" x14ac:dyDescent="0.3">
      <c r="A355" s="7"/>
      <c r="B355" s="7"/>
      <c r="C355" s="7"/>
      <c r="D355" s="7"/>
      <c r="E355" s="32" t="s">
        <v>234</v>
      </c>
      <c r="F355" s="32"/>
      <c r="G355" s="32">
        <v>71015</v>
      </c>
      <c r="H355" s="32" t="s">
        <v>463</v>
      </c>
      <c r="I355" s="33">
        <v>1093.6379999999999</v>
      </c>
      <c r="J355" s="170"/>
      <c r="K355" s="7" t="str">
        <f>VLOOKUP($E355,Mapping!$E$11:$I$204,3,0)</f>
        <v>Replacement</v>
      </c>
      <c r="L355" s="7" t="str">
        <f>IFERROR(VLOOKUP($G355,Mapping!$E$208:$K$236,5,0),"Contracts")</f>
        <v>Materials</v>
      </c>
      <c r="M355" s="7" t="str">
        <f>IFERROR(VLOOKUP($G355,Mapping!$E$208:$K$236,7,0),"ENDirect")</f>
        <v>ENDirect</v>
      </c>
      <c r="N355" s="7" t="str">
        <f>IFERROR(HLOOKUP(L355,'Calc|Weightings'!$U$5:$W$5,1,0),"Excl")</f>
        <v>Materials</v>
      </c>
      <c r="O355" s="7" t="str">
        <f>VLOOKUP(E355,Mapping!$E$11:$I$204,5,0)</f>
        <v>SCS</v>
      </c>
      <c r="Q355" s="32" t="s">
        <v>105</v>
      </c>
      <c r="R355" s="32"/>
      <c r="S355" s="32">
        <v>71055</v>
      </c>
      <c r="T355" s="32" t="s">
        <v>465</v>
      </c>
      <c r="U355" s="33">
        <v>221.36500000000001</v>
      </c>
      <c r="V355" s="7"/>
      <c r="W355" s="7" t="str">
        <f>VLOOKUP($Q355,Mapping!$E$11:$I$204,3,0)</f>
        <v>ACS</v>
      </c>
      <c r="X355" s="7" t="str">
        <f>IFERROR(VLOOKUP($S355,Mapping!$E$208:$K$236,5,0),"Contracts")</f>
        <v>Contracts</v>
      </c>
      <c r="Y355" s="7" t="str">
        <f>IFERROR(VLOOKUP($S355,Mapping!$E$208:$K$236,7,0),"ENDirect")</f>
        <v>ENDirect</v>
      </c>
      <c r="Z355" s="7" t="str">
        <f>IFERROR(HLOOKUP(X355,'Calc|Weightings'!$U$5:$W$5,1,0),"Excl")</f>
        <v>Contracts</v>
      </c>
      <c r="AA355" s="7" t="str">
        <f>VLOOKUP(Q355,Mapping!$E$11:$I$204,5,0)</f>
        <v>ACS</v>
      </c>
      <c r="AC355" s="35" t="s">
        <v>104</v>
      </c>
      <c r="AD355" s="35"/>
      <c r="AE355" s="35">
        <v>71015</v>
      </c>
      <c r="AF355" s="35" t="s">
        <v>463</v>
      </c>
      <c r="AG355" s="36">
        <v>5.875</v>
      </c>
      <c r="AI355" s="7" t="str">
        <f>VLOOKUP($AC355,Mapping!$E$11:$I$204,3,0)</f>
        <v>Public Lighting</v>
      </c>
      <c r="AJ355" s="7" t="str">
        <f>IFERROR(VLOOKUP($AE355,Mapping!$E$208:$K$236,5,0),"Contracts")</f>
        <v>Materials</v>
      </c>
      <c r="AK355" s="7" t="str">
        <f>IFERROR(VLOOKUP($AE355,Mapping!$E$208:$K$236,7,0),"ENDirect")</f>
        <v>ENDirect</v>
      </c>
      <c r="AL355" s="7" t="str">
        <f>IFERROR(HLOOKUP(AJ355,'Calc|Weightings'!$U$5:$W$5,1,0),"Excl")</f>
        <v>Materials</v>
      </c>
      <c r="AM355" s="7" t="str">
        <f>VLOOKUP(AC355,Mapping!$E$11:$I$204,5,0)</f>
        <v>Public Lighting</v>
      </c>
      <c r="AO355" s="35" t="s">
        <v>155</v>
      </c>
      <c r="AP355" s="35"/>
      <c r="AQ355" s="35">
        <v>71055</v>
      </c>
      <c r="AR355" s="35" t="s">
        <v>465</v>
      </c>
      <c r="AS355" s="121">
        <v>13.01282</v>
      </c>
      <c r="AU355" s="7" t="str">
        <f>VLOOKUP($AO355,Mapping!$E$11:$I$204,3,0)</f>
        <v>Replacement</v>
      </c>
      <c r="AV355" s="7" t="str">
        <f>IFERROR(VLOOKUP($AQ355,Mapping!$E$208:$K$236,5,0),"Contracts")</f>
        <v>Contracts</v>
      </c>
      <c r="AW355" s="7" t="str">
        <f>IFERROR(VLOOKUP($AQ355,Mapping!$E$208:$K$236,7,0),"ENDirect")</f>
        <v>ENDirect</v>
      </c>
      <c r="AX355" s="7" t="str">
        <f>IFERROR(HLOOKUP(AV355,'Calc|Weightings'!$U$5:$W$5,1,0),"Excl")</f>
        <v>Contracts</v>
      </c>
      <c r="AY355" s="7" t="str">
        <f>VLOOKUP(AO355,Mapping!$E$11:$I$204,5,0)</f>
        <v>SCS</v>
      </c>
    </row>
    <row r="356" spans="1:51" x14ac:dyDescent="0.3">
      <c r="A356" s="7"/>
      <c r="B356" s="7"/>
      <c r="C356" s="7"/>
      <c r="D356" s="7"/>
      <c r="E356" s="32" t="s">
        <v>234</v>
      </c>
      <c r="F356" s="32"/>
      <c r="G356" s="32">
        <v>71030</v>
      </c>
      <c r="H356" s="32" t="s">
        <v>464</v>
      </c>
      <c r="I356" s="33">
        <v>1112.9860000000001</v>
      </c>
      <c r="J356" s="170"/>
      <c r="K356" s="7" t="str">
        <f>VLOOKUP($E356,Mapping!$E$11:$I$204,3,0)</f>
        <v>Replacement</v>
      </c>
      <c r="L356" s="7" t="str">
        <f>IFERROR(VLOOKUP($G356,Mapping!$E$208:$K$236,5,0),"Contracts")</f>
        <v>Contracts</v>
      </c>
      <c r="M356" s="7" t="str">
        <f>IFERROR(VLOOKUP($G356,Mapping!$E$208:$K$236,7,0),"ENDirect")</f>
        <v>ENDirect</v>
      </c>
      <c r="N356" s="7" t="str">
        <f>IFERROR(HLOOKUP(L356,'Calc|Weightings'!$U$5:$W$5,1,0),"Excl")</f>
        <v>Contracts</v>
      </c>
      <c r="O356" s="7" t="str">
        <f>VLOOKUP(E356,Mapping!$E$11:$I$204,5,0)</f>
        <v>SCS</v>
      </c>
      <c r="Q356" s="32" t="s">
        <v>105</v>
      </c>
      <c r="R356" s="32"/>
      <c r="S356" s="32">
        <v>80000</v>
      </c>
      <c r="T356" s="32" t="s">
        <v>453</v>
      </c>
      <c r="U356" s="33">
        <v>232.77799999999999</v>
      </c>
      <c r="V356" s="7"/>
      <c r="W356" s="7" t="str">
        <f>VLOOKUP($Q356,Mapping!$E$11:$I$204,3,0)</f>
        <v>ACS</v>
      </c>
      <c r="X356" s="7" t="str">
        <f>IFERROR(VLOOKUP($S356,Mapping!$E$208:$K$236,5,0),"Contracts")</f>
        <v>Overhead</v>
      </c>
      <c r="Y356" s="7" t="str">
        <f>IFERROR(VLOOKUP($S356,Mapping!$E$208:$K$236,7,0),"ENDirect")</f>
        <v>OH</v>
      </c>
      <c r="Z356" s="7" t="str">
        <f>IFERROR(HLOOKUP(X356,'Calc|Weightings'!$U$5:$W$5,1,0),"Excl")</f>
        <v>Excl</v>
      </c>
      <c r="AA356" s="7" t="str">
        <f>VLOOKUP(Q356,Mapping!$E$11:$I$204,5,0)</f>
        <v>ACS</v>
      </c>
      <c r="AC356" s="35" t="s">
        <v>111</v>
      </c>
      <c r="AD356" s="35"/>
      <c r="AE356" s="35">
        <v>71020</v>
      </c>
      <c r="AF356" s="35" t="s">
        <v>459</v>
      </c>
      <c r="AG356" s="36">
        <v>30.157</v>
      </c>
      <c r="AI356" s="7" t="str">
        <f>VLOOKUP($AC356,Mapping!$E$11:$I$204,3,0)</f>
        <v>Connections</v>
      </c>
      <c r="AJ356" s="7" t="str">
        <f>IFERROR(VLOOKUP($AE356,Mapping!$E$208:$K$236,5,0),"Contracts")</f>
        <v>Contracts</v>
      </c>
      <c r="AK356" s="7" t="str">
        <f>IFERROR(VLOOKUP($AE356,Mapping!$E$208:$K$236,7,0),"ENDirect")</f>
        <v>ENDirect</v>
      </c>
      <c r="AL356" s="7" t="str">
        <f>IFERROR(HLOOKUP(AJ356,'Calc|Weightings'!$U$5:$W$5,1,0),"Excl")</f>
        <v>Contracts</v>
      </c>
      <c r="AM356" s="7" t="str">
        <f>VLOOKUP(AC356,Mapping!$E$11:$I$204,5,0)</f>
        <v>SCS</v>
      </c>
      <c r="AO356" s="35" t="s">
        <v>155</v>
      </c>
      <c r="AP356" s="35"/>
      <c r="AQ356" s="35">
        <v>71070</v>
      </c>
      <c r="AR356" s="35" t="s">
        <v>586</v>
      </c>
      <c r="AS356" s="121">
        <v>6.4717500000000001</v>
      </c>
      <c r="AU356" s="7" t="str">
        <f>VLOOKUP($AO356,Mapping!$E$11:$I$204,3,0)</f>
        <v>Replacement</v>
      </c>
      <c r="AV356" s="7" t="str">
        <f>IFERROR(VLOOKUP($AQ356,Mapping!$E$208:$K$236,5,0),"Contracts")</f>
        <v>Contracts</v>
      </c>
      <c r="AW356" s="7" t="str">
        <f>IFERROR(VLOOKUP($AQ356,Mapping!$E$208:$K$236,7,0),"ENDirect")</f>
        <v>ENDirect</v>
      </c>
      <c r="AX356" s="7" t="str">
        <f>IFERROR(HLOOKUP(AV356,'Calc|Weightings'!$U$5:$W$5,1,0),"Excl")</f>
        <v>Contracts</v>
      </c>
      <c r="AY356" s="7" t="str">
        <f>VLOOKUP(AO356,Mapping!$E$11:$I$204,5,0)</f>
        <v>SCS</v>
      </c>
    </row>
    <row r="357" spans="1:51" x14ac:dyDescent="0.3">
      <c r="A357" s="7"/>
      <c r="B357" s="7"/>
      <c r="C357" s="7"/>
      <c r="D357" s="7"/>
      <c r="E357" s="32" t="s">
        <v>234</v>
      </c>
      <c r="F357" s="32"/>
      <c r="G357" s="32">
        <v>71055</v>
      </c>
      <c r="H357" s="32" t="s">
        <v>465</v>
      </c>
      <c r="I357" s="33">
        <v>2634.4720000000002</v>
      </c>
      <c r="J357" s="170"/>
      <c r="K357" s="7" t="str">
        <f>VLOOKUP($E357,Mapping!$E$11:$I$204,3,0)</f>
        <v>Replacement</v>
      </c>
      <c r="L357" s="7" t="str">
        <f>IFERROR(VLOOKUP($G357,Mapping!$E$208:$K$236,5,0),"Contracts")</f>
        <v>Contracts</v>
      </c>
      <c r="M357" s="7" t="str">
        <f>IFERROR(VLOOKUP($G357,Mapping!$E$208:$K$236,7,0),"ENDirect")</f>
        <v>ENDirect</v>
      </c>
      <c r="N357" s="7" t="str">
        <f>IFERROR(HLOOKUP(L357,'Calc|Weightings'!$U$5:$W$5,1,0),"Excl")</f>
        <v>Contracts</v>
      </c>
      <c r="O357" s="7" t="str">
        <f>VLOOKUP(E357,Mapping!$E$11:$I$204,5,0)</f>
        <v>SCS</v>
      </c>
      <c r="Q357" s="32" t="s">
        <v>106</v>
      </c>
      <c r="R357" s="32"/>
      <c r="S357" s="32">
        <v>71000</v>
      </c>
      <c r="T357" s="32" t="s">
        <v>457</v>
      </c>
      <c r="U357" s="33">
        <v>357.19099999999997</v>
      </c>
      <c r="V357" s="7"/>
      <c r="W357" s="7" t="str">
        <f>VLOOKUP($Q357,Mapping!$E$11:$I$204,3,0)</f>
        <v>ACS</v>
      </c>
      <c r="X357" s="7" t="str">
        <f>IFERROR(VLOOKUP($S357,Mapping!$E$208:$K$236,5,0),"Contracts")</f>
        <v>Labour</v>
      </c>
      <c r="Y357" s="7" t="str">
        <f>IFERROR(VLOOKUP($S357,Mapping!$E$208:$K$236,7,0),"ENDirect")</f>
        <v>ENDirect</v>
      </c>
      <c r="Z357" s="7" t="str">
        <f>IFERROR(HLOOKUP(X357,'Calc|Weightings'!$U$5:$W$5,1,0),"Excl")</f>
        <v>Labour</v>
      </c>
      <c r="AA357" s="7" t="str">
        <f>VLOOKUP(Q357,Mapping!$E$11:$I$204,5,0)</f>
        <v>ACS</v>
      </c>
      <c r="AC357" s="35" t="s">
        <v>210</v>
      </c>
      <c r="AD357" s="35"/>
      <c r="AE357" s="35">
        <v>71130</v>
      </c>
      <c r="AF357" s="35" t="s">
        <v>482</v>
      </c>
      <c r="AG357" s="36">
        <v>55.930999999999997</v>
      </c>
      <c r="AI357" s="7" t="str">
        <f>VLOOKUP($AC357,Mapping!$E$11:$I$204,3,0)</f>
        <v>Replacement</v>
      </c>
      <c r="AJ357" s="7" t="str">
        <f>IFERROR(VLOOKUP($AE357,Mapping!$E$208:$K$236,5,0),"Contracts")</f>
        <v>Contracts</v>
      </c>
      <c r="AK357" s="7" t="str">
        <f>IFERROR(VLOOKUP($AE357,Mapping!$E$208:$K$236,7,0),"ENDirect")</f>
        <v>ENDirect</v>
      </c>
      <c r="AL357" s="7" t="str">
        <f>IFERROR(HLOOKUP(AJ357,'Calc|Weightings'!$U$5:$W$5,1,0),"Excl")</f>
        <v>Contracts</v>
      </c>
      <c r="AM357" s="7" t="str">
        <f>VLOOKUP(AC357,Mapping!$E$11:$I$204,5,0)</f>
        <v>SCS</v>
      </c>
      <c r="AO357" s="35" t="s">
        <v>155</v>
      </c>
      <c r="AP357" s="35"/>
      <c r="AQ357" s="35">
        <v>71075</v>
      </c>
      <c r="AR357" s="35" t="s">
        <v>587</v>
      </c>
      <c r="AS357" s="121">
        <v>56.185269999999996</v>
      </c>
      <c r="AU357" s="7" t="str">
        <f>VLOOKUP($AO357,Mapping!$E$11:$I$204,3,0)</f>
        <v>Replacement</v>
      </c>
      <c r="AV357" s="7" t="str">
        <f>IFERROR(VLOOKUP($AQ357,Mapping!$E$208:$K$236,5,0),"Contracts")</f>
        <v>Contracts</v>
      </c>
      <c r="AW357" s="7" t="str">
        <f>IFERROR(VLOOKUP($AQ357,Mapping!$E$208:$K$236,7,0),"ENDirect")</f>
        <v>ENDirect</v>
      </c>
      <c r="AX357" s="7" t="str">
        <f>IFERROR(HLOOKUP(AV357,'Calc|Weightings'!$U$5:$W$5,1,0),"Excl")</f>
        <v>Contracts</v>
      </c>
      <c r="AY357" s="7" t="str">
        <f>VLOOKUP(AO357,Mapping!$E$11:$I$204,5,0)</f>
        <v>SCS</v>
      </c>
    </row>
    <row r="358" spans="1:51" x14ac:dyDescent="0.3">
      <c r="A358" s="7"/>
      <c r="B358" s="7"/>
      <c r="C358" s="7"/>
      <c r="D358" s="7"/>
      <c r="E358" s="32" t="s">
        <v>234</v>
      </c>
      <c r="F358" s="32"/>
      <c r="G358" s="32">
        <v>80000</v>
      </c>
      <c r="H358" s="32" t="s">
        <v>453</v>
      </c>
      <c r="I358" s="33">
        <v>1488.4559999999999</v>
      </c>
      <c r="J358" s="170"/>
      <c r="K358" s="7" t="str">
        <f>VLOOKUP($E358,Mapping!$E$11:$I$204,3,0)</f>
        <v>Replacement</v>
      </c>
      <c r="L358" s="7" t="str">
        <f>IFERROR(VLOOKUP($G358,Mapping!$E$208:$K$236,5,0),"Contracts")</f>
        <v>Overhead</v>
      </c>
      <c r="M358" s="7" t="str">
        <f>IFERROR(VLOOKUP($G358,Mapping!$E$208:$K$236,7,0),"ENDirect")</f>
        <v>OH</v>
      </c>
      <c r="N358" s="7" t="str">
        <f>IFERROR(HLOOKUP(L358,'Calc|Weightings'!$U$5:$W$5,1,0),"Excl")</f>
        <v>Excl</v>
      </c>
      <c r="O358" s="7" t="str">
        <f>VLOOKUP(E358,Mapping!$E$11:$I$204,5,0)</f>
        <v>SCS</v>
      </c>
      <c r="Q358" s="32" t="s">
        <v>106</v>
      </c>
      <c r="R358" s="32"/>
      <c r="S358" s="32">
        <v>71005</v>
      </c>
      <c r="T358" s="32" t="s">
        <v>461</v>
      </c>
      <c r="U358" s="33">
        <v>60.710999999999999</v>
      </c>
      <c r="V358" s="7"/>
      <c r="W358" s="7" t="str">
        <f>VLOOKUP($Q358,Mapping!$E$11:$I$204,3,0)</f>
        <v>ACS</v>
      </c>
      <c r="X358" s="7" t="str">
        <f>IFERROR(VLOOKUP($S358,Mapping!$E$208:$K$236,5,0),"Contracts")</f>
        <v>Materials</v>
      </c>
      <c r="Y358" s="7" t="str">
        <f>IFERROR(VLOOKUP($S358,Mapping!$E$208:$K$236,7,0),"ENDirect")</f>
        <v>ENDirect</v>
      </c>
      <c r="Z358" s="7" t="str">
        <f>IFERROR(HLOOKUP(X358,'Calc|Weightings'!$U$5:$W$5,1,0),"Excl")</f>
        <v>Materials</v>
      </c>
      <c r="AA358" s="7" t="str">
        <f>VLOOKUP(Q358,Mapping!$E$11:$I$204,5,0)</f>
        <v>ACS</v>
      </c>
      <c r="AC358" s="35" t="s">
        <v>161</v>
      </c>
      <c r="AD358" s="35"/>
      <c r="AE358" s="35">
        <v>71045</v>
      </c>
      <c r="AF358" s="35" t="s">
        <v>469</v>
      </c>
      <c r="AG358" s="36">
        <v>234.869</v>
      </c>
      <c r="AI358" s="7" t="str">
        <f>VLOOKUP($AC358,Mapping!$E$11:$I$204,3,0)</f>
        <v>Augmentation</v>
      </c>
      <c r="AJ358" s="7" t="str">
        <f>IFERROR(VLOOKUP($AE358,Mapping!$E$208:$K$236,5,0),"Contracts")</f>
        <v>Materials</v>
      </c>
      <c r="AK358" s="7" t="str">
        <f>IFERROR(VLOOKUP($AE358,Mapping!$E$208:$K$236,7,0),"ENDirect")</f>
        <v>ENDirect</v>
      </c>
      <c r="AL358" s="7" t="str">
        <f>IFERROR(HLOOKUP(AJ358,'Calc|Weightings'!$U$5:$W$5,1,0),"Excl")</f>
        <v>Materials</v>
      </c>
      <c r="AM358" s="7" t="str">
        <f>VLOOKUP(AC358,Mapping!$E$11:$I$204,5,0)</f>
        <v>SCS</v>
      </c>
      <c r="AO358" s="35" t="s">
        <v>155</v>
      </c>
      <c r="AP358" s="35"/>
      <c r="AQ358" s="35">
        <v>80000</v>
      </c>
      <c r="AR358" s="35" t="s">
        <v>589</v>
      </c>
      <c r="AS358" s="121">
        <v>108.60615</v>
      </c>
      <c r="AU358" s="7" t="str">
        <f>VLOOKUP($AO358,Mapping!$E$11:$I$204,3,0)</f>
        <v>Replacement</v>
      </c>
      <c r="AV358" s="7" t="str">
        <f>IFERROR(VLOOKUP($AQ358,Mapping!$E$208:$K$236,5,0),"Contracts")</f>
        <v>Overhead</v>
      </c>
      <c r="AW358" s="7" t="str">
        <f>IFERROR(VLOOKUP($AQ358,Mapping!$E$208:$K$236,7,0),"ENDirect")</f>
        <v>OH</v>
      </c>
      <c r="AX358" s="7" t="str">
        <f>IFERROR(HLOOKUP(AV358,'Calc|Weightings'!$U$5:$W$5,1,0),"Excl")</f>
        <v>Excl</v>
      </c>
      <c r="AY358" s="7" t="str">
        <f>VLOOKUP(AO358,Mapping!$E$11:$I$204,5,0)</f>
        <v>SCS</v>
      </c>
    </row>
    <row r="359" spans="1:51" x14ac:dyDescent="0.3">
      <c r="A359" s="7"/>
      <c r="B359" s="7"/>
      <c r="C359" s="7"/>
      <c r="D359" s="7"/>
      <c r="E359" s="32" t="s">
        <v>105</v>
      </c>
      <c r="F359" s="32"/>
      <c r="G359" s="32">
        <v>71040</v>
      </c>
      <c r="H359" s="32" t="s">
        <v>460</v>
      </c>
      <c r="I359" s="33">
        <v>-9.4760000000000009</v>
      </c>
      <c r="J359" s="170"/>
      <c r="K359" s="7" t="str">
        <f>VLOOKUP($E359,Mapping!$E$11:$I$204,3,0)</f>
        <v>ACS</v>
      </c>
      <c r="L359" s="7" t="str">
        <f>IFERROR(VLOOKUP($G359,Mapping!$E$208:$K$236,5,0),"Contracts")</f>
        <v>Contracts</v>
      </c>
      <c r="M359" s="7" t="str">
        <f>IFERROR(VLOOKUP($G359,Mapping!$E$208:$K$236,7,0),"ENDirect")</f>
        <v>ENDirect</v>
      </c>
      <c r="N359" s="7" t="str">
        <f>IFERROR(HLOOKUP(L359,'Calc|Weightings'!$U$5:$W$5,1,0),"Excl")</f>
        <v>Contracts</v>
      </c>
      <c r="O359" s="7" t="str">
        <f>VLOOKUP(E359,Mapping!$E$11:$I$204,5,0)</f>
        <v>ACS</v>
      </c>
      <c r="Q359" s="32" t="s">
        <v>106</v>
      </c>
      <c r="R359" s="32"/>
      <c r="S359" s="32">
        <v>71015</v>
      </c>
      <c r="T359" s="32" t="s">
        <v>463</v>
      </c>
      <c r="U359" s="33">
        <v>45.22</v>
      </c>
      <c r="V359" s="7"/>
      <c r="W359" s="7" t="str">
        <f>VLOOKUP($Q359,Mapping!$E$11:$I$204,3,0)</f>
        <v>ACS</v>
      </c>
      <c r="X359" s="7" t="str">
        <f>IFERROR(VLOOKUP($S359,Mapping!$E$208:$K$236,5,0),"Contracts")</f>
        <v>Materials</v>
      </c>
      <c r="Y359" s="7" t="str">
        <f>IFERROR(VLOOKUP($S359,Mapping!$E$208:$K$236,7,0),"ENDirect")</f>
        <v>ENDirect</v>
      </c>
      <c r="Z359" s="7" t="str">
        <f>IFERROR(HLOOKUP(X359,'Calc|Weightings'!$U$5:$W$5,1,0),"Excl")</f>
        <v>Materials</v>
      </c>
      <c r="AA359" s="7" t="str">
        <f>VLOOKUP(Q359,Mapping!$E$11:$I$204,5,0)</f>
        <v>ACS</v>
      </c>
      <c r="AC359" s="35" t="s">
        <v>161</v>
      </c>
      <c r="AD359" s="35"/>
      <c r="AE359" s="35">
        <v>72200</v>
      </c>
      <c r="AF359" s="35" t="s">
        <v>455</v>
      </c>
      <c r="AG359" s="36">
        <v>0</v>
      </c>
      <c r="AI359" s="7" t="str">
        <f>VLOOKUP($AC359,Mapping!$E$11:$I$204,3,0)</f>
        <v>Augmentation</v>
      </c>
      <c r="AJ359" s="7" t="str">
        <f>IFERROR(VLOOKUP($AE359,Mapping!$E$208:$K$236,5,0),"Contracts")</f>
        <v>Labour</v>
      </c>
      <c r="AK359" s="7" t="str">
        <f>IFERROR(VLOOKUP($AE359,Mapping!$E$208:$K$236,7,0),"ENDirect")</f>
        <v>ENDirect</v>
      </c>
      <c r="AL359" s="7" t="str">
        <f>IFERROR(HLOOKUP(AJ359,'Calc|Weightings'!$U$5:$W$5,1,0),"Excl")</f>
        <v>Labour</v>
      </c>
      <c r="AM359" s="7" t="str">
        <f>VLOOKUP(AC359,Mapping!$E$11:$I$204,5,0)</f>
        <v>SCS</v>
      </c>
      <c r="AO359" s="35" t="s">
        <v>155</v>
      </c>
      <c r="AP359" s="35"/>
      <c r="AQ359" s="35">
        <v>83010</v>
      </c>
      <c r="AR359" s="35" t="s">
        <v>591</v>
      </c>
      <c r="AS359" s="121">
        <v>490.55864999999937</v>
      </c>
      <c r="AU359" s="7" t="str">
        <f>VLOOKUP($AO359,Mapping!$E$11:$I$204,3,0)</f>
        <v>Replacement</v>
      </c>
      <c r="AV359" s="7" t="str">
        <f>IFERROR(VLOOKUP($AQ359,Mapping!$E$208:$K$236,5,0),"Contracts")</f>
        <v>Contracts</v>
      </c>
      <c r="AW359" s="7" t="str">
        <f>IFERROR(VLOOKUP($AQ359,Mapping!$E$208:$K$236,7,0),"ENDirect")</f>
        <v>ENDirect</v>
      </c>
      <c r="AX359" s="7" t="str">
        <f>IFERROR(HLOOKUP(AV359,'Calc|Weightings'!$U$5:$W$5,1,0),"Excl")</f>
        <v>Contracts</v>
      </c>
      <c r="AY359" s="7" t="str">
        <f>VLOOKUP(AO359,Mapping!$E$11:$I$204,5,0)</f>
        <v>SCS</v>
      </c>
    </row>
    <row r="360" spans="1:51" x14ac:dyDescent="0.3">
      <c r="A360" s="7"/>
      <c r="B360" s="7"/>
      <c r="C360" s="7"/>
      <c r="D360" s="7"/>
      <c r="E360" s="32" t="s">
        <v>106</v>
      </c>
      <c r="F360" s="32"/>
      <c r="G360" s="32">
        <v>71040</v>
      </c>
      <c r="H360" s="32" t="s">
        <v>460</v>
      </c>
      <c r="I360" s="33">
        <v>0</v>
      </c>
      <c r="J360" s="170"/>
      <c r="K360" s="7" t="str">
        <f>VLOOKUP($E360,Mapping!$E$11:$I$204,3,0)</f>
        <v>ACS</v>
      </c>
      <c r="L360" s="7" t="str">
        <f>IFERROR(VLOOKUP($G360,Mapping!$E$208:$K$236,5,0),"Contracts")</f>
        <v>Contracts</v>
      </c>
      <c r="M360" s="7" t="str">
        <f>IFERROR(VLOOKUP($G360,Mapping!$E$208:$K$236,7,0),"ENDirect")</f>
        <v>ENDirect</v>
      </c>
      <c r="N360" s="7" t="str">
        <f>IFERROR(HLOOKUP(L360,'Calc|Weightings'!$U$5:$W$5,1,0),"Excl")</f>
        <v>Contracts</v>
      </c>
      <c r="O360" s="7" t="str">
        <f>VLOOKUP(E360,Mapping!$E$11:$I$204,5,0)</f>
        <v>ACS</v>
      </c>
      <c r="Q360" s="32" t="s">
        <v>106</v>
      </c>
      <c r="R360" s="32"/>
      <c r="S360" s="32">
        <v>71030</v>
      </c>
      <c r="T360" s="32" t="s">
        <v>464</v>
      </c>
      <c r="U360" s="33">
        <v>37.856999999999999</v>
      </c>
      <c r="V360" s="7"/>
      <c r="W360" s="7" t="str">
        <f>VLOOKUP($Q360,Mapping!$E$11:$I$204,3,0)</f>
        <v>ACS</v>
      </c>
      <c r="X360" s="7" t="str">
        <f>IFERROR(VLOOKUP($S360,Mapping!$E$208:$K$236,5,0),"Contracts")</f>
        <v>Contracts</v>
      </c>
      <c r="Y360" s="7" t="str">
        <f>IFERROR(VLOOKUP($S360,Mapping!$E$208:$K$236,7,0),"ENDirect")</f>
        <v>ENDirect</v>
      </c>
      <c r="Z360" s="7" t="str">
        <f>IFERROR(HLOOKUP(X360,'Calc|Weightings'!$U$5:$W$5,1,0),"Excl")</f>
        <v>Contracts</v>
      </c>
      <c r="AA360" s="7" t="str">
        <f>VLOOKUP(Q360,Mapping!$E$11:$I$204,5,0)</f>
        <v>ACS</v>
      </c>
      <c r="AC360" s="35" t="s">
        <v>553</v>
      </c>
      <c r="AD360" s="35"/>
      <c r="AE360" s="35">
        <v>71020</v>
      </c>
      <c r="AF360" s="35" t="s">
        <v>459</v>
      </c>
      <c r="AG360" s="36">
        <v>0</v>
      </c>
      <c r="AI360" s="7" t="str">
        <f>VLOOKUP($AC360,Mapping!$E$11:$I$204,3,0)</f>
        <v>Connections</v>
      </c>
      <c r="AJ360" s="7" t="str">
        <f>IFERROR(VLOOKUP($AE360,Mapping!$E$208:$K$236,5,0),"Contracts")</f>
        <v>Contracts</v>
      </c>
      <c r="AK360" s="7" t="str">
        <f>IFERROR(VLOOKUP($AE360,Mapping!$E$208:$K$236,7,0),"ENDirect")</f>
        <v>ENDirect</v>
      </c>
      <c r="AL360" s="7" t="str">
        <f>IFERROR(HLOOKUP(AJ360,'Calc|Weightings'!$U$5:$W$5,1,0),"Excl")</f>
        <v>Contracts</v>
      </c>
      <c r="AM360" s="7" t="str">
        <f>VLOOKUP(AC360,Mapping!$E$11:$I$204,5,0)</f>
        <v>SCS</v>
      </c>
      <c r="AO360" s="35" t="s">
        <v>156</v>
      </c>
      <c r="AP360" s="35"/>
      <c r="AQ360" s="35">
        <v>71000</v>
      </c>
      <c r="AR360" s="35" t="s">
        <v>457</v>
      </c>
      <c r="AS360" s="121">
        <v>-49.267330000000001</v>
      </c>
      <c r="AU360" s="7" t="str">
        <f>VLOOKUP($AO360,Mapping!$E$11:$I$204,3,0)</f>
        <v>VBRC</v>
      </c>
      <c r="AV360" s="7" t="str">
        <f>IFERROR(VLOOKUP($AQ360,Mapping!$E$208:$K$236,5,0),"Contracts")</f>
        <v>Labour</v>
      </c>
      <c r="AW360" s="7" t="str">
        <f>IFERROR(VLOOKUP($AQ360,Mapping!$E$208:$K$236,7,0),"ENDirect")</f>
        <v>ENDirect</v>
      </c>
      <c r="AX360" s="7" t="str">
        <f>IFERROR(HLOOKUP(AV360,'Calc|Weightings'!$U$5:$W$5,1,0),"Excl")</f>
        <v>Labour</v>
      </c>
      <c r="AY360" s="7" t="str">
        <f>VLOOKUP(AO360,Mapping!$E$11:$I$204,5,0)</f>
        <v>SCS</v>
      </c>
    </row>
    <row r="361" spans="1:51" x14ac:dyDescent="0.3">
      <c r="A361" s="7"/>
      <c r="B361" s="7"/>
      <c r="C361" s="7"/>
      <c r="D361" s="7"/>
      <c r="E361" s="32" t="s">
        <v>247</v>
      </c>
      <c r="F361" s="32"/>
      <c r="G361" s="32">
        <v>71040</v>
      </c>
      <c r="H361" s="32" t="s">
        <v>460</v>
      </c>
      <c r="I361" s="33">
        <v>0</v>
      </c>
      <c r="J361" s="170"/>
      <c r="K361" s="7" t="str">
        <f>VLOOKUP($E361,Mapping!$E$11:$I$204,3,0)</f>
        <v>ACS</v>
      </c>
      <c r="L361" s="7" t="str">
        <f>IFERROR(VLOOKUP($G361,Mapping!$E$208:$K$236,5,0),"Contracts")</f>
        <v>Contracts</v>
      </c>
      <c r="M361" s="7" t="str">
        <f>IFERROR(VLOOKUP($G361,Mapping!$E$208:$K$236,7,0),"ENDirect")</f>
        <v>ENDirect</v>
      </c>
      <c r="N361" s="7" t="str">
        <f>IFERROR(HLOOKUP(L361,'Calc|Weightings'!$U$5:$W$5,1,0),"Excl")</f>
        <v>Contracts</v>
      </c>
      <c r="O361" s="7" t="str">
        <f>VLOOKUP(E361,Mapping!$E$11:$I$204,5,0)</f>
        <v>ACS</v>
      </c>
      <c r="Q361" s="32" t="s">
        <v>106</v>
      </c>
      <c r="R361" s="32"/>
      <c r="S361" s="32">
        <v>71055</v>
      </c>
      <c r="T361" s="32" t="s">
        <v>465</v>
      </c>
      <c r="U361" s="33">
        <v>73.903999999999996</v>
      </c>
      <c r="V361" s="7"/>
      <c r="W361" s="7" t="str">
        <f>VLOOKUP($Q361,Mapping!$E$11:$I$204,3,0)</f>
        <v>ACS</v>
      </c>
      <c r="X361" s="7" t="str">
        <f>IFERROR(VLOOKUP($S361,Mapping!$E$208:$K$236,5,0),"Contracts")</f>
        <v>Contracts</v>
      </c>
      <c r="Y361" s="7" t="str">
        <f>IFERROR(VLOOKUP($S361,Mapping!$E$208:$K$236,7,0),"ENDirect")</f>
        <v>ENDirect</v>
      </c>
      <c r="Z361" s="7" t="str">
        <f>IFERROR(HLOOKUP(X361,'Calc|Weightings'!$U$5:$W$5,1,0),"Excl")</f>
        <v>Contracts</v>
      </c>
      <c r="AA361" s="7" t="str">
        <f>VLOOKUP(Q361,Mapping!$E$11:$I$204,5,0)</f>
        <v>ACS</v>
      </c>
      <c r="AC361" s="35" t="s">
        <v>104</v>
      </c>
      <c r="AD361" s="35"/>
      <c r="AE361" s="35">
        <v>71005</v>
      </c>
      <c r="AF361" s="35" t="s">
        <v>461</v>
      </c>
      <c r="AG361" s="36">
        <v>13.882</v>
      </c>
      <c r="AI361" s="7" t="str">
        <f>VLOOKUP($AC361,Mapping!$E$11:$I$204,3,0)</f>
        <v>Public Lighting</v>
      </c>
      <c r="AJ361" s="7" t="str">
        <f>IFERROR(VLOOKUP($AE361,Mapping!$E$208:$K$236,5,0),"Contracts")</f>
        <v>Materials</v>
      </c>
      <c r="AK361" s="7" t="str">
        <f>IFERROR(VLOOKUP($AE361,Mapping!$E$208:$K$236,7,0),"ENDirect")</f>
        <v>ENDirect</v>
      </c>
      <c r="AL361" s="7" t="str">
        <f>IFERROR(HLOOKUP(AJ361,'Calc|Weightings'!$U$5:$W$5,1,0),"Excl")</f>
        <v>Materials</v>
      </c>
      <c r="AM361" s="7" t="str">
        <f>VLOOKUP(AC361,Mapping!$E$11:$I$204,5,0)</f>
        <v>Public Lighting</v>
      </c>
      <c r="AO361" s="35" t="s">
        <v>156</v>
      </c>
      <c r="AP361" s="35"/>
      <c r="AQ361" s="35">
        <v>71005</v>
      </c>
      <c r="AR361" s="35" t="s">
        <v>461</v>
      </c>
      <c r="AS361" s="121">
        <v>4.1725600000000007</v>
      </c>
      <c r="AU361" s="7" t="str">
        <f>VLOOKUP($AO361,Mapping!$E$11:$I$204,3,0)</f>
        <v>VBRC</v>
      </c>
      <c r="AV361" s="7" t="str">
        <f>IFERROR(VLOOKUP($AQ361,Mapping!$E$208:$K$236,5,0),"Contracts")</f>
        <v>Materials</v>
      </c>
      <c r="AW361" s="7" t="str">
        <f>IFERROR(VLOOKUP($AQ361,Mapping!$E$208:$K$236,7,0),"ENDirect")</f>
        <v>ENDirect</v>
      </c>
      <c r="AX361" s="7" t="str">
        <f>IFERROR(HLOOKUP(AV361,'Calc|Weightings'!$U$5:$W$5,1,0),"Excl")</f>
        <v>Materials</v>
      </c>
      <c r="AY361" s="7" t="str">
        <f>VLOOKUP(AO361,Mapping!$E$11:$I$204,5,0)</f>
        <v>SCS</v>
      </c>
    </row>
    <row r="362" spans="1:51" x14ac:dyDescent="0.3">
      <c r="A362" s="7"/>
      <c r="B362" s="7"/>
      <c r="C362" s="7"/>
      <c r="D362" s="7"/>
      <c r="E362" s="32" t="s">
        <v>256</v>
      </c>
      <c r="F362" s="32"/>
      <c r="G362" s="32">
        <v>71040</v>
      </c>
      <c r="H362" s="32" t="s">
        <v>460</v>
      </c>
      <c r="I362" s="33">
        <v>0</v>
      </c>
      <c r="J362" s="170"/>
      <c r="K362" s="7" t="str">
        <f>VLOOKUP($E362,Mapping!$E$11:$I$204,3,0)</f>
        <v>ACS</v>
      </c>
      <c r="L362" s="7" t="str">
        <f>IFERROR(VLOOKUP($G362,Mapping!$E$208:$K$236,5,0),"Contracts")</f>
        <v>Contracts</v>
      </c>
      <c r="M362" s="7" t="str">
        <f>IFERROR(VLOOKUP($G362,Mapping!$E$208:$K$236,7,0),"ENDirect")</f>
        <v>ENDirect</v>
      </c>
      <c r="N362" s="7" t="str">
        <f>IFERROR(HLOOKUP(L362,'Calc|Weightings'!$U$5:$W$5,1,0),"Excl")</f>
        <v>Contracts</v>
      </c>
      <c r="O362" s="7" t="str">
        <f>VLOOKUP(E362,Mapping!$E$11:$I$204,5,0)</f>
        <v>ACS</v>
      </c>
      <c r="Q362" s="32" t="s">
        <v>106</v>
      </c>
      <c r="R362" s="32"/>
      <c r="S362" s="32">
        <v>80000</v>
      </c>
      <c r="T362" s="32" t="s">
        <v>453</v>
      </c>
      <c r="U362" s="33">
        <v>76.704999999999998</v>
      </c>
      <c r="V362" s="7"/>
      <c r="W362" s="7" t="str">
        <f>VLOOKUP($Q362,Mapping!$E$11:$I$204,3,0)</f>
        <v>ACS</v>
      </c>
      <c r="X362" s="7" t="str">
        <f>IFERROR(VLOOKUP($S362,Mapping!$E$208:$K$236,5,0),"Contracts")</f>
        <v>Overhead</v>
      </c>
      <c r="Y362" s="7" t="str">
        <f>IFERROR(VLOOKUP($S362,Mapping!$E$208:$K$236,7,0),"ENDirect")</f>
        <v>OH</v>
      </c>
      <c r="Z362" s="7" t="str">
        <f>IFERROR(HLOOKUP(X362,'Calc|Weightings'!$U$5:$W$5,1,0),"Excl")</f>
        <v>Excl</v>
      </c>
      <c r="AA362" s="7" t="str">
        <f>VLOOKUP(Q362,Mapping!$E$11:$I$204,5,0)</f>
        <v>ACS</v>
      </c>
      <c r="AC362" s="35" t="s">
        <v>548</v>
      </c>
      <c r="AD362" s="35"/>
      <c r="AE362" s="35">
        <v>72345</v>
      </c>
      <c r="AF362" s="35" t="s">
        <v>467</v>
      </c>
      <c r="AG362" s="36">
        <v>265.59300000000002</v>
      </c>
      <c r="AI362" s="7" t="str">
        <f>VLOOKUP($AC362,Mapping!$E$11:$I$204,3,0)</f>
        <v>Connections</v>
      </c>
      <c r="AJ362" s="7" t="str">
        <f>IFERROR(VLOOKUP($AE362,Mapping!$E$208:$K$236,5,0),"Contracts")</f>
        <v>Contracts</v>
      </c>
      <c r="AK362" s="7" t="str">
        <f>IFERROR(VLOOKUP($AE362,Mapping!$E$208:$K$236,7,0),"ENDirect")</f>
        <v>ENDirect</v>
      </c>
      <c r="AL362" s="7" t="str">
        <f>IFERROR(HLOOKUP(AJ362,'Calc|Weightings'!$U$5:$W$5,1,0),"Excl")</f>
        <v>Contracts</v>
      </c>
      <c r="AM362" s="7" t="str">
        <f>VLOOKUP(AC362,Mapping!$E$11:$I$204,5,0)</f>
        <v>SCS</v>
      </c>
      <c r="AO362" s="35" t="s">
        <v>156</v>
      </c>
      <c r="AP362" s="35"/>
      <c r="AQ362" s="35">
        <v>71010</v>
      </c>
      <c r="AR362" s="35" t="s">
        <v>487</v>
      </c>
      <c r="AS362" s="121">
        <v>34.811009999999996</v>
      </c>
      <c r="AU362" s="7" t="str">
        <f>VLOOKUP($AO362,Mapping!$E$11:$I$204,3,0)</f>
        <v>VBRC</v>
      </c>
      <c r="AV362" s="7" t="str">
        <f>IFERROR(VLOOKUP($AQ362,Mapping!$E$208:$K$236,5,0),"Contracts")</f>
        <v>Labour</v>
      </c>
      <c r="AW362" s="7" t="str">
        <f>IFERROR(VLOOKUP($AQ362,Mapping!$E$208:$K$236,7,0),"ENDirect")</f>
        <v>ENDirect</v>
      </c>
      <c r="AX362" s="7" t="str">
        <f>IFERROR(HLOOKUP(AV362,'Calc|Weightings'!$U$5:$W$5,1,0),"Excl")</f>
        <v>Labour</v>
      </c>
      <c r="AY362" s="7" t="str">
        <f>VLOOKUP(AO362,Mapping!$E$11:$I$204,5,0)</f>
        <v>SCS</v>
      </c>
    </row>
    <row r="363" spans="1:51" x14ac:dyDescent="0.3">
      <c r="A363" s="7"/>
      <c r="B363" s="7"/>
      <c r="C363" s="7"/>
      <c r="D363" s="7"/>
      <c r="E363" s="32" t="s">
        <v>186</v>
      </c>
      <c r="F363" s="32"/>
      <c r="G363" s="32">
        <v>71040</v>
      </c>
      <c r="H363" s="32" t="s">
        <v>460</v>
      </c>
      <c r="I363" s="33">
        <v>-3.6440000000000001</v>
      </c>
      <c r="J363" s="170"/>
      <c r="K363" s="7" t="str">
        <f>VLOOKUP($E363,Mapping!$E$11:$I$204,3,0)</f>
        <v>Replacement</v>
      </c>
      <c r="L363" s="7" t="str">
        <f>IFERROR(VLOOKUP($G363,Mapping!$E$208:$K$236,5,0),"Contracts")</f>
        <v>Contracts</v>
      </c>
      <c r="M363" s="7" t="str">
        <f>IFERROR(VLOOKUP($G363,Mapping!$E$208:$K$236,7,0),"ENDirect")</f>
        <v>ENDirect</v>
      </c>
      <c r="N363" s="7" t="str">
        <f>IFERROR(HLOOKUP(L363,'Calc|Weightings'!$U$5:$W$5,1,0),"Excl")</f>
        <v>Contracts</v>
      </c>
      <c r="O363" s="7" t="str">
        <f>VLOOKUP(E363,Mapping!$E$11:$I$204,5,0)</f>
        <v>SCS</v>
      </c>
      <c r="Q363" s="32" t="s">
        <v>107</v>
      </c>
      <c r="R363" s="32"/>
      <c r="S363" s="32">
        <v>71000</v>
      </c>
      <c r="T363" s="32" t="s">
        <v>457</v>
      </c>
      <c r="U363" s="33">
        <v>17.669</v>
      </c>
      <c r="V363" s="7"/>
      <c r="W363" s="7" t="str">
        <f>VLOOKUP($Q363,Mapping!$E$11:$I$204,3,0)</f>
        <v>Public Lighting</v>
      </c>
      <c r="X363" s="7" t="str">
        <f>IFERROR(VLOOKUP($S363,Mapping!$E$208:$K$236,5,0),"Contracts")</f>
        <v>Labour</v>
      </c>
      <c r="Y363" s="7" t="str">
        <f>IFERROR(VLOOKUP($S363,Mapping!$E$208:$K$236,7,0),"ENDirect")</f>
        <v>ENDirect</v>
      </c>
      <c r="Z363" s="7" t="str">
        <f>IFERROR(HLOOKUP(X363,'Calc|Weightings'!$U$5:$W$5,1,0),"Excl")</f>
        <v>Labour</v>
      </c>
      <c r="AA363" s="7" t="str">
        <f>VLOOKUP(Q363,Mapping!$E$11:$I$204,5,0)</f>
        <v>Public Lighting</v>
      </c>
      <c r="AC363" s="35" t="s">
        <v>127</v>
      </c>
      <c r="AD363" s="35"/>
      <c r="AE363" s="35">
        <v>71005</v>
      </c>
      <c r="AF363" s="35" t="s">
        <v>461</v>
      </c>
      <c r="AG363" s="36">
        <v>109.265</v>
      </c>
      <c r="AI363" s="7" t="str">
        <f>VLOOKUP($AC363,Mapping!$E$11:$I$204,3,0)</f>
        <v>Non-network general assets - Other</v>
      </c>
      <c r="AJ363" s="7" t="str">
        <f>IFERROR(VLOOKUP($AE363,Mapping!$E$208:$K$236,5,0),"Contracts")</f>
        <v>Materials</v>
      </c>
      <c r="AK363" s="7" t="str">
        <f>IFERROR(VLOOKUP($AE363,Mapping!$E$208:$K$236,7,0),"ENDirect")</f>
        <v>ENDirect</v>
      </c>
      <c r="AL363" s="7" t="str">
        <f>IFERROR(HLOOKUP(AJ363,'Calc|Weightings'!$U$5:$W$5,1,0),"Excl")</f>
        <v>Materials</v>
      </c>
      <c r="AM363" s="7" t="str">
        <f>VLOOKUP(AC363,Mapping!$E$11:$I$204,5,0)</f>
        <v>SCS</v>
      </c>
      <c r="AO363" s="35" t="s">
        <v>156</v>
      </c>
      <c r="AP363" s="35"/>
      <c r="AQ363" s="35">
        <v>71015</v>
      </c>
      <c r="AR363" s="35" t="s">
        <v>585</v>
      </c>
      <c r="AS363" s="121">
        <v>13.975210000000002</v>
      </c>
      <c r="AU363" s="7" t="str">
        <f>VLOOKUP($AO363,Mapping!$E$11:$I$204,3,0)</f>
        <v>VBRC</v>
      </c>
      <c r="AV363" s="7" t="str">
        <f>IFERROR(VLOOKUP($AQ363,Mapping!$E$208:$K$236,5,0),"Contracts")</f>
        <v>Materials</v>
      </c>
      <c r="AW363" s="7" t="str">
        <f>IFERROR(VLOOKUP($AQ363,Mapping!$E$208:$K$236,7,0),"ENDirect")</f>
        <v>ENDirect</v>
      </c>
      <c r="AX363" s="7" t="str">
        <f>IFERROR(HLOOKUP(AV363,'Calc|Weightings'!$U$5:$W$5,1,0),"Excl")</f>
        <v>Materials</v>
      </c>
      <c r="AY363" s="7" t="str">
        <f>VLOOKUP(AO363,Mapping!$E$11:$I$204,5,0)</f>
        <v>SCS</v>
      </c>
    </row>
    <row r="364" spans="1:51" x14ac:dyDescent="0.3">
      <c r="A364" s="7"/>
      <c r="B364" s="7"/>
      <c r="C364" s="7"/>
      <c r="D364" s="7"/>
      <c r="E364" s="32" t="s">
        <v>225</v>
      </c>
      <c r="F364" s="32"/>
      <c r="G364" s="32">
        <v>70815</v>
      </c>
      <c r="H364" s="32" t="s">
        <v>451</v>
      </c>
      <c r="I364" s="33">
        <v>61.811</v>
      </c>
      <c r="J364" s="170"/>
      <c r="K364" s="7" t="str">
        <f>VLOOKUP($E364,Mapping!$E$11:$I$204,3,0)</f>
        <v>Replacement</v>
      </c>
      <c r="L364" s="7" t="str">
        <f>IFERROR(VLOOKUP($G364,Mapping!$E$208:$K$236,5,0),"Contracts")</f>
        <v>Materials</v>
      </c>
      <c r="M364" s="7" t="str">
        <f>IFERROR(VLOOKUP($G364,Mapping!$E$208:$K$236,7,0),"ENDirect")</f>
        <v>ENDirect</v>
      </c>
      <c r="N364" s="7" t="str">
        <f>IFERROR(HLOOKUP(L364,'Calc|Weightings'!$U$5:$W$5,1,0),"Excl")</f>
        <v>Materials</v>
      </c>
      <c r="O364" s="7" t="str">
        <f>VLOOKUP(E364,Mapping!$E$11:$I$204,5,0)</f>
        <v>SCS</v>
      </c>
      <c r="Q364" s="32" t="s">
        <v>107</v>
      </c>
      <c r="R364" s="32"/>
      <c r="S364" s="32">
        <v>71005</v>
      </c>
      <c r="T364" s="32" t="s">
        <v>461</v>
      </c>
      <c r="U364" s="33">
        <v>28.763000000000002</v>
      </c>
      <c r="V364" s="7"/>
      <c r="W364" s="7" t="str">
        <f>VLOOKUP($Q364,Mapping!$E$11:$I$204,3,0)</f>
        <v>Public Lighting</v>
      </c>
      <c r="X364" s="7" t="str">
        <f>IFERROR(VLOOKUP($S364,Mapping!$E$208:$K$236,5,0),"Contracts")</f>
        <v>Materials</v>
      </c>
      <c r="Y364" s="7" t="str">
        <f>IFERROR(VLOOKUP($S364,Mapping!$E$208:$K$236,7,0),"ENDirect")</f>
        <v>ENDirect</v>
      </c>
      <c r="Z364" s="7" t="str">
        <f>IFERROR(HLOOKUP(X364,'Calc|Weightings'!$U$5:$W$5,1,0),"Excl")</f>
        <v>Materials</v>
      </c>
      <c r="AA364" s="7" t="str">
        <f>VLOOKUP(Q364,Mapping!$E$11:$I$204,5,0)</f>
        <v>Public Lighting</v>
      </c>
      <c r="AC364" s="35" t="s">
        <v>127</v>
      </c>
      <c r="AD364" s="35"/>
      <c r="AE364" s="35">
        <v>71020</v>
      </c>
      <c r="AF364" s="35" t="s">
        <v>459</v>
      </c>
      <c r="AG364" s="36">
        <v>10.323</v>
      </c>
      <c r="AI364" s="7" t="str">
        <f>VLOOKUP($AC364,Mapping!$E$11:$I$204,3,0)</f>
        <v>Non-network general assets - Other</v>
      </c>
      <c r="AJ364" s="7" t="str">
        <f>IFERROR(VLOOKUP($AE364,Mapping!$E$208:$K$236,5,0),"Contracts")</f>
        <v>Contracts</v>
      </c>
      <c r="AK364" s="7" t="str">
        <f>IFERROR(VLOOKUP($AE364,Mapping!$E$208:$K$236,7,0),"ENDirect")</f>
        <v>ENDirect</v>
      </c>
      <c r="AL364" s="7" t="str">
        <f>IFERROR(HLOOKUP(AJ364,'Calc|Weightings'!$U$5:$W$5,1,0),"Excl")</f>
        <v>Contracts</v>
      </c>
      <c r="AM364" s="7" t="str">
        <f>VLOOKUP(AC364,Mapping!$E$11:$I$204,5,0)</f>
        <v>SCS</v>
      </c>
      <c r="AO364" s="35" t="s">
        <v>156</v>
      </c>
      <c r="AP364" s="35"/>
      <c r="AQ364" s="35">
        <v>71030</v>
      </c>
      <c r="AR364" s="35" t="s">
        <v>464</v>
      </c>
      <c r="AS364" s="121">
        <v>0.42503000000000063</v>
      </c>
      <c r="AU364" s="7" t="str">
        <f>VLOOKUP($AO364,Mapping!$E$11:$I$204,3,0)</f>
        <v>VBRC</v>
      </c>
      <c r="AV364" s="7" t="str">
        <f>IFERROR(VLOOKUP($AQ364,Mapping!$E$208:$K$236,5,0),"Contracts")</f>
        <v>Contracts</v>
      </c>
      <c r="AW364" s="7" t="str">
        <f>IFERROR(VLOOKUP($AQ364,Mapping!$E$208:$K$236,7,0),"ENDirect")</f>
        <v>ENDirect</v>
      </c>
      <c r="AX364" s="7" t="str">
        <f>IFERROR(HLOOKUP(AV364,'Calc|Weightings'!$U$5:$W$5,1,0),"Excl")</f>
        <v>Contracts</v>
      </c>
      <c r="AY364" s="7" t="str">
        <f>VLOOKUP(AO364,Mapping!$E$11:$I$204,5,0)</f>
        <v>SCS</v>
      </c>
    </row>
    <row r="365" spans="1:51" x14ac:dyDescent="0.3">
      <c r="A365" s="7"/>
      <c r="B365" s="7"/>
      <c r="C365" s="7"/>
      <c r="D365" s="7"/>
      <c r="E365" s="32" t="s">
        <v>225</v>
      </c>
      <c r="F365" s="32"/>
      <c r="G365" s="32">
        <v>71000</v>
      </c>
      <c r="H365" s="32" t="s">
        <v>457</v>
      </c>
      <c r="I365" s="33">
        <v>593.48800000000006</v>
      </c>
      <c r="J365" s="170"/>
      <c r="K365" s="7" t="str">
        <f>VLOOKUP($E365,Mapping!$E$11:$I$204,3,0)</f>
        <v>Replacement</v>
      </c>
      <c r="L365" s="7" t="str">
        <f>IFERROR(VLOOKUP($G365,Mapping!$E$208:$K$236,5,0),"Contracts")</f>
        <v>Labour</v>
      </c>
      <c r="M365" s="7" t="str">
        <f>IFERROR(VLOOKUP($G365,Mapping!$E$208:$K$236,7,0),"ENDirect")</f>
        <v>ENDirect</v>
      </c>
      <c r="N365" s="7" t="str">
        <f>IFERROR(HLOOKUP(L365,'Calc|Weightings'!$U$5:$W$5,1,0),"Excl")</f>
        <v>Labour</v>
      </c>
      <c r="O365" s="7" t="str">
        <f>VLOOKUP(E365,Mapping!$E$11:$I$204,5,0)</f>
        <v>SCS</v>
      </c>
      <c r="Q365" s="32" t="s">
        <v>107</v>
      </c>
      <c r="R365" s="32"/>
      <c r="S365" s="32">
        <v>71010</v>
      </c>
      <c r="T365" s="32" t="s">
        <v>462</v>
      </c>
      <c r="U365" s="33">
        <v>37.435000000000002</v>
      </c>
      <c r="V365" s="7"/>
      <c r="W365" s="7" t="str">
        <f>VLOOKUP($Q365,Mapping!$E$11:$I$204,3,0)</f>
        <v>Public Lighting</v>
      </c>
      <c r="X365" s="7" t="str">
        <f>IFERROR(VLOOKUP($S365,Mapping!$E$208:$K$236,5,0),"Contracts")</f>
        <v>Labour</v>
      </c>
      <c r="Y365" s="7" t="str">
        <f>IFERROR(VLOOKUP($S365,Mapping!$E$208:$K$236,7,0),"ENDirect")</f>
        <v>ENDirect</v>
      </c>
      <c r="Z365" s="7" t="str">
        <f>IFERROR(HLOOKUP(X365,'Calc|Weightings'!$U$5:$W$5,1,0),"Excl")</f>
        <v>Labour</v>
      </c>
      <c r="AA365" s="7" t="str">
        <f>VLOOKUP(Q365,Mapping!$E$11:$I$204,5,0)</f>
        <v>Public Lighting</v>
      </c>
      <c r="AC365" s="35" t="s">
        <v>210</v>
      </c>
      <c r="AD365" s="35"/>
      <c r="AE365" s="35">
        <v>70810</v>
      </c>
      <c r="AF365" s="35" t="s">
        <v>472</v>
      </c>
      <c r="AG365" s="36">
        <v>0</v>
      </c>
      <c r="AI365" s="7" t="str">
        <f>VLOOKUP($AC365,Mapping!$E$11:$I$204,3,0)</f>
        <v>Replacement</v>
      </c>
      <c r="AJ365" s="7" t="str">
        <f>IFERROR(VLOOKUP($AE365,Mapping!$E$208:$K$236,5,0),"Contracts")</f>
        <v>Materials</v>
      </c>
      <c r="AK365" s="7" t="str">
        <f>IFERROR(VLOOKUP($AE365,Mapping!$E$208:$K$236,7,0),"ENDirect")</f>
        <v>ENDirect</v>
      </c>
      <c r="AL365" s="7" t="str">
        <f>IFERROR(HLOOKUP(AJ365,'Calc|Weightings'!$U$5:$W$5,1,0),"Excl")</f>
        <v>Materials</v>
      </c>
      <c r="AM365" s="7" t="str">
        <f>VLOOKUP(AC365,Mapping!$E$11:$I$204,5,0)</f>
        <v>SCS</v>
      </c>
      <c r="AO365" s="35" t="s">
        <v>156</v>
      </c>
      <c r="AP365" s="35"/>
      <c r="AQ365" s="35">
        <v>71055</v>
      </c>
      <c r="AR365" s="35" t="s">
        <v>465</v>
      </c>
      <c r="AS365" s="121">
        <v>2.3792700000000004</v>
      </c>
      <c r="AU365" s="7" t="str">
        <f>VLOOKUP($AO365,Mapping!$E$11:$I$204,3,0)</f>
        <v>VBRC</v>
      </c>
      <c r="AV365" s="7" t="str">
        <f>IFERROR(VLOOKUP($AQ365,Mapping!$E$208:$K$236,5,0),"Contracts")</f>
        <v>Contracts</v>
      </c>
      <c r="AW365" s="7" t="str">
        <f>IFERROR(VLOOKUP($AQ365,Mapping!$E$208:$K$236,7,0),"ENDirect")</f>
        <v>ENDirect</v>
      </c>
      <c r="AX365" s="7" t="str">
        <f>IFERROR(HLOOKUP(AV365,'Calc|Weightings'!$U$5:$W$5,1,0),"Excl")</f>
        <v>Contracts</v>
      </c>
      <c r="AY365" s="7" t="str">
        <f>VLOOKUP(AO365,Mapping!$E$11:$I$204,5,0)</f>
        <v>SCS</v>
      </c>
    </row>
    <row r="366" spans="1:51" x14ac:dyDescent="0.3">
      <c r="A366" s="7"/>
      <c r="B366" s="7"/>
      <c r="C366" s="7"/>
      <c r="D366" s="7"/>
      <c r="E366" s="32" t="s">
        <v>225</v>
      </c>
      <c r="F366" s="32"/>
      <c r="G366" s="32">
        <v>71005</v>
      </c>
      <c r="H366" s="32" t="s">
        <v>461</v>
      </c>
      <c r="I366" s="33">
        <v>257.411</v>
      </c>
      <c r="J366" s="170"/>
      <c r="K366" s="7" t="str">
        <f>VLOOKUP($E366,Mapping!$E$11:$I$204,3,0)</f>
        <v>Replacement</v>
      </c>
      <c r="L366" s="7" t="str">
        <f>IFERROR(VLOOKUP($G366,Mapping!$E$208:$K$236,5,0),"Contracts")</f>
        <v>Materials</v>
      </c>
      <c r="M366" s="7" t="str">
        <f>IFERROR(VLOOKUP($G366,Mapping!$E$208:$K$236,7,0),"ENDirect")</f>
        <v>ENDirect</v>
      </c>
      <c r="N366" s="7" t="str">
        <f>IFERROR(HLOOKUP(L366,'Calc|Weightings'!$U$5:$W$5,1,0),"Excl")</f>
        <v>Materials</v>
      </c>
      <c r="O366" s="7" t="str">
        <f>VLOOKUP(E366,Mapping!$E$11:$I$204,5,0)</f>
        <v>SCS</v>
      </c>
      <c r="Q366" s="32" t="s">
        <v>107</v>
      </c>
      <c r="R366" s="32"/>
      <c r="S366" s="32">
        <v>71030</v>
      </c>
      <c r="T366" s="32" t="s">
        <v>464</v>
      </c>
      <c r="U366" s="33">
        <v>6.851</v>
      </c>
      <c r="V366" s="7"/>
      <c r="W366" s="7" t="str">
        <f>VLOOKUP($Q366,Mapping!$E$11:$I$204,3,0)</f>
        <v>Public Lighting</v>
      </c>
      <c r="X366" s="7" t="str">
        <f>IFERROR(VLOOKUP($S366,Mapping!$E$208:$K$236,5,0),"Contracts")</f>
        <v>Contracts</v>
      </c>
      <c r="Y366" s="7" t="str">
        <f>IFERROR(VLOOKUP($S366,Mapping!$E$208:$K$236,7,0),"ENDirect")</f>
        <v>ENDirect</v>
      </c>
      <c r="Z366" s="7" t="str">
        <f>IFERROR(HLOOKUP(X366,'Calc|Weightings'!$U$5:$W$5,1,0),"Excl")</f>
        <v>Contracts</v>
      </c>
      <c r="AA366" s="7" t="str">
        <f>VLOOKUP(Q366,Mapping!$E$11:$I$204,5,0)</f>
        <v>Public Lighting</v>
      </c>
      <c r="AC366" s="35" t="s">
        <v>210</v>
      </c>
      <c r="AD366" s="35"/>
      <c r="AE366" s="35">
        <v>71045</v>
      </c>
      <c r="AF366" s="35" t="s">
        <v>469</v>
      </c>
      <c r="AG366" s="36">
        <v>2782.8739999999998</v>
      </c>
      <c r="AI366" s="7" t="str">
        <f>VLOOKUP($AC366,Mapping!$E$11:$I$204,3,0)</f>
        <v>Replacement</v>
      </c>
      <c r="AJ366" s="7" t="str">
        <f>IFERROR(VLOOKUP($AE366,Mapping!$E$208:$K$236,5,0),"Contracts")</f>
        <v>Materials</v>
      </c>
      <c r="AK366" s="7" t="str">
        <f>IFERROR(VLOOKUP($AE366,Mapping!$E$208:$K$236,7,0),"ENDirect")</f>
        <v>ENDirect</v>
      </c>
      <c r="AL366" s="7" t="str">
        <f>IFERROR(HLOOKUP(AJ366,'Calc|Weightings'!$U$5:$W$5,1,0),"Excl")</f>
        <v>Materials</v>
      </c>
      <c r="AM366" s="7" t="str">
        <f>VLOOKUP(AC366,Mapping!$E$11:$I$204,5,0)</f>
        <v>SCS</v>
      </c>
      <c r="AO366" s="35" t="s">
        <v>156</v>
      </c>
      <c r="AP366" s="35"/>
      <c r="AQ366" s="35">
        <v>71070</v>
      </c>
      <c r="AR366" s="35" t="s">
        <v>586</v>
      </c>
      <c r="AS366" s="121">
        <v>2.2448999999999999</v>
      </c>
      <c r="AU366" s="7" t="str">
        <f>VLOOKUP($AO366,Mapping!$E$11:$I$204,3,0)</f>
        <v>VBRC</v>
      </c>
      <c r="AV366" s="7" t="str">
        <f>IFERROR(VLOOKUP($AQ366,Mapping!$E$208:$K$236,5,0),"Contracts")</f>
        <v>Contracts</v>
      </c>
      <c r="AW366" s="7" t="str">
        <f>IFERROR(VLOOKUP($AQ366,Mapping!$E$208:$K$236,7,0),"ENDirect")</f>
        <v>ENDirect</v>
      </c>
      <c r="AX366" s="7" t="str">
        <f>IFERROR(HLOOKUP(AV366,'Calc|Weightings'!$U$5:$W$5,1,0),"Excl")</f>
        <v>Contracts</v>
      </c>
      <c r="AY366" s="7" t="str">
        <f>VLOOKUP(AO366,Mapping!$E$11:$I$204,5,0)</f>
        <v>SCS</v>
      </c>
    </row>
    <row r="367" spans="1:51" x14ac:dyDescent="0.3">
      <c r="A367" s="7"/>
      <c r="B367" s="7"/>
      <c r="C367" s="7"/>
      <c r="D367" s="7"/>
      <c r="E367" s="32" t="s">
        <v>225</v>
      </c>
      <c r="F367" s="32"/>
      <c r="G367" s="32">
        <v>71010</v>
      </c>
      <c r="H367" s="32" t="s">
        <v>462</v>
      </c>
      <c r="I367" s="33">
        <v>697.14599999999996</v>
      </c>
      <c r="J367" s="170"/>
      <c r="K367" s="7" t="str">
        <f>VLOOKUP($E367,Mapping!$E$11:$I$204,3,0)</f>
        <v>Replacement</v>
      </c>
      <c r="L367" s="7" t="str">
        <f>IFERROR(VLOOKUP($G367,Mapping!$E$208:$K$236,5,0),"Contracts")</f>
        <v>Labour</v>
      </c>
      <c r="M367" s="7" t="str">
        <f>IFERROR(VLOOKUP($G367,Mapping!$E$208:$K$236,7,0),"ENDirect")</f>
        <v>ENDirect</v>
      </c>
      <c r="N367" s="7" t="str">
        <f>IFERROR(HLOOKUP(L367,'Calc|Weightings'!$U$5:$W$5,1,0),"Excl")</f>
        <v>Labour</v>
      </c>
      <c r="O367" s="7" t="str">
        <f>VLOOKUP(E367,Mapping!$E$11:$I$204,5,0)</f>
        <v>SCS</v>
      </c>
      <c r="Q367" s="32" t="s">
        <v>107</v>
      </c>
      <c r="R367" s="32"/>
      <c r="S367" s="32">
        <v>71055</v>
      </c>
      <c r="T367" s="32" t="s">
        <v>465</v>
      </c>
      <c r="U367" s="33">
        <v>10.492000000000001</v>
      </c>
      <c r="V367" s="7"/>
      <c r="W367" s="7" t="str">
        <f>VLOOKUP($Q367,Mapping!$E$11:$I$204,3,0)</f>
        <v>Public Lighting</v>
      </c>
      <c r="X367" s="7" t="str">
        <f>IFERROR(VLOOKUP($S367,Mapping!$E$208:$K$236,5,0),"Contracts")</f>
        <v>Contracts</v>
      </c>
      <c r="Y367" s="7" t="str">
        <f>IFERROR(VLOOKUP($S367,Mapping!$E$208:$K$236,7,0),"ENDirect")</f>
        <v>ENDirect</v>
      </c>
      <c r="Z367" s="7" t="str">
        <f>IFERROR(HLOOKUP(X367,'Calc|Weightings'!$U$5:$W$5,1,0),"Excl")</f>
        <v>Contracts</v>
      </c>
      <c r="AA367" s="7" t="str">
        <f>VLOOKUP(Q367,Mapping!$E$11:$I$204,5,0)</f>
        <v>Public Lighting</v>
      </c>
      <c r="AC367" s="35" t="s">
        <v>210</v>
      </c>
      <c r="AD367" s="35"/>
      <c r="AE367" s="35">
        <v>72200</v>
      </c>
      <c r="AF367" s="35" t="s">
        <v>455</v>
      </c>
      <c r="AG367" s="36">
        <v>0</v>
      </c>
      <c r="AI367" s="7" t="str">
        <f>VLOOKUP($AC367,Mapping!$E$11:$I$204,3,0)</f>
        <v>Replacement</v>
      </c>
      <c r="AJ367" s="7" t="str">
        <f>IFERROR(VLOOKUP($AE367,Mapping!$E$208:$K$236,5,0),"Contracts")</f>
        <v>Labour</v>
      </c>
      <c r="AK367" s="7" t="str">
        <f>IFERROR(VLOOKUP($AE367,Mapping!$E$208:$K$236,7,0),"ENDirect")</f>
        <v>ENDirect</v>
      </c>
      <c r="AL367" s="7" t="str">
        <f>IFERROR(HLOOKUP(AJ367,'Calc|Weightings'!$U$5:$W$5,1,0),"Excl")</f>
        <v>Labour</v>
      </c>
      <c r="AM367" s="7" t="str">
        <f>VLOOKUP(AC367,Mapping!$E$11:$I$204,5,0)</f>
        <v>SCS</v>
      </c>
      <c r="AO367" s="35" t="s">
        <v>156</v>
      </c>
      <c r="AP367" s="35"/>
      <c r="AQ367" s="35">
        <v>71075</v>
      </c>
      <c r="AR367" s="35" t="s">
        <v>587</v>
      </c>
      <c r="AS367" s="121">
        <v>14.65325</v>
      </c>
      <c r="AU367" s="7" t="str">
        <f>VLOOKUP($AO367,Mapping!$E$11:$I$204,3,0)</f>
        <v>VBRC</v>
      </c>
      <c r="AV367" s="7" t="str">
        <f>IFERROR(VLOOKUP($AQ367,Mapping!$E$208:$K$236,5,0),"Contracts")</f>
        <v>Contracts</v>
      </c>
      <c r="AW367" s="7" t="str">
        <f>IFERROR(VLOOKUP($AQ367,Mapping!$E$208:$K$236,7,0),"ENDirect")</f>
        <v>ENDirect</v>
      </c>
      <c r="AX367" s="7" t="str">
        <f>IFERROR(HLOOKUP(AV367,'Calc|Weightings'!$U$5:$W$5,1,0),"Excl")</f>
        <v>Contracts</v>
      </c>
      <c r="AY367" s="7" t="str">
        <f>VLOOKUP(AO367,Mapping!$E$11:$I$204,5,0)</f>
        <v>SCS</v>
      </c>
    </row>
    <row r="368" spans="1:51" x14ac:dyDescent="0.3">
      <c r="A368" s="7"/>
      <c r="B368" s="7"/>
      <c r="C368" s="7"/>
      <c r="D368" s="7"/>
      <c r="E368" s="32" t="s">
        <v>225</v>
      </c>
      <c r="F368" s="32"/>
      <c r="G368" s="32">
        <v>71020</v>
      </c>
      <c r="H368" s="32" t="s">
        <v>459</v>
      </c>
      <c r="I368" s="33">
        <v>63.277999999999999</v>
      </c>
      <c r="J368" s="170"/>
      <c r="K368" s="7" t="str">
        <f>VLOOKUP($E368,Mapping!$E$11:$I$204,3,0)</f>
        <v>Replacement</v>
      </c>
      <c r="L368" s="7" t="str">
        <f>IFERROR(VLOOKUP($G368,Mapping!$E$208:$K$236,5,0),"Contracts")</f>
        <v>Contracts</v>
      </c>
      <c r="M368" s="7" t="str">
        <f>IFERROR(VLOOKUP($G368,Mapping!$E$208:$K$236,7,0),"ENDirect")</f>
        <v>ENDirect</v>
      </c>
      <c r="N368" s="7" t="str">
        <f>IFERROR(HLOOKUP(L368,'Calc|Weightings'!$U$5:$W$5,1,0),"Excl")</f>
        <v>Contracts</v>
      </c>
      <c r="O368" s="7" t="str">
        <f>VLOOKUP(E368,Mapping!$E$11:$I$204,5,0)</f>
        <v>SCS</v>
      </c>
      <c r="Q368" s="32" t="s">
        <v>107</v>
      </c>
      <c r="R368" s="32"/>
      <c r="S368" s="32">
        <v>80000</v>
      </c>
      <c r="T368" s="32" t="s">
        <v>453</v>
      </c>
      <c r="U368" s="33">
        <v>13.752000000000001</v>
      </c>
      <c r="V368" s="7"/>
      <c r="W368" s="7" t="str">
        <f>VLOOKUP($Q368,Mapping!$E$11:$I$204,3,0)</f>
        <v>Public Lighting</v>
      </c>
      <c r="X368" s="7" t="str">
        <f>IFERROR(VLOOKUP($S368,Mapping!$E$208:$K$236,5,0),"Contracts")</f>
        <v>Overhead</v>
      </c>
      <c r="Y368" s="7" t="str">
        <f>IFERROR(VLOOKUP($S368,Mapping!$E$208:$K$236,7,0),"ENDirect")</f>
        <v>OH</v>
      </c>
      <c r="Z368" s="7" t="str">
        <f>IFERROR(HLOOKUP(X368,'Calc|Weightings'!$U$5:$W$5,1,0),"Excl")</f>
        <v>Excl</v>
      </c>
      <c r="AA368" s="7" t="str">
        <f>VLOOKUP(Q368,Mapping!$E$11:$I$204,5,0)</f>
        <v>Public Lighting</v>
      </c>
      <c r="AC368" s="35" t="s">
        <v>192</v>
      </c>
      <c r="AD368" s="35"/>
      <c r="AE368" s="35">
        <v>71020</v>
      </c>
      <c r="AF368" s="35" t="s">
        <v>459</v>
      </c>
      <c r="AG368" s="36">
        <v>254.95</v>
      </c>
      <c r="AI368" s="7" t="str">
        <f>VLOOKUP($AC368,Mapping!$E$11:$I$204,3,0)</f>
        <v>VBRC</v>
      </c>
      <c r="AJ368" s="7" t="str">
        <f>IFERROR(VLOOKUP($AE368,Mapping!$E$208:$K$236,5,0),"Contracts")</f>
        <v>Contracts</v>
      </c>
      <c r="AK368" s="7" t="str">
        <f>IFERROR(VLOOKUP($AE368,Mapping!$E$208:$K$236,7,0),"ENDirect")</f>
        <v>ENDirect</v>
      </c>
      <c r="AL368" s="7" t="str">
        <f>IFERROR(HLOOKUP(AJ368,'Calc|Weightings'!$U$5:$W$5,1,0),"Excl")</f>
        <v>Contracts</v>
      </c>
      <c r="AM368" s="7" t="str">
        <f>VLOOKUP(AC368,Mapping!$E$11:$I$204,5,0)</f>
        <v>SCS</v>
      </c>
      <c r="AO368" s="35" t="s">
        <v>156</v>
      </c>
      <c r="AP368" s="35"/>
      <c r="AQ368" s="35">
        <v>80000</v>
      </c>
      <c r="AR368" s="35" t="s">
        <v>589</v>
      </c>
      <c r="AS368" s="121">
        <v>27.708940000000002</v>
      </c>
      <c r="AU368" s="7" t="str">
        <f>VLOOKUP($AO368,Mapping!$E$11:$I$204,3,0)</f>
        <v>VBRC</v>
      </c>
      <c r="AV368" s="7" t="str">
        <f>IFERROR(VLOOKUP($AQ368,Mapping!$E$208:$K$236,5,0),"Contracts")</f>
        <v>Overhead</v>
      </c>
      <c r="AW368" s="7" t="str">
        <f>IFERROR(VLOOKUP($AQ368,Mapping!$E$208:$K$236,7,0),"ENDirect")</f>
        <v>OH</v>
      </c>
      <c r="AX368" s="7" t="str">
        <f>IFERROR(HLOOKUP(AV368,'Calc|Weightings'!$U$5:$W$5,1,0),"Excl")</f>
        <v>Excl</v>
      </c>
      <c r="AY368" s="7" t="str">
        <f>VLOOKUP(AO368,Mapping!$E$11:$I$204,5,0)</f>
        <v>SCS</v>
      </c>
    </row>
    <row r="369" spans="1:51" x14ac:dyDescent="0.3">
      <c r="A369" s="7"/>
      <c r="B369" s="7"/>
      <c r="C369" s="7"/>
      <c r="D369" s="7"/>
      <c r="E369" s="32" t="s">
        <v>225</v>
      </c>
      <c r="F369" s="32"/>
      <c r="G369" s="32">
        <v>71030</v>
      </c>
      <c r="H369" s="32" t="s">
        <v>464</v>
      </c>
      <c r="I369" s="33">
        <v>139.02199999999999</v>
      </c>
      <c r="J369" s="170"/>
      <c r="K369" s="7" t="str">
        <f>VLOOKUP($E369,Mapping!$E$11:$I$204,3,0)</f>
        <v>Replacement</v>
      </c>
      <c r="L369" s="7" t="str">
        <f>IFERROR(VLOOKUP($G369,Mapping!$E$208:$K$236,5,0),"Contracts")</f>
        <v>Contracts</v>
      </c>
      <c r="M369" s="7" t="str">
        <f>IFERROR(VLOOKUP($G369,Mapping!$E$208:$K$236,7,0),"ENDirect")</f>
        <v>ENDirect</v>
      </c>
      <c r="N369" s="7" t="str">
        <f>IFERROR(HLOOKUP(L369,'Calc|Weightings'!$U$5:$W$5,1,0),"Excl")</f>
        <v>Contracts</v>
      </c>
      <c r="O369" s="7" t="str">
        <f>VLOOKUP(E369,Mapping!$E$11:$I$204,5,0)</f>
        <v>SCS</v>
      </c>
      <c r="Q369" s="32" t="s">
        <v>107</v>
      </c>
      <c r="R369" s="32"/>
      <c r="S369" s="32">
        <v>89999</v>
      </c>
      <c r="T369" s="32" t="s">
        <v>471</v>
      </c>
      <c r="U369" s="33">
        <v>0</v>
      </c>
      <c r="V369" s="7"/>
      <c r="W369" s="7" t="str">
        <f>VLOOKUP($Q369,Mapping!$E$11:$I$204,3,0)</f>
        <v>Public Lighting</v>
      </c>
      <c r="X369" s="7" t="str">
        <f>IFERROR(VLOOKUP($S369,Mapping!$E$208:$K$236,5,0),"Contracts")</f>
        <v>Contracts</v>
      </c>
      <c r="Y369" s="7" t="str">
        <f>IFERROR(VLOOKUP($S369,Mapping!$E$208:$K$236,7,0),"ENDirect")</f>
        <v>ENDirect</v>
      </c>
      <c r="Z369" s="7" t="str">
        <f>IFERROR(HLOOKUP(X369,'Calc|Weightings'!$U$5:$W$5,1,0),"Excl")</f>
        <v>Contracts</v>
      </c>
      <c r="AA369" s="7" t="str">
        <f>VLOOKUP(Q369,Mapping!$E$11:$I$204,5,0)</f>
        <v>Public Lighting</v>
      </c>
      <c r="AC369" s="35" t="s">
        <v>192</v>
      </c>
      <c r="AD369" s="35"/>
      <c r="AE369" s="35">
        <v>71140</v>
      </c>
      <c r="AF369" s="35" t="s">
        <v>486</v>
      </c>
      <c r="AG369" s="36">
        <v>163.76599999999999</v>
      </c>
      <c r="AI369" s="7" t="str">
        <f>VLOOKUP($AC369,Mapping!$E$11:$I$204,3,0)</f>
        <v>VBRC</v>
      </c>
      <c r="AJ369" s="7" t="str">
        <f>IFERROR(VLOOKUP($AE369,Mapping!$E$208:$K$236,5,0),"Contracts")</f>
        <v>Contracts</v>
      </c>
      <c r="AK369" s="7" t="str">
        <f>IFERROR(VLOOKUP($AE369,Mapping!$E$208:$K$236,7,0),"ENDirect")</f>
        <v>ENDirect</v>
      </c>
      <c r="AL369" s="7" t="str">
        <f>IFERROR(HLOOKUP(AJ369,'Calc|Weightings'!$U$5:$W$5,1,0),"Excl")</f>
        <v>Contracts</v>
      </c>
      <c r="AM369" s="7" t="str">
        <f>VLOOKUP(AC369,Mapping!$E$11:$I$204,5,0)</f>
        <v>SCS</v>
      </c>
      <c r="AO369" s="35" t="s">
        <v>156</v>
      </c>
      <c r="AP369" s="35"/>
      <c r="AQ369" s="35">
        <v>83010</v>
      </c>
      <c r="AR369" s="35" t="s">
        <v>591</v>
      </c>
      <c r="AS369" s="121">
        <v>143.67359999999996</v>
      </c>
      <c r="AU369" s="7" t="str">
        <f>VLOOKUP($AO369,Mapping!$E$11:$I$204,3,0)</f>
        <v>VBRC</v>
      </c>
      <c r="AV369" s="7" t="str">
        <f>IFERROR(VLOOKUP($AQ369,Mapping!$E$208:$K$236,5,0),"Contracts")</f>
        <v>Contracts</v>
      </c>
      <c r="AW369" s="7" t="str">
        <f>IFERROR(VLOOKUP($AQ369,Mapping!$E$208:$K$236,7,0),"ENDirect")</f>
        <v>ENDirect</v>
      </c>
      <c r="AX369" s="7" t="str">
        <f>IFERROR(HLOOKUP(AV369,'Calc|Weightings'!$U$5:$W$5,1,0),"Excl")</f>
        <v>Contracts</v>
      </c>
      <c r="AY369" s="7" t="str">
        <f>VLOOKUP(AO369,Mapping!$E$11:$I$204,5,0)</f>
        <v>SCS</v>
      </c>
    </row>
    <row r="370" spans="1:51" x14ac:dyDescent="0.3">
      <c r="A370" s="7"/>
      <c r="B370" s="7"/>
      <c r="C370" s="7"/>
      <c r="D370" s="7"/>
      <c r="E370" s="32" t="s">
        <v>225</v>
      </c>
      <c r="F370" s="32"/>
      <c r="G370" s="32">
        <v>71040</v>
      </c>
      <c r="H370" s="32" t="s">
        <v>460</v>
      </c>
      <c r="I370" s="33">
        <v>0</v>
      </c>
      <c r="J370" s="170"/>
      <c r="K370" s="7" t="str">
        <f>VLOOKUP($E370,Mapping!$E$11:$I$204,3,0)</f>
        <v>Replacement</v>
      </c>
      <c r="L370" s="7" t="str">
        <f>IFERROR(VLOOKUP($G370,Mapping!$E$208:$K$236,5,0),"Contracts")</f>
        <v>Contracts</v>
      </c>
      <c r="M370" s="7" t="str">
        <f>IFERROR(VLOOKUP($G370,Mapping!$E$208:$K$236,7,0),"ENDirect")</f>
        <v>ENDirect</v>
      </c>
      <c r="N370" s="7" t="str">
        <f>IFERROR(HLOOKUP(L370,'Calc|Weightings'!$U$5:$W$5,1,0),"Excl")</f>
        <v>Contracts</v>
      </c>
      <c r="O370" s="7" t="str">
        <f>VLOOKUP(E370,Mapping!$E$11:$I$204,5,0)</f>
        <v>SCS</v>
      </c>
      <c r="Q370" s="32" t="s">
        <v>108</v>
      </c>
      <c r="R370" s="32"/>
      <c r="S370" s="32">
        <v>71000</v>
      </c>
      <c r="T370" s="32" t="s">
        <v>457</v>
      </c>
      <c r="U370" s="33">
        <v>39.83</v>
      </c>
      <c r="V370" s="7"/>
      <c r="W370" s="7" t="str">
        <f>VLOOKUP($Q370,Mapping!$E$11:$I$204,3,0)</f>
        <v>Public Lighting</v>
      </c>
      <c r="X370" s="7" t="str">
        <f>IFERROR(VLOOKUP($S370,Mapping!$E$208:$K$236,5,0),"Contracts")</f>
        <v>Labour</v>
      </c>
      <c r="Y370" s="7" t="str">
        <f>IFERROR(VLOOKUP($S370,Mapping!$E$208:$K$236,7,0),"ENDirect")</f>
        <v>ENDirect</v>
      </c>
      <c r="Z370" s="7" t="str">
        <f>IFERROR(HLOOKUP(X370,'Calc|Weightings'!$U$5:$W$5,1,0),"Excl")</f>
        <v>Labour</v>
      </c>
      <c r="AA370" s="7" t="str">
        <f>VLOOKUP(Q370,Mapping!$E$11:$I$204,5,0)</f>
        <v>Public Lighting</v>
      </c>
      <c r="AC370" s="35" t="s">
        <v>114</v>
      </c>
      <c r="AD370" s="35"/>
      <c r="AE370" s="35">
        <v>71006</v>
      </c>
      <c r="AF370" s="35" t="s">
        <v>468</v>
      </c>
      <c r="AG370" s="36">
        <v>56.423000000000002</v>
      </c>
      <c r="AI370" s="7" t="str">
        <f>VLOOKUP($AC370,Mapping!$E$11:$I$204,3,0)</f>
        <v>Connections</v>
      </c>
      <c r="AJ370" s="7" t="str">
        <f>IFERROR(VLOOKUP($AE370,Mapping!$E$208:$K$236,5,0),"Contracts")</f>
        <v>Materials</v>
      </c>
      <c r="AK370" s="7" t="str">
        <f>IFERROR(VLOOKUP($AE370,Mapping!$E$208:$K$236,7,0),"ENDirect")</f>
        <v>ENDirect</v>
      </c>
      <c r="AL370" s="7" t="str">
        <f>IFERROR(HLOOKUP(AJ370,'Calc|Weightings'!$U$5:$W$5,1,0),"Excl")</f>
        <v>Materials</v>
      </c>
      <c r="AM370" s="7" t="str">
        <f>VLOOKUP(AC370,Mapping!$E$11:$I$204,5,0)</f>
        <v>SCS</v>
      </c>
      <c r="AO370" s="35" t="s">
        <v>157</v>
      </c>
      <c r="AP370" s="35"/>
      <c r="AQ370" s="35">
        <v>70815</v>
      </c>
      <c r="AR370" s="35" t="s">
        <v>594</v>
      </c>
      <c r="AS370" s="121">
        <v>8.9450000000000003</v>
      </c>
      <c r="AU370" s="7" t="str">
        <f>VLOOKUP($AO370,Mapping!$E$11:$I$204,3,0)</f>
        <v>Replacement</v>
      </c>
      <c r="AV370" s="7" t="str">
        <f>IFERROR(VLOOKUP($AQ370,Mapping!$E$208:$K$236,5,0),"Contracts")</f>
        <v>Materials</v>
      </c>
      <c r="AW370" s="7" t="str">
        <f>IFERROR(VLOOKUP($AQ370,Mapping!$E$208:$K$236,7,0),"ENDirect")</f>
        <v>ENDirect</v>
      </c>
      <c r="AX370" s="7" t="str">
        <f>IFERROR(HLOOKUP(AV370,'Calc|Weightings'!$U$5:$W$5,1,0),"Excl")</f>
        <v>Materials</v>
      </c>
      <c r="AY370" s="7" t="str">
        <f>VLOOKUP(AO370,Mapping!$E$11:$I$204,5,0)</f>
        <v>SCS</v>
      </c>
    </row>
    <row r="371" spans="1:51" x14ac:dyDescent="0.3">
      <c r="A371" s="7"/>
      <c r="B371" s="7"/>
      <c r="C371" s="7"/>
      <c r="D371" s="7"/>
      <c r="E371" s="32" t="s">
        <v>225</v>
      </c>
      <c r="F371" s="32"/>
      <c r="G371" s="32">
        <v>71055</v>
      </c>
      <c r="H371" s="32" t="s">
        <v>465</v>
      </c>
      <c r="I371" s="33">
        <v>273.33100000000002</v>
      </c>
      <c r="J371" s="170"/>
      <c r="K371" s="7" t="str">
        <f>VLOOKUP($E371,Mapping!$E$11:$I$204,3,0)</f>
        <v>Replacement</v>
      </c>
      <c r="L371" s="7" t="str">
        <f>IFERROR(VLOOKUP($G371,Mapping!$E$208:$K$236,5,0),"Contracts")</f>
        <v>Contracts</v>
      </c>
      <c r="M371" s="7" t="str">
        <f>IFERROR(VLOOKUP($G371,Mapping!$E$208:$K$236,7,0),"ENDirect")</f>
        <v>ENDirect</v>
      </c>
      <c r="N371" s="7" t="str">
        <f>IFERROR(HLOOKUP(L371,'Calc|Weightings'!$U$5:$W$5,1,0),"Excl")</f>
        <v>Contracts</v>
      </c>
      <c r="O371" s="7" t="str">
        <f>VLOOKUP(E371,Mapping!$E$11:$I$204,5,0)</f>
        <v>SCS</v>
      </c>
      <c r="Q371" s="32" t="s">
        <v>108</v>
      </c>
      <c r="R371" s="32"/>
      <c r="S371" s="32">
        <v>71005</v>
      </c>
      <c r="T371" s="32" t="s">
        <v>461</v>
      </c>
      <c r="U371" s="33">
        <v>35.887999999999998</v>
      </c>
      <c r="V371" s="7"/>
      <c r="W371" s="7" t="str">
        <f>VLOOKUP($Q371,Mapping!$E$11:$I$204,3,0)</f>
        <v>Public Lighting</v>
      </c>
      <c r="X371" s="7" t="str">
        <f>IFERROR(VLOOKUP($S371,Mapping!$E$208:$K$236,5,0),"Contracts")</f>
        <v>Materials</v>
      </c>
      <c r="Y371" s="7" t="str">
        <f>IFERROR(VLOOKUP($S371,Mapping!$E$208:$K$236,7,0),"ENDirect")</f>
        <v>ENDirect</v>
      </c>
      <c r="Z371" s="7" t="str">
        <f>IFERROR(HLOOKUP(X371,'Calc|Weightings'!$U$5:$W$5,1,0),"Excl")</f>
        <v>Materials</v>
      </c>
      <c r="AA371" s="7" t="str">
        <f>VLOOKUP(Q371,Mapping!$E$11:$I$204,5,0)</f>
        <v>Public Lighting</v>
      </c>
      <c r="AC371" s="35" t="s">
        <v>192</v>
      </c>
      <c r="AD371" s="35"/>
      <c r="AE371" s="35">
        <v>70815</v>
      </c>
      <c r="AF371" s="35" t="s">
        <v>451</v>
      </c>
      <c r="AG371" s="36">
        <v>357.59500000000003</v>
      </c>
      <c r="AI371" s="7" t="str">
        <f>VLOOKUP($AC371,Mapping!$E$11:$I$204,3,0)</f>
        <v>VBRC</v>
      </c>
      <c r="AJ371" s="7" t="str">
        <f>IFERROR(VLOOKUP($AE371,Mapping!$E$208:$K$236,5,0),"Contracts")</f>
        <v>Materials</v>
      </c>
      <c r="AK371" s="7" t="str">
        <f>IFERROR(VLOOKUP($AE371,Mapping!$E$208:$K$236,7,0),"ENDirect")</f>
        <v>ENDirect</v>
      </c>
      <c r="AL371" s="7" t="str">
        <f>IFERROR(HLOOKUP(AJ371,'Calc|Weightings'!$U$5:$W$5,1,0),"Excl")</f>
        <v>Materials</v>
      </c>
      <c r="AM371" s="7" t="str">
        <f>VLOOKUP(AC371,Mapping!$E$11:$I$204,5,0)</f>
        <v>SCS</v>
      </c>
      <c r="AO371" s="35" t="s">
        <v>157</v>
      </c>
      <c r="AP371" s="35"/>
      <c r="AQ371" s="35">
        <v>71000</v>
      </c>
      <c r="AR371" s="35" t="s">
        <v>457</v>
      </c>
      <c r="AS371" s="121">
        <v>80.281960000000012</v>
      </c>
      <c r="AU371" s="7" t="str">
        <f>VLOOKUP($AO371,Mapping!$E$11:$I$204,3,0)</f>
        <v>Replacement</v>
      </c>
      <c r="AV371" s="7" t="str">
        <f>IFERROR(VLOOKUP($AQ371,Mapping!$E$208:$K$236,5,0),"Contracts")</f>
        <v>Labour</v>
      </c>
      <c r="AW371" s="7" t="str">
        <f>IFERROR(VLOOKUP($AQ371,Mapping!$E$208:$K$236,7,0),"ENDirect")</f>
        <v>ENDirect</v>
      </c>
      <c r="AX371" s="7" t="str">
        <f>IFERROR(HLOOKUP(AV371,'Calc|Weightings'!$U$5:$W$5,1,0),"Excl")</f>
        <v>Labour</v>
      </c>
      <c r="AY371" s="7" t="str">
        <f>VLOOKUP(AO371,Mapping!$E$11:$I$204,5,0)</f>
        <v>SCS</v>
      </c>
    </row>
    <row r="372" spans="1:51" x14ac:dyDescent="0.3">
      <c r="A372" s="7"/>
      <c r="B372" s="7"/>
      <c r="C372" s="7"/>
      <c r="D372" s="7"/>
      <c r="E372" s="32" t="s">
        <v>225</v>
      </c>
      <c r="F372" s="32"/>
      <c r="G372" s="32">
        <v>80000</v>
      </c>
      <c r="H372" s="32" t="s">
        <v>453</v>
      </c>
      <c r="I372" s="33">
        <v>204.292</v>
      </c>
      <c r="J372" s="170"/>
      <c r="K372" s="7" t="str">
        <f>VLOOKUP($E372,Mapping!$E$11:$I$204,3,0)</f>
        <v>Replacement</v>
      </c>
      <c r="L372" s="7" t="str">
        <f>IFERROR(VLOOKUP($G372,Mapping!$E$208:$K$236,5,0),"Contracts")</f>
        <v>Overhead</v>
      </c>
      <c r="M372" s="7" t="str">
        <f>IFERROR(VLOOKUP($G372,Mapping!$E$208:$K$236,7,0),"ENDirect")</f>
        <v>OH</v>
      </c>
      <c r="N372" s="7" t="str">
        <f>IFERROR(HLOOKUP(L372,'Calc|Weightings'!$U$5:$W$5,1,0),"Excl")</f>
        <v>Excl</v>
      </c>
      <c r="O372" s="7" t="str">
        <f>VLOOKUP(E372,Mapping!$E$11:$I$204,5,0)</f>
        <v>SCS</v>
      </c>
      <c r="Q372" s="32" t="s">
        <v>108</v>
      </c>
      <c r="R372" s="32"/>
      <c r="S372" s="32">
        <v>71010</v>
      </c>
      <c r="T372" s="32" t="s">
        <v>462</v>
      </c>
      <c r="U372" s="33">
        <v>39.945999999999998</v>
      </c>
      <c r="V372" s="7"/>
      <c r="W372" s="7" t="str">
        <f>VLOOKUP($Q372,Mapping!$E$11:$I$204,3,0)</f>
        <v>Public Lighting</v>
      </c>
      <c r="X372" s="7" t="str">
        <f>IFERROR(VLOOKUP($S372,Mapping!$E$208:$K$236,5,0),"Contracts")</f>
        <v>Labour</v>
      </c>
      <c r="Y372" s="7" t="str">
        <f>IFERROR(VLOOKUP($S372,Mapping!$E$208:$K$236,7,0),"ENDirect")</f>
        <v>ENDirect</v>
      </c>
      <c r="Z372" s="7" t="str">
        <f>IFERROR(HLOOKUP(X372,'Calc|Weightings'!$U$5:$W$5,1,0),"Excl")</f>
        <v>Labour</v>
      </c>
      <c r="AA372" s="7" t="str">
        <f>VLOOKUP(Q372,Mapping!$E$11:$I$204,5,0)</f>
        <v>Public Lighting</v>
      </c>
      <c r="AC372" s="35" t="s">
        <v>192</v>
      </c>
      <c r="AD372" s="35"/>
      <c r="AE372" s="35">
        <v>72260</v>
      </c>
      <c r="AF372" s="35" t="s">
        <v>483</v>
      </c>
      <c r="AG372" s="36">
        <v>0</v>
      </c>
      <c r="AI372" s="7" t="str">
        <f>VLOOKUP($AC372,Mapping!$E$11:$I$204,3,0)</f>
        <v>VBRC</v>
      </c>
      <c r="AJ372" s="7" t="str">
        <f>IFERROR(VLOOKUP($AE372,Mapping!$E$208:$K$236,5,0),"Contracts")</f>
        <v>Contracts</v>
      </c>
      <c r="AK372" s="7" t="str">
        <f>IFERROR(VLOOKUP($AE372,Mapping!$E$208:$K$236,7,0),"ENDirect")</f>
        <v>ENDirect</v>
      </c>
      <c r="AL372" s="7" t="str">
        <f>IFERROR(HLOOKUP(AJ372,'Calc|Weightings'!$U$5:$W$5,1,0),"Excl")</f>
        <v>Contracts</v>
      </c>
      <c r="AM372" s="7" t="str">
        <f>VLOOKUP(AC372,Mapping!$E$11:$I$204,5,0)</f>
        <v>SCS</v>
      </c>
      <c r="AO372" s="35" t="s">
        <v>157</v>
      </c>
      <c r="AP372" s="35"/>
      <c r="AQ372" s="35">
        <v>71010</v>
      </c>
      <c r="AR372" s="35" t="s">
        <v>487</v>
      </c>
      <c r="AS372" s="121">
        <v>432.95245</v>
      </c>
      <c r="AU372" s="7" t="str">
        <f>VLOOKUP($AO372,Mapping!$E$11:$I$204,3,0)</f>
        <v>Replacement</v>
      </c>
      <c r="AV372" s="7" t="str">
        <f>IFERROR(VLOOKUP($AQ372,Mapping!$E$208:$K$236,5,0),"Contracts")</f>
        <v>Labour</v>
      </c>
      <c r="AW372" s="7" t="str">
        <f>IFERROR(VLOOKUP($AQ372,Mapping!$E$208:$K$236,7,0),"ENDirect")</f>
        <v>ENDirect</v>
      </c>
      <c r="AX372" s="7" t="str">
        <f>IFERROR(HLOOKUP(AV372,'Calc|Weightings'!$U$5:$W$5,1,0),"Excl")</f>
        <v>Labour</v>
      </c>
      <c r="AY372" s="7" t="str">
        <f>VLOOKUP(AO372,Mapping!$E$11:$I$204,5,0)</f>
        <v>SCS</v>
      </c>
    </row>
    <row r="373" spans="1:51" x14ac:dyDescent="0.3">
      <c r="A373" s="7"/>
      <c r="B373" s="7"/>
      <c r="C373" s="7"/>
      <c r="D373" s="7"/>
      <c r="E373" s="32" t="s">
        <v>528</v>
      </c>
      <c r="F373" s="32"/>
      <c r="G373" s="32">
        <v>71005</v>
      </c>
      <c r="H373" s="32" t="s">
        <v>461</v>
      </c>
      <c r="I373" s="33">
        <v>153.982</v>
      </c>
      <c r="J373" s="170"/>
      <c r="K373" s="7" t="str">
        <f>VLOOKUP($E373,Mapping!$E$11:$I$204,3,0)</f>
        <v>Connections</v>
      </c>
      <c r="L373" s="7" t="str">
        <f>IFERROR(VLOOKUP($G373,Mapping!$E$208:$K$236,5,0),"Contracts")</f>
        <v>Materials</v>
      </c>
      <c r="M373" s="7" t="str">
        <f>IFERROR(VLOOKUP($G373,Mapping!$E$208:$K$236,7,0),"ENDirect")</f>
        <v>ENDirect</v>
      </c>
      <c r="N373" s="7" t="str">
        <f>IFERROR(HLOOKUP(L373,'Calc|Weightings'!$U$5:$W$5,1,0),"Excl")</f>
        <v>Materials</v>
      </c>
      <c r="O373" s="7" t="str">
        <f>VLOOKUP(E373,Mapping!$E$11:$I$204,5,0)</f>
        <v>SCS</v>
      </c>
      <c r="Q373" s="32" t="s">
        <v>108</v>
      </c>
      <c r="R373" s="32"/>
      <c r="S373" s="32">
        <v>71015</v>
      </c>
      <c r="T373" s="32" t="s">
        <v>463</v>
      </c>
      <c r="U373" s="33">
        <v>12.237</v>
      </c>
      <c r="V373" s="7"/>
      <c r="W373" s="7" t="str">
        <f>VLOOKUP($Q373,Mapping!$E$11:$I$204,3,0)</f>
        <v>Public Lighting</v>
      </c>
      <c r="X373" s="7" t="str">
        <f>IFERROR(VLOOKUP($S373,Mapping!$E$208:$K$236,5,0),"Contracts")</f>
        <v>Materials</v>
      </c>
      <c r="Y373" s="7" t="str">
        <f>IFERROR(VLOOKUP($S373,Mapping!$E$208:$K$236,7,0),"ENDirect")</f>
        <v>ENDirect</v>
      </c>
      <c r="Z373" s="7" t="str">
        <f>IFERROR(HLOOKUP(X373,'Calc|Weightings'!$U$5:$W$5,1,0),"Excl")</f>
        <v>Materials</v>
      </c>
      <c r="AA373" s="7" t="str">
        <f>VLOOKUP(Q373,Mapping!$E$11:$I$204,5,0)</f>
        <v>Public Lighting</v>
      </c>
      <c r="AC373" s="35" t="s">
        <v>97</v>
      </c>
      <c r="AD373" s="35"/>
      <c r="AE373" s="35">
        <v>71000</v>
      </c>
      <c r="AF373" s="35" t="s">
        <v>457</v>
      </c>
      <c r="AG373" s="36">
        <v>1137.8979999999999</v>
      </c>
      <c r="AI373" s="7" t="str">
        <f>VLOOKUP($AC373,Mapping!$E$11:$I$204,3,0)</f>
        <v>Connections</v>
      </c>
      <c r="AJ373" s="7" t="str">
        <f>IFERROR(VLOOKUP($AE373,Mapping!$E$208:$K$236,5,0),"Contracts")</f>
        <v>Labour</v>
      </c>
      <c r="AK373" s="7" t="str">
        <f>IFERROR(VLOOKUP($AE373,Mapping!$E$208:$K$236,7,0),"ENDirect")</f>
        <v>ENDirect</v>
      </c>
      <c r="AL373" s="7" t="str">
        <f>IFERROR(HLOOKUP(AJ373,'Calc|Weightings'!$U$5:$W$5,1,0),"Excl")</f>
        <v>Labour</v>
      </c>
      <c r="AM373" s="7" t="str">
        <f>VLOOKUP(AC373,Mapping!$E$11:$I$204,5,0)</f>
        <v>SCS</v>
      </c>
      <c r="AO373" s="35" t="s">
        <v>157</v>
      </c>
      <c r="AP373" s="35"/>
      <c r="AQ373" s="35">
        <v>71015</v>
      </c>
      <c r="AR373" s="35" t="s">
        <v>585</v>
      </c>
      <c r="AS373" s="121">
        <v>10.846089999999998</v>
      </c>
      <c r="AU373" s="7" t="str">
        <f>VLOOKUP($AO373,Mapping!$E$11:$I$204,3,0)</f>
        <v>Replacement</v>
      </c>
      <c r="AV373" s="7" t="str">
        <f>IFERROR(VLOOKUP($AQ373,Mapping!$E$208:$K$236,5,0),"Contracts")</f>
        <v>Materials</v>
      </c>
      <c r="AW373" s="7" t="str">
        <f>IFERROR(VLOOKUP($AQ373,Mapping!$E$208:$K$236,7,0),"ENDirect")</f>
        <v>ENDirect</v>
      </c>
      <c r="AX373" s="7" t="str">
        <f>IFERROR(HLOOKUP(AV373,'Calc|Weightings'!$U$5:$W$5,1,0),"Excl")</f>
        <v>Materials</v>
      </c>
      <c r="AY373" s="7" t="str">
        <f>VLOOKUP(AO373,Mapping!$E$11:$I$204,5,0)</f>
        <v>SCS</v>
      </c>
    </row>
    <row r="374" spans="1:51" x14ac:dyDescent="0.3">
      <c r="A374" s="7"/>
      <c r="B374" s="7"/>
      <c r="C374" s="7"/>
      <c r="D374" s="7"/>
      <c r="E374" s="32" t="s">
        <v>127</v>
      </c>
      <c r="F374" s="32"/>
      <c r="G374" s="32">
        <v>71040</v>
      </c>
      <c r="H374" s="32" t="s">
        <v>460</v>
      </c>
      <c r="I374" s="33">
        <v>0</v>
      </c>
      <c r="J374" s="170"/>
      <c r="K374" s="7" t="str">
        <f>VLOOKUP($E374,Mapping!$E$11:$I$204,3,0)</f>
        <v>Non-network general assets - Other</v>
      </c>
      <c r="L374" s="7" t="str">
        <f>IFERROR(VLOOKUP($G374,Mapping!$E$208:$K$236,5,0),"Contracts")</f>
        <v>Contracts</v>
      </c>
      <c r="M374" s="7" t="str">
        <f>IFERROR(VLOOKUP($G374,Mapping!$E$208:$K$236,7,0),"ENDirect")</f>
        <v>ENDirect</v>
      </c>
      <c r="N374" s="7" t="str">
        <f>IFERROR(HLOOKUP(L374,'Calc|Weightings'!$U$5:$W$5,1,0),"Excl")</f>
        <v>Contracts</v>
      </c>
      <c r="O374" s="7" t="str">
        <f>VLOOKUP(E374,Mapping!$E$11:$I$204,5,0)</f>
        <v>SCS</v>
      </c>
      <c r="Q374" s="32" t="s">
        <v>108</v>
      </c>
      <c r="R374" s="32"/>
      <c r="S374" s="32">
        <v>71030</v>
      </c>
      <c r="T374" s="32" t="s">
        <v>464</v>
      </c>
      <c r="U374" s="33">
        <v>10.144</v>
      </c>
      <c r="V374" s="7"/>
      <c r="W374" s="7" t="str">
        <f>VLOOKUP($Q374,Mapping!$E$11:$I$204,3,0)</f>
        <v>Public Lighting</v>
      </c>
      <c r="X374" s="7" t="str">
        <f>IFERROR(VLOOKUP($S374,Mapping!$E$208:$K$236,5,0),"Contracts")</f>
        <v>Contracts</v>
      </c>
      <c r="Y374" s="7" t="str">
        <f>IFERROR(VLOOKUP($S374,Mapping!$E$208:$K$236,7,0),"ENDirect")</f>
        <v>ENDirect</v>
      </c>
      <c r="Z374" s="7" t="str">
        <f>IFERROR(HLOOKUP(X374,'Calc|Weightings'!$U$5:$W$5,1,0),"Excl")</f>
        <v>Contracts</v>
      </c>
      <c r="AA374" s="7" t="str">
        <f>VLOOKUP(Q374,Mapping!$E$11:$I$204,5,0)</f>
        <v>Public Lighting</v>
      </c>
      <c r="AC374" s="35" t="s">
        <v>97</v>
      </c>
      <c r="AD374" s="35"/>
      <c r="AE374" s="35">
        <v>71005</v>
      </c>
      <c r="AF374" s="35" t="s">
        <v>461</v>
      </c>
      <c r="AG374" s="36">
        <v>1865.3820000000001</v>
      </c>
      <c r="AI374" s="7" t="str">
        <f>VLOOKUP($AC374,Mapping!$E$11:$I$204,3,0)</f>
        <v>Connections</v>
      </c>
      <c r="AJ374" s="7" t="str">
        <f>IFERROR(VLOOKUP($AE374,Mapping!$E$208:$K$236,5,0),"Contracts")</f>
        <v>Materials</v>
      </c>
      <c r="AK374" s="7" t="str">
        <f>IFERROR(VLOOKUP($AE374,Mapping!$E$208:$K$236,7,0),"ENDirect")</f>
        <v>ENDirect</v>
      </c>
      <c r="AL374" s="7" t="str">
        <f>IFERROR(HLOOKUP(AJ374,'Calc|Weightings'!$U$5:$W$5,1,0),"Excl")</f>
        <v>Materials</v>
      </c>
      <c r="AM374" s="7" t="str">
        <f>VLOOKUP(AC374,Mapping!$E$11:$I$204,5,0)</f>
        <v>SCS</v>
      </c>
      <c r="AO374" s="35" t="s">
        <v>157</v>
      </c>
      <c r="AP374" s="35"/>
      <c r="AQ374" s="35">
        <v>71030</v>
      </c>
      <c r="AR374" s="35" t="s">
        <v>464</v>
      </c>
      <c r="AS374" s="121">
        <v>5.2979999999999999E-2</v>
      </c>
      <c r="AU374" s="7" t="str">
        <f>VLOOKUP($AO374,Mapping!$E$11:$I$204,3,0)</f>
        <v>Replacement</v>
      </c>
      <c r="AV374" s="7" t="str">
        <f>IFERROR(VLOOKUP($AQ374,Mapping!$E$208:$K$236,5,0),"Contracts")</f>
        <v>Contracts</v>
      </c>
      <c r="AW374" s="7" t="str">
        <f>IFERROR(VLOOKUP($AQ374,Mapping!$E$208:$K$236,7,0),"ENDirect")</f>
        <v>ENDirect</v>
      </c>
      <c r="AX374" s="7" t="str">
        <f>IFERROR(HLOOKUP(AV374,'Calc|Weightings'!$U$5:$W$5,1,0),"Excl")</f>
        <v>Contracts</v>
      </c>
      <c r="AY374" s="7" t="str">
        <f>VLOOKUP(AO374,Mapping!$E$11:$I$204,5,0)</f>
        <v>SCS</v>
      </c>
    </row>
    <row r="375" spans="1:51" x14ac:dyDescent="0.3">
      <c r="A375" s="7"/>
      <c r="B375" s="7"/>
      <c r="C375" s="7"/>
      <c r="D375" s="7"/>
      <c r="E375" s="32" t="s">
        <v>163</v>
      </c>
      <c r="F375" s="32"/>
      <c r="G375" s="32">
        <v>70815</v>
      </c>
      <c r="H375" s="32" t="s">
        <v>451</v>
      </c>
      <c r="I375" s="33">
        <v>2.2999999999999998</v>
      </c>
      <c r="J375" s="170"/>
      <c r="K375" s="7" t="str">
        <f>VLOOKUP($E375,Mapping!$E$11:$I$204,3,0)</f>
        <v>Replacement</v>
      </c>
      <c r="L375" s="7" t="str">
        <f>IFERROR(VLOOKUP($G375,Mapping!$E$208:$K$236,5,0),"Contracts")</f>
        <v>Materials</v>
      </c>
      <c r="M375" s="7" t="str">
        <f>IFERROR(VLOOKUP($G375,Mapping!$E$208:$K$236,7,0),"ENDirect")</f>
        <v>ENDirect</v>
      </c>
      <c r="N375" s="7" t="str">
        <f>IFERROR(HLOOKUP(L375,'Calc|Weightings'!$U$5:$W$5,1,0),"Excl")</f>
        <v>Materials</v>
      </c>
      <c r="O375" s="7" t="str">
        <f>VLOOKUP(E375,Mapping!$E$11:$I$204,5,0)</f>
        <v>SCS</v>
      </c>
      <c r="Q375" s="32" t="s">
        <v>108</v>
      </c>
      <c r="R375" s="32"/>
      <c r="S375" s="32">
        <v>71055</v>
      </c>
      <c r="T375" s="32" t="s">
        <v>465</v>
      </c>
      <c r="U375" s="33">
        <v>17.016999999999999</v>
      </c>
      <c r="V375" s="7"/>
      <c r="W375" s="7" t="str">
        <f>VLOOKUP($Q375,Mapping!$E$11:$I$204,3,0)</f>
        <v>Public Lighting</v>
      </c>
      <c r="X375" s="7" t="str">
        <f>IFERROR(VLOOKUP($S375,Mapping!$E$208:$K$236,5,0),"Contracts")</f>
        <v>Contracts</v>
      </c>
      <c r="Y375" s="7" t="str">
        <f>IFERROR(VLOOKUP($S375,Mapping!$E$208:$K$236,7,0),"ENDirect")</f>
        <v>ENDirect</v>
      </c>
      <c r="Z375" s="7" t="str">
        <f>IFERROR(HLOOKUP(X375,'Calc|Weightings'!$U$5:$W$5,1,0),"Excl")</f>
        <v>Contracts</v>
      </c>
      <c r="AA375" s="7" t="str">
        <f>VLOOKUP(Q375,Mapping!$E$11:$I$204,5,0)</f>
        <v>Public Lighting</v>
      </c>
      <c r="AC375" s="35" t="s">
        <v>97</v>
      </c>
      <c r="AD375" s="35"/>
      <c r="AE375" s="35">
        <v>71015</v>
      </c>
      <c r="AF375" s="35" t="s">
        <v>463</v>
      </c>
      <c r="AG375" s="36">
        <v>150.85900000000001</v>
      </c>
      <c r="AI375" s="7" t="str">
        <f>VLOOKUP($AC375,Mapping!$E$11:$I$204,3,0)</f>
        <v>Connections</v>
      </c>
      <c r="AJ375" s="7" t="str">
        <f>IFERROR(VLOOKUP($AE375,Mapping!$E$208:$K$236,5,0),"Contracts")</f>
        <v>Materials</v>
      </c>
      <c r="AK375" s="7" t="str">
        <f>IFERROR(VLOOKUP($AE375,Mapping!$E$208:$K$236,7,0),"ENDirect")</f>
        <v>ENDirect</v>
      </c>
      <c r="AL375" s="7" t="str">
        <f>IFERROR(HLOOKUP(AJ375,'Calc|Weightings'!$U$5:$W$5,1,0),"Excl")</f>
        <v>Materials</v>
      </c>
      <c r="AM375" s="7" t="str">
        <f>VLOOKUP(AC375,Mapping!$E$11:$I$204,5,0)</f>
        <v>SCS</v>
      </c>
      <c r="AO375" s="35" t="s">
        <v>157</v>
      </c>
      <c r="AP375" s="35"/>
      <c r="AQ375" s="35">
        <v>71055</v>
      </c>
      <c r="AR375" s="35" t="s">
        <v>465</v>
      </c>
      <c r="AS375" s="121">
        <v>0.17691999999999999</v>
      </c>
      <c r="AU375" s="7" t="str">
        <f>VLOOKUP($AO375,Mapping!$E$11:$I$204,3,0)</f>
        <v>Replacement</v>
      </c>
      <c r="AV375" s="7" t="str">
        <f>IFERROR(VLOOKUP($AQ375,Mapping!$E$208:$K$236,5,0),"Contracts")</f>
        <v>Contracts</v>
      </c>
      <c r="AW375" s="7" t="str">
        <f>IFERROR(VLOOKUP($AQ375,Mapping!$E$208:$K$236,7,0),"ENDirect")</f>
        <v>ENDirect</v>
      </c>
      <c r="AX375" s="7" t="str">
        <f>IFERROR(HLOOKUP(AV375,'Calc|Weightings'!$U$5:$W$5,1,0),"Excl")</f>
        <v>Contracts</v>
      </c>
      <c r="AY375" s="7" t="str">
        <f>VLOOKUP(AO375,Mapping!$E$11:$I$204,5,0)</f>
        <v>SCS</v>
      </c>
    </row>
    <row r="376" spans="1:51" x14ac:dyDescent="0.3">
      <c r="A376" s="7"/>
      <c r="B376" s="7"/>
      <c r="C376" s="7"/>
      <c r="D376" s="7"/>
      <c r="E376" s="32" t="s">
        <v>163</v>
      </c>
      <c r="F376" s="32"/>
      <c r="G376" s="32">
        <v>71040</v>
      </c>
      <c r="H376" s="32" t="s">
        <v>460</v>
      </c>
      <c r="I376" s="33">
        <v>-1.413</v>
      </c>
      <c r="J376" s="170"/>
      <c r="K376" s="7" t="str">
        <f>VLOOKUP($E376,Mapping!$E$11:$I$204,3,0)</f>
        <v>Replacement</v>
      </c>
      <c r="L376" s="7" t="str">
        <f>IFERROR(VLOOKUP($G376,Mapping!$E$208:$K$236,5,0),"Contracts")</f>
        <v>Contracts</v>
      </c>
      <c r="M376" s="7" t="str">
        <f>IFERROR(VLOOKUP($G376,Mapping!$E$208:$K$236,7,0),"ENDirect")</f>
        <v>ENDirect</v>
      </c>
      <c r="N376" s="7" t="str">
        <f>IFERROR(HLOOKUP(L376,'Calc|Weightings'!$U$5:$W$5,1,0),"Excl")</f>
        <v>Contracts</v>
      </c>
      <c r="O376" s="7" t="str">
        <f>VLOOKUP(E376,Mapping!$E$11:$I$204,5,0)</f>
        <v>SCS</v>
      </c>
      <c r="Q376" s="32" t="s">
        <v>108</v>
      </c>
      <c r="R376" s="32"/>
      <c r="S376" s="32">
        <v>80000</v>
      </c>
      <c r="T376" s="32" t="s">
        <v>453</v>
      </c>
      <c r="U376" s="33">
        <v>20.527999999999999</v>
      </c>
      <c r="V376" s="7"/>
      <c r="W376" s="7" t="str">
        <f>VLOOKUP($Q376,Mapping!$E$11:$I$204,3,0)</f>
        <v>Public Lighting</v>
      </c>
      <c r="X376" s="7" t="str">
        <f>IFERROR(VLOOKUP($S376,Mapping!$E$208:$K$236,5,0),"Contracts")</f>
        <v>Overhead</v>
      </c>
      <c r="Y376" s="7" t="str">
        <f>IFERROR(VLOOKUP($S376,Mapping!$E$208:$K$236,7,0),"ENDirect")</f>
        <v>OH</v>
      </c>
      <c r="Z376" s="7" t="str">
        <f>IFERROR(HLOOKUP(X376,'Calc|Weightings'!$U$5:$W$5,1,0),"Excl")</f>
        <v>Excl</v>
      </c>
      <c r="AA376" s="7" t="str">
        <f>VLOOKUP(Q376,Mapping!$E$11:$I$204,5,0)</f>
        <v>Public Lighting</v>
      </c>
      <c r="AC376" s="35" t="s">
        <v>97</v>
      </c>
      <c r="AD376" s="35"/>
      <c r="AE376" s="35">
        <v>71030</v>
      </c>
      <c r="AF376" s="35" t="s">
        <v>464</v>
      </c>
      <c r="AG376" s="36">
        <v>816.15099999999995</v>
      </c>
      <c r="AI376" s="7" t="str">
        <f>VLOOKUP($AC376,Mapping!$E$11:$I$204,3,0)</f>
        <v>Connections</v>
      </c>
      <c r="AJ376" s="7" t="str">
        <f>IFERROR(VLOOKUP($AE376,Mapping!$E$208:$K$236,5,0),"Contracts")</f>
        <v>Contracts</v>
      </c>
      <c r="AK376" s="7" t="str">
        <f>IFERROR(VLOOKUP($AE376,Mapping!$E$208:$K$236,7,0),"ENDirect")</f>
        <v>ENDirect</v>
      </c>
      <c r="AL376" s="7" t="str">
        <f>IFERROR(HLOOKUP(AJ376,'Calc|Weightings'!$U$5:$W$5,1,0),"Excl")</f>
        <v>Contracts</v>
      </c>
      <c r="AM376" s="7" t="str">
        <f>VLOOKUP(AC376,Mapping!$E$11:$I$204,5,0)</f>
        <v>SCS</v>
      </c>
      <c r="AO376" s="35" t="s">
        <v>157</v>
      </c>
      <c r="AP376" s="35"/>
      <c r="AQ376" s="35">
        <v>71130</v>
      </c>
      <c r="AR376" s="35" t="s">
        <v>592</v>
      </c>
      <c r="AS376" s="121">
        <v>83.809099999999987</v>
      </c>
      <c r="AU376" s="7" t="str">
        <f>VLOOKUP($AO376,Mapping!$E$11:$I$204,3,0)</f>
        <v>Replacement</v>
      </c>
      <c r="AV376" s="7" t="str">
        <f>IFERROR(VLOOKUP($AQ376,Mapping!$E$208:$K$236,5,0),"Contracts")</f>
        <v>Contracts</v>
      </c>
      <c r="AW376" s="7" t="str">
        <f>IFERROR(VLOOKUP($AQ376,Mapping!$E$208:$K$236,7,0),"ENDirect")</f>
        <v>ENDirect</v>
      </c>
      <c r="AX376" s="7" t="str">
        <f>IFERROR(HLOOKUP(AV376,'Calc|Weightings'!$U$5:$W$5,1,0),"Excl")</f>
        <v>Contracts</v>
      </c>
      <c r="AY376" s="7" t="str">
        <f>VLOOKUP(AO376,Mapping!$E$11:$I$204,5,0)</f>
        <v>SCS</v>
      </c>
    </row>
    <row r="377" spans="1:51" x14ac:dyDescent="0.3">
      <c r="A377" s="7"/>
      <c r="B377" s="7"/>
      <c r="C377" s="7"/>
      <c r="D377" s="7"/>
      <c r="E377" s="32" t="s">
        <v>126</v>
      </c>
      <c r="F377" s="32"/>
      <c r="G377" s="32">
        <v>71006</v>
      </c>
      <c r="H377" s="32" t="s">
        <v>468</v>
      </c>
      <c r="I377" s="33">
        <v>27.306000000000001</v>
      </c>
      <c r="J377" s="170"/>
      <c r="K377" s="7" t="str">
        <f>VLOOKUP($E377,Mapping!$E$11:$I$204,3,0)</f>
        <v>Augmentation</v>
      </c>
      <c r="L377" s="7" t="str">
        <f>IFERROR(VLOOKUP($G377,Mapping!$E$208:$K$236,5,0),"Contracts")</f>
        <v>Materials</v>
      </c>
      <c r="M377" s="7" t="str">
        <f>IFERROR(VLOOKUP($G377,Mapping!$E$208:$K$236,7,0),"ENDirect")</f>
        <v>ENDirect</v>
      </c>
      <c r="N377" s="7" t="str">
        <f>IFERROR(HLOOKUP(L377,'Calc|Weightings'!$U$5:$W$5,1,0),"Excl")</f>
        <v>Materials</v>
      </c>
      <c r="O377" s="7" t="str">
        <f>VLOOKUP(E377,Mapping!$E$11:$I$204,5,0)</f>
        <v>SCS</v>
      </c>
      <c r="Q377" s="32" t="s">
        <v>108</v>
      </c>
      <c r="R377" s="32"/>
      <c r="S377" s="32">
        <v>89999</v>
      </c>
      <c r="T377" s="32" t="s">
        <v>471</v>
      </c>
      <c r="U377" s="33">
        <v>0</v>
      </c>
      <c r="V377" s="7"/>
      <c r="W377" s="7" t="str">
        <f>VLOOKUP($Q377,Mapping!$E$11:$I$204,3,0)</f>
        <v>Public Lighting</v>
      </c>
      <c r="X377" s="7" t="str">
        <f>IFERROR(VLOOKUP($S377,Mapping!$E$208:$K$236,5,0),"Contracts")</f>
        <v>Contracts</v>
      </c>
      <c r="Y377" s="7" t="str">
        <f>IFERROR(VLOOKUP($S377,Mapping!$E$208:$K$236,7,0),"ENDirect")</f>
        <v>ENDirect</v>
      </c>
      <c r="Z377" s="7" t="str">
        <f>IFERROR(HLOOKUP(X377,'Calc|Weightings'!$U$5:$W$5,1,0),"Excl")</f>
        <v>Contracts</v>
      </c>
      <c r="AA377" s="7" t="str">
        <f>VLOOKUP(Q377,Mapping!$E$11:$I$204,5,0)</f>
        <v>Public Lighting</v>
      </c>
      <c r="AC377" s="35" t="s">
        <v>97</v>
      </c>
      <c r="AD377" s="35"/>
      <c r="AE377" s="35">
        <v>71055</v>
      </c>
      <c r="AF377" s="35" t="s">
        <v>465</v>
      </c>
      <c r="AG377" s="36">
        <v>1244.2070000000001</v>
      </c>
      <c r="AI377" s="7" t="str">
        <f>VLOOKUP($AC377,Mapping!$E$11:$I$204,3,0)</f>
        <v>Connections</v>
      </c>
      <c r="AJ377" s="7" t="str">
        <f>IFERROR(VLOOKUP($AE377,Mapping!$E$208:$K$236,5,0),"Contracts")</f>
        <v>Contracts</v>
      </c>
      <c r="AK377" s="7" t="str">
        <f>IFERROR(VLOOKUP($AE377,Mapping!$E$208:$K$236,7,0),"ENDirect")</f>
        <v>ENDirect</v>
      </c>
      <c r="AL377" s="7" t="str">
        <f>IFERROR(HLOOKUP(AJ377,'Calc|Weightings'!$U$5:$W$5,1,0),"Excl")</f>
        <v>Contracts</v>
      </c>
      <c r="AM377" s="7" t="str">
        <f>VLOOKUP(AC377,Mapping!$E$11:$I$204,5,0)</f>
        <v>SCS</v>
      </c>
      <c r="AO377" s="35" t="s">
        <v>157</v>
      </c>
      <c r="AP377" s="35"/>
      <c r="AQ377" s="35">
        <v>80000</v>
      </c>
      <c r="AR377" s="35" t="s">
        <v>589</v>
      </c>
      <c r="AS377" s="121">
        <v>99.16883</v>
      </c>
      <c r="AU377" s="7" t="str">
        <f>VLOOKUP($AO377,Mapping!$E$11:$I$204,3,0)</f>
        <v>Replacement</v>
      </c>
      <c r="AV377" s="7" t="str">
        <f>IFERROR(VLOOKUP($AQ377,Mapping!$E$208:$K$236,5,0),"Contracts")</f>
        <v>Overhead</v>
      </c>
      <c r="AW377" s="7" t="str">
        <f>IFERROR(VLOOKUP($AQ377,Mapping!$E$208:$K$236,7,0),"ENDirect")</f>
        <v>OH</v>
      </c>
      <c r="AX377" s="7" t="str">
        <f>IFERROR(HLOOKUP(AV377,'Calc|Weightings'!$U$5:$W$5,1,0),"Excl")</f>
        <v>Excl</v>
      </c>
      <c r="AY377" s="7" t="str">
        <f>VLOOKUP(AO377,Mapping!$E$11:$I$204,5,0)</f>
        <v>SCS</v>
      </c>
    </row>
    <row r="378" spans="1:51" x14ac:dyDescent="0.3">
      <c r="A378" s="7"/>
      <c r="B378" s="7"/>
      <c r="C378" s="7"/>
      <c r="D378" s="7"/>
      <c r="E378" s="32" t="s">
        <v>126</v>
      </c>
      <c r="F378" s="32"/>
      <c r="G378" s="32">
        <v>72345</v>
      </c>
      <c r="H378" s="32" t="s">
        <v>467</v>
      </c>
      <c r="I378" s="33">
        <v>0</v>
      </c>
      <c r="J378" s="170"/>
      <c r="K378" s="7" t="str">
        <f>VLOOKUP($E378,Mapping!$E$11:$I$204,3,0)</f>
        <v>Augmentation</v>
      </c>
      <c r="L378" s="7" t="str">
        <f>IFERROR(VLOOKUP($G378,Mapping!$E$208:$K$236,5,0),"Contracts")</f>
        <v>Contracts</v>
      </c>
      <c r="M378" s="7" t="str">
        <f>IFERROR(VLOOKUP($G378,Mapping!$E$208:$K$236,7,0),"ENDirect")</f>
        <v>ENDirect</v>
      </c>
      <c r="N378" s="7" t="str">
        <f>IFERROR(HLOOKUP(L378,'Calc|Weightings'!$U$5:$W$5,1,0),"Excl")</f>
        <v>Contracts</v>
      </c>
      <c r="O378" s="7" t="str">
        <f>VLOOKUP(E378,Mapping!$E$11:$I$204,5,0)</f>
        <v>SCS</v>
      </c>
      <c r="Q378" s="32" t="s">
        <v>109</v>
      </c>
      <c r="R378" s="32"/>
      <c r="S378" s="32">
        <v>89999</v>
      </c>
      <c r="T378" s="32" t="s">
        <v>471</v>
      </c>
      <c r="U378" s="33">
        <v>0</v>
      </c>
      <c r="V378" s="7"/>
      <c r="W378" s="7" t="str">
        <f>VLOOKUP($Q378,Mapping!$E$11:$I$204,3,0)</f>
        <v>Public Lighting</v>
      </c>
      <c r="X378" s="7" t="str">
        <f>IFERROR(VLOOKUP($S378,Mapping!$E$208:$K$236,5,0),"Contracts")</f>
        <v>Contracts</v>
      </c>
      <c r="Y378" s="7" t="str">
        <f>IFERROR(VLOOKUP($S378,Mapping!$E$208:$K$236,7,0),"ENDirect")</f>
        <v>ENDirect</v>
      </c>
      <c r="Z378" s="7" t="str">
        <f>IFERROR(HLOOKUP(X378,'Calc|Weightings'!$U$5:$W$5,1,0),"Excl")</f>
        <v>Contracts</v>
      </c>
      <c r="AA378" s="7" t="str">
        <f>VLOOKUP(Q378,Mapping!$E$11:$I$204,5,0)</f>
        <v>Public Lighting</v>
      </c>
      <c r="AC378" s="35" t="s">
        <v>97</v>
      </c>
      <c r="AD378" s="35"/>
      <c r="AE378" s="35">
        <v>80000</v>
      </c>
      <c r="AF378" s="35" t="s">
        <v>453</v>
      </c>
      <c r="AG378" s="36">
        <v>1542.598</v>
      </c>
      <c r="AI378" s="7" t="str">
        <f>VLOOKUP($AC378,Mapping!$E$11:$I$204,3,0)</f>
        <v>Connections</v>
      </c>
      <c r="AJ378" s="7" t="str">
        <f>IFERROR(VLOOKUP($AE378,Mapping!$E$208:$K$236,5,0),"Contracts")</f>
        <v>Overhead</v>
      </c>
      <c r="AK378" s="7" t="str">
        <f>IFERROR(VLOOKUP($AE378,Mapping!$E$208:$K$236,7,0),"ENDirect")</f>
        <v>OH</v>
      </c>
      <c r="AL378" s="7" t="str">
        <f>IFERROR(HLOOKUP(AJ378,'Calc|Weightings'!$U$5:$W$5,1,0),"Excl")</f>
        <v>Excl</v>
      </c>
      <c r="AM378" s="7" t="str">
        <f>VLOOKUP(AC378,Mapping!$E$11:$I$204,5,0)</f>
        <v>SCS</v>
      </c>
      <c r="AO378" s="35" t="s">
        <v>158</v>
      </c>
      <c r="AP378" s="35"/>
      <c r="AQ378" s="35">
        <v>71070</v>
      </c>
      <c r="AR378" s="35" t="s">
        <v>586</v>
      </c>
      <c r="AS378" s="121">
        <v>8.5822000000000003</v>
      </c>
      <c r="AU378" s="7" t="str">
        <f>VLOOKUP($AO378,Mapping!$E$11:$I$204,3,0)</f>
        <v>Replacement</v>
      </c>
      <c r="AV378" s="7" t="str">
        <f>IFERROR(VLOOKUP($AQ378,Mapping!$E$208:$K$236,5,0),"Contracts")</f>
        <v>Contracts</v>
      </c>
      <c r="AW378" s="7" t="str">
        <f>IFERROR(VLOOKUP($AQ378,Mapping!$E$208:$K$236,7,0),"ENDirect")</f>
        <v>ENDirect</v>
      </c>
      <c r="AX378" s="7" t="str">
        <f>IFERROR(HLOOKUP(AV378,'Calc|Weightings'!$U$5:$W$5,1,0),"Excl")</f>
        <v>Contracts</v>
      </c>
      <c r="AY378" s="7" t="str">
        <f>VLOOKUP(AO378,Mapping!$E$11:$I$204,5,0)</f>
        <v>SCS</v>
      </c>
    </row>
    <row r="379" spans="1:51" x14ac:dyDescent="0.3">
      <c r="A379" s="7"/>
      <c r="B379" s="7"/>
      <c r="C379" s="7"/>
      <c r="D379" s="7"/>
      <c r="E379" s="32" t="s">
        <v>161</v>
      </c>
      <c r="F379" s="32"/>
      <c r="G379" s="32">
        <v>71045</v>
      </c>
      <c r="H379" s="32" t="s">
        <v>469</v>
      </c>
      <c r="I379" s="33">
        <v>3.6</v>
      </c>
      <c r="J379" s="170"/>
      <c r="K379" s="7" t="str">
        <f>VLOOKUP($E379,Mapping!$E$11:$I$204,3,0)</f>
        <v>Augmentation</v>
      </c>
      <c r="L379" s="7" t="str">
        <f>IFERROR(VLOOKUP($G379,Mapping!$E$208:$K$236,5,0),"Contracts")</f>
        <v>Materials</v>
      </c>
      <c r="M379" s="7" t="str">
        <f>IFERROR(VLOOKUP($G379,Mapping!$E$208:$K$236,7,0),"ENDirect")</f>
        <v>ENDirect</v>
      </c>
      <c r="N379" s="7" t="str">
        <f>IFERROR(HLOOKUP(L379,'Calc|Weightings'!$U$5:$W$5,1,0),"Excl")</f>
        <v>Materials</v>
      </c>
      <c r="O379" s="7" t="str">
        <f>VLOOKUP(E379,Mapping!$E$11:$I$204,5,0)</f>
        <v>SCS</v>
      </c>
      <c r="Q379" s="32" t="s">
        <v>110</v>
      </c>
      <c r="R379" s="32"/>
      <c r="S379" s="32">
        <v>71005</v>
      </c>
      <c r="T379" s="32" t="s">
        <v>461</v>
      </c>
      <c r="U379" s="33">
        <v>0.53500000000000003</v>
      </c>
      <c r="V379" s="7"/>
      <c r="W379" s="7" t="str">
        <f>VLOOKUP($Q379,Mapping!$E$11:$I$204,3,0)</f>
        <v>Public Lighting</v>
      </c>
      <c r="X379" s="7" t="str">
        <f>IFERROR(VLOOKUP($S379,Mapping!$E$208:$K$236,5,0),"Contracts")</f>
        <v>Materials</v>
      </c>
      <c r="Y379" s="7" t="str">
        <f>IFERROR(VLOOKUP($S379,Mapping!$E$208:$K$236,7,0),"ENDirect")</f>
        <v>ENDirect</v>
      </c>
      <c r="Z379" s="7" t="str">
        <f>IFERROR(HLOOKUP(X379,'Calc|Weightings'!$U$5:$W$5,1,0),"Excl")</f>
        <v>Materials</v>
      </c>
      <c r="AA379" s="7" t="str">
        <f>VLOOKUP(Q379,Mapping!$E$11:$I$204,5,0)</f>
        <v>Public Lighting</v>
      </c>
      <c r="AC379" s="35" t="s">
        <v>97</v>
      </c>
      <c r="AD379" s="35"/>
      <c r="AE379" s="35">
        <v>89999</v>
      </c>
      <c r="AF379" s="35" t="s">
        <v>471</v>
      </c>
      <c r="AG379" s="36">
        <v>0</v>
      </c>
      <c r="AI379" s="7" t="str">
        <f>VLOOKUP($AC379,Mapping!$E$11:$I$204,3,0)</f>
        <v>Connections</v>
      </c>
      <c r="AJ379" s="7" t="str">
        <f>IFERROR(VLOOKUP($AE379,Mapping!$E$208:$K$236,5,0),"Contracts")</f>
        <v>Contracts</v>
      </c>
      <c r="AK379" s="7" t="str">
        <f>IFERROR(VLOOKUP($AE379,Mapping!$E$208:$K$236,7,0),"ENDirect")</f>
        <v>ENDirect</v>
      </c>
      <c r="AL379" s="7" t="str">
        <f>IFERROR(HLOOKUP(AJ379,'Calc|Weightings'!$U$5:$W$5,1,0),"Excl")</f>
        <v>Contracts</v>
      </c>
      <c r="AM379" s="7" t="str">
        <f>VLOOKUP(AC379,Mapping!$E$11:$I$204,5,0)</f>
        <v>SCS</v>
      </c>
      <c r="AO379" s="35" t="s">
        <v>158</v>
      </c>
      <c r="AP379" s="35"/>
      <c r="AQ379" s="35">
        <v>71075</v>
      </c>
      <c r="AR379" s="35" t="s">
        <v>587</v>
      </c>
      <c r="AS379" s="121">
        <v>6.9734599999999984</v>
      </c>
      <c r="AU379" s="7" t="str">
        <f>VLOOKUP($AO379,Mapping!$E$11:$I$204,3,0)</f>
        <v>Replacement</v>
      </c>
      <c r="AV379" s="7" t="str">
        <f>IFERROR(VLOOKUP($AQ379,Mapping!$E$208:$K$236,5,0),"Contracts")</f>
        <v>Contracts</v>
      </c>
      <c r="AW379" s="7" t="str">
        <f>IFERROR(VLOOKUP($AQ379,Mapping!$E$208:$K$236,7,0),"ENDirect")</f>
        <v>ENDirect</v>
      </c>
      <c r="AX379" s="7" t="str">
        <f>IFERROR(HLOOKUP(AV379,'Calc|Weightings'!$U$5:$W$5,1,0),"Excl")</f>
        <v>Contracts</v>
      </c>
      <c r="AY379" s="7" t="str">
        <f>VLOOKUP(AO379,Mapping!$E$11:$I$204,5,0)</f>
        <v>SCS</v>
      </c>
    </row>
    <row r="380" spans="1:51" x14ac:dyDescent="0.3">
      <c r="A380" s="7"/>
      <c r="B380" s="7"/>
      <c r="C380" s="7"/>
      <c r="D380" s="7"/>
      <c r="E380" s="32" t="s">
        <v>159</v>
      </c>
      <c r="F380" s="32"/>
      <c r="G380" s="32">
        <v>70815</v>
      </c>
      <c r="H380" s="32" t="s">
        <v>451</v>
      </c>
      <c r="I380" s="33">
        <v>214.364</v>
      </c>
      <c r="J380" s="170"/>
      <c r="K380" s="7" t="str">
        <f>VLOOKUP($E380,Mapping!$E$11:$I$204,3,0)</f>
        <v>Replacement</v>
      </c>
      <c r="L380" s="7" t="str">
        <f>IFERROR(VLOOKUP($G380,Mapping!$E$208:$K$236,5,0),"Contracts")</f>
        <v>Materials</v>
      </c>
      <c r="M380" s="7" t="str">
        <f>IFERROR(VLOOKUP($G380,Mapping!$E$208:$K$236,7,0),"ENDirect")</f>
        <v>ENDirect</v>
      </c>
      <c r="N380" s="7" t="str">
        <f>IFERROR(HLOOKUP(L380,'Calc|Weightings'!$U$5:$W$5,1,0),"Excl")</f>
        <v>Materials</v>
      </c>
      <c r="O380" s="7" t="str">
        <f>VLOOKUP(E380,Mapping!$E$11:$I$204,5,0)</f>
        <v>SCS</v>
      </c>
      <c r="Q380" s="32" t="s">
        <v>110</v>
      </c>
      <c r="R380" s="32"/>
      <c r="S380" s="32">
        <v>71010</v>
      </c>
      <c r="T380" s="32" t="s">
        <v>462</v>
      </c>
      <c r="U380" s="33">
        <v>0.76900000000000002</v>
      </c>
      <c r="V380" s="7"/>
      <c r="W380" s="7" t="str">
        <f>VLOOKUP($Q380,Mapping!$E$11:$I$204,3,0)</f>
        <v>Public Lighting</v>
      </c>
      <c r="X380" s="7" t="str">
        <f>IFERROR(VLOOKUP($S380,Mapping!$E$208:$K$236,5,0),"Contracts")</f>
        <v>Labour</v>
      </c>
      <c r="Y380" s="7" t="str">
        <f>IFERROR(VLOOKUP($S380,Mapping!$E$208:$K$236,7,0),"ENDirect")</f>
        <v>ENDirect</v>
      </c>
      <c r="Z380" s="7" t="str">
        <f>IFERROR(HLOOKUP(X380,'Calc|Weightings'!$U$5:$W$5,1,0),"Excl")</f>
        <v>Labour</v>
      </c>
      <c r="AA380" s="7" t="str">
        <f>VLOOKUP(Q380,Mapping!$E$11:$I$204,5,0)</f>
        <v>Public Lighting</v>
      </c>
      <c r="AC380" s="35" t="s">
        <v>125</v>
      </c>
      <c r="AD380" s="35"/>
      <c r="AE380" s="35">
        <v>71020</v>
      </c>
      <c r="AF380" s="35" t="s">
        <v>459</v>
      </c>
      <c r="AG380" s="36">
        <v>0</v>
      </c>
      <c r="AI380" s="7" t="str">
        <f>VLOOKUP($AC380,Mapping!$E$11:$I$204,3,0)</f>
        <v>Augmentation</v>
      </c>
      <c r="AJ380" s="7" t="str">
        <f>IFERROR(VLOOKUP($AE380,Mapping!$E$208:$K$236,5,0),"Contracts")</f>
        <v>Contracts</v>
      </c>
      <c r="AK380" s="7" t="str">
        <f>IFERROR(VLOOKUP($AE380,Mapping!$E$208:$K$236,7,0),"ENDirect")</f>
        <v>ENDirect</v>
      </c>
      <c r="AL380" s="7" t="str">
        <f>IFERROR(HLOOKUP(AJ380,'Calc|Weightings'!$U$5:$W$5,1,0),"Excl")</f>
        <v>Contracts</v>
      </c>
      <c r="AM380" s="7" t="str">
        <f>VLOOKUP(AC380,Mapping!$E$11:$I$204,5,0)</f>
        <v>SCS</v>
      </c>
      <c r="AO380" s="35" t="s">
        <v>158</v>
      </c>
      <c r="AP380" s="35"/>
      <c r="AQ380" s="35">
        <v>80000</v>
      </c>
      <c r="AR380" s="35" t="s">
        <v>589</v>
      </c>
      <c r="AS380" s="121">
        <v>12.67342</v>
      </c>
      <c r="AU380" s="7" t="str">
        <f>VLOOKUP($AO380,Mapping!$E$11:$I$204,3,0)</f>
        <v>Replacement</v>
      </c>
      <c r="AV380" s="7" t="str">
        <f>IFERROR(VLOOKUP($AQ380,Mapping!$E$208:$K$236,5,0),"Contracts")</f>
        <v>Overhead</v>
      </c>
      <c r="AW380" s="7" t="str">
        <f>IFERROR(VLOOKUP($AQ380,Mapping!$E$208:$K$236,7,0),"ENDirect")</f>
        <v>OH</v>
      </c>
      <c r="AX380" s="7" t="str">
        <f>IFERROR(HLOOKUP(AV380,'Calc|Weightings'!$U$5:$W$5,1,0),"Excl")</f>
        <v>Excl</v>
      </c>
      <c r="AY380" s="7" t="str">
        <f>VLOOKUP(AO380,Mapping!$E$11:$I$204,5,0)</f>
        <v>SCS</v>
      </c>
    </row>
    <row r="381" spans="1:51" x14ac:dyDescent="0.3">
      <c r="A381" s="7"/>
      <c r="B381" s="7"/>
      <c r="C381" s="7"/>
      <c r="D381" s="7"/>
      <c r="E381" s="32" t="s">
        <v>159</v>
      </c>
      <c r="F381" s="32"/>
      <c r="G381" s="32">
        <v>71000</v>
      </c>
      <c r="H381" s="32" t="s">
        <v>457</v>
      </c>
      <c r="I381" s="33">
        <v>122.675</v>
      </c>
      <c r="J381" s="170"/>
      <c r="K381" s="7" t="str">
        <f>VLOOKUP($E381,Mapping!$E$11:$I$204,3,0)</f>
        <v>Replacement</v>
      </c>
      <c r="L381" s="7" t="str">
        <f>IFERROR(VLOOKUP($G381,Mapping!$E$208:$K$236,5,0),"Contracts")</f>
        <v>Labour</v>
      </c>
      <c r="M381" s="7" t="str">
        <f>IFERROR(VLOOKUP($G381,Mapping!$E$208:$K$236,7,0),"ENDirect")</f>
        <v>ENDirect</v>
      </c>
      <c r="N381" s="7" t="str">
        <f>IFERROR(HLOOKUP(L381,'Calc|Weightings'!$U$5:$W$5,1,0),"Excl")</f>
        <v>Labour</v>
      </c>
      <c r="O381" s="7" t="str">
        <f>VLOOKUP(E381,Mapping!$E$11:$I$204,5,0)</f>
        <v>SCS</v>
      </c>
      <c r="Q381" s="32" t="s">
        <v>110</v>
      </c>
      <c r="R381" s="32"/>
      <c r="S381" s="32">
        <v>71030</v>
      </c>
      <c r="T381" s="32" t="s">
        <v>464</v>
      </c>
      <c r="U381" s="33">
        <v>9.0999999999999998E-2</v>
      </c>
      <c r="V381" s="7"/>
      <c r="W381" s="7" t="str">
        <f>VLOOKUP($Q381,Mapping!$E$11:$I$204,3,0)</f>
        <v>Public Lighting</v>
      </c>
      <c r="X381" s="7" t="str">
        <f>IFERROR(VLOOKUP($S381,Mapping!$E$208:$K$236,5,0),"Contracts")</f>
        <v>Contracts</v>
      </c>
      <c r="Y381" s="7" t="str">
        <f>IFERROR(VLOOKUP($S381,Mapping!$E$208:$K$236,7,0),"ENDirect")</f>
        <v>ENDirect</v>
      </c>
      <c r="Z381" s="7" t="str">
        <f>IFERROR(HLOOKUP(X381,'Calc|Weightings'!$U$5:$W$5,1,0),"Excl")</f>
        <v>Contracts</v>
      </c>
      <c r="AA381" s="7" t="str">
        <f>VLOOKUP(Q381,Mapping!$E$11:$I$204,5,0)</f>
        <v>Public Lighting</v>
      </c>
      <c r="AC381" s="35" t="s">
        <v>105</v>
      </c>
      <c r="AD381" s="35"/>
      <c r="AE381" s="35">
        <v>71000</v>
      </c>
      <c r="AF381" s="35" t="s">
        <v>457</v>
      </c>
      <c r="AG381" s="36">
        <v>965.19799999999998</v>
      </c>
      <c r="AI381" s="7" t="str">
        <f>VLOOKUP($AC381,Mapping!$E$11:$I$204,3,0)</f>
        <v>ACS</v>
      </c>
      <c r="AJ381" s="7" t="str">
        <f>IFERROR(VLOOKUP($AE381,Mapping!$E$208:$K$236,5,0),"Contracts")</f>
        <v>Labour</v>
      </c>
      <c r="AK381" s="7" t="str">
        <f>IFERROR(VLOOKUP($AE381,Mapping!$E$208:$K$236,7,0),"ENDirect")</f>
        <v>ENDirect</v>
      </c>
      <c r="AL381" s="7" t="str">
        <f>IFERROR(HLOOKUP(AJ381,'Calc|Weightings'!$U$5:$W$5,1,0),"Excl")</f>
        <v>Labour</v>
      </c>
      <c r="AM381" s="7" t="str">
        <f>VLOOKUP(AC381,Mapping!$E$11:$I$204,5,0)</f>
        <v>ACS</v>
      </c>
      <c r="AO381" s="35" t="s">
        <v>158</v>
      </c>
      <c r="AP381" s="35"/>
      <c r="AQ381" s="35">
        <v>83010</v>
      </c>
      <c r="AR381" s="35" t="s">
        <v>591</v>
      </c>
      <c r="AS381" s="121">
        <v>63.508280000000028</v>
      </c>
      <c r="AU381" s="7" t="str">
        <f>VLOOKUP($AO381,Mapping!$E$11:$I$204,3,0)</f>
        <v>Replacement</v>
      </c>
      <c r="AV381" s="7" t="str">
        <f>IFERROR(VLOOKUP($AQ381,Mapping!$E$208:$K$236,5,0),"Contracts")</f>
        <v>Contracts</v>
      </c>
      <c r="AW381" s="7" t="str">
        <f>IFERROR(VLOOKUP($AQ381,Mapping!$E$208:$K$236,7,0),"ENDirect")</f>
        <v>ENDirect</v>
      </c>
      <c r="AX381" s="7" t="str">
        <f>IFERROR(HLOOKUP(AV381,'Calc|Weightings'!$U$5:$W$5,1,0),"Excl")</f>
        <v>Contracts</v>
      </c>
      <c r="AY381" s="7" t="str">
        <f>VLOOKUP(AO381,Mapping!$E$11:$I$204,5,0)</f>
        <v>SCS</v>
      </c>
    </row>
    <row r="382" spans="1:51" x14ac:dyDescent="0.3">
      <c r="A382" s="7"/>
      <c r="B382" s="7"/>
      <c r="C382" s="7"/>
      <c r="D382" s="7"/>
      <c r="E382" s="32" t="s">
        <v>159</v>
      </c>
      <c r="F382" s="32"/>
      <c r="G382" s="32">
        <v>71005</v>
      </c>
      <c r="H382" s="32" t="s">
        <v>461</v>
      </c>
      <c r="I382" s="33">
        <v>28.026</v>
      </c>
      <c r="J382" s="170"/>
      <c r="K382" s="7" t="str">
        <f>VLOOKUP($E382,Mapping!$E$11:$I$204,3,0)</f>
        <v>Replacement</v>
      </c>
      <c r="L382" s="7" t="str">
        <f>IFERROR(VLOOKUP($G382,Mapping!$E$208:$K$236,5,0),"Contracts")</f>
        <v>Materials</v>
      </c>
      <c r="M382" s="7" t="str">
        <f>IFERROR(VLOOKUP($G382,Mapping!$E$208:$K$236,7,0),"ENDirect")</f>
        <v>ENDirect</v>
      </c>
      <c r="N382" s="7" t="str">
        <f>IFERROR(HLOOKUP(L382,'Calc|Weightings'!$U$5:$W$5,1,0),"Excl")</f>
        <v>Materials</v>
      </c>
      <c r="O382" s="7" t="str">
        <f>VLOOKUP(E382,Mapping!$E$11:$I$204,5,0)</f>
        <v>SCS</v>
      </c>
      <c r="Q382" s="32" t="s">
        <v>110</v>
      </c>
      <c r="R382" s="32"/>
      <c r="S382" s="32">
        <v>80000</v>
      </c>
      <c r="T382" s="32" t="s">
        <v>453</v>
      </c>
      <c r="U382" s="33">
        <v>0.14099999999999999</v>
      </c>
      <c r="V382" s="7"/>
      <c r="W382" s="7" t="str">
        <f>VLOOKUP($Q382,Mapping!$E$11:$I$204,3,0)</f>
        <v>Public Lighting</v>
      </c>
      <c r="X382" s="7" t="str">
        <f>IFERROR(VLOOKUP($S382,Mapping!$E$208:$K$236,5,0),"Contracts")</f>
        <v>Overhead</v>
      </c>
      <c r="Y382" s="7" t="str">
        <f>IFERROR(VLOOKUP($S382,Mapping!$E$208:$K$236,7,0),"ENDirect")</f>
        <v>OH</v>
      </c>
      <c r="Z382" s="7" t="str">
        <f>IFERROR(HLOOKUP(X382,'Calc|Weightings'!$U$5:$W$5,1,0),"Excl")</f>
        <v>Excl</v>
      </c>
      <c r="AA382" s="7" t="str">
        <f>VLOOKUP(Q382,Mapping!$E$11:$I$204,5,0)</f>
        <v>Public Lighting</v>
      </c>
      <c r="AC382" s="35" t="s">
        <v>105</v>
      </c>
      <c r="AD382" s="35"/>
      <c r="AE382" s="35">
        <v>71005</v>
      </c>
      <c r="AF382" s="35" t="s">
        <v>461</v>
      </c>
      <c r="AG382" s="36">
        <v>317.00200000000001</v>
      </c>
      <c r="AI382" s="7" t="str">
        <f>VLOOKUP($AC382,Mapping!$E$11:$I$204,3,0)</f>
        <v>ACS</v>
      </c>
      <c r="AJ382" s="7" t="str">
        <f>IFERROR(VLOOKUP($AE382,Mapping!$E$208:$K$236,5,0),"Contracts")</f>
        <v>Materials</v>
      </c>
      <c r="AK382" s="7" t="str">
        <f>IFERROR(VLOOKUP($AE382,Mapping!$E$208:$K$236,7,0),"ENDirect")</f>
        <v>ENDirect</v>
      </c>
      <c r="AL382" s="7" t="str">
        <f>IFERROR(HLOOKUP(AJ382,'Calc|Weightings'!$U$5:$W$5,1,0),"Excl")</f>
        <v>Materials</v>
      </c>
      <c r="AM382" s="7" t="str">
        <f>VLOOKUP(AC382,Mapping!$E$11:$I$204,5,0)</f>
        <v>ACS</v>
      </c>
      <c r="AO382" s="35" t="s">
        <v>159</v>
      </c>
      <c r="AP382" s="35"/>
      <c r="AQ382" s="35">
        <v>70815</v>
      </c>
      <c r="AR382" s="35" t="s">
        <v>594</v>
      </c>
      <c r="AS382" s="121">
        <v>2.2999999999999998</v>
      </c>
      <c r="AU382" s="7" t="str">
        <f>VLOOKUP($AO382,Mapping!$E$11:$I$204,3,0)</f>
        <v>Replacement</v>
      </c>
      <c r="AV382" s="7" t="str">
        <f>IFERROR(VLOOKUP($AQ382,Mapping!$E$208:$K$236,5,0),"Contracts")</f>
        <v>Materials</v>
      </c>
      <c r="AW382" s="7" t="str">
        <f>IFERROR(VLOOKUP($AQ382,Mapping!$E$208:$K$236,7,0),"ENDirect")</f>
        <v>ENDirect</v>
      </c>
      <c r="AX382" s="7" t="str">
        <f>IFERROR(HLOOKUP(AV382,'Calc|Weightings'!$U$5:$W$5,1,0),"Excl")</f>
        <v>Materials</v>
      </c>
      <c r="AY382" s="7" t="str">
        <f>VLOOKUP(AO382,Mapping!$E$11:$I$204,5,0)</f>
        <v>SCS</v>
      </c>
    </row>
    <row r="383" spans="1:51" x14ac:dyDescent="0.3">
      <c r="A383" s="7"/>
      <c r="B383" s="7"/>
      <c r="C383" s="7"/>
      <c r="D383" s="7"/>
      <c r="E383" s="32" t="s">
        <v>159</v>
      </c>
      <c r="F383" s="32"/>
      <c r="G383" s="32">
        <v>71010</v>
      </c>
      <c r="H383" s="32" t="s">
        <v>462</v>
      </c>
      <c r="I383" s="33">
        <v>143.334</v>
      </c>
      <c r="J383" s="170"/>
      <c r="K383" s="7" t="str">
        <f>VLOOKUP($E383,Mapping!$E$11:$I$204,3,0)</f>
        <v>Replacement</v>
      </c>
      <c r="L383" s="7" t="str">
        <f>IFERROR(VLOOKUP($G383,Mapping!$E$208:$K$236,5,0),"Contracts")</f>
        <v>Labour</v>
      </c>
      <c r="M383" s="7" t="str">
        <f>IFERROR(VLOOKUP($G383,Mapping!$E$208:$K$236,7,0),"ENDirect")</f>
        <v>ENDirect</v>
      </c>
      <c r="N383" s="7" t="str">
        <f>IFERROR(HLOOKUP(L383,'Calc|Weightings'!$U$5:$W$5,1,0),"Excl")</f>
        <v>Labour</v>
      </c>
      <c r="O383" s="7" t="str">
        <f>VLOOKUP(E383,Mapping!$E$11:$I$204,5,0)</f>
        <v>SCS</v>
      </c>
      <c r="Q383" s="32" t="s">
        <v>110</v>
      </c>
      <c r="R383" s="32"/>
      <c r="S383" s="32">
        <v>89999</v>
      </c>
      <c r="T383" s="32" t="s">
        <v>471</v>
      </c>
      <c r="U383" s="33">
        <v>0</v>
      </c>
      <c r="V383" s="7"/>
      <c r="W383" s="7" t="str">
        <f>VLOOKUP($Q383,Mapping!$E$11:$I$204,3,0)</f>
        <v>Public Lighting</v>
      </c>
      <c r="X383" s="7" t="str">
        <f>IFERROR(VLOOKUP($S383,Mapping!$E$208:$K$236,5,0),"Contracts")</f>
        <v>Contracts</v>
      </c>
      <c r="Y383" s="7" t="str">
        <f>IFERROR(VLOOKUP($S383,Mapping!$E$208:$K$236,7,0),"ENDirect")</f>
        <v>ENDirect</v>
      </c>
      <c r="Z383" s="7" t="str">
        <f>IFERROR(HLOOKUP(X383,'Calc|Weightings'!$U$5:$W$5,1,0),"Excl")</f>
        <v>Contracts</v>
      </c>
      <c r="AA383" s="7" t="str">
        <f>VLOOKUP(Q383,Mapping!$E$11:$I$204,5,0)</f>
        <v>Public Lighting</v>
      </c>
      <c r="AC383" s="35" t="s">
        <v>105</v>
      </c>
      <c r="AD383" s="35"/>
      <c r="AE383" s="35">
        <v>71010</v>
      </c>
      <c r="AF383" s="35" t="s">
        <v>462</v>
      </c>
      <c r="AG383" s="36">
        <v>72.775000000000006</v>
      </c>
      <c r="AI383" s="7" t="str">
        <f>VLOOKUP($AC383,Mapping!$E$11:$I$204,3,0)</f>
        <v>ACS</v>
      </c>
      <c r="AJ383" s="7" t="str">
        <f>IFERROR(VLOOKUP($AE383,Mapping!$E$208:$K$236,5,0),"Contracts")</f>
        <v>Labour</v>
      </c>
      <c r="AK383" s="7" t="str">
        <f>IFERROR(VLOOKUP($AE383,Mapping!$E$208:$K$236,7,0),"ENDirect")</f>
        <v>ENDirect</v>
      </c>
      <c r="AL383" s="7" t="str">
        <f>IFERROR(HLOOKUP(AJ383,'Calc|Weightings'!$U$5:$W$5,1,0),"Excl")</f>
        <v>Labour</v>
      </c>
      <c r="AM383" s="7" t="str">
        <f>VLOOKUP(AC383,Mapping!$E$11:$I$204,5,0)</f>
        <v>ACS</v>
      </c>
      <c r="AO383" s="35" t="s">
        <v>159</v>
      </c>
      <c r="AP383" s="35"/>
      <c r="AQ383" s="35">
        <v>71000</v>
      </c>
      <c r="AR383" s="35" t="s">
        <v>457</v>
      </c>
      <c r="AS383" s="121">
        <v>201.49266</v>
      </c>
      <c r="AU383" s="7" t="str">
        <f>VLOOKUP($AO383,Mapping!$E$11:$I$204,3,0)</f>
        <v>Replacement</v>
      </c>
      <c r="AV383" s="7" t="str">
        <f>IFERROR(VLOOKUP($AQ383,Mapping!$E$208:$K$236,5,0),"Contracts")</f>
        <v>Labour</v>
      </c>
      <c r="AW383" s="7" t="str">
        <f>IFERROR(VLOOKUP($AQ383,Mapping!$E$208:$K$236,7,0),"ENDirect")</f>
        <v>ENDirect</v>
      </c>
      <c r="AX383" s="7" t="str">
        <f>IFERROR(HLOOKUP(AV383,'Calc|Weightings'!$U$5:$W$5,1,0),"Excl")</f>
        <v>Labour</v>
      </c>
      <c r="AY383" s="7" t="str">
        <f>VLOOKUP(AO383,Mapping!$E$11:$I$204,5,0)</f>
        <v>SCS</v>
      </c>
    </row>
    <row r="384" spans="1:51" x14ac:dyDescent="0.3">
      <c r="A384" s="7"/>
      <c r="B384" s="7"/>
      <c r="C384" s="7"/>
      <c r="D384" s="7"/>
      <c r="E384" s="32" t="s">
        <v>159</v>
      </c>
      <c r="F384" s="32"/>
      <c r="G384" s="32">
        <v>71015</v>
      </c>
      <c r="H384" s="32" t="s">
        <v>463</v>
      </c>
      <c r="I384" s="33">
        <v>21.399000000000001</v>
      </c>
      <c r="J384" s="170"/>
      <c r="K384" s="7" t="str">
        <f>VLOOKUP($E384,Mapping!$E$11:$I$204,3,0)</f>
        <v>Replacement</v>
      </c>
      <c r="L384" s="7" t="str">
        <f>IFERROR(VLOOKUP($G384,Mapping!$E$208:$K$236,5,0),"Contracts")</f>
        <v>Materials</v>
      </c>
      <c r="M384" s="7" t="str">
        <f>IFERROR(VLOOKUP($G384,Mapping!$E$208:$K$236,7,0),"ENDirect")</f>
        <v>ENDirect</v>
      </c>
      <c r="N384" s="7" t="str">
        <f>IFERROR(HLOOKUP(L384,'Calc|Weightings'!$U$5:$W$5,1,0),"Excl")</f>
        <v>Materials</v>
      </c>
      <c r="O384" s="7" t="str">
        <f>VLOOKUP(E384,Mapping!$E$11:$I$204,5,0)</f>
        <v>SCS</v>
      </c>
      <c r="Q384" s="32" t="s">
        <v>123</v>
      </c>
      <c r="R384" s="32"/>
      <c r="S384" s="32">
        <v>71000</v>
      </c>
      <c r="T384" s="32" t="s">
        <v>457</v>
      </c>
      <c r="U384" s="33">
        <v>128.83799999999999</v>
      </c>
      <c r="V384" s="7"/>
      <c r="W384" s="7" t="str">
        <f>VLOOKUP($Q384,Mapping!$E$11:$I$204,3,0)</f>
        <v>Augmentation</v>
      </c>
      <c r="X384" s="7" t="str">
        <f>IFERROR(VLOOKUP($S384,Mapping!$E$208:$K$236,5,0),"Contracts")</f>
        <v>Labour</v>
      </c>
      <c r="Y384" s="7" t="str">
        <f>IFERROR(VLOOKUP($S384,Mapping!$E$208:$K$236,7,0),"ENDirect")</f>
        <v>ENDirect</v>
      </c>
      <c r="Z384" s="7" t="str">
        <f>IFERROR(HLOOKUP(X384,'Calc|Weightings'!$U$5:$W$5,1,0),"Excl")</f>
        <v>Labour</v>
      </c>
      <c r="AA384" s="7" t="str">
        <f>VLOOKUP(Q384,Mapping!$E$11:$I$204,5,0)</f>
        <v>SCS</v>
      </c>
      <c r="AC384" s="35" t="s">
        <v>105</v>
      </c>
      <c r="AD384" s="35"/>
      <c r="AE384" s="35">
        <v>71015</v>
      </c>
      <c r="AF384" s="35" t="s">
        <v>463</v>
      </c>
      <c r="AG384" s="36">
        <v>224.70400000000001</v>
      </c>
      <c r="AI384" s="7" t="str">
        <f>VLOOKUP($AC384,Mapping!$E$11:$I$204,3,0)</f>
        <v>ACS</v>
      </c>
      <c r="AJ384" s="7" t="str">
        <f>IFERROR(VLOOKUP($AE384,Mapping!$E$208:$K$236,5,0),"Contracts")</f>
        <v>Materials</v>
      </c>
      <c r="AK384" s="7" t="str">
        <f>IFERROR(VLOOKUP($AE384,Mapping!$E$208:$K$236,7,0),"ENDirect")</f>
        <v>ENDirect</v>
      </c>
      <c r="AL384" s="7" t="str">
        <f>IFERROR(HLOOKUP(AJ384,'Calc|Weightings'!$U$5:$W$5,1,0),"Excl")</f>
        <v>Materials</v>
      </c>
      <c r="AM384" s="7" t="str">
        <f>VLOOKUP(AC384,Mapping!$E$11:$I$204,5,0)</f>
        <v>ACS</v>
      </c>
      <c r="AO384" s="35" t="s">
        <v>159</v>
      </c>
      <c r="AP384" s="35"/>
      <c r="AQ384" s="35">
        <v>71005</v>
      </c>
      <c r="AR384" s="35" t="s">
        <v>461</v>
      </c>
      <c r="AS384" s="121">
        <v>109.31300999999999</v>
      </c>
      <c r="AU384" s="7" t="str">
        <f>VLOOKUP($AO384,Mapping!$E$11:$I$204,3,0)</f>
        <v>Replacement</v>
      </c>
      <c r="AV384" s="7" t="str">
        <f>IFERROR(VLOOKUP($AQ384,Mapping!$E$208:$K$236,5,0),"Contracts")</f>
        <v>Materials</v>
      </c>
      <c r="AW384" s="7" t="str">
        <f>IFERROR(VLOOKUP($AQ384,Mapping!$E$208:$K$236,7,0),"ENDirect")</f>
        <v>ENDirect</v>
      </c>
      <c r="AX384" s="7" t="str">
        <f>IFERROR(HLOOKUP(AV384,'Calc|Weightings'!$U$5:$W$5,1,0),"Excl")</f>
        <v>Materials</v>
      </c>
      <c r="AY384" s="7" t="str">
        <f>VLOOKUP(AO384,Mapping!$E$11:$I$204,5,0)</f>
        <v>SCS</v>
      </c>
    </row>
    <row r="385" spans="1:51" x14ac:dyDescent="0.3">
      <c r="A385" s="7"/>
      <c r="B385" s="7"/>
      <c r="C385" s="7"/>
      <c r="D385" s="7"/>
      <c r="E385" s="32" t="s">
        <v>159</v>
      </c>
      <c r="F385" s="32"/>
      <c r="G385" s="32">
        <v>71030</v>
      </c>
      <c r="H385" s="32" t="s">
        <v>464</v>
      </c>
      <c r="I385" s="33">
        <v>13.993</v>
      </c>
      <c r="J385" s="170"/>
      <c r="K385" s="7" t="str">
        <f>VLOOKUP($E385,Mapping!$E$11:$I$204,3,0)</f>
        <v>Replacement</v>
      </c>
      <c r="L385" s="7" t="str">
        <f>IFERROR(VLOOKUP($G385,Mapping!$E$208:$K$236,5,0),"Contracts")</f>
        <v>Contracts</v>
      </c>
      <c r="M385" s="7" t="str">
        <f>IFERROR(VLOOKUP($G385,Mapping!$E$208:$K$236,7,0),"ENDirect")</f>
        <v>ENDirect</v>
      </c>
      <c r="N385" s="7" t="str">
        <f>IFERROR(HLOOKUP(L385,'Calc|Weightings'!$U$5:$W$5,1,0),"Excl")</f>
        <v>Contracts</v>
      </c>
      <c r="O385" s="7" t="str">
        <f>VLOOKUP(E385,Mapping!$E$11:$I$204,5,0)</f>
        <v>SCS</v>
      </c>
      <c r="Q385" s="32" t="s">
        <v>123</v>
      </c>
      <c r="R385" s="32"/>
      <c r="S385" s="32">
        <v>71005</v>
      </c>
      <c r="T385" s="32" t="s">
        <v>461</v>
      </c>
      <c r="U385" s="33">
        <v>150.78299999999999</v>
      </c>
      <c r="V385" s="7"/>
      <c r="W385" s="7" t="str">
        <f>VLOOKUP($Q385,Mapping!$E$11:$I$204,3,0)</f>
        <v>Augmentation</v>
      </c>
      <c r="X385" s="7" t="str">
        <f>IFERROR(VLOOKUP($S385,Mapping!$E$208:$K$236,5,0),"Contracts")</f>
        <v>Materials</v>
      </c>
      <c r="Y385" s="7" t="str">
        <f>IFERROR(VLOOKUP($S385,Mapping!$E$208:$K$236,7,0),"ENDirect")</f>
        <v>ENDirect</v>
      </c>
      <c r="Z385" s="7" t="str">
        <f>IFERROR(HLOOKUP(X385,'Calc|Weightings'!$U$5:$W$5,1,0),"Excl")</f>
        <v>Materials</v>
      </c>
      <c r="AA385" s="7" t="str">
        <f>VLOOKUP(Q385,Mapping!$E$11:$I$204,5,0)</f>
        <v>SCS</v>
      </c>
      <c r="AC385" s="35" t="s">
        <v>105</v>
      </c>
      <c r="AD385" s="35"/>
      <c r="AE385" s="35">
        <v>71030</v>
      </c>
      <c r="AF385" s="35" t="s">
        <v>464</v>
      </c>
      <c r="AG385" s="36">
        <v>126.357</v>
      </c>
      <c r="AI385" s="7" t="str">
        <f>VLOOKUP($AC385,Mapping!$E$11:$I$204,3,0)</f>
        <v>ACS</v>
      </c>
      <c r="AJ385" s="7" t="str">
        <f>IFERROR(VLOOKUP($AE385,Mapping!$E$208:$K$236,5,0),"Contracts")</f>
        <v>Contracts</v>
      </c>
      <c r="AK385" s="7" t="str">
        <f>IFERROR(VLOOKUP($AE385,Mapping!$E$208:$K$236,7,0),"ENDirect")</f>
        <v>ENDirect</v>
      </c>
      <c r="AL385" s="7" t="str">
        <f>IFERROR(HLOOKUP(AJ385,'Calc|Weightings'!$U$5:$W$5,1,0),"Excl")</f>
        <v>Contracts</v>
      </c>
      <c r="AM385" s="7" t="str">
        <f>VLOOKUP(AC385,Mapping!$E$11:$I$204,5,0)</f>
        <v>ACS</v>
      </c>
      <c r="AO385" s="35" t="s">
        <v>159</v>
      </c>
      <c r="AP385" s="35"/>
      <c r="AQ385" s="35">
        <v>71006</v>
      </c>
      <c r="AR385" s="35" t="s">
        <v>468</v>
      </c>
      <c r="AS385" s="121">
        <v>5.0620000000000003</v>
      </c>
      <c r="AU385" s="7" t="str">
        <f>VLOOKUP($AO385,Mapping!$E$11:$I$204,3,0)</f>
        <v>Replacement</v>
      </c>
      <c r="AV385" s="7" t="str">
        <f>IFERROR(VLOOKUP($AQ385,Mapping!$E$208:$K$236,5,0),"Contracts")</f>
        <v>Materials</v>
      </c>
      <c r="AW385" s="7" t="str">
        <f>IFERROR(VLOOKUP($AQ385,Mapping!$E$208:$K$236,7,0),"ENDirect")</f>
        <v>ENDirect</v>
      </c>
      <c r="AX385" s="7" t="str">
        <f>IFERROR(HLOOKUP(AV385,'Calc|Weightings'!$U$5:$W$5,1,0),"Excl")</f>
        <v>Materials</v>
      </c>
      <c r="AY385" s="7" t="str">
        <f>VLOOKUP(AO385,Mapping!$E$11:$I$204,5,0)</f>
        <v>SCS</v>
      </c>
    </row>
    <row r="386" spans="1:51" x14ac:dyDescent="0.3">
      <c r="A386" s="7"/>
      <c r="B386" s="7"/>
      <c r="C386" s="7"/>
      <c r="D386" s="7"/>
      <c r="E386" s="32" t="s">
        <v>159</v>
      </c>
      <c r="F386" s="32"/>
      <c r="G386" s="32">
        <v>71055</v>
      </c>
      <c r="H386" s="32" t="s">
        <v>465</v>
      </c>
      <c r="I386" s="33">
        <v>24.036000000000001</v>
      </c>
      <c r="J386" s="170"/>
      <c r="K386" s="7" t="str">
        <f>VLOOKUP($E386,Mapping!$E$11:$I$204,3,0)</f>
        <v>Replacement</v>
      </c>
      <c r="L386" s="7" t="str">
        <f>IFERROR(VLOOKUP($G386,Mapping!$E$208:$K$236,5,0),"Contracts")</f>
        <v>Contracts</v>
      </c>
      <c r="M386" s="7" t="str">
        <f>IFERROR(VLOOKUP($G386,Mapping!$E$208:$K$236,7,0),"ENDirect")</f>
        <v>ENDirect</v>
      </c>
      <c r="N386" s="7" t="str">
        <f>IFERROR(HLOOKUP(L386,'Calc|Weightings'!$U$5:$W$5,1,0),"Excl")</f>
        <v>Contracts</v>
      </c>
      <c r="O386" s="7" t="str">
        <f>VLOOKUP(E386,Mapping!$E$11:$I$204,5,0)</f>
        <v>SCS</v>
      </c>
      <c r="Q386" s="32" t="s">
        <v>123</v>
      </c>
      <c r="R386" s="32"/>
      <c r="S386" s="32">
        <v>71006</v>
      </c>
      <c r="T386" s="32" t="s">
        <v>468</v>
      </c>
      <c r="U386" s="33">
        <v>355.69499999999999</v>
      </c>
      <c r="V386" s="7"/>
      <c r="W386" s="7" t="str">
        <f>VLOOKUP($Q386,Mapping!$E$11:$I$204,3,0)</f>
        <v>Augmentation</v>
      </c>
      <c r="X386" s="7" t="str">
        <f>IFERROR(VLOOKUP($S386,Mapping!$E$208:$K$236,5,0),"Contracts")</f>
        <v>Materials</v>
      </c>
      <c r="Y386" s="7" t="str">
        <f>IFERROR(VLOOKUP($S386,Mapping!$E$208:$K$236,7,0),"ENDirect")</f>
        <v>ENDirect</v>
      </c>
      <c r="Z386" s="7" t="str">
        <f>IFERROR(HLOOKUP(X386,'Calc|Weightings'!$U$5:$W$5,1,0),"Excl")</f>
        <v>Materials</v>
      </c>
      <c r="AA386" s="7" t="str">
        <f>VLOOKUP(Q386,Mapping!$E$11:$I$204,5,0)</f>
        <v>SCS</v>
      </c>
      <c r="AC386" s="35" t="s">
        <v>105</v>
      </c>
      <c r="AD386" s="35"/>
      <c r="AE386" s="35">
        <v>71055</v>
      </c>
      <c r="AF386" s="35" t="s">
        <v>465</v>
      </c>
      <c r="AG386" s="36">
        <v>239.667</v>
      </c>
      <c r="AI386" s="7" t="str">
        <f>VLOOKUP($AC386,Mapping!$E$11:$I$204,3,0)</f>
        <v>ACS</v>
      </c>
      <c r="AJ386" s="7" t="str">
        <f>IFERROR(VLOOKUP($AE386,Mapping!$E$208:$K$236,5,0),"Contracts")</f>
        <v>Contracts</v>
      </c>
      <c r="AK386" s="7" t="str">
        <f>IFERROR(VLOOKUP($AE386,Mapping!$E$208:$K$236,7,0),"ENDirect")</f>
        <v>ENDirect</v>
      </c>
      <c r="AL386" s="7" t="str">
        <f>IFERROR(HLOOKUP(AJ386,'Calc|Weightings'!$U$5:$W$5,1,0),"Excl")</f>
        <v>Contracts</v>
      </c>
      <c r="AM386" s="7" t="str">
        <f>VLOOKUP(AC386,Mapping!$E$11:$I$204,5,0)</f>
        <v>ACS</v>
      </c>
      <c r="AO386" s="35" t="s">
        <v>159</v>
      </c>
      <c r="AP386" s="35"/>
      <c r="AQ386" s="35">
        <v>71010</v>
      </c>
      <c r="AR386" s="35" t="s">
        <v>487</v>
      </c>
      <c r="AS386" s="121">
        <v>73.932040000000015</v>
      </c>
      <c r="AU386" s="7" t="str">
        <f>VLOOKUP($AO386,Mapping!$E$11:$I$204,3,0)</f>
        <v>Replacement</v>
      </c>
      <c r="AV386" s="7" t="str">
        <f>IFERROR(VLOOKUP($AQ386,Mapping!$E$208:$K$236,5,0),"Contracts")</f>
        <v>Labour</v>
      </c>
      <c r="AW386" s="7" t="str">
        <f>IFERROR(VLOOKUP($AQ386,Mapping!$E$208:$K$236,7,0),"ENDirect")</f>
        <v>ENDirect</v>
      </c>
      <c r="AX386" s="7" t="str">
        <f>IFERROR(HLOOKUP(AV386,'Calc|Weightings'!$U$5:$W$5,1,0),"Excl")</f>
        <v>Labour</v>
      </c>
      <c r="AY386" s="7" t="str">
        <f>VLOOKUP(AO386,Mapping!$E$11:$I$204,5,0)</f>
        <v>SCS</v>
      </c>
    </row>
    <row r="387" spans="1:51" x14ac:dyDescent="0.3">
      <c r="A387" s="7"/>
      <c r="B387" s="7"/>
      <c r="C387" s="7"/>
      <c r="D387" s="7"/>
      <c r="E387" s="32" t="s">
        <v>159</v>
      </c>
      <c r="F387" s="32"/>
      <c r="G387" s="32">
        <v>80000</v>
      </c>
      <c r="H387" s="32" t="s">
        <v>453</v>
      </c>
      <c r="I387" s="33">
        <v>26.245000000000001</v>
      </c>
      <c r="J387" s="170"/>
      <c r="K387" s="7" t="str">
        <f>VLOOKUP($E387,Mapping!$E$11:$I$204,3,0)</f>
        <v>Replacement</v>
      </c>
      <c r="L387" s="7" t="str">
        <f>IFERROR(VLOOKUP($G387,Mapping!$E$208:$K$236,5,0),"Contracts")</f>
        <v>Overhead</v>
      </c>
      <c r="M387" s="7" t="str">
        <f>IFERROR(VLOOKUP($G387,Mapping!$E$208:$K$236,7,0),"ENDirect")</f>
        <v>OH</v>
      </c>
      <c r="N387" s="7" t="str">
        <f>IFERROR(HLOOKUP(L387,'Calc|Weightings'!$U$5:$W$5,1,0),"Excl")</f>
        <v>Excl</v>
      </c>
      <c r="O387" s="7" t="str">
        <f>VLOOKUP(E387,Mapping!$E$11:$I$204,5,0)</f>
        <v>SCS</v>
      </c>
      <c r="Q387" s="32" t="s">
        <v>123</v>
      </c>
      <c r="R387" s="32"/>
      <c r="S387" s="32">
        <v>71010</v>
      </c>
      <c r="T387" s="32" t="s">
        <v>462</v>
      </c>
      <c r="U387" s="33">
        <v>78.292000000000002</v>
      </c>
      <c r="V387" s="7"/>
      <c r="W387" s="7" t="str">
        <f>VLOOKUP($Q387,Mapping!$E$11:$I$204,3,0)</f>
        <v>Augmentation</v>
      </c>
      <c r="X387" s="7" t="str">
        <f>IFERROR(VLOOKUP($S387,Mapping!$E$208:$K$236,5,0),"Contracts")</f>
        <v>Labour</v>
      </c>
      <c r="Y387" s="7" t="str">
        <f>IFERROR(VLOOKUP($S387,Mapping!$E$208:$K$236,7,0),"ENDirect")</f>
        <v>ENDirect</v>
      </c>
      <c r="Z387" s="7" t="str">
        <f>IFERROR(HLOOKUP(X387,'Calc|Weightings'!$U$5:$W$5,1,0),"Excl")</f>
        <v>Labour</v>
      </c>
      <c r="AA387" s="7" t="str">
        <f>VLOOKUP(Q387,Mapping!$E$11:$I$204,5,0)</f>
        <v>SCS</v>
      </c>
      <c r="AC387" s="35" t="s">
        <v>105</v>
      </c>
      <c r="AD387" s="35"/>
      <c r="AE387" s="35">
        <v>80000</v>
      </c>
      <c r="AF387" s="35" t="s">
        <v>453</v>
      </c>
      <c r="AG387" s="36">
        <v>181.32499999999999</v>
      </c>
      <c r="AI387" s="7" t="str">
        <f>VLOOKUP($AC387,Mapping!$E$11:$I$204,3,0)</f>
        <v>ACS</v>
      </c>
      <c r="AJ387" s="7" t="str">
        <f>IFERROR(VLOOKUP($AE387,Mapping!$E$208:$K$236,5,0),"Contracts")</f>
        <v>Overhead</v>
      </c>
      <c r="AK387" s="7" t="str">
        <f>IFERROR(VLOOKUP($AE387,Mapping!$E$208:$K$236,7,0),"ENDirect")</f>
        <v>OH</v>
      </c>
      <c r="AL387" s="7" t="str">
        <f>IFERROR(HLOOKUP(AJ387,'Calc|Weightings'!$U$5:$W$5,1,0),"Excl")</f>
        <v>Excl</v>
      </c>
      <c r="AM387" s="7" t="str">
        <f>VLOOKUP(AC387,Mapping!$E$11:$I$204,5,0)</f>
        <v>ACS</v>
      </c>
      <c r="AO387" s="35" t="s">
        <v>159</v>
      </c>
      <c r="AP387" s="35"/>
      <c r="AQ387" s="35">
        <v>71015</v>
      </c>
      <c r="AR387" s="35" t="s">
        <v>585</v>
      </c>
      <c r="AS387" s="121">
        <v>70.635770000000008</v>
      </c>
      <c r="AU387" s="7" t="str">
        <f>VLOOKUP($AO387,Mapping!$E$11:$I$204,3,0)</f>
        <v>Replacement</v>
      </c>
      <c r="AV387" s="7" t="str">
        <f>IFERROR(VLOOKUP($AQ387,Mapping!$E$208:$K$236,5,0),"Contracts")</f>
        <v>Materials</v>
      </c>
      <c r="AW387" s="7" t="str">
        <f>IFERROR(VLOOKUP($AQ387,Mapping!$E$208:$K$236,7,0),"ENDirect")</f>
        <v>ENDirect</v>
      </c>
      <c r="AX387" s="7" t="str">
        <f>IFERROR(HLOOKUP(AV387,'Calc|Weightings'!$U$5:$W$5,1,0),"Excl")</f>
        <v>Materials</v>
      </c>
      <c r="AY387" s="7" t="str">
        <f>VLOOKUP(AO387,Mapping!$E$11:$I$204,5,0)</f>
        <v>SCS</v>
      </c>
    </row>
    <row r="388" spans="1:51" x14ac:dyDescent="0.3">
      <c r="A388" s="7"/>
      <c r="B388" s="7"/>
      <c r="C388" s="7"/>
      <c r="D388" s="7"/>
      <c r="E388" s="32" t="s">
        <v>145</v>
      </c>
      <c r="F388" s="32"/>
      <c r="G388" s="32">
        <v>71000</v>
      </c>
      <c r="H388" s="32" t="s">
        <v>457</v>
      </c>
      <c r="I388" s="33">
        <v>2469.2669999999998</v>
      </c>
      <c r="J388" s="170"/>
      <c r="K388" s="7" t="str">
        <f>VLOOKUP($E388,Mapping!$E$11:$I$204,3,0)</f>
        <v>Augmentation</v>
      </c>
      <c r="L388" s="7" t="str">
        <f>IFERROR(VLOOKUP($G388,Mapping!$E$208:$K$236,5,0),"Contracts")</f>
        <v>Labour</v>
      </c>
      <c r="M388" s="7" t="str">
        <f>IFERROR(VLOOKUP($G388,Mapping!$E$208:$K$236,7,0),"ENDirect")</f>
        <v>ENDirect</v>
      </c>
      <c r="N388" s="7" t="str">
        <f>IFERROR(HLOOKUP(L388,'Calc|Weightings'!$U$5:$W$5,1,0),"Excl")</f>
        <v>Labour</v>
      </c>
      <c r="O388" s="7" t="str">
        <f>VLOOKUP(E388,Mapping!$E$11:$I$204,5,0)</f>
        <v>SCS</v>
      </c>
      <c r="Q388" s="32" t="s">
        <v>123</v>
      </c>
      <c r="R388" s="32"/>
      <c r="S388" s="32">
        <v>71015</v>
      </c>
      <c r="T388" s="32" t="s">
        <v>463</v>
      </c>
      <c r="U388" s="33">
        <v>39.015999999999998</v>
      </c>
      <c r="V388" s="7"/>
      <c r="W388" s="7" t="str">
        <f>VLOOKUP($Q388,Mapping!$E$11:$I$204,3,0)</f>
        <v>Augmentation</v>
      </c>
      <c r="X388" s="7" t="str">
        <f>IFERROR(VLOOKUP($S388,Mapping!$E$208:$K$236,5,0),"Contracts")</f>
        <v>Materials</v>
      </c>
      <c r="Y388" s="7" t="str">
        <f>IFERROR(VLOOKUP($S388,Mapping!$E$208:$K$236,7,0),"ENDirect")</f>
        <v>ENDirect</v>
      </c>
      <c r="Z388" s="7" t="str">
        <f>IFERROR(HLOOKUP(X388,'Calc|Weightings'!$U$5:$W$5,1,0),"Excl")</f>
        <v>Materials</v>
      </c>
      <c r="AA388" s="7" t="str">
        <f>VLOOKUP(Q388,Mapping!$E$11:$I$204,5,0)</f>
        <v>SCS</v>
      </c>
      <c r="AC388" s="35" t="s">
        <v>106</v>
      </c>
      <c r="AD388" s="35"/>
      <c r="AE388" s="35">
        <v>71000</v>
      </c>
      <c r="AF388" s="35" t="s">
        <v>457</v>
      </c>
      <c r="AG388" s="36">
        <v>404.12900000000002</v>
      </c>
      <c r="AI388" s="7" t="str">
        <f>VLOOKUP($AC388,Mapping!$E$11:$I$204,3,0)</f>
        <v>ACS</v>
      </c>
      <c r="AJ388" s="7" t="str">
        <f>IFERROR(VLOOKUP($AE388,Mapping!$E$208:$K$236,5,0),"Contracts")</f>
        <v>Labour</v>
      </c>
      <c r="AK388" s="7" t="str">
        <f>IFERROR(VLOOKUP($AE388,Mapping!$E$208:$K$236,7,0),"ENDirect")</f>
        <v>ENDirect</v>
      </c>
      <c r="AL388" s="7" t="str">
        <f>IFERROR(HLOOKUP(AJ388,'Calc|Weightings'!$U$5:$W$5,1,0),"Excl")</f>
        <v>Labour</v>
      </c>
      <c r="AM388" s="7" t="str">
        <f>VLOOKUP(AC388,Mapping!$E$11:$I$204,5,0)</f>
        <v>ACS</v>
      </c>
      <c r="AO388" s="35" t="s">
        <v>159</v>
      </c>
      <c r="AP388" s="35"/>
      <c r="AQ388" s="35">
        <v>71130</v>
      </c>
      <c r="AR388" s="35" t="s">
        <v>592</v>
      </c>
      <c r="AS388" s="121">
        <v>47.439900000000002</v>
      </c>
      <c r="AU388" s="7" t="str">
        <f>VLOOKUP($AO388,Mapping!$E$11:$I$204,3,0)</f>
        <v>Replacement</v>
      </c>
      <c r="AV388" s="7" t="str">
        <f>IFERROR(VLOOKUP($AQ388,Mapping!$E$208:$K$236,5,0),"Contracts")</f>
        <v>Contracts</v>
      </c>
      <c r="AW388" s="7" t="str">
        <f>IFERROR(VLOOKUP($AQ388,Mapping!$E$208:$K$236,7,0),"ENDirect")</f>
        <v>ENDirect</v>
      </c>
      <c r="AX388" s="7" t="str">
        <f>IFERROR(HLOOKUP(AV388,'Calc|Weightings'!$U$5:$W$5,1,0),"Excl")</f>
        <v>Contracts</v>
      </c>
      <c r="AY388" s="7" t="str">
        <f>VLOOKUP(AO388,Mapping!$E$11:$I$204,5,0)</f>
        <v>SCS</v>
      </c>
    </row>
    <row r="389" spans="1:51" x14ac:dyDescent="0.3">
      <c r="A389" s="7"/>
      <c r="B389" s="7"/>
      <c r="C389" s="7"/>
      <c r="D389" s="7"/>
      <c r="E389" s="32" t="s">
        <v>145</v>
      </c>
      <c r="F389" s="32"/>
      <c r="G389" s="32">
        <v>71015</v>
      </c>
      <c r="H389" s="32" t="s">
        <v>463</v>
      </c>
      <c r="I389" s="33">
        <v>526.06200000000001</v>
      </c>
      <c r="J389" s="170"/>
      <c r="K389" s="7" t="str">
        <f>VLOOKUP($E389,Mapping!$E$11:$I$204,3,0)</f>
        <v>Augmentation</v>
      </c>
      <c r="L389" s="7" t="str">
        <f>IFERROR(VLOOKUP($G389,Mapping!$E$208:$K$236,5,0),"Contracts")</f>
        <v>Materials</v>
      </c>
      <c r="M389" s="7" t="str">
        <f>IFERROR(VLOOKUP($G389,Mapping!$E$208:$K$236,7,0),"ENDirect")</f>
        <v>ENDirect</v>
      </c>
      <c r="N389" s="7" t="str">
        <f>IFERROR(HLOOKUP(L389,'Calc|Weightings'!$U$5:$W$5,1,0),"Excl")</f>
        <v>Materials</v>
      </c>
      <c r="O389" s="7" t="str">
        <f>VLOOKUP(E389,Mapping!$E$11:$I$204,5,0)</f>
        <v>SCS</v>
      </c>
      <c r="Q389" s="32" t="s">
        <v>123</v>
      </c>
      <c r="R389" s="32"/>
      <c r="S389" s="32">
        <v>71020</v>
      </c>
      <c r="T389" s="32" t="s">
        <v>459</v>
      </c>
      <c r="U389" s="33">
        <v>-27.827000000000002</v>
      </c>
      <c r="V389" s="7"/>
      <c r="W389" s="7" t="str">
        <f>VLOOKUP($Q389,Mapping!$E$11:$I$204,3,0)</f>
        <v>Augmentation</v>
      </c>
      <c r="X389" s="7" t="str">
        <f>IFERROR(VLOOKUP($S389,Mapping!$E$208:$K$236,5,0),"Contracts")</f>
        <v>Contracts</v>
      </c>
      <c r="Y389" s="7" t="str">
        <f>IFERROR(VLOOKUP($S389,Mapping!$E$208:$K$236,7,0),"ENDirect")</f>
        <v>ENDirect</v>
      </c>
      <c r="Z389" s="7" t="str">
        <f>IFERROR(HLOOKUP(X389,'Calc|Weightings'!$U$5:$W$5,1,0),"Excl")</f>
        <v>Contracts</v>
      </c>
      <c r="AA389" s="7" t="str">
        <f>VLOOKUP(Q389,Mapping!$E$11:$I$204,5,0)</f>
        <v>SCS</v>
      </c>
      <c r="AC389" s="35" t="s">
        <v>106</v>
      </c>
      <c r="AD389" s="35"/>
      <c r="AE389" s="35">
        <v>71005</v>
      </c>
      <c r="AF389" s="35" t="s">
        <v>461</v>
      </c>
      <c r="AG389" s="36">
        <v>137.834</v>
      </c>
      <c r="AI389" s="7" t="str">
        <f>VLOOKUP($AC389,Mapping!$E$11:$I$204,3,0)</f>
        <v>ACS</v>
      </c>
      <c r="AJ389" s="7" t="str">
        <f>IFERROR(VLOOKUP($AE389,Mapping!$E$208:$K$236,5,0),"Contracts")</f>
        <v>Materials</v>
      </c>
      <c r="AK389" s="7" t="str">
        <f>IFERROR(VLOOKUP($AE389,Mapping!$E$208:$K$236,7,0),"ENDirect")</f>
        <v>ENDirect</v>
      </c>
      <c r="AL389" s="7" t="str">
        <f>IFERROR(HLOOKUP(AJ389,'Calc|Weightings'!$U$5:$W$5,1,0),"Excl")</f>
        <v>Materials</v>
      </c>
      <c r="AM389" s="7" t="str">
        <f>VLOOKUP(AC389,Mapping!$E$11:$I$204,5,0)</f>
        <v>ACS</v>
      </c>
      <c r="AO389" s="35" t="s">
        <v>159</v>
      </c>
      <c r="AP389" s="35"/>
      <c r="AQ389" s="35">
        <v>71140</v>
      </c>
      <c r="AR389" s="35" t="s">
        <v>593</v>
      </c>
      <c r="AS389" s="121">
        <v>12.882</v>
      </c>
      <c r="AU389" s="7" t="str">
        <f>VLOOKUP($AO389,Mapping!$E$11:$I$204,3,0)</f>
        <v>Replacement</v>
      </c>
      <c r="AV389" s="7" t="str">
        <f>IFERROR(VLOOKUP($AQ389,Mapping!$E$208:$K$236,5,0),"Contracts")</f>
        <v>Contracts</v>
      </c>
      <c r="AW389" s="7" t="str">
        <f>IFERROR(VLOOKUP($AQ389,Mapping!$E$208:$K$236,7,0),"ENDirect")</f>
        <v>ENDirect</v>
      </c>
      <c r="AX389" s="7" t="str">
        <f>IFERROR(HLOOKUP(AV389,'Calc|Weightings'!$U$5:$W$5,1,0),"Excl")</f>
        <v>Contracts</v>
      </c>
      <c r="AY389" s="7" t="str">
        <f>VLOOKUP(AO389,Mapping!$E$11:$I$204,5,0)</f>
        <v>SCS</v>
      </c>
    </row>
    <row r="390" spans="1:51" x14ac:dyDescent="0.3">
      <c r="A390" s="7"/>
      <c r="B390" s="7"/>
      <c r="C390" s="7"/>
      <c r="D390" s="7"/>
      <c r="E390" s="32" t="s">
        <v>145</v>
      </c>
      <c r="F390" s="32"/>
      <c r="G390" s="32">
        <v>71020</v>
      </c>
      <c r="H390" s="32" t="s">
        <v>459</v>
      </c>
      <c r="I390" s="33">
        <v>335.483</v>
      </c>
      <c r="J390" s="170"/>
      <c r="K390" s="7" t="str">
        <f>VLOOKUP($E390,Mapping!$E$11:$I$204,3,0)</f>
        <v>Augmentation</v>
      </c>
      <c r="L390" s="7" t="str">
        <f>IFERROR(VLOOKUP($G390,Mapping!$E$208:$K$236,5,0),"Contracts")</f>
        <v>Contracts</v>
      </c>
      <c r="M390" s="7" t="str">
        <f>IFERROR(VLOOKUP($G390,Mapping!$E$208:$K$236,7,0),"ENDirect")</f>
        <v>ENDirect</v>
      </c>
      <c r="N390" s="7" t="str">
        <f>IFERROR(HLOOKUP(L390,'Calc|Weightings'!$U$5:$W$5,1,0),"Excl")</f>
        <v>Contracts</v>
      </c>
      <c r="O390" s="7" t="str">
        <f>VLOOKUP(E390,Mapping!$E$11:$I$204,5,0)</f>
        <v>SCS</v>
      </c>
      <c r="Q390" s="32" t="s">
        <v>123</v>
      </c>
      <c r="R390" s="32"/>
      <c r="S390" s="32">
        <v>71030</v>
      </c>
      <c r="T390" s="32" t="s">
        <v>464</v>
      </c>
      <c r="U390" s="33">
        <v>30.311</v>
      </c>
      <c r="V390" s="7"/>
      <c r="W390" s="7" t="str">
        <f>VLOOKUP($Q390,Mapping!$E$11:$I$204,3,0)</f>
        <v>Augmentation</v>
      </c>
      <c r="X390" s="7" t="str">
        <f>IFERROR(VLOOKUP($S390,Mapping!$E$208:$K$236,5,0),"Contracts")</f>
        <v>Contracts</v>
      </c>
      <c r="Y390" s="7" t="str">
        <f>IFERROR(VLOOKUP($S390,Mapping!$E$208:$K$236,7,0),"ENDirect")</f>
        <v>ENDirect</v>
      </c>
      <c r="Z390" s="7" t="str">
        <f>IFERROR(HLOOKUP(X390,'Calc|Weightings'!$U$5:$W$5,1,0),"Excl")</f>
        <v>Contracts</v>
      </c>
      <c r="AA390" s="7" t="str">
        <f>VLOOKUP(Q390,Mapping!$E$11:$I$204,5,0)</f>
        <v>SCS</v>
      </c>
      <c r="AC390" s="35" t="s">
        <v>106</v>
      </c>
      <c r="AD390" s="35"/>
      <c r="AE390" s="35">
        <v>71010</v>
      </c>
      <c r="AF390" s="35" t="s">
        <v>462</v>
      </c>
      <c r="AG390" s="36">
        <v>32.585000000000001</v>
      </c>
      <c r="AI390" s="7" t="str">
        <f>VLOOKUP($AC390,Mapping!$E$11:$I$204,3,0)</f>
        <v>ACS</v>
      </c>
      <c r="AJ390" s="7" t="str">
        <f>IFERROR(VLOOKUP($AE390,Mapping!$E$208:$K$236,5,0),"Contracts")</f>
        <v>Labour</v>
      </c>
      <c r="AK390" s="7" t="str">
        <f>IFERROR(VLOOKUP($AE390,Mapping!$E$208:$K$236,7,0),"ENDirect")</f>
        <v>ENDirect</v>
      </c>
      <c r="AL390" s="7" t="str">
        <f>IFERROR(HLOOKUP(AJ390,'Calc|Weightings'!$U$5:$W$5,1,0),"Excl")</f>
        <v>Labour</v>
      </c>
      <c r="AM390" s="7" t="str">
        <f>VLOOKUP(AC390,Mapping!$E$11:$I$204,5,0)</f>
        <v>ACS</v>
      </c>
      <c r="AO390" s="35" t="s">
        <v>159</v>
      </c>
      <c r="AP390" s="35"/>
      <c r="AQ390" s="35">
        <v>80000</v>
      </c>
      <c r="AR390" s="35" t="s">
        <v>589</v>
      </c>
      <c r="AS390" s="121">
        <v>78.897859999999994</v>
      </c>
      <c r="AU390" s="7" t="str">
        <f>VLOOKUP($AO390,Mapping!$E$11:$I$204,3,0)</f>
        <v>Replacement</v>
      </c>
      <c r="AV390" s="7" t="str">
        <f>IFERROR(VLOOKUP($AQ390,Mapping!$E$208:$K$236,5,0),"Contracts")</f>
        <v>Overhead</v>
      </c>
      <c r="AW390" s="7" t="str">
        <f>IFERROR(VLOOKUP($AQ390,Mapping!$E$208:$K$236,7,0),"ENDirect")</f>
        <v>OH</v>
      </c>
      <c r="AX390" s="7" t="str">
        <f>IFERROR(HLOOKUP(AV390,'Calc|Weightings'!$U$5:$W$5,1,0),"Excl")</f>
        <v>Excl</v>
      </c>
      <c r="AY390" s="7" t="str">
        <f>VLOOKUP(AO390,Mapping!$E$11:$I$204,5,0)</f>
        <v>SCS</v>
      </c>
    </row>
    <row r="391" spans="1:51" x14ac:dyDescent="0.3">
      <c r="A391" s="7"/>
      <c r="B391" s="7"/>
      <c r="C391" s="7"/>
      <c r="D391" s="7"/>
      <c r="E391" s="32" t="s">
        <v>162</v>
      </c>
      <c r="F391" s="32"/>
      <c r="G391" s="32">
        <v>71020</v>
      </c>
      <c r="H391" s="32" t="s">
        <v>459</v>
      </c>
      <c r="I391" s="33">
        <v>287.79899999999998</v>
      </c>
      <c r="J391" s="170"/>
      <c r="K391" s="7" t="str">
        <f>VLOOKUP($E391,Mapping!$E$11:$I$204,3,0)</f>
        <v>Replacement</v>
      </c>
      <c r="L391" s="7" t="str">
        <f>IFERROR(VLOOKUP($G391,Mapping!$E$208:$K$236,5,0),"Contracts")</f>
        <v>Contracts</v>
      </c>
      <c r="M391" s="7" t="str">
        <f>IFERROR(VLOOKUP($G391,Mapping!$E$208:$K$236,7,0),"ENDirect")</f>
        <v>ENDirect</v>
      </c>
      <c r="N391" s="7" t="str">
        <f>IFERROR(HLOOKUP(L391,'Calc|Weightings'!$U$5:$W$5,1,0),"Excl")</f>
        <v>Contracts</v>
      </c>
      <c r="O391" s="7" t="str">
        <f>VLOOKUP(E391,Mapping!$E$11:$I$204,5,0)</f>
        <v>SCS</v>
      </c>
      <c r="Q391" s="32" t="s">
        <v>123</v>
      </c>
      <c r="R391" s="32"/>
      <c r="S391" s="32">
        <v>71055</v>
      </c>
      <c r="T391" s="32" t="s">
        <v>465</v>
      </c>
      <c r="U391" s="33">
        <v>63.902000000000001</v>
      </c>
      <c r="V391" s="7"/>
      <c r="W391" s="7" t="str">
        <f>VLOOKUP($Q391,Mapping!$E$11:$I$204,3,0)</f>
        <v>Augmentation</v>
      </c>
      <c r="X391" s="7" t="str">
        <f>IFERROR(VLOOKUP($S391,Mapping!$E$208:$K$236,5,0),"Contracts")</f>
        <v>Contracts</v>
      </c>
      <c r="Y391" s="7" t="str">
        <f>IFERROR(VLOOKUP($S391,Mapping!$E$208:$K$236,7,0),"ENDirect")</f>
        <v>ENDirect</v>
      </c>
      <c r="Z391" s="7" t="str">
        <f>IFERROR(HLOOKUP(X391,'Calc|Weightings'!$U$5:$W$5,1,0),"Excl")</f>
        <v>Contracts</v>
      </c>
      <c r="AA391" s="7" t="str">
        <f>VLOOKUP(Q391,Mapping!$E$11:$I$204,5,0)</f>
        <v>SCS</v>
      </c>
      <c r="AC391" s="35" t="s">
        <v>106</v>
      </c>
      <c r="AD391" s="35"/>
      <c r="AE391" s="35">
        <v>71015</v>
      </c>
      <c r="AF391" s="35" t="s">
        <v>463</v>
      </c>
      <c r="AG391" s="36">
        <v>98.039000000000001</v>
      </c>
      <c r="AI391" s="7" t="str">
        <f>VLOOKUP($AC391,Mapping!$E$11:$I$204,3,0)</f>
        <v>ACS</v>
      </c>
      <c r="AJ391" s="7" t="str">
        <f>IFERROR(VLOOKUP($AE391,Mapping!$E$208:$K$236,5,0),"Contracts")</f>
        <v>Materials</v>
      </c>
      <c r="AK391" s="7" t="str">
        <f>IFERROR(VLOOKUP($AE391,Mapping!$E$208:$K$236,7,0),"ENDirect")</f>
        <v>ENDirect</v>
      </c>
      <c r="AL391" s="7" t="str">
        <f>IFERROR(HLOOKUP(AJ391,'Calc|Weightings'!$U$5:$W$5,1,0),"Excl")</f>
        <v>Materials</v>
      </c>
      <c r="AM391" s="7" t="str">
        <f>VLOOKUP(AC391,Mapping!$E$11:$I$204,5,0)</f>
        <v>ACS</v>
      </c>
      <c r="AO391" s="35" t="s">
        <v>160</v>
      </c>
      <c r="AP391" s="35"/>
      <c r="AQ391" s="35">
        <v>70815</v>
      </c>
      <c r="AR391" s="35" t="s">
        <v>594</v>
      </c>
      <c r="AS391" s="121">
        <v>232.31591999999998</v>
      </c>
      <c r="AU391" s="7" t="str">
        <f>VLOOKUP($AO391,Mapping!$E$11:$I$204,3,0)</f>
        <v>Augmentation</v>
      </c>
      <c r="AV391" s="7" t="str">
        <f>IFERROR(VLOOKUP($AQ391,Mapping!$E$208:$K$236,5,0),"Contracts")</f>
        <v>Materials</v>
      </c>
      <c r="AW391" s="7" t="str">
        <f>IFERROR(VLOOKUP($AQ391,Mapping!$E$208:$K$236,7,0),"ENDirect")</f>
        <v>ENDirect</v>
      </c>
      <c r="AX391" s="7" t="str">
        <f>IFERROR(HLOOKUP(AV391,'Calc|Weightings'!$U$5:$W$5,1,0),"Excl")</f>
        <v>Materials</v>
      </c>
      <c r="AY391" s="7" t="str">
        <f>VLOOKUP(AO391,Mapping!$E$11:$I$204,5,0)</f>
        <v>SCS</v>
      </c>
    </row>
    <row r="392" spans="1:51" x14ac:dyDescent="0.3">
      <c r="A392" s="7"/>
      <c r="B392" s="7"/>
      <c r="C392" s="7"/>
      <c r="D392" s="7"/>
      <c r="E392" s="32" t="s">
        <v>176</v>
      </c>
      <c r="F392" s="32"/>
      <c r="G392" s="32">
        <v>71000</v>
      </c>
      <c r="H392" s="32" t="s">
        <v>457</v>
      </c>
      <c r="I392" s="33">
        <v>292.00200000000001</v>
      </c>
      <c r="J392" s="170"/>
      <c r="K392" s="7" t="str">
        <f>VLOOKUP($E392,Mapping!$E$11:$I$204,3,0)</f>
        <v>Replacement</v>
      </c>
      <c r="L392" s="7" t="str">
        <f>IFERROR(VLOOKUP($G392,Mapping!$E$208:$K$236,5,0),"Contracts")</f>
        <v>Labour</v>
      </c>
      <c r="M392" s="7" t="str">
        <f>IFERROR(VLOOKUP($G392,Mapping!$E$208:$K$236,7,0),"ENDirect")</f>
        <v>ENDirect</v>
      </c>
      <c r="N392" s="7" t="str">
        <f>IFERROR(HLOOKUP(L392,'Calc|Weightings'!$U$5:$W$5,1,0),"Excl")</f>
        <v>Labour</v>
      </c>
      <c r="O392" s="7" t="str">
        <f>VLOOKUP(E392,Mapping!$E$11:$I$204,5,0)</f>
        <v>SCS</v>
      </c>
      <c r="Q392" s="32" t="s">
        <v>123</v>
      </c>
      <c r="R392" s="32"/>
      <c r="S392" s="32">
        <v>80000</v>
      </c>
      <c r="T392" s="32" t="s">
        <v>453</v>
      </c>
      <c r="U392" s="33">
        <v>88.879000000000005</v>
      </c>
      <c r="V392" s="7"/>
      <c r="W392" s="7" t="str">
        <f>VLOOKUP($Q392,Mapping!$E$11:$I$204,3,0)</f>
        <v>Augmentation</v>
      </c>
      <c r="X392" s="7" t="str">
        <f>IFERROR(VLOOKUP($S392,Mapping!$E$208:$K$236,5,0),"Contracts")</f>
        <v>Overhead</v>
      </c>
      <c r="Y392" s="7" t="str">
        <f>IFERROR(VLOOKUP($S392,Mapping!$E$208:$K$236,7,0),"ENDirect")</f>
        <v>OH</v>
      </c>
      <c r="Z392" s="7" t="str">
        <f>IFERROR(HLOOKUP(X392,'Calc|Weightings'!$U$5:$W$5,1,0),"Excl")</f>
        <v>Excl</v>
      </c>
      <c r="AA392" s="7" t="str">
        <f>VLOOKUP(Q392,Mapping!$E$11:$I$204,5,0)</f>
        <v>SCS</v>
      </c>
      <c r="AC392" s="35" t="s">
        <v>106</v>
      </c>
      <c r="AD392" s="35"/>
      <c r="AE392" s="35">
        <v>71030</v>
      </c>
      <c r="AF392" s="35" t="s">
        <v>464</v>
      </c>
      <c r="AG392" s="36">
        <v>54.707000000000001</v>
      </c>
      <c r="AI392" s="7" t="str">
        <f>VLOOKUP($AC392,Mapping!$E$11:$I$204,3,0)</f>
        <v>ACS</v>
      </c>
      <c r="AJ392" s="7" t="str">
        <f>IFERROR(VLOOKUP($AE392,Mapping!$E$208:$K$236,5,0),"Contracts")</f>
        <v>Contracts</v>
      </c>
      <c r="AK392" s="7" t="str">
        <f>IFERROR(VLOOKUP($AE392,Mapping!$E$208:$K$236,7,0),"ENDirect")</f>
        <v>ENDirect</v>
      </c>
      <c r="AL392" s="7" t="str">
        <f>IFERROR(HLOOKUP(AJ392,'Calc|Weightings'!$U$5:$W$5,1,0),"Excl")</f>
        <v>Contracts</v>
      </c>
      <c r="AM392" s="7" t="str">
        <f>VLOOKUP(AC392,Mapping!$E$11:$I$204,5,0)</f>
        <v>ACS</v>
      </c>
      <c r="AO392" s="35" t="s">
        <v>160</v>
      </c>
      <c r="AP392" s="35"/>
      <c r="AQ392" s="35">
        <v>71000</v>
      </c>
      <c r="AR392" s="35" t="s">
        <v>457</v>
      </c>
      <c r="AS392" s="121">
        <v>2913.9488099999994</v>
      </c>
      <c r="AU392" s="7" t="str">
        <f>VLOOKUP($AO392,Mapping!$E$11:$I$204,3,0)</f>
        <v>Augmentation</v>
      </c>
      <c r="AV392" s="7" t="str">
        <f>IFERROR(VLOOKUP($AQ392,Mapping!$E$208:$K$236,5,0),"Contracts")</f>
        <v>Labour</v>
      </c>
      <c r="AW392" s="7" t="str">
        <f>IFERROR(VLOOKUP($AQ392,Mapping!$E$208:$K$236,7,0),"ENDirect")</f>
        <v>ENDirect</v>
      </c>
      <c r="AX392" s="7" t="str">
        <f>IFERROR(HLOOKUP(AV392,'Calc|Weightings'!$U$5:$W$5,1,0),"Excl")</f>
        <v>Labour</v>
      </c>
      <c r="AY392" s="7" t="str">
        <f>VLOOKUP(AO392,Mapping!$E$11:$I$204,5,0)</f>
        <v>SCS</v>
      </c>
    </row>
    <row r="393" spans="1:51" x14ac:dyDescent="0.3">
      <c r="A393" s="7"/>
      <c r="B393" s="7"/>
      <c r="C393" s="7"/>
      <c r="D393" s="7"/>
      <c r="E393" s="32" t="s">
        <v>176</v>
      </c>
      <c r="F393" s="32"/>
      <c r="G393" s="32">
        <v>71005</v>
      </c>
      <c r="H393" s="32" t="s">
        <v>461</v>
      </c>
      <c r="I393" s="33">
        <v>315.35300000000001</v>
      </c>
      <c r="J393" s="170"/>
      <c r="K393" s="7" t="str">
        <f>VLOOKUP($E393,Mapping!$E$11:$I$204,3,0)</f>
        <v>Replacement</v>
      </c>
      <c r="L393" s="7" t="str">
        <f>IFERROR(VLOOKUP($G393,Mapping!$E$208:$K$236,5,0),"Contracts")</f>
        <v>Materials</v>
      </c>
      <c r="M393" s="7" t="str">
        <f>IFERROR(VLOOKUP($G393,Mapping!$E$208:$K$236,7,0),"ENDirect")</f>
        <v>ENDirect</v>
      </c>
      <c r="N393" s="7" t="str">
        <f>IFERROR(HLOOKUP(L393,'Calc|Weightings'!$U$5:$W$5,1,0),"Excl")</f>
        <v>Materials</v>
      </c>
      <c r="O393" s="7" t="str">
        <f>VLOOKUP(E393,Mapping!$E$11:$I$204,5,0)</f>
        <v>SCS</v>
      </c>
      <c r="Q393" s="32" t="s">
        <v>133</v>
      </c>
      <c r="R393" s="32"/>
      <c r="S393" s="32">
        <v>71000</v>
      </c>
      <c r="T393" s="32" t="s">
        <v>457</v>
      </c>
      <c r="U393" s="33">
        <v>1546.231</v>
      </c>
      <c r="V393" s="7"/>
      <c r="W393" s="7" t="str">
        <f>VLOOKUP($Q393,Mapping!$E$11:$I$204,3,0)</f>
        <v>ACS</v>
      </c>
      <c r="X393" s="7" t="str">
        <f>IFERROR(VLOOKUP($S393,Mapping!$E$208:$K$236,5,0),"Contracts")</f>
        <v>Labour</v>
      </c>
      <c r="Y393" s="7" t="str">
        <f>IFERROR(VLOOKUP($S393,Mapping!$E$208:$K$236,7,0),"ENDirect")</f>
        <v>ENDirect</v>
      </c>
      <c r="Z393" s="7" t="str">
        <f>IFERROR(HLOOKUP(X393,'Calc|Weightings'!$U$5:$W$5,1,0),"Excl")</f>
        <v>Labour</v>
      </c>
      <c r="AA393" s="7" t="str">
        <f>VLOOKUP(Q393,Mapping!$E$11:$I$204,5,0)</f>
        <v>ACS</v>
      </c>
      <c r="AC393" s="35" t="s">
        <v>106</v>
      </c>
      <c r="AD393" s="35"/>
      <c r="AE393" s="35">
        <v>71055</v>
      </c>
      <c r="AF393" s="35" t="s">
        <v>465</v>
      </c>
      <c r="AG393" s="36">
        <v>110.69</v>
      </c>
      <c r="AI393" s="7" t="str">
        <f>VLOOKUP($AC393,Mapping!$E$11:$I$204,3,0)</f>
        <v>ACS</v>
      </c>
      <c r="AJ393" s="7" t="str">
        <f>IFERROR(VLOOKUP($AE393,Mapping!$E$208:$K$236,5,0),"Contracts")</f>
        <v>Contracts</v>
      </c>
      <c r="AK393" s="7" t="str">
        <f>IFERROR(VLOOKUP($AE393,Mapping!$E$208:$K$236,7,0),"ENDirect")</f>
        <v>ENDirect</v>
      </c>
      <c r="AL393" s="7" t="str">
        <f>IFERROR(HLOOKUP(AJ393,'Calc|Weightings'!$U$5:$W$5,1,0),"Excl")</f>
        <v>Contracts</v>
      </c>
      <c r="AM393" s="7" t="str">
        <f>VLOOKUP(AC393,Mapping!$E$11:$I$204,5,0)</f>
        <v>ACS</v>
      </c>
      <c r="AO393" s="35" t="s">
        <v>160</v>
      </c>
      <c r="AP393" s="35"/>
      <c r="AQ393" s="35">
        <v>71005</v>
      </c>
      <c r="AR393" s="35" t="s">
        <v>461</v>
      </c>
      <c r="AS393" s="121">
        <v>715.66305999999986</v>
      </c>
      <c r="AU393" s="7" t="str">
        <f>VLOOKUP($AO393,Mapping!$E$11:$I$204,3,0)</f>
        <v>Augmentation</v>
      </c>
      <c r="AV393" s="7" t="str">
        <f>IFERROR(VLOOKUP($AQ393,Mapping!$E$208:$K$236,5,0),"Contracts")</f>
        <v>Materials</v>
      </c>
      <c r="AW393" s="7" t="str">
        <f>IFERROR(VLOOKUP($AQ393,Mapping!$E$208:$K$236,7,0),"ENDirect")</f>
        <v>ENDirect</v>
      </c>
      <c r="AX393" s="7" t="str">
        <f>IFERROR(HLOOKUP(AV393,'Calc|Weightings'!$U$5:$W$5,1,0),"Excl")</f>
        <v>Materials</v>
      </c>
      <c r="AY393" s="7" t="str">
        <f>VLOOKUP(AO393,Mapping!$E$11:$I$204,5,0)</f>
        <v>SCS</v>
      </c>
    </row>
    <row r="394" spans="1:51" x14ac:dyDescent="0.3">
      <c r="A394" s="7"/>
      <c r="B394" s="7"/>
      <c r="C394" s="7"/>
      <c r="D394" s="7"/>
      <c r="E394" s="32" t="s">
        <v>176</v>
      </c>
      <c r="F394" s="32"/>
      <c r="G394" s="32">
        <v>71010</v>
      </c>
      <c r="H394" s="32" t="s">
        <v>462</v>
      </c>
      <c r="I394" s="33">
        <v>514.44399999999996</v>
      </c>
      <c r="J394" s="170"/>
      <c r="K394" s="7" t="str">
        <f>VLOOKUP($E394,Mapping!$E$11:$I$204,3,0)</f>
        <v>Replacement</v>
      </c>
      <c r="L394" s="7" t="str">
        <f>IFERROR(VLOOKUP($G394,Mapping!$E$208:$K$236,5,0),"Contracts")</f>
        <v>Labour</v>
      </c>
      <c r="M394" s="7" t="str">
        <f>IFERROR(VLOOKUP($G394,Mapping!$E$208:$K$236,7,0),"ENDirect")</f>
        <v>ENDirect</v>
      </c>
      <c r="N394" s="7" t="str">
        <f>IFERROR(HLOOKUP(L394,'Calc|Weightings'!$U$5:$W$5,1,0),"Excl")</f>
        <v>Labour</v>
      </c>
      <c r="O394" s="7" t="str">
        <f>VLOOKUP(E394,Mapping!$E$11:$I$204,5,0)</f>
        <v>SCS</v>
      </c>
      <c r="Q394" s="32" t="s">
        <v>133</v>
      </c>
      <c r="R394" s="32"/>
      <c r="S394" s="32">
        <v>71005</v>
      </c>
      <c r="T394" s="32" t="s">
        <v>461</v>
      </c>
      <c r="U394" s="33">
        <v>283.83199999999999</v>
      </c>
      <c r="V394" s="7"/>
      <c r="W394" s="7" t="str">
        <f>VLOOKUP($Q394,Mapping!$E$11:$I$204,3,0)</f>
        <v>ACS</v>
      </c>
      <c r="X394" s="7" t="str">
        <f>IFERROR(VLOOKUP($S394,Mapping!$E$208:$K$236,5,0),"Contracts")</f>
        <v>Materials</v>
      </c>
      <c r="Y394" s="7" t="str">
        <f>IFERROR(VLOOKUP($S394,Mapping!$E$208:$K$236,7,0),"ENDirect")</f>
        <v>ENDirect</v>
      </c>
      <c r="Z394" s="7" t="str">
        <f>IFERROR(HLOOKUP(X394,'Calc|Weightings'!$U$5:$W$5,1,0),"Excl")</f>
        <v>Materials</v>
      </c>
      <c r="AA394" s="7" t="str">
        <f>VLOOKUP(Q394,Mapping!$E$11:$I$204,5,0)</f>
        <v>ACS</v>
      </c>
      <c r="AC394" s="35" t="s">
        <v>106</v>
      </c>
      <c r="AD394" s="35"/>
      <c r="AE394" s="35">
        <v>80000</v>
      </c>
      <c r="AF394" s="35" t="s">
        <v>453</v>
      </c>
      <c r="AG394" s="36">
        <v>79.912000000000006</v>
      </c>
      <c r="AI394" s="7" t="str">
        <f>VLOOKUP($AC394,Mapping!$E$11:$I$204,3,0)</f>
        <v>ACS</v>
      </c>
      <c r="AJ394" s="7" t="str">
        <f>IFERROR(VLOOKUP($AE394,Mapping!$E$208:$K$236,5,0),"Contracts")</f>
        <v>Overhead</v>
      </c>
      <c r="AK394" s="7" t="str">
        <f>IFERROR(VLOOKUP($AE394,Mapping!$E$208:$K$236,7,0),"ENDirect")</f>
        <v>OH</v>
      </c>
      <c r="AL394" s="7" t="str">
        <f>IFERROR(HLOOKUP(AJ394,'Calc|Weightings'!$U$5:$W$5,1,0),"Excl")</f>
        <v>Excl</v>
      </c>
      <c r="AM394" s="7" t="str">
        <f>VLOOKUP(AC394,Mapping!$E$11:$I$204,5,0)</f>
        <v>ACS</v>
      </c>
      <c r="AO394" s="35" t="s">
        <v>160</v>
      </c>
      <c r="AP394" s="35"/>
      <c r="AQ394" s="35">
        <v>71010</v>
      </c>
      <c r="AR394" s="35" t="s">
        <v>487</v>
      </c>
      <c r="AS394" s="121">
        <v>917.56707000000006</v>
      </c>
      <c r="AU394" s="7" t="str">
        <f>VLOOKUP($AO394,Mapping!$E$11:$I$204,3,0)</f>
        <v>Augmentation</v>
      </c>
      <c r="AV394" s="7" t="str">
        <f>IFERROR(VLOOKUP($AQ394,Mapping!$E$208:$K$236,5,0),"Contracts")</f>
        <v>Labour</v>
      </c>
      <c r="AW394" s="7" t="str">
        <f>IFERROR(VLOOKUP($AQ394,Mapping!$E$208:$K$236,7,0),"ENDirect")</f>
        <v>ENDirect</v>
      </c>
      <c r="AX394" s="7" t="str">
        <f>IFERROR(HLOOKUP(AV394,'Calc|Weightings'!$U$5:$W$5,1,0),"Excl")</f>
        <v>Labour</v>
      </c>
      <c r="AY394" s="7" t="str">
        <f>VLOOKUP(AO394,Mapping!$E$11:$I$204,5,0)</f>
        <v>SCS</v>
      </c>
    </row>
    <row r="395" spans="1:51" x14ac:dyDescent="0.3">
      <c r="A395" s="7"/>
      <c r="B395" s="7"/>
      <c r="C395" s="7"/>
      <c r="D395" s="7"/>
      <c r="E395" s="32" t="s">
        <v>176</v>
      </c>
      <c r="F395" s="32"/>
      <c r="G395" s="32">
        <v>71020</v>
      </c>
      <c r="H395" s="32" t="s">
        <v>459</v>
      </c>
      <c r="I395" s="33">
        <v>6.3040000000000003</v>
      </c>
      <c r="J395" s="170"/>
      <c r="K395" s="7" t="str">
        <f>VLOOKUP($E395,Mapping!$E$11:$I$204,3,0)</f>
        <v>Replacement</v>
      </c>
      <c r="L395" s="7" t="str">
        <f>IFERROR(VLOOKUP($G395,Mapping!$E$208:$K$236,5,0),"Contracts")</f>
        <v>Contracts</v>
      </c>
      <c r="M395" s="7" t="str">
        <f>IFERROR(VLOOKUP($G395,Mapping!$E$208:$K$236,7,0),"ENDirect")</f>
        <v>ENDirect</v>
      </c>
      <c r="N395" s="7" t="str">
        <f>IFERROR(HLOOKUP(L395,'Calc|Weightings'!$U$5:$W$5,1,0),"Excl")</f>
        <v>Contracts</v>
      </c>
      <c r="O395" s="7" t="str">
        <f>VLOOKUP(E395,Mapping!$E$11:$I$204,5,0)</f>
        <v>SCS</v>
      </c>
      <c r="Q395" s="32" t="s">
        <v>133</v>
      </c>
      <c r="R395" s="32"/>
      <c r="S395" s="32">
        <v>71010</v>
      </c>
      <c r="T395" s="32" t="s">
        <v>462</v>
      </c>
      <c r="U395" s="33">
        <v>96.816000000000003</v>
      </c>
      <c r="V395" s="7"/>
      <c r="W395" s="7" t="str">
        <f>VLOOKUP($Q395,Mapping!$E$11:$I$204,3,0)</f>
        <v>ACS</v>
      </c>
      <c r="X395" s="7" t="str">
        <f>IFERROR(VLOOKUP($S395,Mapping!$E$208:$K$236,5,0),"Contracts")</f>
        <v>Labour</v>
      </c>
      <c r="Y395" s="7" t="str">
        <f>IFERROR(VLOOKUP($S395,Mapping!$E$208:$K$236,7,0),"ENDirect")</f>
        <v>ENDirect</v>
      </c>
      <c r="Z395" s="7" t="str">
        <f>IFERROR(HLOOKUP(X395,'Calc|Weightings'!$U$5:$W$5,1,0),"Excl")</f>
        <v>Labour</v>
      </c>
      <c r="AA395" s="7" t="str">
        <f>VLOOKUP(Q395,Mapping!$E$11:$I$204,5,0)</f>
        <v>ACS</v>
      </c>
      <c r="AC395" s="35" t="s">
        <v>107</v>
      </c>
      <c r="AD395" s="35"/>
      <c r="AE395" s="35">
        <v>71000</v>
      </c>
      <c r="AF395" s="35" t="s">
        <v>457</v>
      </c>
      <c r="AG395" s="36">
        <v>13.286</v>
      </c>
      <c r="AI395" s="7" t="str">
        <f>VLOOKUP($AC395,Mapping!$E$11:$I$204,3,0)</f>
        <v>Public Lighting</v>
      </c>
      <c r="AJ395" s="7" t="str">
        <f>IFERROR(VLOOKUP($AE395,Mapping!$E$208:$K$236,5,0),"Contracts")</f>
        <v>Labour</v>
      </c>
      <c r="AK395" s="7" t="str">
        <f>IFERROR(VLOOKUP($AE395,Mapping!$E$208:$K$236,7,0),"ENDirect")</f>
        <v>ENDirect</v>
      </c>
      <c r="AL395" s="7" t="str">
        <f>IFERROR(HLOOKUP(AJ395,'Calc|Weightings'!$U$5:$W$5,1,0),"Excl")</f>
        <v>Labour</v>
      </c>
      <c r="AM395" s="7" t="str">
        <f>VLOOKUP(AC395,Mapping!$E$11:$I$204,5,0)</f>
        <v>Public Lighting</v>
      </c>
      <c r="AO395" s="35" t="s">
        <v>160</v>
      </c>
      <c r="AP395" s="35"/>
      <c r="AQ395" s="35">
        <v>71015</v>
      </c>
      <c r="AR395" s="35" t="s">
        <v>585</v>
      </c>
      <c r="AS395" s="121">
        <v>197.70690999999999</v>
      </c>
      <c r="AU395" s="7" t="str">
        <f>VLOOKUP($AO395,Mapping!$E$11:$I$204,3,0)</f>
        <v>Augmentation</v>
      </c>
      <c r="AV395" s="7" t="str">
        <f>IFERROR(VLOOKUP($AQ395,Mapping!$E$208:$K$236,5,0),"Contracts")</f>
        <v>Materials</v>
      </c>
      <c r="AW395" s="7" t="str">
        <f>IFERROR(VLOOKUP($AQ395,Mapping!$E$208:$K$236,7,0),"ENDirect")</f>
        <v>ENDirect</v>
      </c>
      <c r="AX395" s="7" t="str">
        <f>IFERROR(HLOOKUP(AV395,'Calc|Weightings'!$U$5:$W$5,1,0),"Excl")</f>
        <v>Materials</v>
      </c>
      <c r="AY395" s="7" t="str">
        <f>VLOOKUP(AO395,Mapping!$E$11:$I$204,5,0)</f>
        <v>SCS</v>
      </c>
    </row>
    <row r="396" spans="1:51" x14ac:dyDescent="0.3">
      <c r="A396" s="7"/>
      <c r="B396" s="7"/>
      <c r="C396" s="7"/>
      <c r="D396" s="7"/>
      <c r="E396" s="32" t="s">
        <v>176</v>
      </c>
      <c r="F396" s="32"/>
      <c r="G396" s="32">
        <v>71030</v>
      </c>
      <c r="H396" s="32" t="s">
        <v>464</v>
      </c>
      <c r="I396" s="33">
        <v>95.772000000000006</v>
      </c>
      <c r="J396" s="170"/>
      <c r="K396" s="7" t="str">
        <f>VLOOKUP($E396,Mapping!$E$11:$I$204,3,0)</f>
        <v>Replacement</v>
      </c>
      <c r="L396" s="7" t="str">
        <f>IFERROR(VLOOKUP($G396,Mapping!$E$208:$K$236,5,0),"Contracts")</f>
        <v>Contracts</v>
      </c>
      <c r="M396" s="7" t="str">
        <f>IFERROR(VLOOKUP($G396,Mapping!$E$208:$K$236,7,0),"ENDirect")</f>
        <v>ENDirect</v>
      </c>
      <c r="N396" s="7" t="str">
        <f>IFERROR(HLOOKUP(L396,'Calc|Weightings'!$U$5:$W$5,1,0),"Excl")</f>
        <v>Contracts</v>
      </c>
      <c r="O396" s="7" t="str">
        <f>VLOOKUP(E396,Mapping!$E$11:$I$204,5,0)</f>
        <v>SCS</v>
      </c>
      <c r="Q396" s="32" t="s">
        <v>133</v>
      </c>
      <c r="R396" s="32"/>
      <c r="S396" s="32">
        <v>71015</v>
      </c>
      <c r="T396" s="32" t="s">
        <v>463</v>
      </c>
      <c r="U396" s="33">
        <v>175.673</v>
      </c>
      <c r="V396" s="7"/>
      <c r="W396" s="7" t="str">
        <f>VLOOKUP($Q396,Mapping!$E$11:$I$204,3,0)</f>
        <v>ACS</v>
      </c>
      <c r="X396" s="7" t="str">
        <f>IFERROR(VLOOKUP($S396,Mapping!$E$208:$K$236,5,0),"Contracts")</f>
        <v>Materials</v>
      </c>
      <c r="Y396" s="7" t="str">
        <f>IFERROR(VLOOKUP($S396,Mapping!$E$208:$K$236,7,0),"ENDirect")</f>
        <v>ENDirect</v>
      </c>
      <c r="Z396" s="7" t="str">
        <f>IFERROR(HLOOKUP(X396,'Calc|Weightings'!$U$5:$W$5,1,0),"Excl")</f>
        <v>Materials</v>
      </c>
      <c r="AA396" s="7" t="str">
        <f>VLOOKUP(Q396,Mapping!$E$11:$I$204,5,0)</f>
        <v>ACS</v>
      </c>
      <c r="AC396" s="35" t="s">
        <v>107</v>
      </c>
      <c r="AD396" s="35"/>
      <c r="AE396" s="35">
        <v>71005</v>
      </c>
      <c r="AF396" s="35" t="s">
        <v>461</v>
      </c>
      <c r="AG396" s="36">
        <v>38.395000000000003</v>
      </c>
      <c r="AI396" s="7" t="str">
        <f>VLOOKUP($AC396,Mapping!$E$11:$I$204,3,0)</f>
        <v>Public Lighting</v>
      </c>
      <c r="AJ396" s="7" t="str">
        <f>IFERROR(VLOOKUP($AE396,Mapping!$E$208:$K$236,5,0),"Contracts")</f>
        <v>Materials</v>
      </c>
      <c r="AK396" s="7" t="str">
        <f>IFERROR(VLOOKUP($AE396,Mapping!$E$208:$K$236,7,0),"ENDirect")</f>
        <v>ENDirect</v>
      </c>
      <c r="AL396" s="7" t="str">
        <f>IFERROR(HLOOKUP(AJ396,'Calc|Weightings'!$U$5:$W$5,1,0),"Excl")</f>
        <v>Materials</v>
      </c>
      <c r="AM396" s="7" t="str">
        <f>VLOOKUP(AC396,Mapping!$E$11:$I$204,5,0)</f>
        <v>Public Lighting</v>
      </c>
      <c r="AO396" s="35" t="s">
        <v>160</v>
      </c>
      <c r="AP396" s="35"/>
      <c r="AQ396" s="35">
        <v>71020</v>
      </c>
      <c r="AR396" s="35" t="s">
        <v>590</v>
      </c>
      <c r="AS396" s="121">
        <v>5.25</v>
      </c>
      <c r="AU396" s="7" t="str">
        <f>VLOOKUP($AO396,Mapping!$E$11:$I$204,3,0)</f>
        <v>Augmentation</v>
      </c>
      <c r="AV396" s="7" t="str">
        <f>IFERROR(VLOOKUP($AQ396,Mapping!$E$208:$K$236,5,0),"Contracts")</f>
        <v>Contracts</v>
      </c>
      <c r="AW396" s="7" t="str">
        <f>IFERROR(VLOOKUP($AQ396,Mapping!$E$208:$K$236,7,0),"ENDirect")</f>
        <v>ENDirect</v>
      </c>
      <c r="AX396" s="7" t="str">
        <f>IFERROR(HLOOKUP(AV396,'Calc|Weightings'!$U$5:$W$5,1,0),"Excl")</f>
        <v>Contracts</v>
      </c>
      <c r="AY396" s="7" t="str">
        <f>VLOOKUP(AO396,Mapping!$E$11:$I$204,5,0)</f>
        <v>SCS</v>
      </c>
    </row>
    <row r="397" spans="1:51" x14ac:dyDescent="0.3">
      <c r="A397" s="7"/>
      <c r="B397" s="7"/>
      <c r="C397" s="7"/>
      <c r="D397" s="7"/>
      <c r="E397" s="32" t="s">
        <v>176</v>
      </c>
      <c r="F397" s="32"/>
      <c r="G397" s="32">
        <v>71040</v>
      </c>
      <c r="H397" s="32" t="s">
        <v>460</v>
      </c>
      <c r="I397" s="33">
        <v>-8.6110000000000007</v>
      </c>
      <c r="J397" s="170"/>
      <c r="K397" s="7" t="str">
        <f>VLOOKUP($E397,Mapping!$E$11:$I$204,3,0)</f>
        <v>Replacement</v>
      </c>
      <c r="L397" s="7" t="str">
        <f>IFERROR(VLOOKUP($G397,Mapping!$E$208:$K$236,5,0),"Contracts")</f>
        <v>Contracts</v>
      </c>
      <c r="M397" s="7" t="str">
        <f>IFERROR(VLOOKUP($G397,Mapping!$E$208:$K$236,7,0),"ENDirect")</f>
        <v>ENDirect</v>
      </c>
      <c r="N397" s="7" t="str">
        <f>IFERROR(HLOOKUP(L397,'Calc|Weightings'!$U$5:$W$5,1,0),"Excl")</f>
        <v>Contracts</v>
      </c>
      <c r="O397" s="7" t="str">
        <f>VLOOKUP(E397,Mapping!$E$11:$I$204,5,0)</f>
        <v>SCS</v>
      </c>
      <c r="Q397" s="32" t="s">
        <v>133</v>
      </c>
      <c r="R397" s="32"/>
      <c r="S397" s="32">
        <v>71030</v>
      </c>
      <c r="T397" s="32" t="s">
        <v>464</v>
      </c>
      <c r="U397" s="33">
        <v>148.65600000000001</v>
      </c>
      <c r="V397" s="7"/>
      <c r="W397" s="7" t="str">
        <f>VLOOKUP($Q397,Mapping!$E$11:$I$204,3,0)</f>
        <v>ACS</v>
      </c>
      <c r="X397" s="7" t="str">
        <f>IFERROR(VLOOKUP($S397,Mapping!$E$208:$K$236,5,0),"Contracts")</f>
        <v>Contracts</v>
      </c>
      <c r="Y397" s="7" t="str">
        <f>IFERROR(VLOOKUP($S397,Mapping!$E$208:$K$236,7,0),"ENDirect")</f>
        <v>ENDirect</v>
      </c>
      <c r="Z397" s="7" t="str">
        <f>IFERROR(HLOOKUP(X397,'Calc|Weightings'!$U$5:$W$5,1,0),"Excl")</f>
        <v>Contracts</v>
      </c>
      <c r="AA397" s="7" t="str">
        <f>VLOOKUP(Q397,Mapping!$E$11:$I$204,5,0)</f>
        <v>ACS</v>
      </c>
      <c r="AC397" s="35" t="s">
        <v>107</v>
      </c>
      <c r="AD397" s="35"/>
      <c r="AE397" s="35">
        <v>71010</v>
      </c>
      <c r="AF397" s="35" t="s">
        <v>462</v>
      </c>
      <c r="AG397" s="36">
        <v>29.641999999999999</v>
      </c>
      <c r="AI397" s="7" t="str">
        <f>VLOOKUP($AC397,Mapping!$E$11:$I$204,3,0)</f>
        <v>Public Lighting</v>
      </c>
      <c r="AJ397" s="7" t="str">
        <f>IFERROR(VLOOKUP($AE397,Mapping!$E$208:$K$236,5,0),"Contracts")</f>
        <v>Labour</v>
      </c>
      <c r="AK397" s="7" t="str">
        <f>IFERROR(VLOOKUP($AE397,Mapping!$E$208:$K$236,7,0),"ENDirect")</f>
        <v>ENDirect</v>
      </c>
      <c r="AL397" s="7" t="str">
        <f>IFERROR(HLOOKUP(AJ397,'Calc|Weightings'!$U$5:$W$5,1,0),"Excl")</f>
        <v>Labour</v>
      </c>
      <c r="AM397" s="7" t="str">
        <f>VLOOKUP(AC397,Mapping!$E$11:$I$204,5,0)</f>
        <v>Public Lighting</v>
      </c>
      <c r="AO397" s="35" t="s">
        <v>160</v>
      </c>
      <c r="AP397" s="35"/>
      <c r="AQ397" s="35">
        <v>71030</v>
      </c>
      <c r="AR397" s="35" t="s">
        <v>464</v>
      </c>
      <c r="AS397" s="121">
        <v>4.3927700000000005</v>
      </c>
      <c r="AU397" s="7" t="str">
        <f>VLOOKUP($AO397,Mapping!$E$11:$I$204,3,0)</f>
        <v>Augmentation</v>
      </c>
      <c r="AV397" s="7" t="str">
        <f>IFERROR(VLOOKUP($AQ397,Mapping!$E$208:$K$236,5,0),"Contracts")</f>
        <v>Contracts</v>
      </c>
      <c r="AW397" s="7" t="str">
        <f>IFERROR(VLOOKUP($AQ397,Mapping!$E$208:$K$236,7,0),"ENDirect")</f>
        <v>ENDirect</v>
      </c>
      <c r="AX397" s="7" t="str">
        <f>IFERROR(HLOOKUP(AV397,'Calc|Weightings'!$U$5:$W$5,1,0),"Excl")</f>
        <v>Contracts</v>
      </c>
      <c r="AY397" s="7" t="str">
        <f>VLOOKUP(AO397,Mapping!$E$11:$I$204,5,0)</f>
        <v>SCS</v>
      </c>
    </row>
    <row r="398" spans="1:51" x14ac:dyDescent="0.3">
      <c r="A398" s="7"/>
      <c r="B398" s="7"/>
      <c r="C398" s="7"/>
      <c r="D398" s="7"/>
      <c r="E398" s="32" t="s">
        <v>176</v>
      </c>
      <c r="F398" s="32"/>
      <c r="G398" s="32">
        <v>71055</v>
      </c>
      <c r="H398" s="32" t="s">
        <v>465</v>
      </c>
      <c r="I398" s="33">
        <v>114.369</v>
      </c>
      <c r="J398" s="170"/>
      <c r="K398" s="7" t="str">
        <f>VLOOKUP($E398,Mapping!$E$11:$I$204,3,0)</f>
        <v>Replacement</v>
      </c>
      <c r="L398" s="7" t="str">
        <f>IFERROR(VLOOKUP($G398,Mapping!$E$208:$K$236,5,0),"Contracts")</f>
        <v>Contracts</v>
      </c>
      <c r="M398" s="7" t="str">
        <f>IFERROR(VLOOKUP($G398,Mapping!$E$208:$K$236,7,0),"ENDirect")</f>
        <v>ENDirect</v>
      </c>
      <c r="N398" s="7" t="str">
        <f>IFERROR(HLOOKUP(L398,'Calc|Weightings'!$U$5:$W$5,1,0),"Excl")</f>
        <v>Contracts</v>
      </c>
      <c r="O398" s="7" t="str">
        <f>VLOOKUP(E398,Mapping!$E$11:$I$204,5,0)</f>
        <v>SCS</v>
      </c>
      <c r="Q398" s="32" t="s">
        <v>133</v>
      </c>
      <c r="R398" s="32"/>
      <c r="S398" s="32">
        <v>71055</v>
      </c>
      <c r="T398" s="32" t="s">
        <v>465</v>
      </c>
      <c r="U398" s="33">
        <v>256.22899999999998</v>
      </c>
      <c r="V398" s="7"/>
      <c r="W398" s="7" t="str">
        <f>VLOOKUP($Q398,Mapping!$E$11:$I$204,3,0)</f>
        <v>ACS</v>
      </c>
      <c r="X398" s="7" t="str">
        <f>IFERROR(VLOOKUP($S398,Mapping!$E$208:$K$236,5,0),"Contracts")</f>
        <v>Contracts</v>
      </c>
      <c r="Y398" s="7" t="str">
        <f>IFERROR(VLOOKUP($S398,Mapping!$E$208:$K$236,7,0),"ENDirect")</f>
        <v>ENDirect</v>
      </c>
      <c r="Z398" s="7" t="str">
        <f>IFERROR(HLOOKUP(X398,'Calc|Weightings'!$U$5:$W$5,1,0),"Excl")</f>
        <v>Contracts</v>
      </c>
      <c r="AA398" s="7" t="str">
        <f>VLOOKUP(Q398,Mapping!$E$11:$I$204,5,0)</f>
        <v>ACS</v>
      </c>
      <c r="AC398" s="35" t="s">
        <v>107</v>
      </c>
      <c r="AD398" s="35"/>
      <c r="AE398" s="35">
        <v>71030</v>
      </c>
      <c r="AF398" s="35" t="s">
        <v>464</v>
      </c>
      <c r="AG398" s="36">
        <v>6.7779999999999996</v>
      </c>
      <c r="AI398" s="7" t="str">
        <f>VLOOKUP($AC398,Mapping!$E$11:$I$204,3,0)</f>
        <v>Public Lighting</v>
      </c>
      <c r="AJ398" s="7" t="str">
        <f>IFERROR(VLOOKUP($AE398,Mapping!$E$208:$K$236,5,0),"Contracts")</f>
        <v>Contracts</v>
      </c>
      <c r="AK398" s="7" t="str">
        <f>IFERROR(VLOOKUP($AE398,Mapping!$E$208:$K$236,7,0),"ENDirect")</f>
        <v>ENDirect</v>
      </c>
      <c r="AL398" s="7" t="str">
        <f>IFERROR(HLOOKUP(AJ398,'Calc|Weightings'!$U$5:$W$5,1,0),"Excl")</f>
        <v>Contracts</v>
      </c>
      <c r="AM398" s="7" t="str">
        <f>VLOOKUP(AC398,Mapping!$E$11:$I$204,5,0)</f>
        <v>Public Lighting</v>
      </c>
      <c r="AO398" s="35" t="s">
        <v>160</v>
      </c>
      <c r="AP398" s="35"/>
      <c r="AQ398" s="35">
        <v>71045</v>
      </c>
      <c r="AR398" s="35" t="s">
        <v>596</v>
      </c>
      <c r="AS398" s="121">
        <v>295.85199999999998</v>
      </c>
      <c r="AU398" s="7" t="str">
        <f>VLOOKUP($AO398,Mapping!$E$11:$I$204,3,0)</f>
        <v>Augmentation</v>
      </c>
      <c r="AV398" s="7" t="str">
        <f>IFERROR(VLOOKUP($AQ398,Mapping!$E$208:$K$236,5,0),"Contracts")</f>
        <v>Materials</v>
      </c>
      <c r="AW398" s="7" t="str">
        <f>IFERROR(VLOOKUP($AQ398,Mapping!$E$208:$K$236,7,0),"ENDirect")</f>
        <v>ENDirect</v>
      </c>
      <c r="AX398" s="7" t="str">
        <f>IFERROR(HLOOKUP(AV398,'Calc|Weightings'!$U$5:$W$5,1,0),"Excl")</f>
        <v>Materials</v>
      </c>
      <c r="AY398" s="7" t="str">
        <f>VLOOKUP(AO398,Mapping!$E$11:$I$204,5,0)</f>
        <v>SCS</v>
      </c>
    </row>
    <row r="399" spans="1:51" x14ac:dyDescent="0.3">
      <c r="A399" s="7"/>
      <c r="B399" s="7"/>
      <c r="C399" s="7"/>
      <c r="D399" s="7"/>
      <c r="E399" s="32" t="s">
        <v>176</v>
      </c>
      <c r="F399" s="32"/>
      <c r="G399" s="32">
        <v>80000</v>
      </c>
      <c r="H399" s="32" t="s">
        <v>453</v>
      </c>
      <c r="I399" s="33">
        <v>135.971</v>
      </c>
      <c r="J399" s="170"/>
      <c r="K399" s="7" t="str">
        <f>VLOOKUP($E399,Mapping!$E$11:$I$204,3,0)</f>
        <v>Replacement</v>
      </c>
      <c r="L399" s="7" t="str">
        <f>IFERROR(VLOOKUP($G399,Mapping!$E$208:$K$236,5,0),"Contracts")</f>
        <v>Overhead</v>
      </c>
      <c r="M399" s="7" t="str">
        <f>IFERROR(VLOOKUP($G399,Mapping!$E$208:$K$236,7,0),"ENDirect")</f>
        <v>OH</v>
      </c>
      <c r="N399" s="7" t="str">
        <f>IFERROR(HLOOKUP(L399,'Calc|Weightings'!$U$5:$W$5,1,0),"Excl")</f>
        <v>Excl</v>
      </c>
      <c r="O399" s="7" t="str">
        <f>VLOOKUP(E399,Mapping!$E$11:$I$204,5,0)</f>
        <v>SCS</v>
      </c>
      <c r="Q399" s="32" t="s">
        <v>133</v>
      </c>
      <c r="R399" s="32"/>
      <c r="S399" s="32">
        <v>80000</v>
      </c>
      <c r="T399" s="32" t="s">
        <v>453</v>
      </c>
      <c r="U399" s="33">
        <v>323.01299999999998</v>
      </c>
      <c r="V399" s="7"/>
      <c r="W399" s="7" t="str">
        <f>VLOOKUP($Q399,Mapping!$E$11:$I$204,3,0)</f>
        <v>ACS</v>
      </c>
      <c r="X399" s="7" t="str">
        <f>IFERROR(VLOOKUP($S399,Mapping!$E$208:$K$236,5,0),"Contracts")</f>
        <v>Overhead</v>
      </c>
      <c r="Y399" s="7" t="str">
        <f>IFERROR(VLOOKUP($S399,Mapping!$E$208:$K$236,7,0),"ENDirect")</f>
        <v>OH</v>
      </c>
      <c r="Z399" s="7" t="str">
        <f>IFERROR(HLOOKUP(X399,'Calc|Weightings'!$U$5:$W$5,1,0),"Excl")</f>
        <v>Excl</v>
      </c>
      <c r="AA399" s="7" t="str">
        <f>VLOOKUP(Q399,Mapping!$E$11:$I$204,5,0)</f>
        <v>ACS</v>
      </c>
      <c r="AC399" s="35" t="s">
        <v>107</v>
      </c>
      <c r="AD399" s="35"/>
      <c r="AE399" s="35">
        <v>71055</v>
      </c>
      <c r="AF399" s="35" t="s">
        <v>465</v>
      </c>
      <c r="AG399" s="36">
        <v>14.622</v>
      </c>
      <c r="AI399" s="7" t="str">
        <f>VLOOKUP($AC399,Mapping!$E$11:$I$204,3,0)</f>
        <v>Public Lighting</v>
      </c>
      <c r="AJ399" s="7" t="str">
        <f>IFERROR(VLOOKUP($AE399,Mapping!$E$208:$K$236,5,0),"Contracts")</f>
        <v>Contracts</v>
      </c>
      <c r="AK399" s="7" t="str">
        <f>IFERROR(VLOOKUP($AE399,Mapping!$E$208:$K$236,7,0),"ENDirect")</f>
        <v>ENDirect</v>
      </c>
      <c r="AL399" s="7" t="str">
        <f>IFERROR(HLOOKUP(AJ399,'Calc|Weightings'!$U$5:$W$5,1,0),"Excl")</f>
        <v>Contracts</v>
      </c>
      <c r="AM399" s="7" t="str">
        <f>VLOOKUP(AC399,Mapping!$E$11:$I$204,5,0)</f>
        <v>Public Lighting</v>
      </c>
      <c r="AO399" s="35" t="s">
        <v>160</v>
      </c>
      <c r="AP399" s="35"/>
      <c r="AQ399" s="35">
        <v>71055</v>
      </c>
      <c r="AR399" s="35" t="s">
        <v>465</v>
      </c>
      <c r="AS399" s="121">
        <v>17.57339</v>
      </c>
      <c r="AU399" s="7" t="str">
        <f>VLOOKUP($AO399,Mapping!$E$11:$I$204,3,0)</f>
        <v>Augmentation</v>
      </c>
      <c r="AV399" s="7" t="str">
        <f>IFERROR(VLOOKUP($AQ399,Mapping!$E$208:$K$236,5,0),"Contracts")</f>
        <v>Contracts</v>
      </c>
      <c r="AW399" s="7" t="str">
        <f>IFERROR(VLOOKUP($AQ399,Mapping!$E$208:$K$236,7,0),"ENDirect")</f>
        <v>ENDirect</v>
      </c>
      <c r="AX399" s="7" t="str">
        <f>IFERROR(HLOOKUP(AV399,'Calc|Weightings'!$U$5:$W$5,1,0),"Excl")</f>
        <v>Contracts</v>
      </c>
      <c r="AY399" s="7" t="str">
        <f>VLOOKUP(AO399,Mapping!$E$11:$I$204,5,0)</f>
        <v>SCS</v>
      </c>
    </row>
    <row r="400" spans="1:51" x14ac:dyDescent="0.3">
      <c r="A400" s="7"/>
      <c r="B400" s="7"/>
      <c r="C400" s="7"/>
      <c r="D400" s="7"/>
      <c r="E400" s="32" t="s">
        <v>160</v>
      </c>
      <c r="F400" s="32"/>
      <c r="G400" s="32">
        <v>70815</v>
      </c>
      <c r="H400" s="32" t="s">
        <v>451</v>
      </c>
      <c r="I400" s="33">
        <v>5.4279999999999999</v>
      </c>
      <c r="J400" s="170"/>
      <c r="K400" s="7" t="str">
        <f>VLOOKUP($E400,Mapping!$E$11:$I$204,3,0)</f>
        <v>Augmentation</v>
      </c>
      <c r="L400" s="7" t="str">
        <f>IFERROR(VLOOKUP($G400,Mapping!$E$208:$K$236,5,0),"Contracts")</f>
        <v>Materials</v>
      </c>
      <c r="M400" s="7" t="str">
        <f>IFERROR(VLOOKUP($G400,Mapping!$E$208:$K$236,7,0),"ENDirect")</f>
        <v>ENDirect</v>
      </c>
      <c r="N400" s="7" t="str">
        <f>IFERROR(HLOOKUP(L400,'Calc|Weightings'!$U$5:$W$5,1,0),"Excl")</f>
        <v>Materials</v>
      </c>
      <c r="O400" s="7" t="str">
        <f>VLOOKUP(E400,Mapping!$E$11:$I$204,5,0)</f>
        <v>SCS</v>
      </c>
      <c r="Q400" s="32" t="s">
        <v>134</v>
      </c>
      <c r="R400" s="32"/>
      <c r="S400" s="32">
        <v>71000</v>
      </c>
      <c r="T400" s="32" t="s">
        <v>457</v>
      </c>
      <c r="U400" s="33">
        <v>1.488</v>
      </c>
      <c r="V400" s="7"/>
      <c r="W400" s="7" t="str">
        <f>VLOOKUP($Q400,Mapping!$E$11:$I$204,3,0)</f>
        <v>ACS</v>
      </c>
      <c r="X400" s="7" t="str">
        <f>IFERROR(VLOOKUP($S400,Mapping!$E$208:$K$236,5,0),"Contracts")</f>
        <v>Labour</v>
      </c>
      <c r="Y400" s="7" t="str">
        <f>IFERROR(VLOOKUP($S400,Mapping!$E$208:$K$236,7,0),"ENDirect")</f>
        <v>ENDirect</v>
      </c>
      <c r="Z400" s="7" t="str">
        <f>IFERROR(HLOOKUP(X400,'Calc|Weightings'!$U$5:$W$5,1,0),"Excl")</f>
        <v>Labour</v>
      </c>
      <c r="AA400" s="7" t="str">
        <f>VLOOKUP(Q400,Mapping!$E$11:$I$204,5,0)</f>
        <v>ACS</v>
      </c>
      <c r="AC400" s="35" t="s">
        <v>107</v>
      </c>
      <c r="AD400" s="35"/>
      <c r="AE400" s="35">
        <v>80000</v>
      </c>
      <c r="AF400" s="35" t="s">
        <v>453</v>
      </c>
      <c r="AG400" s="36">
        <v>10.971</v>
      </c>
      <c r="AI400" s="7" t="str">
        <f>VLOOKUP($AC400,Mapping!$E$11:$I$204,3,0)</f>
        <v>Public Lighting</v>
      </c>
      <c r="AJ400" s="7" t="str">
        <f>IFERROR(VLOOKUP($AE400,Mapping!$E$208:$K$236,5,0),"Contracts")</f>
        <v>Overhead</v>
      </c>
      <c r="AK400" s="7" t="str">
        <f>IFERROR(VLOOKUP($AE400,Mapping!$E$208:$K$236,7,0),"ENDirect")</f>
        <v>OH</v>
      </c>
      <c r="AL400" s="7" t="str">
        <f>IFERROR(HLOOKUP(AJ400,'Calc|Weightings'!$U$5:$W$5,1,0),"Excl")</f>
        <v>Excl</v>
      </c>
      <c r="AM400" s="7" t="str">
        <f>VLOOKUP(AC400,Mapping!$E$11:$I$204,5,0)</f>
        <v>Public Lighting</v>
      </c>
      <c r="AO400" s="35" t="s">
        <v>160</v>
      </c>
      <c r="AP400" s="35"/>
      <c r="AQ400" s="35">
        <v>71130</v>
      </c>
      <c r="AR400" s="35" t="s">
        <v>592</v>
      </c>
      <c r="AS400" s="121">
        <v>318.38308000000001</v>
      </c>
      <c r="AU400" s="7" t="str">
        <f>VLOOKUP($AO400,Mapping!$E$11:$I$204,3,0)</f>
        <v>Augmentation</v>
      </c>
      <c r="AV400" s="7" t="str">
        <f>IFERROR(VLOOKUP($AQ400,Mapping!$E$208:$K$236,5,0),"Contracts")</f>
        <v>Contracts</v>
      </c>
      <c r="AW400" s="7" t="str">
        <f>IFERROR(VLOOKUP($AQ400,Mapping!$E$208:$K$236,7,0),"ENDirect")</f>
        <v>ENDirect</v>
      </c>
      <c r="AX400" s="7" t="str">
        <f>IFERROR(HLOOKUP(AV400,'Calc|Weightings'!$U$5:$W$5,1,0),"Excl")</f>
        <v>Contracts</v>
      </c>
      <c r="AY400" s="7" t="str">
        <f>VLOOKUP(AO400,Mapping!$E$11:$I$204,5,0)</f>
        <v>SCS</v>
      </c>
    </row>
    <row r="401" spans="1:51" x14ac:dyDescent="0.3">
      <c r="A401" s="7"/>
      <c r="B401" s="7"/>
      <c r="C401" s="7"/>
      <c r="D401" s="7"/>
      <c r="E401" s="32" t="s">
        <v>160</v>
      </c>
      <c r="F401" s="32"/>
      <c r="G401" s="32">
        <v>71000</v>
      </c>
      <c r="H401" s="32" t="s">
        <v>457</v>
      </c>
      <c r="I401" s="33">
        <v>-175.20099999999999</v>
      </c>
      <c r="J401" s="170"/>
      <c r="K401" s="7" t="str">
        <f>VLOOKUP($E401,Mapping!$E$11:$I$204,3,0)</f>
        <v>Augmentation</v>
      </c>
      <c r="L401" s="7" t="str">
        <f>IFERROR(VLOOKUP($G401,Mapping!$E$208:$K$236,5,0),"Contracts")</f>
        <v>Labour</v>
      </c>
      <c r="M401" s="7" t="str">
        <f>IFERROR(VLOOKUP($G401,Mapping!$E$208:$K$236,7,0),"ENDirect")</f>
        <v>ENDirect</v>
      </c>
      <c r="N401" s="7" t="str">
        <f>IFERROR(HLOOKUP(L401,'Calc|Weightings'!$U$5:$W$5,1,0),"Excl")</f>
        <v>Labour</v>
      </c>
      <c r="O401" s="7" t="str">
        <f>VLOOKUP(E401,Mapping!$E$11:$I$204,5,0)</f>
        <v>SCS</v>
      </c>
      <c r="Q401" s="32" t="s">
        <v>134</v>
      </c>
      <c r="R401" s="32"/>
      <c r="S401" s="32">
        <v>71030</v>
      </c>
      <c r="T401" s="32" t="s">
        <v>464</v>
      </c>
      <c r="U401" s="33">
        <v>0.20599999999999999</v>
      </c>
      <c r="V401" s="7"/>
      <c r="W401" s="7" t="str">
        <f>VLOOKUP($Q401,Mapping!$E$11:$I$204,3,0)</f>
        <v>ACS</v>
      </c>
      <c r="X401" s="7" t="str">
        <f>IFERROR(VLOOKUP($S401,Mapping!$E$208:$K$236,5,0),"Contracts")</f>
        <v>Contracts</v>
      </c>
      <c r="Y401" s="7" t="str">
        <f>IFERROR(VLOOKUP($S401,Mapping!$E$208:$K$236,7,0),"ENDirect")</f>
        <v>ENDirect</v>
      </c>
      <c r="Z401" s="7" t="str">
        <f>IFERROR(HLOOKUP(X401,'Calc|Weightings'!$U$5:$W$5,1,0),"Excl")</f>
        <v>Contracts</v>
      </c>
      <c r="AA401" s="7" t="str">
        <f>VLOOKUP(Q401,Mapping!$E$11:$I$204,5,0)</f>
        <v>ACS</v>
      </c>
      <c r="AC401" s="35" t="s">
        <v>107</v>
      </c>
      <c r="AD401" s="35"/>
      <c r="AE401" s="35">
        <v>89999</v>
      </c>
      <c r="AF401" s="35" t="s">
        <v>471</v>
      </c>
      <c r="AG401" s="36">
        <v>0</v>
      </c>
      <c r="AI401" s="7" t="str">
        <f>VLOOKUP($AC401,Mapping!$E$11:$I$204,3,0)</f>
        <v>Public Lighting</v>
      </c>
      <c r="AJ401" s="7" t="str">
        <f>IFERROR(VLOOKUP($AE401,Mapping!$E$208:$K$236,5,0),"Contracts")</f>
        <v>Contracts</v>
      </c>
      <c r="AK401" s="7" t="str">
        <f>IFERROR(VLOOKUP($AE401,Mapping!$E$208:$K$236,7,0),"ENDirect")</f>
        <v>ENDirect</v>
      </c>
      <c r="AL401" s="7" t="str">
        <f>IFERROR(HLOOKUP(AJ401,'Calc|Weightings'!$U$5:$W$5,1,0),"Excl")</f>
        <v>Contracts</v>
      </c>
      <c r="AM401" s="7" t="str">
        <f>VLOOKUP(AC401,Mapping!$E$11:$I$204,5,0)</f>
        <v>Public Lighting</v>
      </c>
      <c r="AO401" s="35" t="s">
        <v>160</v>
      </c>
      <c r="AP401" s="35"/>
      <c r="AQ401" s="35">
        <v>71140</v>
      </c>
      <c r="AR401" s="35" t="s">
        <v>593</v>
      </c>
      <c r="AS401" s="121">
        <v>156.95400000000001</v>
      </c>
      <c r="AU401" s="7" t="str">
        <f>VLOOKUP($AO401,Mapping!$E$11:$I$204,3,0)</f>
        <v>Augmentation</v>
      </c>
      <c r="AV401" s="7" t="str">
        <f>IFERROR(VLOOKUP($AQ401,Mapping!$E$208:$K$236,5,0),"Contracts")</f>
        <v>Contracts</v>
      </c>
      <c r="AW401" s="7" t="str">
        <f>IFERROR(VLOOKUP($AQ401,Mapping!$E$208:$K$236,7,0),"ENDirect")</f>
        <v>ENDirect</v>
      </c>
      <c r="AX401" s="7" t="str">
        <f>IFERROR(HLOOKUP(AV401,'Calc|Weightings'!$U$5:$W$5,1,0),"Excl")</f>
        <v>Contracts</v>
      </c>
      <c r="AY401" s="7" t="str">
        <f>VLOOKUP(AO401,Mapping!$E$11:$I$204,5,0)</f>
        <v>SCS</v>
      </c>
    </row>
    <row r="402" spans="1:51" x14ac:dyDescent="0.3">
      <c r="A402" s="7"/>
      <c r="B402" s="7"/>
      <c r="C402" s="7"/>
      <c r="D402" s="7"/>
      <c r="E402" s="32" t="s">
        <v>160</v>
      </c>
      <c r="F402" s="32"/>
      <c r="G402" s="32">
        <v>71030</v>
      </c>
      <c r="H402" s="32" t="s">
        <v>464</v>
      </c>
      <c r="I402" s="33">
        <v>46.305</v>
      </c>
      <c r="J402" s="170"/>
      <c r="K402" s="7" t="str">
        <f>VLOOKUP($E402,Mapping!$E$11:$I$204,3,0)</f>
        <v>Augmentation</v>
      </c>
      <c r="L402" s="7" t="str">
        <f>IFERROR(VLOOKUP($G402,Mapping!$E$208:$K$236,5,0),"Contracts")</f>
        <v>Contracts</v>
      </c>
      <c r="M402" s="7" t="str">
        <f>IFERROR(VLOOKUP($G402,Mapping!$E$208:$K$236,7,0),"ENDirect")</f>
        <v>ENDirect</v>
      </c>
      <c r="N402" s="7" t="str">
        <f>IFERROR(HLOOKUP(L402,'Calc|Weightings'!$U$5:$W$5,1,0),"Excl")</f>
        <v>Contracts</v>
      </c>
      <c r="O402" s="7" t="str">
        <f>VLOOKUP(E402,Mapping!$E$11:$I$204,5,0)</f>
        <v>SCS</v>
      </c>
      <c r="Q402" s="32" t="s">
        <v>134</v>
      </c>
      <c r="R402" s="32"/>
      <c r="S402" s="32">
        <v>71055</v>
      </c>
      <c r="T402" s="32" t="s">
        <v>465</v>
      </c>
      <c r="U402" s="33">
        <v>0.38600000000000001</v>
      </c>
      <c r="V402" s="7"/>
      <c r="W402" s="7" t="str">
        <f>VLOOKUP($Q402,Mapping!$E$11:$I$204,3,0)</f>
        <v>ACS</v>
      </c>
      <c r="X402" s="7" t="str">
        <f>IFERROR(VLOOKUP($S402,Mapping!$E$208:$K$236,5,0),"Contracts")</f>
        <v>Contracts</v>
      </c>
      <c r="Y402" s="7" t="str">
        <f>IFERROR(VLOOKUP($S402,Mapping!$E$208:$K$236,7,0),"ENDirect")</f>
        <v>ENDirect</v>
      </c>
      <c r="Z402" s="7" t="str">
        <f>IFERROR(HLOOKUP(X402,'Calc|Weightings'!$U$5:$W$5,1,0),"Excl")</f>
        <v>Contracts</v>
      </c>
      <c r="AA402" s="7" t="str">
        <f>VLOOKUP(Q402,Mapping!$E$11:$I$204,5,0)</f>
        <v>ACS</v>
      </c>
      <c r="AC402" s="35" t="s">
        <v>108</v>
      </c>
      <c r="AD402" s="35"/>
      <c r="AE402" s="35">
        <v>71000</v>
      </c>
      <c r="AF402" s="35" t="s">
        <v>457</v>
      </c>
      <c r="AG402" s="36">
        <v>17.326000000000001</v>
      </c>
      <c r="AI402" s="7" t="str">
        <f>VLOOKUP($AC402,Mapping!$E$11:$I$204,3,0)</f>
        <v>Public Lighting</v>
      </c>
      <c r="AJ402" s="7" t="str">
        <f>IFERROR(VLOOKUP($AE402,Mapping!$E$208:$K$236,5,0),"Contracts")</f>
        <v>Labour</v>
      </c>
      <c r="AK402" s="7" t="str">
        <f>IFERROR(VLOOKUP($AE402,Mapping!$E$208:$K$236,7,0),"ENDirect")</f>
        <v>ENDirect</v>
      </c>
      <c r="AL402" s="7" t="str">
        <f>IFERROR(HLOOKUP(AJ402,'Calc|Weightings'!$U$5:$W$5,1,0),"Excl")</f>
        <v>Labour</v>
      </c>
      <c r="AM402" s="7" t="str">
        <f>VLOOKUP(AC402,Mapping!$E$11:$I$204,5,0)</f>
        <v>Public Lighting</v>
      </c>
      <c r="AO402" s="35" t="s">
        <v>160</v>
      </c>
      <c r="AP402" s="35"/>
      <c r="AQ402" s="35">
        <v>73000</v>
      </c>
      <c r="AR402" s="35" t="s">
        <v>595</v>
      </c>
      <c r="AS402" s="121">
        <v>-0.3</v>
      </c>
      <c r="AU402" s="7" t="str">
        <f>VLOOKUP($AO402,Mapping!$E$11:$I$204,3,0)</f>
        <v>Augmentation</v>
      </c>
      <c r="AV402" s="7" t="str">
        <f>IFERROR(VLOOKUP($AQ402,Mapping!$E$208:$K$236,5,0),"Contracts")</f>
        <v>Contracts</v>
      </c>
      <c r="AW402" s="7" t="str">
        <f>IFERROR(VLOOKUP($AQ402,Mapping!$E$208:$K$236,7,0),"ENDirect")</f>
        <v>ENDirect</v>
      </c>
      <c r="AX402" s="7" t="str">
        <f>IFERROR(HLOOKUP(AV402,'Calc|Weightings'!$U$5:$W$5,1,0),"Excl")</f>
        <v>Contracts</v>
      </c>
      <c r="AY402" s="7" t="str">
        <f>VLOOKUP(AO402,Mapping!$E$11:$I$204,5,0)</f>
        <v>SCS</v>
      </c>
    </row>
    <row r="403" spans="1:51" x14ac:dyDescent="0.3">
      <c r="A403" s="7"/>
      <c r="B403" s="7"/>
      <c r="C403" s="7"/>
      <c r="D403" s="7"/>
      <c r="E403" s="32" t="s">
        <v>160</v>
      </c>
      <c r="F403" s="32"/>
      <c r="G403" s="32">
        <v>71040</v>
      </c>
      <c r="H403" s="32" t="s">
        <v>460</v>
      </c>
      <c r="I403" s="33">
        <v>0</v>
      </c>
      <c r="J403" s="170"/>
      <c r="K403" s="7" t="str">
        <f>VLOOKUP($E403,Mapping!$E$11:$I$204,3,0)</f>
        <v>Augmentation</v>
      </c>
      <c r="L403" s="7" t="str">
        <f>IFERROR(VLOOKUP($G403,Mapping!$E$208:$K$236,5,0),"Contracts")</f>
        <v>Contracts</v>
      </c>
      <c r="M403" s="7" t="str">
        <f>IFERROR(VLOOKUP($G403,Mapping!$E$208:$K$236,7,0),"ENDirect")</f>
        <v>ENDirect</v>
      </c>
      <c r="N403" s="7" t="str">
        <f>IFERROR(HLOOKUP(L403,'Calc|Weightings'!$U$5:$W$5,1,0),"Excl")</f>
        <v>Contracts</v>
      </c>
      <c r="O403" s="7" t="str">
        <f>VLOOKUP(E403,Mapping!$E$11:$I$204,5,0)</f>
        <v>SCS</v>
      </c>
      <c r="Q403" s="32" t="s">
        <v>134</v>
      </c>
      <c r="R403" s="32"/>
      <c r="S403" s="32">
        <v>80000</v>
      </c>
      <c r="T403" s="32" t="s">
        <v>453</v>
      </c>
      <c r="U403" s="33">
        <v>0.45500000000000002</v>
      </c>
      <c r="V403" s="7"/>
      <c r="W403" s="7" t="str">
        <f>VLOOKUP($Q403,Mapping!$E$11:$I$204,3,0)</f>
        <v>ACS</v>
      </c>
      <c r="X403" s="7" t="str">
        <f>IFERROR(VLOOKUP($S403,Mapping!$E$208:$K$236,5,0),"Contracts")</f>
        <v>Overhead</v>
      </c>
      <c r="Y403" s="7" t="str">
        <f>IFERROR(VLOOKUP($S403,Mapping!$E$208:$K$236,7,0),"ENDirect")</f>
        <v>OH</v>
      </c>
      <c r="Z403" s="7" t="str">
        <f>IFERROR(HLOOKUP(X403,'Calc|Weightings'!$U$5:$W$5,1,0),"Excl")</f>
        <v>Excl</v>
      </c>
      <c r="AA403" s="7" t="str">
        <f>VLOOKUP(Q403,Mapping!$E$11:$I$204,5,0)</f>
        <v>ACS</v>
      </c>
      <c r="AC403" s="35" t="s">
        <v>108</v>
      </c>
      <c r="AD403" s="35"/>
      <c r="AE403" s="35">
        <v>71005</v>
      </c>
      <c r="AF403" s="35" t="s">
        <v>461</v>
      </c>
      <c r="AG403" s="36">
        <v>29.103999999999999</v>
      </c>
      <c r="AI403" s="7" t="str">
        <f>VLOOKUP($AC403,Mapping!$E$11:$I$204,3,0)</f>
        <v>Public Lighting</v>
      </c>
      <c r="AJ403" s="7" t="str">
        <f>IFERROR(VLOOKUP($AE403,Mapping!$E$208:$K$236,5,0),"Contracts")</f>
        <v>Materials</v>
      </c>
      <c r="AK403" s="7" t="str">
        <f>IFERROR(VLOOKUP($AE403,Mapping!$E$208:$K$236,7,0),"ENDirect")</f>
        <v>ENDirect</v>
      </c>
      <c r="AL403" s="7" t="str">
        <f>IFERROR(HLOOKUP(AJ403,'Calc|Weightings'!$U$5:$W$5,1,0),"Excl")</f>
        <v>Materials</v>
      </c>
      <c r="AM403" s="7" t="str">
        <f>VLOOKUP(AC403,Mapping!$E$11:$I$204,5,0)</f>
        <v>Public Lighting</v>
      </c>
      <c r="AO403" s="35" t="s">
        <v>160</v>
      </c>
      <c r="AP403" s="35"/>
      <c r="AQ403" s="35">
        <v>80000</v>
      </c>
      <c r="AR403" s="35" t="s">
        <v>589</v>
      </c>
      <c r="AS403" s="121">
        <v>956.03834000000006</v>
      </c>
      <c r="AU403" s="7" t="str">
        <f>VLOOKUP($AO403,Mapping!$E$11:$I$204,3,0)</f>
        <v>Augmentation</v>
      </c>
      <c r="AV403" s="7" t="str">
        <f>IFERROR(VLOOKUP($AQ403,Mapping!$E$208:$K$236,5,0),"Contracts")</f>
        <v>Overhead</v>
      </c>
      <c r="AW403" s="7" t="str">
        <f>IFERROR(VLOOKUP($AQ403,Mapping!$E$208:$K$236,7,0),"ENDirect")</f>
        <v>OH</v>
      </c>
      <c r="AX403" s="7" t="str">
        <f>IFERROR(HLOOKUP(AV403,'Calc|Weightings'!$U$5:$W$5,1,0),"Excl")</f>
        <v>Excl</v>
      </c>
      <c r="AY403" s="7" t="str">
        <f>VLOOKUP(AO403,Mapping!$E$11:$I$204,5,0)</f>
        <v>SCS</v>
      </c>
    </row>
    <row r="404" spans="1:51" x14ac:dyDescent="0.3">
      <c r="A404" s="7"/>
      <c r="B404" s="7"/>
      <c r="C404" s="7"/>
      <c r="D404" s="7"/>
      <c r="E404" s="32" t="s">
        <v>160</v>
      </c>
      <c r="F404" s="32"/>
      <c r="G404" s="32">
        <v>71055</v>
      </c>
      <c r="H404" s="32" t="s">
        <v>465</v>
      </c>
      <c r="I404" s="33">
        <v>81.914000000000001</v>
      </c>
      <c r="J404" s="170"/>
      <c r="K404" s="7" t="str">
        <f>VLOOKUP($E404,Mapping!$E$11:$I$204,3,0)</f>
        <v>Augmentation</v>
      </c>
      <c r="L404" s="7" t="str">
        <f>IFERROR(VLOOKUP($G404,Mapping!$E$208:$K$236,5,0),"Contracts")</f>
        <v>Contracts</v>
      </c>
      <c r="M404" s="7" t="str">
        <f>IFERROR(VLOOKUP($G404,Mapping!$E$208:$K$236,7,0),"ENDirect")</f>
        <v>ENDirect</v>
      </c>
      <c r="N404" s="7" t="str">
        <f>IFERROR(HLOOKUP(L404,'Calc|Weightings'!$U$5:$W$5,1,0),"Excl")</f>
        <v>Contracts</v>
      </c>
      <c r="O404" s="7" t="str">
        <f>VLOOKUP(E404,Mapping!$E$11:$I$204,5,0)</f>
        <v>SCS</v>
      </c>
      <c r="Q404" s="32" t="s">
        <v>135</v>
      </c>
      <c r="R404" s="32"/>
      <c r="S404" s="32">
        <v>71000</v>
      </c>
      <c r="T404" s="32" t="s">
        <v>457</v>
      </c>
      <c r="U404" s="33">
        <v>574.92600000000004</v>
      </c>
      <c r="V404" s="7"/>
      <c r="W404" s="7" t="str">
        <f>VLOOKUP($Q404,Mapping!$E$11:$I$204,3,0)</f>
        <v>ACS</v>
      </c>
      <c r="X404" s="7" t="str">
        <f>IFERROR(VLOOKUP($S404,Mapping!$E$208:$K$236,5,0),"Contracts")</f>
        <v>Labour</v>
      </c>
      <c r="Y404" s="7" t="str">
        <f>IFERROR(VLOOKUP($S404,Mapping!$E$208:$K$236,7,0),"ENDirect")</f>
        <v>ENDirect</v>
      </c>
      <c r="Z404" s="7" t="str">
        <f>IFERROR(HLOOKUP(X404,'Calc|Weightings'!$U$5:$W$5,1,0),"Excl")</f>
        <v>Labour</v>
      </c>
      <c r="AA404" s="7" t="str">
        <f>VLOOKUP(Q404,Mapping!$E$11:$I$204,5,0)</f>
        <v>ACS</v>
      </c>
      <c r="AC404" s="35" t="s">
        <v>108</v>
      </c>
      <c r="AD404" s="35"/>
      <c r="AE404" s="35">
        <v>71010</v>
      </c>
      <c r="AF404" s="35" t="s">
        <v>462</v>
      </c>
      <c r="AG404" s="36">
        <v>19.978999999999999</v>
      </c>
      <c r="AI404" s="7" t="str">
        <f>VLOOKUP($AC404,Mapping!$E$11:$I$204,3,0)</f>
        <v>Public Lighting</v>
      </c>
      <c r="AJ404" s="7" t="str">
        <f>IFERROR(VLOOKUP($AE404,Mapping!$E$208:$K$236,5,0),"Contracts")</f>
        <v>Labour</v>
      </c>
      <c r="AK404" s="7" t="str">
        <f>IFERROR(VLOOKUP($AE404,Mapping!$E$208:$K$236,7,0),"ENDirect")</f>
        <v>ENDirect</v>
      </c>
      <c r="AL404" s="7" t="str">
        <f>IFERROR(HLOOKUP(AJ404,'Calc|Weightings'!$U$5:$W$5,1,0),"Excl")</f>
        <v>Labour</v>
      </c>
      <c r="AM404" s="7" t="str">
        <f>VLOOKUP(AC404,Mapping!$E$11:$I$204,5,0)</f>
        <v>Public Lighting</v>
      </c>
      <c r="AO404" s="35" t="s">
        <v>268</v>
      </c>
      <c r="AP404" s="35"/>
      <c r="AQ404" s="35">
        <v>70815</v>
      </c>
      <c r="AR404" s="35" t="s">
        <v>594</v>
      </c>
      <c r="AS404" s="121">
        <v>134.41603000000001</v>
      </c>
      <c r="AU404" s="7" t="str">
        <f>VLOOKUP($AO404,Mapping!$E$11:$I$204,3,0)</f>
        <v>Replacement</v>
      </c>
      <c r="AV404" s="7" t="str">
        <f>IFERROR(VLOOKUP($AQ404,Mapping!$E$208:$K$236,5,0),"Contracts")</f>
        <v>Materials</v>
      </c>
      <c r="AW404" s="7" t="str">
        <f>IFERROR(VLOOKUP($AQ404,Mapping!$E$208:$K$236,7,0),"ENDirect")</f>
        <v>ENDirect</v>
      </c>
      <c r="AX404" s="7" t="str">
        <f>IFERROR(HLOOKUP(AV404,'Calc|Weightings'!$U$5:$W$5,1,0),"Excl")</f>
        <v>Materials</v>
      </c>
      <c r="AY404" s="7" t="str">
        <f>VLOOKUP(AO404,Mapping!$E$11:$I$204,5,0)</f>
        <v>SCS</v>
      </c>
    </row>
    <row r="405" spans="1:51" x14ac:dyDescent="0.3">
      <c r="A405" s="7"/>
      <c r="B405" s="7"/>
      <c r="C405" s="7"/>
      <c r="D405" s="7"/>
      <c r="E405" s="32" t="s">
        <v>160</v>
      </c>
      <c r="F405" s="32"/>
      <c r="G405" s="32">
        <v>80000</v>
      </c>
      <c r="H405" s="32" t="s">
        <v>453</v>
      </c>
      <c r="I405" s="33">
        <v>46.938000000000002</v>
      </c>
      <c r="J405" s="170"/>
      <c r="K405" s="7" t="str">
        <f>VLOOKUP($E405,Mapping!$E$11:$I$204,3,0)</f>
        <v>Augmentation</v>
      </c>
      <c r="L405" s="7" t="str">
        <f>IFERROR(VLOOKUP($G405,Mapping!$E$208:$K$236,5,0),"Contracts")</f>
        <v>Overhead</v>
      </c>
      <c r="M405" s="7" t="str">
        <f>IFERROR(VLOOKUP($G405,Mapping!$E$208:$K$236,7,0),"ENDirect")</f>
        <v>OH</v>
      </c>
      <c r="N405" s="7" t="str">
        <f>IFERROR(HLOOKUP(L405,'Calc|Weightings'!$U$5:$W$5,1,0),"Excl")</f>
        <v>Excl</v>
      </c>
      <c r="O405" s="7" t="str">
        <f>VLOOKUP(E405,Mapping!$E$11:$I$204,5,0)</f>
        <v>SCS</v>
      </c>
      <c r="Q405" s="32" t="s">
        <v>135</v>
      </c>
      <c r="R405" s="32"/>
      <c r="S405" s="32">
        <v>71005</v>
      </c>
      <c r="T405" s="32" t="s">
        <v>461</v>
      </c>
      <c r="U405" s="33">
        <v>106.96899999999999</v>
      </c>
      <c r="V405" s="7"/>
      <c r="W405" s="7" t="str">
        <f>VLOOKUP($Q405,Mapping!$E$11:$I$204,3,0)</f>
        <v>ACS</v>
      </c>
      <c r="X405" s="7" t="str">
        <f>IFERROR(VLOOKUP($S405,Mapping!$E$208:$K$236,5,0),"Contracts")</f>
        <v>Materials</v>
      </c>
      <c r="Y405" s="7" t="str">
        <f>IFERROR(VLOOKUP($S405,Mapping!$E$208:$K$236,7,0),"ENDirect")</f>
        <v>ENDirect</v>
      </c>
      <c r="Z405" s="7" t="str">
        <f>IFERROR(HLOOKUP(X405,'Calc|Weightings'!$U$5:$W$5,1,0),"Excl")</f>
        <v>Materials</v>
      </c>
      <c r="AA405" s="7" t="str">
        <f>VLOOKUP(Q405,Mapping!$E$11:$I$204,5,0)</f>
        <v>ACS</v>
      </c>
      <c r="AC405" s="35" t="s">
        <v>108</v>
      </c>
      <c r="AD405" s="35"/>
      <c r="AE405" s="35">
        <v>71030</v>
      </c>
      <c r="AF405" s="35" t="s">
        <v>464</v>
      </c>
      <c r="AG405" s="36">
        <v>5.5659999999999998</v>
      </c>
      <c r="AI405" s="7" t="str">
        <f>VLOOKUP($AC405,Mapping!$E$11:$I$204,3,0)</f>
        <v>Public Lighting</v>
      </c>
      <c r="AJ405" s="7" t="str">
        <f>IFERROR(VLOOKUP($AE405,Mapping!$E$208:$K$236,5,0),"Contracts")</f>
        <v>Contracts</v>
      </c>
      <c r="AK405" s="7" t="str">
        <f>IFERROR(VLOOKUP($AE405,Mapping!$E$208:$K$236,7,0),"ENDirect")</f>
        <v>ENDirect</v>
      </c>
      <c r="AL405" s="7" t="str">
        <f>IFERROR(HLOOKUP(AJ405,'Calc|Weightings'!$U$5:$W$5,1,0),"Excl")</f>
        <v>Contracts</v>
      </c>
      <c r="AM405" s="7" t="str">
        <f>VLOOKUP(AC405,Mapping!$E$11:$I$204,5,0)</f>
        <v>Public Lighting</v>
      </c>
      <c r="AO405" s="35" t="s">
        <v>268</v>
      </c>
      <c r="AP405" s="35"/>
      <c r="AQ405" s="35">
        <v>71000</v>
      </c>
      <c r="AR405" s="35" t="s">
        <v>457</v>
      </c>
      <c r="AS405" s="121">
        <v>8.1486000000000001</v>
      </c>
      <c r="AU405" s="7" t="str">
        <f>VLOOKUP($AO405,Mapping!$E$11:$I$204,3,0)</f>
        <v>Replacement</v>
      </c>
      <c r="AV405" s="7" t="str">
        <f>IFERROR(VLOOKUP($AQ405,Mapping!$E$208:$K$236,5,0),"Contracts")</f>
        <v>Labour</v>
      </c>
      <c r="AW405" s="7" t="str">
        <f>IFERROR(VLOOKUP($AQ405,Mapping!$E$208:$K$236,7,0),"ENDirect")</f>
        <v>ENDirect</v>
      </c>
      <c r="AX405" s="7" t="str">
        <f>IFERROR(HLOOKUP(AV405,'Calc|Weightings'!$U$5:$W$5,1,0),"Excl")</f>
        <v>Labour</v>
      </c>
      <c r="AY405" s="7" t="str">
        <f>VLOOKUP(AO405,Mapping!$E$11:$I$204,5,0)</f>
        <v>SCS</v>
      </c>
    </row>
    <row r="406" spans="1:51" x14ac:dyDescent="0.3">
      <c r="A406" s="7"/>
      <c r="B406" s="7"/>
      <c r="C406" s="7"/>
      <c r="D406" s="7"/>
      <c r="E406" s="32" t="s">
        <v>160</v>
      </c>
      <c r="F406" s="32"/>
      <c r="G406" s="32">
        <v>71005</v>
      </c>
      <c r="H406" s="32" t="s">
        <v>461</v>
      </c>
      <c r="I406" s="33">
        <v>73.070999999999998</v>
      </c>
      <c r="J406" s="170"/>
      <c r="K406" s="7" t="str">
        <f>VLOOKUP($E406,Mapping!$E$11:$I$204,3,0)</f>
        <v>Augmentation</v>
      </c>
      <c r="L406" s="7" t="str">
        <f>IFERROR(VLOOKUP($G406,Mapping!$E$208:$K$236,5,0),"Contracts")</f>
        <v>Materials</v>
      </c>
      <c r="M406" s="7" t="str">
        <f>IFERROR(VLOOKUP($G406,Mapping!$E$208:$K$236,7,0),"ENDirect")</f>
        <v>ENDirect</v>
      </c>
      <c r="N406" s="7" t="str">
        <f>IFERROR(HLOOKUP(L406,'Calc|Weightings'!$U$5:$W$5,1,0),"Excl")</f>
        <v>Materials</v>
      </c>
      <c r="O406" s="7" t="str">
        <f>VLOOKUP(E406,Mapping!$E$11:$I$204,5,0)</f>
        <v>SCS</v>
      </c>
      <c r="Q406" s="32" t="s">
        <v>135</v>
      </c>
      <c r="R406" s="32"/>
      <c r="S406" s="32">
        <v>71015</v>
      </c>
      <c r="T406" s="32" t="s">
        <v>463</v>
      </c>
      <c r="U406" s="33">
        <v>75.301000000000002</v>
      </c>
      <c r="V406" s="7"/>
      <c r="W406" s="7" t="str">
        <f>VLOOKUP($Q406,Mapping!$E$11:$I$204,3,0)</f>
        <v>ACS</v>
      </c>
      <c r="X406" s="7" t="str">
        <f>IFERROR(VLOOKUP($S406,Mapping!$E$208:$K$236,5,0),"Contracts")</f>
        <v>Materials</v>
      </c>
      <c r="Y406" s="7" t="str">
        <f>IFERROR(VLOOKUP($S406,Mapping!$E$208:$K$236,7,0),"ENDirect")</f>
        <v>ENDirect</v>
      </c>
      <c r="Z406" s="7" t="str">
        <f>IFERROR(HLOOKUP(X406,'Calc|Weightings'!$U$5:$W$5,1,0),"Excl")</f>
        <v>Materials</v>
      </c>
      <c r="AA406" s="7" t="str">
        <f>VLOOKUP(Q406,Mapping!$E$11:$I$204,5,0)</f>
        <v>ACS</v>
      </c>
      <c r="AC406" s="35" t="s">
        <v>108</v>
      </c>
      <c r="AD406" s="35"/>
      <c r="AE406" s="35">
        <v>71055</v>
      </c>
      <c r="AF406" s="35" t="s">
        <v>465</v>
      </c>
      <c r="AG406" s="36">
        <v>11.108000000000001</v>
      </c>
      <c r="AI406" s="7" t="str">
        <f>VLOOKUP($AC406,Mapping!$E$11:$I$204,3,0)</f>
        <v>Public Lighting</v>
      </c>
      <c r="AJ406" s="7" t="str">
        <f>IFERROR(VLOOKUP($AE406,Mapping!$E$208:$K$236,5,0),"Contracts")</f>
        <v>Contracts</v>
      </c>
      <c r="AK406" s="7" t="str">
        <f>IFERROR(VLOOKUP($AE406,Mapping!$E$208:$K$236,7,0),"ENDirect")</f>
        <v>ENDirect</v>
      </c>
      <c r="AL406" s="7" t="str">
        <f>IFERROR(HLOOKUP(AJ406,'Calc|Weightings'!$U$5:$W$5,1,0),"Excl")</f>
        <v>Contracts</v>
      </c>
      <c r="AM406" s="7" t="str">
        <f>VLOOKUP(AC406,Mapping!$E$11:$I$204,5,0)</f>
        <v>Public Lighting</v>
      </c>
      <c r="AO406" s="35" t="s">
        <v>268</v>
      </c>
      <c r="AP406" s="35"/>
      <c r="AQ406" s="35">
        <v>71005</v>
      </c>
      <c r="AR406" s="35" t="s">
        <v>461</v>
      </c>
      <c r="AS406" s="121">
        <v>0.52500000000000002</v>
      </c>
      <c r="AU406" s="7" t="str">
        <f>VLOOKUP($AO406,Mapping!$E$11:$I$204,3,0)</f>
        <v>Replacement</v>
      </c>
      <c r="AV406" s="7" t="str">
        <f>IFERROR(VLOOKUP($AQ406,Mapping!$E$208:$K$236,5,0),"Contracts")</f>
        <v>Materials</v>
      </c>
      <c r="AW406" s="7" t="str">
        <f>IFERROR(VLOOKUP($AQ406,Mapping!$E$208:$K$236,7,0),"ENDirect")</f>
        <v>ENDirect</v>
      </c>
      <c r="AX406" s="7" t="str">
        <f>IFERROR(HLOOKUP(AV406,'Calc|Weightings'!$U$5:$W$5,1,0),"Excl")</f>
        <v>Materials</v>
      </c>
      <c r="AY406" s="7" t="str">
        <f>VLOOKUP(AO406,Mapping!$E$11:$I$204,5,0)</f>
        <v>SCS</v>
      </c>
    </row>
    <row r="407" spans="1:51" x14ac:dyDescent="0.3">
      <c r="A407" s="7"/>
      <c r="B407" s="7"/>
      <c r="C407" s="7"/>
      <c r="D407" s="7"/>
      <c r="E407" s="32" t="s">
        <v>160</v>
      </c>
      <c r="F407" s="32"/>
      <c r="G407" s="32">
        <v>71015</v>
      </c>
      <c r="H407" s="32" t="s">
        <v>463</v>
      </c>
      <c r="I407" s="33">
        <v>41.024999999999999</v>
      </c>
      <c r="J407" s="170"/>
      <c r="K407" s="7" t="str">
        <f>VLOOKUP($E407,Mapping!$E$11:$I$204,3,0)</f>
        <v>Augmentation</v>
      </c>
      <c r="L407" s="7" t="str">
        <f>IFERROR(VLOOKUP($G407,Mapping!$E$208:$K$236,5,0),"Contracts")</f>
        <v>Materials</v>
      </c>
      <c r="M407" s="7" t="str">
        <f>IFERROR(VLOOKUP($G407,Mapping!$E$208:$K$236,7,0),"ENDirect")</f>
        <v>ENDirect</v>
      </c>
      <c r="N407" s="7" t="str">
        <f>IFERROR(HLOOKUP(L407,'Calc|Weightings'!$U$5:$W$5,1,0),"Excl")</f>
        <v>Materials</v>
      </c>
      <c r="O407" s="7" t="str">
        <f>VLOOKUP(E407,Mapping!$E$11:$I$204,5,0)</f>
        <v>SCS</v>
      </c>
      <c r="Q407" s="32" t="s">
        <v>135</v>
      </c>
      <c r="R407" s="32"/>
      <c r="S407" s="32">
        <v>71030</v>
      </c>
      <c r="T407" s="32" t="s">
        <v>464</v>
      </c>
      <c r="U407" s="33">
        <v>54.262999999999998</v>
      </c>
      <c r="V407" s="7"/>
      <c r="W407" s="7" t="str">
        <f>VLOOKUP($Q407,Mapping!$E$11:$I$204,3,0)</f>
        <v>ACS</v>
      </c>
      <c r="X407" s="7" t="str">
        <f>IFERROR(VLOOKUP($S407,Mapping!$E$208:$K$236,5,0),"Contracts")</f>
        <v>Contracts</v>
      </c>
      <c r="Y407" s="7" t="str">
        <f>IFERROR(VLOOKUP($S407,Mapping!$E$208:$K$236,7,0),"ENDirect")</f>
        <v>ENDirect</v>
      </c>
      <c r="Z407" s="7" t="str">
        <f>IFERROR(HLOOKUP(X407,'Calc|Weightings'!$U$5:$W$5,1,0),"Excl")</f>
        <v>Contracts</v>
      </c>
      <c r="AA407" s="7" t="str">
        <f>VLOOKUP(Q407,Mapping!$E$11:$I$204,5,0)</f>
        <v>ACS</v>
      </c>
      <c r="AC407" s="35" t="s">
        <v>108</v>
      </c>
      <c r="AD407" s="35"/>
      <c r="AE407" s="35">
        <v>80000</v>
      </c>
      <c r="AF407" s="35" t="s">
        <v>453</v>
      </c>
      <c r="AG407" s="36">
        <v>7.5170000000000003</v>
      </c>
      <c r="AI407" s="7" t="str">
        <f>VLOOKUP($AC407,Mapping!$E$11:$I$204,3,0)</f>
        <v>Public Lighting</v>
      </c>
      <c r="AJ407" s="7" t="str">
        <f>IFERROR(VLOOKUP($AE407,Mapping!$E$208:$K$236,5,0),"Contracts")</f>
        <v>Overhead</v>
      </c>
      <c r="AK407" s="7" t="str">
        <f>IFERROR(VLOOKUP($AE407,Mapping!$E$208:$K$236,7,0),"ENDirect")</f>
        <v>OH</v>
      </c>
      <c r="AL407" s="7" t="str">
        <f>IFERROR(HLOOKUP(AJ407,'Calc|Weightings'!$U$5:$W$5,1,0),"Excl")</f>
        <v>Excl</v>
      </c>
      <c r="AM407" s="7" t="str">
        <f>VLOOKUP(AC407,Mapping!$E$11:$I$204,5,0)</f>
        <v>Public Lighting</v>
      </c>
      <c r="AO407" s="35" t="s">
        <v>268</v>
      </c>
      <c r="AP407" s="35"/>
      <c r="AQ407" s="35">
        <v>71010</v>
      </c>
      <c r="AR407" s="35" t="s">
        <v>487</v>
      </c>
      <c r="AS407" s="121">
        <v>0.40039999999999998</v>
      </c>
      <c r="AU407" s="7" t="str">
        <f>VLOOKUP($AO407,Mapping!$E$11:$I$204,3,0)</f>
        <v>Replacement</v>
      </c>
      <c r="AV407" s="7" t="str">
        <f>IFERROR(VLOOKUP($AQ407,Mapping!$E$208:$K$236,5,0),"Contracts")</f>
        <v>Labour</v>
      </c>
      <c r="AW407" s="7" t="str">
        <f>IFERROR(VLOOKUP($AQ407,Mapping!$E$208:$K$236,7,0),"ENDirect")</f>
        <v>ENDirect</v>
      </c>
      <c r="AX407" s="7" t="str">
        <f>IFERROR(HLOOKUP(AV407,'Calc|Weightings'!$U$5:$W$5,1,0),"Excl")</f>
        <v>Labour</v>
      </c>
      <c r="AY407" s="7" t="str">
        <f>VLOOKUP(AO407,Mapping!$E$11:$I$204,5,0)</f>
        <v>SCS</v>
      </c>
    </row>
    <row r="408" spans="1:51" x14ac:dyDescent="0.3">
      <c r="A408" s="7"/>
      <c r="B408" s="7"/>
      <c r="C408" s="7"/>
      <c r="D408" s="7"/>
      <c r="E408" s="32" t="s">
        <v>547</v>
      </c>
      <c r="F408" s="32"/>
      <c r="G408" s="32">
        <v>71040</v>
      </c>
      <c r="H408" s="32" t="s">
        <v>460</v>
      </c>
      <c r="I408" s="33">
        <v>-0.92600000000000005</v>
      </c>
      <c r="J408" s="170"/>
      <c r="K408" s="7" t="str">
        <f>VLOOKUP($E408,Mapping!$E$11:$I$204,3,0)</f>
        <v>Connections</v>
      </c>
      <c r="L408" s="7" t="str">
        <f>IFERROR(VLOOKUP($G408,Mapping!$E$208:$K$236,5,0),"Contracts")</f>
        <v>Contracts</v>
      </c>
      <c r="M408" s="7" t="str">
        <f>IFERROR(VLOOKUP($G408,Mapping!$E$208:$K$236,7,0),"ENDirect")</f>
        <v>ENDirect</v>
      </c>
      <c r="N408" s="7" t="str">
        <f>IFERROR(HLOOKUP(L408,'Calc|Weightings'!$U$5:$W$5,1,0),"Excl")</f>
        <v>Contracts</v>
      </c>
      <c r="O408" s="7" t="str">
        <f>VLOOKUP(E408,Mapping!$E$11:$I$204,5,0)</f>
        <v>SCS</v>
      </c>
      <c r="Q408" s="32" t="s">
        <v>135</v>
      </c>
      <c r="R408" s="32"/>
      <c r="S408" s="32">
        <v>71055</v>
      </c>
      <c r="T408" s="32" t="s">
        <v>465</v>
      </c>
      <c r="U408" s="33">
        <v>91.796999999999997</v>
      </c>
      <c r="V408" s="7"/>
      <c r="W408" s="7" t="str">
        <f>VLOOKUP($Q408,Mapping!$E$11:$I$204,3,0)</f>
        <v>ACS</v>
      </c>
      <c r="X408" s="7" t="str">
        <f>IFERROR(VLOOKUP($S408,Mapping!$E$208:$K$236,5,0),"Contracts")</f>
        <v>Contracts</v>
      </c>
      <c r="Y408" s="7" t="str">
        <f>IFERROR(VLOOKUP($S408,Mapping!$E$208:$K$236,7,0),"ENDirect")</f>
        <v>ENDirect</v>
      </c>
      <c r="Z408" s="7" t="str">
        <f>IFERROR(HLOOKUP(X408,'Calc|Weightings'!$U$5:$W$5,1,0),"Excl")</f>
        <v>Contracts</v>
      </c>
      <c r="AA408" s="7" t="str">
        <f>VLOOKUP(Q408,Mapping!$E$11:$I$204,5,0)</f>
        <v>ACS</v>
      </c>
      <c r="AC408" s="35" t="s">
        <v>108</v>
      </c>
      <c r="AD408" s="35"/>
      <c r="AE408" s="35">
        <v>89999</v>
      </c>
      <c r="AF408" s="35" t="s">
        <v>471</v>
      </c>
      <c r="AG408" s="36">
        <v>0</v>
      </c>
      <c r="AI408" s="7" t="str">
        <f>VLOOKUP($AC408,Mapping!$E$11:$I$204,3,0)</f>
        <v>Public Lighting</v>
      </c>
      <c r="AJ408" s="7" t="str">
        <f>IFERROR(VLOOKUP($AE408,Mapping!$E$208:$K$236,5,0),"Contracts")</f>
        <v>Contracts</v>
      </c>
      <c r="AK408" s="7" t="str">
        <f>IFERROR(VLOOKUP($AE408,Mapping!$E$208:$K$236,7,0),"ENDirect")</f>
        <v>ENDirect</v>
      </c>
      <c r="AL408" s="7" t="str">
        <f>IFERROR(HLOOKUP(AJ408,'Calc|Weightings'!$U$5:$W$5,1,0),"Excl")</f>
        <v>Contracts</v>
      </c>
      <c r="AM408" s="7" t="str">
        <f>VLOOKUP(AC408,Mapping!$E$11:$I$204,5,0)</f>
        <v>Public Lighting</v>
      </c>
      <c r="AO408" s="35" t="s">
        <v>268</v>
      </c>
      <c r="AP408" s="35"/>
      <c r="AQ408" s="35">
        <v>71015</v>
      </c>
      <c r="AR408" s="35" t="s">
        <v>585</v>
      </c>
      <c r="AS408" s="121">
        <v>0.75078</v>
      </c>
      <c r="AU408" s="7" t="str">
        <f>VLOOKUP($AO408,Mapping!$E$11:$I$204,3,0)</f>
        <v>Replacement</v>
      </c>
      <c r="AV408" s="7" t="str">
        <f>IFERROR(VLOOKUP($AQ408,Mapping!$E$208:$K$236,5,0),"Contracts")</f>
        <v>Materials</v>
      </c>
      <c r="AW408" s="7" t="str">
        <f>IFERROR(VLOOKUP($AQ408,Mapping!$E$208:$K$236,7,0),"ENDirect")</f>
        <v>ENDirect</v>
      </c>
      <c r="AX408" s="7" t="str">
        <f>IFERROR(HLOOKUP(AV408,'Calc|Weightings'!$U$5:$W$5,1,0),"Excl")</f>
        <v>Materials</v>
      </c>
      <c r="AY408" s="7" t="str">
        <f>VLOOKUP(AO408,Mapping!$E$11:$I$204,5,0)</f>
        <v>SCS</v>
      </c>
    </row>
    <row r="409" spans="1:51" x14ac:dyDescent="0.3">
      <c r="A409" s="7"/>
      <c r="B409" s="7"/>
      <c r="C409" s="7"/>
      <c r="D409" s="7"/>
      <c r="E409" s="32" t="s">
        <v>113</v>
      </c>
      <c r="F409" s="32"/>
      <c r="G409" s="32">
        <v>71006</v>
      </c>
      <c r="H409" s="32" t="s">
        <v>468</v>
      </c>
      <c r="I409" s="33">
        <v>12.522</v>
      </c>
      <c r="J409" s="170"/>
      <c r="K409" s="7" t="str">
        <f>VLOOKUP($E409,Mapping!$E$11:$I$204,3,0)</f>
        <v>Connections</v>
      </c>
      <c r="L409" s="7" t="str">
        <f>IFERROR(VLOOKUP($G409,Mapping!$E$208:$K$236,5,0),"Contracts")</f>
        <v>Materials</v>
      </c>
      <c r="M409" s="7" t="str">
        <f>IFERROR(VLOOKUP($G409,Mapping!$E$208:$K$236,7,0),"ENDirect")</f>
        <v>ENDirect</v>
      </c>
      <c r="N409" s="7" t="str">
        <f>IFERROR(HLOOKUP(L409,'Calc|Weightings'!$U$5:$W$5,1,0),"Excl")</f>
        <v>Materials</v>
      </c>
      <c r="O409" s="7" t="str">
        <f>VLOOKUP(E409,Mapping!$E$11:$I$204,5,0)</f>
        <v>SCS</v>
      </c>
      <c r="Q409" s="32" t="s">
        <v>135</v>
      </c>
      <c r="R409" s="32"/>
      <c r="S409" s="32">
        <v>80000</v>
      </c>
      <c r="T409" s="32" t="s">
        <v>453</v>
      </c>
      <c r="U409" s="33">
        <v>118.39700000000001</v>
      </c>
      <c r="V409" s="7"/>
      <c r="W409" s="7" t="str">
        <f>VLOOKUP($Q409,Mapping!$E$11:$I$204,3,0)</f>
        <v>ACS</v>
      </c>
      <c r="X409" s="7" t="str">
        <f>IFERROR(VLOOKUP($S409,Mapping!$E$208:$K$236,5,0),"Contracts")</f>
        <v>Overhead</v>
      </c>
      <c r="Y409" s="7" t="str">
        <f>IFERROR(VLOOKUP($S409,Mapping!$E$208:$K$236,7,0),"ENDirect")</f>
        <v>OH</v>
      </c>
      <c r="Z409" s="7" t="str">
        <f>IFERROR(HLOOKUP(X409,'Calc|Weightings'!$U$5:$W$5,1,0),"Excl")</f>
        <v>Excl</v>
      </c>
      <c r="AA409" s="7" t="str">
        <f>VLOOKUP(Q409,Mapping!$E$11:$I$204,5,0)</f>
        <v>ACS</v>
      </c>
      <c r="AC409" s="35" t="s">
        <v>109</v>
      </c>
      <c r="AD409" s="35"/>
      <c r="AE409" s="35">
        <v>71000</v>
      </c>
      <c r="AF409" s="35" t="s">
        <v>457</v>
      </c>
      <c r="AG409" s="36">
        <v>0</v>
      </c>
      <c r="AI409" s="7" t="str">
        <f>VLOOKUP($AC409,Mapping!$E$11:$I$204,3,0)</f>
        <v>Public Lighting</v>
      </c>
      <c r="AJ409" s="7" t="str">
        <f>IFERROR(VLOOKUP($AE409,Mapping!$E$208:$K$236,5,0),"Contracts")</f>
        <v>Labour</v>
      </c>
      <c r="AK409" s="7" t="str">
        <f>IFERROR(VLOOKUP($AE409,Mapping!$E$208:$K$236,7,0),"ENDirect")</f>
        <v>ENDirect</v>
      </c>
      <c r="AL409" s="7" t="str">
        <f>IFERROR(HLOOKUP(AJ409,'Calc|Weightings'!$U$5:$W$5,1,0),"Excl")</f>
        <v>Labour</v>
      </c>
      <c r="AM409" s="7" t="str">
        <f>VLOOKUP(AC409,Mapping!$E$11:$I$204,5,0)</f>
        <v>Public Lighting</v>
      </c>
      <c r="AO409" s="35" t="s">
        <v>268</v>
      </c>
      <c r="AP409" s="35"/>
      <c r="AQ409" s="35">
        <v>71130</v>
      </c>
      <c r="AR409" s="35" t="s">
        <v>592</v>
      </c>
      <c r="AS409" s="121">
        <v>1.73892</v>
      </c>
      <c r="AU409" s="7" t="str">
        <f>VLOOKUP($AO409,Mapping!$E$11:$I$204,3,0)</f>
        <v>Replacement</v>
      </c>
      <c r="AV409" s="7" t="str">
        <f>IFERROR(VLOOKUP($AQ409,Mapping!$E$208:$K$236,5,0),"Contracts")</f>
        <v>Contracts</v>
      </c>
      <c r="AW409" s="7" t="str">
        <f>IFERROR(VLOOKUP($AQ409,Mapping!$E$208:$K$236,7,0),"ENDirect")</f>
        <v>ENDirect</v>
      </c>
      <c r="AX409" s="7" t="str">
        <f>IFERROR(HLOOKUP(AV409,'Calc|Weightings'!$U$5:$W$5,1,0),"Excl")</f>
        <v>Contracts</v>
      </c>
      <c r="AY409" s="7" t="str">
        <f>VLOOKUP(AO409,Mapping!$E$11:$I$204,5,0)</f>
        <v>SCS</v>
      </c>
    </row>
    <row r="410" spans="1:51" x14ac:dyDescent="0.3">
      <c r="A410" s="7"/>
      <c r="B410" s="7"/>
      <c r="C410" s="7"/>
      <c r="D410" s="7"/>
      <c r="E410" s="32" t="s">
        <v>114</v>
      </c>
      <c r="F410" s="32"/>
      <c r="G410" s="32">
        <v>71000</v>
      </c>
      <c r="H410" s="32" t="s">
        <v>457</v>
      </c>
      <c r="I410" s="33">
        <v>25.042000000000002</v>
      </c>
      <c r="J410" s="170"/>
      <c r="K410" s="7" t="str">
        <f>VLOOKUP($E410,Mapping!$E$11:$I$204,3,0)</f>
        <v>Connections</v>
      </c>
      <c r="L410" s="7" t="str">
        <f>IFERROR(VLOOKUP($G410,Mapping!$E$208:$K$236,5,0),"Contracts")</f>
        <v>Labour</v>
      </c>
      <c r="M410" s="7" t="str">
        <f>IFERROR(VLOOKUP($G410,Mapping!$E$208:$K$236,7,0),"ENDirect")</f>
        <v>ENDirect</v>
      </c>
      <c r="N410" s="7" t="str">
        <f>IFERROR(HLOOKUP(L410,'Calc|Weightings'!$U$5:$W$5,1,0),"Excl")</f>
        <v>Labour</v>
      </c>
      <c r="O410" s="7" t="str">
        <f>VLOOKUP(E410,Mapping!$E$11:$I$204,5,0)</f>
        <v>SCS</v>
      </c>
      <c r="Q410" s="32" t="s">
        <v>137</v>
      </c>
      <c r="R410" s="32"/>
      <c r="S410" s="32">
        <v>71000</v>
      </c>
      <c r="T410" s="32" t="s">
        <v>457</v>
      </c>
      <c r="U410" s="33">
        <v>1.9370000000000001</v>
      </c>
      <c r="V410" s="7"/>
      <c r="W410" s="7" t="str">
        <f>VLOOKUP($Q410,Mapping!$E$11:$I$204,3,0)</f>
        <v>ACS</v>
      </c>
      <c r="X410" s="7" t="str">
        <f>IFERROR(VLOOKUP($S410,Mapping!$E$208:$K$236,5,0),"Contracts")</f>
        <v>Labour</v>
      </c>
      <c r="Y410" s="7" t="str">
        <f>IFERROR(VLOOKUP($S410,Mapping!$E$208:$K$236,7,0),"ENDirect")</f>
        <v>ENDirect</v>
      </c>
      <c r="Z410" s="7" t="str">
        <f>IFERROR(HLOOKUP(X410,'Calc|Weightings'!$U$5:$W$5,1,0),"Excl")</f>
        <v>Labour</v>
      </c>
      <c r="AA410" s="7" t="str">
        <f>VLOOKUP(Q410,Mapping!$E$11:$I$204,5,0)</f>
        <v>ACS</v>
      </c>
      <c r="AC410" s="35" t="s">
        <v>109</v>
      </c>
      <c r="AD410" s="35"/>
      <c r="AE410" s="35">
        <v>71005</v>
      </c>
      <c r="AF410" s="35" t="s">
        <v>461</v>
      </c>
      <c r="AG410" s="36">
        <v>0.68600000000000005</v>
      </c>
      <c r="AI410" s="7" t="str">
        <f>VLOOKUP($AC410,Mapping!$E$11:$I$204,3,0)</f>
        <v>Public Lighting</v>
      </c>
      <c r="AJ410" s="7" t="str">
        <f>IFERROR(VLOOKUP($AE410,Mapping!$E$208:$K$236,5,0),"Contracts")</f>
        <v>Materials</v>
      </c>
      <c r="AK410" s="7" t="str">
        <f>IFERROR(VLOOKUP($AE410,Mapping!$E$208:$K$236,7,0),"ENDirect")</f>
        <v>ENDirect</v>
      </c>
      <c r="AL410" s="7" t="str">
        <f>IFERROR(HLOOKUP(AJ410,'Calc|Weightings'!$U$5:$W$5,1,0),"Excl")</f>
        <v>Materials</v>
      </c>
      <c r="AM410" s="7" t="str">
        <f>VLOOKUP(AC410,Mapping!$E$11:$I$204,5,0)</f>
        <v>Public Lighting</v>
      </c>
      <c r="AO410" s="35" t="s">
        <v>268</v>
      </c>
      <c r="AP410" s="35"/>
      <c r="AQ410" s="35">
        <v>80000</v>
      </c>
      <c r="AR410" s="35" t="s">
        <v>589</v>
      </c>
      <c r="AS410" s="121">
        <v>23.713630000000002</v>
      </c>
      <c r="AU410" s="7" t="str">
        <f>VLOOKUP($AO410,Mapping!$E$11:$I$204,3,0)</f>
        <v>Replacement</v>
      </c>
      <c r="AV410" s="7" t="str">
        <f>IFERROR(VLOOKUP($AQ410,Mapping!$E$208:$K$236,5,0),"Contracts")</f>
        <v>Overhead</v>
      </c>
      <c r="AW410" s="7" t="str">
        <f>IFERROR(VLOOKUP($AQ410,Mapping!$E$208:$K$236,7,0),"ENDirect")</f>
        <v>OH</v>
      </c>
      <c r="AX410" s="7" t="str">
        <f>IFERROR(HLOOKUP(AV410,'Calc|Weightings'!$U$5:$W$5,1,0),"Excl")</f>
        <v>Excl</v>
      </c>
      <c r="AY410" s="7" t="str">
        <f>VLOOKUP(AO410,Mapping!$E$11:$I$204,5,0)</f>
        <v>SCS</v>
      </c>
    </row>
    <row r="411" spans="1:51" x14ac:dyDescent="0.3">
      <c r="A411" s="7"/>
      <c r="B411" s="7"/>
      <c r="C411" s="7"/>
      <c r="D411" s="7"/>
      <c r="E411" s="32" t="s">
        <v>114</v>
      </c>
      <c r="F411" s="32"/>
      <c r="G411" s="32">
        <v>71010</v>
      </c>
      <c r="H411" s="32" t="s">
        <v>462</v>
      </c>
      <c r="I411" s="33">
        <v>28.239000000000001</v>
      </c>
      <c r="J411" s="170"/>
      <c r="K411" s="7" t="str">
        <f>VLOOKUP($E411,Mapping!$E$11:$I$204,3,0)</f>
        <v>Connections</v>
      </c>
      <c r="L411" s="7" t="str">
        <f>IFERROR(VLOOKUP($G411,Mapping!$E$208:$K$236,5,0),"Contracts")</f>
        <v>Labour</v>
      </c>
      <c r="M411" s="7" t="str">
        <f>IFERROR(VLOOKUP($G411,Mapping!$E$208:$K$236,7,0),"ENDirect")</f>
        <v>ENDirect</v>
      </c>
      <c r="N411" s="7" t="str">
        <f>IFERROR(HLOOKUP(L411,'Calc|Weightings'!$U$5:$W$5,1,0),"Excl")</f>
        <v>Labour</v>
      </c>
      <c r="O411" s="7" t="str">
        <f>VLOOKUP(E411,Mapping!$E$11:$I$204,5,0)</f>
        <v>SCS</v>
      </c>
      <c r="Q411" s="32" t="s">
        <v>137</v>
      </c>
      <c r="R411" s="32"/>
      <c r="S411" s="32">
        <v>71015</v>
      </c>
      <c r="T411" s="32" t="s">
        <v>463</v>
      </c>
      <c r="U411" s="33">
        <v>0.75</v>
      </c>
      <c r="V411" s="7"/>
      <c r="W411" s="7" t="str">
        <f>VLOOKUP($Q411,Mapping!$E$11:$I$204,3,0)</f>
        <v>ACS</v>
      </c>
      <c r="X411" s="7" t="str">
        <f>IFERROR(VLOOKUP($S411,Mapping!$E$208:$K$236,5,0),"Contracts")</f>
        <v>Materials</v>
      </c>
      <c r="Y411" s="7" t="str">
        <f>IFERROR(VLOOKUP($S411,Mapping!$E$208:$K$236,7,0),"ENDirect")</f>
        <v>ENDirect</v>
      </c>
      <c r="Z411" s="7" t="str">
        <f>IFERROR(HLOOKUP(X411,'Calc|Weightings'!$U$5:$W$5,1,0),"Excl")</f>
        <v>Materials</v>
      </c>
      <c r="AA411" s="7" t="str">
        <f>VLOOKUP(Q411,Mapping!$E$11:$I$204,5,0)</f>
        <v>ACS</v>
      </c>
      <c r="AC411" s="35" t="s">
        <v>109</v>
      </c>
      <c r="AD411" s="35"/>
      <c r="AE411" s="35">
        <v>71010</v>
      </c>
      <c r="AF411" s="35" t="s">
        <v>462</v>
      </c>
      <c r="AG411" s="36">
        <v>2.3530000000000002</v>
      </c>
      <c r="AI411" s="7" t="str">
        <f>VLOOKUP($AC411,Mapping!$E$11:$I$204,3,0)</f>
        <v>Public Lighting</v>
      </c>
      <c r="AJ411" s="7" t="str">
        <f>IFERROR(VLOOKUP($AE411,Mapping!$E$208:$K$236,5,0),"Contracts")</f>
        <v>Labour</v>
      </c>
      <c r="AK411" s="7" t="str">
        <f>IFERROR(VLOOKUP($AE411,Mapping!$E$208:$K$236,7,0),"ENDirect")</f>
        <v>ENDirect</v>
      </c>
      <c r="AL411" s="7" t="str">
        <f>IFERROR(HLOOKUP(AJ411,'Calc|Weightings'!$U$5:$W$5,1,0),"Excl")</f>
        <v>Labour</v>
      </c>
      <c r="AM411" s="7" t="str">
        <f>VLOOKUP(AC411,Mapping!$E$11:$I$204,5,0)</f>
        <v>Public Lighting</v>
      </c>
      <c r="AO411" s="35" t="s">
        <v>161</v>
      </c>
      <c r="AP411" s="35"/>
      <c r="AQ411" s="35">
        <v>70815</v>
      </c>
      <c r="AR411" s="35" t="s">
        <v>594</v>
      </c>
      <c r="AS411" s="121">
        <v>1407.39031</v>
      </c>
      <c r="AU411" s="7" t="str">
        <f>VLOOKUP($AO411,Mapping!$E$11:$I$204,3,0)</f>
        <v>Augmentation</v>
      </c>
      <c r="AV411" s="7" t="str">
        <f>IFERROR(VLOOKUP($AQ411,Mapping!$E$208:$K$236,5,0),"Contracts")</f>
        <v>Materials</v>
      </c>
      <c r="AW411" s="7" t="str">
        <f>IFERROR(VLOOKUP($AQ411,Mapping!$E$208:$K$236,7,0),"ENDirect")</f>
        <v>ENDirect</v>
      </c>
      <c r="AX411" s="7" t="str">
        <f>IFERROR(HLOOKUP(AV411,'Calc|Weightings'!$U$5:$W$5,1,0),"Excl")</f>
        <v>Materials</v>
      </c>
      <c r="AY411" s="7" t="str">
        <f>VLOOKUP(AO411,Mapping!$E$11:$I$204,5,0)</f>
        <v>SCS</v>
      </c>
    </row>
    <row r="412" spans="1:51" x14ac:dyDescent="0.3">
      <c r="A412" s="7"/>
      <c r="B412" s="7"/>
      <c r="C412" s="7"/>
      <c r="D412" s="7"/>
      <c r="E412" s="32" t="s">
        <v>114</v>
      </c>
      <c r="F412" s="32"/>
      <c r="G412" s="32">
        <v>71015</v>
      </c>
      <c r="H412" s="32" t="s">
        <v>463</v>
      </c>
      <c r="I412" s="33">
        <v>1.133</v>
      </c>
      <c r="J412" s="170"/>
      <c r="K412" s="7" t="str">
        <f>VLOOKUP($E412,Mapping!$E$11:$I$204,3,0)</f>
        <v>Connections</v>
      </c>
      <c r="L412" s="7" t="str">
        <f>IFERROR(VLOOKUP($G412,Mapping!$E$208:$K$236,5,0),"Contracts")</f>
        <v>Materials</v>
      </c>
      <c r="M412" s="7" t="str">
        <f>IFERROR(VLOOKUP($G412,Mapping!$E$208:$K$236,7,0),"ENDirect")</f>
        <v>ENDirect</v>
      </c>
      <c r="N412" s="7" t="str">
        <f>IFERROR(HLOOKUP(L412,'Calc|Weightings'!$U$5:$W$5,1,0),"Excl")</f>
        <v>Materials</v>
      </c>
      <c r="O412" s="7" t="str">
        <f>VLOOKUP(E412,Mapping!$E$11:$I$204,5,0)</f>
        <v>SCS</v>
      </c>
      <c r="Q412" s="32" t="s">
        <v>137</v>
      </c>
      <c r="R412" s="32"/>
      <c r="S412" s="32">
        <v>71030</v>
      </c>
      <c r="T412" s="32" t="s">
        <v>464</v>
      </c>
      <c r="U412" s="33">
        <v>0.38</v>
      </c>
      <c r="V412" s="7"/>
      <c r="W412" s="7" t="str">
        <f>VLOOKUP($Q412,Mapping!$E$11:$I$204,3,0)</f>
        <v>ACS</v>
      </c>
      <c r="X412" s="7" t="str">
        <f>IFERROR(VLOOKUP($S412,Mapping!$E$208:$K$236,5,0),"Contracts")</f>
        <v>Contracts</v>
      </c>
      <c r="Y412" s="7" t="str">
        <f>IFERROR(VLOOKUP($S412,Mapping!$E$208:$K$236,7,0),"ENDirect")</f>
        <v>ENDirect</v>
      </c>
      <c r="Z412" s="7" t="str">
        <f>IFERROR(HLOOKUP(X412,'Calc|Weightings'!$U$5:$W$5,1,0),"Excl")</f>
        <v>Contracts</v>
      </c>
      <c r="AA412" s="7" t="str">
        <f>VLOOKUP(Q412,Mapping!$E$11:$I$204,5,0)</f>
        <v>ACS</v>
      </c>
      <c r="AC412" s="35" t="s">
        <v>109</v>
      </c>
      <c r="AD412" s="35"/>
      <c r="AE412" s="35">
        <v>71030</v>
      </c>
      <c r="AF412" s="35" t="s">
        <v>464</v>
      </c>
      <c r="AG412" s="36">
        <v>0.25</v>
      </c>
      <c r="AI412" s="7" t="str">
        <f>VLOOKUP($AC412,Mapping!$E$11:$I$204,3,0)</f>
        <v>Public Lighting</v>
      </c>
      <c r="AJ412" s="7" t="str">
        <f>IFERROR(VLOOKUP($AE412,Mapping!$E$208:$K$236,5,0),"Contracts")</f>
        <v>Contracts</v>
      </c>
      <c r="AK412" s="7" t="str">
        <f>IFERROR(VLOOKUP($AE412,Mapping!$E$208:$K$236,7,0),"ENDirect")</f>
        <v>ENDirect</v>
      </c>
      <c r="AL412" s="7" t="str">
        <f>IFERROR(HLOOKUP(AJ412,'Calc|Weightings'!$U$5:$W$5,1,0),"Excl")</f>
        <v>Contracts</v>
      </c>
      <c r="AM412" s="7" t="str">
        <f>VLOOKUP(AC412,Mapping!$E$11:$I$204,5,0)</f>
        <v>Public Lighting</v>
      </c>
      <c r="AO412" s="35" t="s">
        <v>161</v>
      </c>
      <c r="AP412" s="35"/>
      <c r="AQ412" s="35">
        <v>71000</v>
      </c>
      <c r="AR412" s="35" t="s">
        <v>457</v>
      </c>
      <c r="AS412" s="121">
        <v>620.50036000000011</v>
      </c>
      <c r="AU412" s="7" t="str">
        <f>VLOOKUP($AO412,Mapping!$E$11:$I$204,3,0)</f>
        <v>Augmentation</v>
      </c>
      <c r="AV412" s="7" t="str">
        <f>IFERROR(VLOOKUP($AQ412,Mapping!$E$208:$K$236,5,0),"Contracts")</f>
        <v>Labour</v>
      </c>
      <c r="AW412" s="7" t="str">
        <f>IFERROR(VLOOKUP($AQ412,Mapping!$E$208:$K$236,7,0),"ENDirect")</f>
        <v>ENDirect</v>
      </c>
      <c r="AX412" s="7" t="str">
        <f>IFERROR(HLOOKUP(AV412,'Calc|Weightings'!$U$5:$W$5,1,0),"Excl")</f>
        <v>Labour</v>
      </c>
      <c r="AY412" s="7" t="str">
        <f>VLOOKUP(AO412,Mapping!$E$11:$I$204,5,0)</f>
        <v>SCS</v>
      </c>
    </row>
    <row r="413" spans="1:51" x14ac:dyDescent="0.3">
      <c r="A413" s="7"/>
      <c r="B413" s="7"/>
      <c r="C413" s="7"/>
      <c r="D413" s="7"/>
      <c r="E413" s="32" t="s">
        <v>114</v>
      </c>
      <c r="F413" s="32"/>
      <c r="G413" s="32">
        <v>71030</v>
      </c>
      <c r="H413" s="32" t="s">
        <v>464</v>
      </c>
      <c r="I413" s="33">
        <v>4.6539999999999999</v>
      </c>
      <c r="J413" s="170"/>
      <c r="K413" s="7" t="str">
        <f>VLOOKUP($E413,Mapping!$E$11:$I$204,3,0)</f>
        <v>Connections</v>
      </c>
      <c r="L413" s="7" t="str">
        <f>IFERROR(VLOOKUP($G413,Mapping!$E$208:$K$236,5,0),"Contracts")</f>
        <v>Contracts</v>
      </c>
      <c r="M413" s="7" t="str">
        <f>IFERROR(VLOOKUP($G413,Mapping!$E$208:$K$236,7,0),"ENDirect")</f>
        <v>ENDirect</v>
      </c>
      <c r="N413" s="7" t="str">
        <f>IFERROR(HLOOKUP(L413,'Calc|Weightings'!$U$5:$W$5,1,0),"Excl")</f>
        <v>Contracts</v>
      </c>
      <c r="O413" s="7" t="str">
        <f>VLOOKUP(E413,Mapping!$E$11:$I$204,5,0)</f>
        <v>SCS</v>
      </c>
      <c r="Q413" s="32" t="s">
        <v>137</v>
      </c>
      <c r="R413" s="32"/>
      <c r="S413" s="32">
        <v>71055</v>
      </c>
      <c r="T413" s="32" t="s">
        <v>465</v>
      </c>
      <c r="U413" s="33">
        <v>0.46200000000000002</v>
      </c>
      <c r="V413" s="7"/>
      <c r="W413" s="7" t="str">
        <f>VLOOKUP($Q413,Mapping!$E$11:$I$204,3,0)</f>
        <v>ACS</v>
      </c>
      <c r="X413" s="7" t="str">
        <f>IFERROR(VLOOKUP($S413,Mapping!$E$208:$K$236,5,0),"Contracts")</f>
        <v>Contracts</v>
      </c>
      <c r="Y413" s="7" t="str">
        <f>IFERROR(VLOOKUP($S413,Mapping!$E$208:$K$236,7,0),"ENDirect")</f>
        <v>ENDirect</v>
      </c>
      <c r="Z413" s="7" t="str">
        <f>IFERROR(HLOOKUP(X413,'Calc|Weightings'!$U$5:$W$5,1,0),"Excl")</f>
        <v>Contracts</v>
      </c>
      <c r="AA413" s="7" t="str">
        <f>VLOOKUP(Q413,Mapping!$E$11:$I$204,5,0)</f>
        <v>ACS</v>
      </c>
      <c r="AC413" s="35" t="s">
        <v>109</v>
      </c>
      <c r="AD413" s="35"/>
      <c r="AE413" s="35">
        <v>71055</v>
      </c>
      <c r="AF413" s="35" t="s">
        <v>465</v>
      </c>
      <c r="AG413" s="36">
        <v>0.54200000000000004</v>
      </c>
      <c r="AI413" s="7" t="str">
        <f>VLOOKUP($AC413,Mapping!$E$11:$I$204,3,0)</f>
        <v>Public Lighting</v>
      </c>
      <c r="AJ413" s="7" t="str">
        <f>IFERROR(VLOOKUP($AE413,Mapping!$E$208:$K$236,5,0),"Contracts")</f>
        <v>Contracts</v>
      </c>
      <c r="AK413" s="7" t="str">
        <f>IFERROR(VLOOKUP($AE413,Mapping!$E$208:$K$236,7,0),"ENDirect")</f>
        <v>ENDirect</v>
      </c>
      <c r="AL413" s="7" t="str">
        <f>IFERROR(HLOOKUP(AJ413,'Calc|Weightings'!$U$5:$W$5,1,0),"Excl")</f>
        <v>Contracts</v>
      </c>
      <c r="AM413" s="7" t="str">
        <f>VLOOKUP(AC413,Mapping!$E$11:$I$204,5,0)</f>
        <v>Public Lighting</v>
      </c>
      <c r="AO413" s="35" t="s">
        <v>161</v>
      </c>
      <c r="AP413" s="35"/>
      <c r="AQ413" s="35">
        <v>71005</v>
      </c>
      <c r="AR413" s="35" t="s">
        <v>461</v>
      </c>
      <c r="AS413" s="121">
        <v>182.99467000000001</v>
      </c>
      <c r="AU413" s="7" t="str">
        <f>VLOOKUP($AO413,Mapping!$E$11:$I$204,3,0)</f>
        <v>Augmentation</v>
      </c>
      <c r="AV413" s="7" t="str">
        <f>IFERROR(VLOOKUP($AQ413,Mapping!$E$208:$K$236,5,0),"Contracts")</f>
        <v>Materials</v>
      </c>
      <c r="AW413" s="7" t="str">
        <f>IFERROR(VLOOKUP($AQ413,Mapping!$E$208:$K$236,7,0),"ENDirect")</f>
        <v>ENDirect</v>
      </c>
      <c r="AX413" s="7" t="str">
        <f>IFERROR(HLOOKUP(AV413,'Calc|Weightings'!$U$5:$W$5,1,0),"Excl")</f>
        <v>Materials</v>
      </c>
      <c r="AY413" s="7" t="str">
        <f>VLOOKUP(AO413,Mapping!$E$11:$I$204,5,0)</f>
        <v>SCS</v>
      </c>
    </row>
    <row r="414" spans="1:51" x14ac:dyDescent="0.3">
      <c r="A414" s="7"/>
      <c r="B414" s="7"/>
      <c r="C414" s="7"/>
      <c r="D414" s="7"/>
      <c r="E414" s="32" t="s">
        <v>114</v>
      </c>
      <c r="F414" s="32"/>
      <c r="G414" s="32">
        <v>71055</v>
      </c>
      <c r="H414" s="32" t="s">
        <v>465</v>
      </c>
      <c r="I414" s="33">
        <v>11.708</v>
      </c>
      <c r="J414" s="170"/>
      <c r="K414" s="7" t="str">
        <f>VLOOKUP($E414,Mapping!$E$11:$I$204,3,0)</f>
        <v>Connections</v>
      </c>
      <c r="L414" s="7" t="str">
        <f>IFERROR(VLOOKUP($G414,Mapping!$E$208:$K$236,5,0),"Contracts")</f>
        <v>Contracts</v>
      </c>
      <c r="M414" s="7" t="str">
        <f>IFERROR(VLOOKUP($G414,Mapping!$E$208:$K$236,7,0),"ENDirect")</f>
        <v>ENDirect</v>
      </c>
      <c r="N414" s="7" t="str">
        <f>IFERROR(HLOOKUP(L414,'Calc|Weightings'!$U$5:$W$5,1,0),"Excl")</f>
        <v>Contracts</v>
      </c>
      <c r="O414" s="7" t="str">
        <f>VLOOKUP(E414,Mapping!$E$11:$I$204,5,0)</f>
        <v>SCS</v>
      </c>
      <c r="Q414" s="32" t="s">
        <v>137</v>
      </c>
      <c r="R414" s="32"/>
      <c r="S414" s="32">
        <v>80000</v>
      </c>
      <c r="T414" s="32" t="s">
        <v>453</v>
      </c>
      <c r="U414" s="33">
        <v>0.71</v>
      </c>
      <c r="V414" s="7"/>
      <c r="W414" s="7" t="str">
        <f>VLOOKUP($Q414,Mapping!$E$11:$I$204,3,0)</f>
        <v>ACS</v>
      </c>
      <c r="X414" s="7" t="str">
        <f>IFERROR(VLOOKUP($S414,Mapping!$E$208:$K$236,5,0),"Contracts")</f>
        <v>Overhead</v>
      </c>
      <c r="Y414" s="7" t="str">
        <f>IFERROR(VLOOKUP($S414,Mapping!$E$208:$K$236,7,0),"ENDirect")</f>
        <v>OH</v>
      </c>
      <c r="Z414" s="7" t="str">
        <f>IFERROR(HLOOKUP(X414,'Calc|Weightings'!$U$5:$W$5,1,0),"Excl")</f>
        <v>Excl</v>
      </c>
      <c r="AA414" s="7" t="str">
        <f>VLOOKUP(Q414,Mapping!$E$11:$I$204,5,0)</f>
        <v>ACS</v>
      </c>
      <c r="AC414" s="35" t="s">
        <v>109</v>
      </c>
      <c r="AD414" s="35"/>
      <c r="AE414" s="35">
        <v>80000</v>
      </c>
      <c r="AF414" s="35" t="s">
        <v>453</v>
      </c>
      <c r="AG414" s="36">
        <v>0.98899999999999999</v>
      </c>
      <c r="AI414" s="7" t="str">
        <f>VLOOKUP($AC414,Mapping!$E$11:$I$204,3,0)</f>
        <v>Public Lighting</v>
      </c>
      <c r="AJ414" s="7" t="str">
        <f>IFERROR(VLOOKUP($AE414,Mapping!$E$208:$K$236,5,0),"Contracts")</f>
        <v>Overhead</v>
      </c>
      <c r="AK414" s="7" t="str">
        <f>IFERROR(VLOOKUP($AE414,Mapping!$E$208:$K$236,7,0),"ENDirect")</f>
        <v>OH</v>
      </c>
      <c r="AL414" s="7" t="str">
        <f>IFERROR(HLOOKUP(AJ414,'Calc|Weightings'!$U$5:$W$5,1,0),"Excl")</f>
        <v>Excl</v>
      </c>
      <c r="AM414" s="7" t="str">
        <f>VLOOKUP(AC414,Mapping!$E$11:$I$204,5,0)</f>
        <v>Public Lighting</v>
      </c>
      <c r="AO414" s="35" t="s">
        <v>161</v>
      </c>
      <c r="AP414" s="35"/>
      <c r="AQ414" s="35">
        <v>71006</v>
      </c>
      <c r="AR414" s="35" t="s">
        <v>468</v>
      </c>
      <c r="AS414" s="121">
        <v>1.712</v>
      </c>
      <c r="AU414" s="7" t="str">
        <f>VLOOKUP($AO414,Mapping!$E$11:$I$204,3,0)</f>
        <v>Augmentation</v>
      </c>
      <c r="AV414" s="7" t="str">
        <f>IFERROR(VLOOKUP($AQ414,Mapping!$E$208:$K$236,5,0),"Contracts")</f>
        <v>Materials</v>
      </c>
      <c r="AW414" s="7" t="str">
        <f>IFERROR(VLOOKUP($AQ414,Mapping!$E$208:$K$236,7,0),"ENDirect")</f>
        <v>ENDirect</v>
      </c>
      <c r="AX414" s="7" t="str">
        <f>IFERROR(HLOOKUP(AV414,'Calc|Weightings'!$U$5:$W$5,1,0),"Excl")</f>
        <v>Materials</v>
      </c>
      <c r="AY414" s="7" t="str">
        <f>VLOOKUP(AO414,Mapping!$E$11:$I$204,5,0)</f>
        <v>SCS</v>
      </c>
    </row>
    <row r="415" spans="1:51" x14ac:dyDescent="0.3">
      <c r="A415" s="7"/>
      <c r="B415" s="7"/>
      <c r="C415" s="7"/>
      <c r="D415" s="7"/>
      <c r="E415" s="32" t="s">
        <v>114</v>
      </c>
      <c r="F415" s="32"/>
      <c r="G415" s="32">
        <v>80000</v>
      </c>
      <c r="H415" s="32" t="s">
        <v>453</v>
      </c>
      <c r="I415" s="33">
        <v>10.475</v>
      </c>
      <c r="J415" s="170"/>
      <c r="K415" s="7" t="str">
        <f>VLOOKUP($E415,Mapping!$E$11:$I$204,3,0)</f>
        <v>Connections</v>
      </c>
      <c r="L415" s="7" t="str">
        <f>IFERROR(VLOOKUP($G415,Mapping!$E$208:$K$236,5,0),"Contracts")</f>
        <v>Overhead</v>
      </c>
      <c r="M415" s="7" t="str">
        <f>IFERROR(VLOOKUP($G415,Mapping!$E$208:$K$236,7,0),"ENDirect")</f>
        <v>OH</v>
      </c>
      <c r="N415" s="7" t="str">
        <f>IFERROR(HLOOKUP(L415,'Calc|Weightings'!$U$5:$W$5,1,0),"Excl")</f>
        <v>Excl</v>
      </c>
      <c r="O415" s="7" t="str">
        <f>VLOOKUP(E415,Mapping!$E$11:$I$204,5,0)</f>
        <v>SCS</v>
      </c>
      <c r="Q415" s="32" t="s">
        <v>138</v>
      </c>
      <c r="R415" s="32"/>
      <c r="S415" s="32">
        <v>71000</v>
      </c>
      <c r="T415" s="32" t="s">
        <v>457</v>
      </c>
      <c r="U415" s="33">
        <v>0.30199999999999999</v>
      </c>
      <c r="V415" s="7"/>
      <c r="W415" s="7" t="str">
        <f>VLOOKUP($Q415,Mapping!$E$11:$I$204,3,0)</f>
        <v>ACS</v>
      </c>
      <c r="X415" s="7" t="str">
        <f>IFERROR(VLOOKUP($S415,Mapping!$E$208:$K$236,5,0),"Contracts")</f>
        <v>Labour</v>
      </c>
      <c r="Y415" s="7" t="str">
        <f>IFERROR(VLOOKUP($S415,Mapping!$E$208:$K$236,7,0),"ENDirect")</f>
        <v>ENDirect</v>
      </c>
      <c r="Z415" s="7" t="str">
        <f>IFERROR(HLOOKUP(X415,'Calc|Weightings'!$U$5:$W$5,1,0),"Excl")</f>
        <v>Labour</v>
      </c>
      <c r="AA415" s="7" t="str">
        <f>VLOOKUP(Q415,Mapping!$E$11:$I$204,5,0)</f>
        <v>ACS</v>
      </c>
      <c r="AC415" s="35" t="s">
        <v>109</v>
      </c>
      <c r="AD415" s="35"/>
      <c r="AE415" s="35">
        <v>89999</v>
      </c>
      <c r="AF415" s="35" t="s">
        <v>471</v>
      </c>
      <c r="AG415" s="36">
        <v>0</v>
      </c>
      <c r="AI415" s="7" t="str">
        <f>VLOOKUP($AC415,Mapping!$E$11:$I$204,3,0)</f>
        <v>Public Lighting</v>
      </c>
      <c r="AJ415" s="7" t="str">
        <f>IFERROR(VLOOKUP($AE415,Mapping!$E$208:$K$236,5,0),"Contracts")</f>
        <v>Contracts</v>
      </c>
      <c r="AK415" s="7" t="str">
        <f>IFERROR(VLOOKUP($AE415,Mapping!$E$208:$K$236,7,0),"ENDirect")</f>
        <v>ENDirect</v>
      </c>
      <c r="AL415" s="7" t="str">
        <f>IFERROR(HLOOKUP(AJ415,'Calc|Weightings'!$U$5:$W$5,1,0),"Excl")</f>
        <v>Contracts</v>
      </c>
      <c r="AM415" s="7" t="str">
        <f>VLOOKUP(AC415,Mapping!$E$11:$I$204,5,0)</f>
        <v>Public Lighting</v>
      </c>
      <c r="AO415" s="35" t="s">
        <v>161</v>
      </c>
      <c r="AP415" s="35"/>
      <c r="AQ415" s="35">
        <v>71010</v>
      </c>
      <c r="AR415" s="35" t="s">
        <v>487</v>
      </c>
      <c r="AS415" s="121">
        <v>81.265650000000008</v>
      </c>
      <c r="AU415" s="7" t="str">
        <f>VLOOKUP($AO415,Mapping!$E$11:$I$204,3,0)</f>
        <v>Augmentation</v>
      </c>
      <c r="AV415" s="7" t="str">
        <f>IFERROR(VLOOKUP($AQ415,Mapping!$E$208:$K$236,5,0),"Contracts")</f>
        <v>Labour</v>
      </c>
      <c r="AW415" s="7" t="str">
        <f>IFERROR(VLOOKUP($AQ415,Mapping!$E$208:$K$236,7,0),"ENDirect")</f>
        <v>ENDirect</v>
      </c>
      <c r="AX415" s="7" t="str">
        <f>IFERROR(HLOOKUP(AV415,'Calc|Weightings'!$U$5:$W$5,1,0),"Excl")</f>
        <v>Labour</v>
      </c>
      <c r="AY415" s="7" t="str">
        <f>VLOOKUP(AO415,Mapping!$E$11:$I$204,5,0)</f>
        <v>SCS</v>
      </c>
    </row>
    <row r="416" spans="1:51" x14ac:dyDescent="0.3">
      <c r="A416" s="7"/>
      <c r="B416" s="7"/>
      <c r="C416" s="7"/>
      <c r="D416" s="7"/>
      <c r="E416" s="32" t="s">
        <v>176</v>
      </c>
      <c r="F416" s="32"/>
      <c r="G416" s="32">
        <v>71015</v>
      </c>
      <c r="H416" s="32" t="s">
        <v>463</v>
      </c>
      <c r="I416" s="33">
        <v>51.728999999999999</v>
      </c>
      <c r="J416" s="170"/>
      <c r="K416" s="7" t="str">
        <f>VLOOKUP($E416,Mapping!$E$11:$I$204,3,0)</f>
        <v>Replacement</v>
      </c>
      <c r="L416" s="7" t="str">
        <f>IFERROR(VLOOKUP($G416,Mapping!$E$208:$K$236,5,0),"Contracts")</f>
        <v>Materials</v>
      </c>
      <c r="M416" s="7" t="str">
        <f>IFERROR(VLOOKUP($G416,Mapping!$E$208:$K$236,7,0),"ENDirect")</f>
        <v>ENDirect</v>
      </c>
      <c r="N416" s="7" t="str">
        <f>IFERROR(HLOOKUP(L416,'Calc|Weightings'!$U$5:$W$5,1,0),"Excl")</f>
        <v>Materials</v>
      </c>
      <c r="O416" s="7" t="str">
        <f>VLOOKUP(E416,Mapping!$E$11:$I$204,5,0)</f>
        <v>SCS</v>
      </c>
      <c r="Q416" s="32" t="s">
        <v>138</v>
      </c>
      <c r="R416" s="32"/>
      <c r="S416" s="32">
        <v>71030</v>
      </c>
      <c r="T416" s="32" t="s">
        <v>464</v>
      </c>
      <c r="U416" s="33">
        <v>0.08</v>
      </c>
      <c r="V416" s="7"/>
      <c r="W416" s="7" t="str">
        <f>VLOOKUP($Q416,Mapping!$E$11:$I$204,3,0)</f>
        <v>ACS</v>
      </c>
      <c r="X416" s="7" t="str">
        <f>IFERROR(VLOOKUP($S416,Mapping!$E$208:$K$236,5,0),"Contracts")</f>
        <v>Contracts</v>
      </c>
      <c r="Y416" s="7" t="str">
        <f>IFERROR(VLOOKUP($S416,Mapping!$E$208:$K$236,7,0),"ENDirect")</f>
        <v>ENDirect</v>
      </c>
      <c r="Z416" s="7" t="str">
        <f>IFERROR(HLOOKUP(X416,'Calc|Weightings'!$U$5:$W$5,1,0),"Excl")</f>
        <v>Contracts</v>
      </c>
      <c r="AA416" s="7" t="str">
        <f>VLOOKUP(Q416,Mapping!$E$11:$I$204,5,0)</f>
        <v>ACS</v>
      </c>
      <c r="AC416" s="35" t="s">
        <v>123</v>
      </c>
      <c r="AD416" s="35"/>
      <c r="AE416" s="35">
        <v>71000</v>
      </c>
      <c r="AF416" s="35" t="s">
        <v>457</v>
      </c>
      <c r="AG416" s="36">
        <v>147.14699999999999</v>
      </c>
      <c r="AI416" s="7" t="str">
        <f>VLOOKUP($AC416,Mapping!$E$11:$I$204,3,0)</f>
        <v>Augmentation</v>
      </c>
      <c r="AJ416" s="7" t="str">
        <f>IFERROR(VLOOKUP($AE416,Mapping!$E$208:$K$236,5,0),"Contracts")</f>
        <v>Labour</v>
      </c>
      <c r="AK416" s="7" t="str">
        <f>IFERROR(VLOOKUP($AE416,Mapping!$E$208:$K$236,7,0),"ENDirect")</f>
        <v>ENDirect</v>
      </c>
      <c r="AL416" s="7" t="str">
        <f>IFERROR(HLOOKUP(AJ416,'Calc|Weightings'!$U$5:$W$5,1,0),"Excl")</f>
        <v>Labour</v>
      </c>
      <c r="AM416" s="7" t="str">
        <f>VLOOKUP(AC416,Mapping!$E$11:$I$204,5,0)</f>
        <v>SCS</v>
      </c>
      <c r="AO416" s="35" t="s">
        <v>161</v>
      </c>
      <c r="AP416" s="35"/>
      <c r="AQ416" s="35">
        <v>71015</v>
      </c>
      <c r="AR416" s="35" t="s">
        <v>585</v>
      </c>
      <c r="AS416" s="121">
        <v>50.07629</v>
      </c>
      <c r="AU416" s="7" t="str">
        <f>VLOOKUP($AO416,Mapping!$E$11:$I$204,3,0)</f>
        <v>Augmentation</v>
      </c>
      <c r="AV416" s="7" t="str">
        <f>IFERROR(VLOOKUP($AQ416,Mapping!$E$208:$K$236,5,0),"Contracts")</f>
        <v>Materials</v>
      </c>
      <c r="AW416" s="7" t="str">
        <f>IFERROR(VLOOKUP($AQ416,Mapping!$E$208:$K$236,7,0),"ENDirect")</f>
        <v>ENDirect</v>
      </c>
      <c r="AX416" s="7" t="str">
        <f>IFERROR(HLOOKUP(AV416,'Calc|Weightings'!$U$5:$W$5,1,0),"Excl")</f>
        <v>Materials</v>
      </c>
      <c r="AY416" s="7" t="str">
        <f>VLOOKUP(AO416,Mapping!$E$11:$I$204,5,0)</f>
        <v>SCS</v>
      </c>
    </row>
    <row r="417" spans="1:51" x14ac:dyDescent="0.3">
      <c r="A417" s="7"/>
      <c r="B417" s="7"/>
      <c r="C417" s="7"/>
      <c r="D417" s="7"/>
      <c r="E417" s="32" t="s">
        <v>528</v>
      </c>
      <c r="F417" s="32"/>
      <c r="G417" s="32">
        <v>71006</v>
      </c>
      <c r="H417" s="32" t="s">
        <v>468</v>
      </c>
      <c r="I417" s="33">
        <v>41.930999999999997</v>
      </c>
      <c r="J417" s="170"/>
      <c r="K417" s="7" t="str">
        <f>VLOOKUP($E417,Mapping!$E$11:$I$204,3,0)</f>
        <v>Connections</v>
      </c>
      <c r="L417" s="7" t="str">
        <f>IFERROR(VLOOKUP($G417,Mapping!$E$208:$K$236,5,0),"Contracts")</f>
        <v>Materials</v>
      </c>
      <c r="M417" s="7" t="str">
        <f>IFERROR(VLOOKUP($G417,Mapping!$E$208:$K$236,7,0),"ENDirect")</f>
        <v>ENDirect</v>
      </c>
      <c r="N417" s="7" t="str">
        <f>IFERROR(HLOOKUP(L417,'Calc|Weightings'!$U$5:$W$5,1,0),"Excl")</f>
        <v>Materials</v>
      </c>
      <c r="O417" s="7" t="str">
        <f>VLOOKUP(E417,Mapping!$E$11:$I$204,5,0)</f>
        <v>SCS</v>
      </c>
      <c r="Q417" s="32" t="s">
        <v>138</v>
      </c>
      <c r="R417" s="32"/>
      <c r="S417" s="32">
        <v>71055</v>
      </c>
      <c r="T417" s="32" t="s">
        <v>465</v>
      </c>
      <c r="U417" s="33">
        <v>0.11899999999999999</v>
      </c>
      <c r="V417" s="7"/>
      <c r="W417" s="7" t="str">
        <f>VLOOKUP($Q417,Mapping!$E$11:$I$204,3,0)</f>
        <v>ACS</v>
      </c>
      <c r="X417" s="7" t="str">
        <f>IFERROR(VLOOKUP($S417,Mapping!$E$208:$K$236,5,0),"Contracts")</f>
        <v>Contracts</v>
      </c>
      <c r="Y417" s="7" t="str">
        <f>IFERROR(VLOOKUP($S417,Mapping!$E$208:$K$236,7,0),"ENDirect")</f>
        <v>ENDirect</v>
      </c>
      <c r="Z417" s="7" t="str">
        <f>IFERROR(HLOOKUP(X417,'Calc|Weightings'!$U$5:$W$5,1,0),"Excl")</f>
        <v>Contracts</v>
      </c>
      <c r="AA417" s="7" t="str">
        <f>VLOOKUP(Q417,Mapping!$E$11:$I$204,5,0)</f>
        <v>ACS</v>
      </c>
      <c r="AC417" s="35" t="s">
        <v>123</v>
      </c>
      <c r="AD417" s="35"/>
      <c r="AE417" s="35">
        <v>71005</v>
      </c>
      <c r="AF417" s="35" t="s">
        <v>461</v>
      </c>
      <c r="AG417" s="36">
        <v>105.313</v>
      </c>
      <c r="AI417" s="7" t="str">
        <f>VLOOKUP($AC417,Mapping!$E$11:$I$204,3,0)</f>
        <v>Augmentation</v>
      </c>
      <c r="AJ417" s="7" t="str">
        <f>IFERROR(VLOOKUP($AE417,Mapping!$E$208:$K$236,5,0),"Contracts")</f>
        <v>Materials</v>
      </c>
      <c r="AK417" s="7" t="str">
        <f>IFERROR(VLOOKUP($AE417,Mapping!$E$208:$K$236,7,0),"ENDirect")</f>
        <v>ENDirect</v>
      </c>
      <c r="AL417" s="7" t="str">
        <f>IFERROR(HLOOKUP(AJ417,'Calc|Weightings'!$U$5:$W$5,1,0),"Excl")</f>
        <v>Materials</v>
      </c>
      <c r="AM417" s="7" t="str">
        <f>VLOOKUP(AC417,Mapping!$E$11:$I$204,5,0)</f>
        <v>SCS</v>
      </c>
      <c r="AO417" s="35" t="s">
        <v>161</v>
      </c>
      <c r="AP417" s="35"/>
      <c r="AQ417" s="35">
        <v>71030</v>
      </c>
      <c r="AR417" s="35" t="s">
        <v>464</v>
      </c>
      <c r="AS417" s="121">
        <v>2.9823400000000002</v>
      </c>
      <c r="AU417" s="7" t="str">
        <f>VLOOKUP($AO417,Mapping!$E$11:$I$204,3,0)</f>
        <v>Augmentation</v>
      </c>
      <c r="AV417" s="7" t="str">
        <f>IFERROR(VLOOKUP($AQ417,Mapping!$E$208:$K$236,5,0),"Contracts")</f>
        <v>Contracts</v>
      </c>
      <c r="AW417" s="7" t="str">
        <f>IFERROR(VLOOKUP($AQ417,Mapping!$E$208:$K$236,7,0),"ENDirect")</f>
        <v>ENDirect</v>
      </c>
      <c r="AX417" s="7" t="str">
        <f>IFERROR(HLOOKUP(AV417,'Calc|Weightings'!$U$5:$W$5,1,0),"Excl")</f>
        <v>Contracts</v>
      </c>
      <c r="AY417" s="7" t="str">
        <f>VLOOKUP(AO417,Mapping!$E$11:$I$204,5,0)</f>
        <v>SCS</v>
      </c>
    </row>
    <row r="418" spans="1:51" x14ac:dyDescent="0.3">
      <c r="A418" s="7"/>
      <c r="B418" s="7"/>
      <c r="C418" s="7"/>
      <c r="D418" s="7"/>
      <c r="E418" s="32" t="s">
        <v>528</v>
      </c>
      <c r="F418" s="32"/>
      <c r="G418" s="32">
        <v>71015</v>
      </c>
      <c r="H418" s="32" t="s">
        <v>463</v>
      </c>
      <c r="I418" s="33">
        <v>59.036000000000001</v>
      </c>
      <c r="J418" s="170"/>
      <c r="K418" s="7" t="str">
        <f>VLOOKUP($E418,Mapping!$E$11:$I$204,3,0)</f>
        <v>Connections</v>
      </c>
      <c r="L418" s="7" t="str">
        <f>IFERROR(VLOOKUP($G418,Mapping!$E$208:$K$236,5,0),"Contracts")</f>
        <v>Materials</v>
      </c>
      <c r="M418" s="7" t="str">
        <f>IFERROR(VLOOKUP($G418,Mapping!$E$208:$K$236,7,0),"ENDirect")</f>
        <v>ENDirect</v>
      </c>
      <c r="N418" s="7" t="str">
        <f>IFERROR(HLOOKUP(L418,'Calc|Weightings'!$U$5:$W$5,1,0),"Excl")</f>
        <v>Materials</v>
      </c>
      <c r="O418" s="7" t="str">
        <f>VLOOKUP(E418,Mapping!$E$11:$I$204,5,0)</f>
        <v>SCS</v>
      </c>
      <c r="Q418" s="32" t="s">
        <v>138</v>
      </c>
      <c r="R418" s="32"/>
      <c r="S418" s="32">
        <v>80000</v>
      </c>
      <c r="T418" s="32" t="s">
        <v>453</v>
      </c>
      <c r="U418" s="33">
        <v>0.14000000000000001</v>
      </c>
      <c r="V418" s="7"/>
      <c r="W418" s="7" t="str">
        <f>VLOOKUP($Q418,Mapping!$E$11:$I$204,3,0)</f>
        <v>ACS</v>
      </c>
      <c r="X418" s="7" t="str">
        <f>IFERROR(VLOOKUP($S418,Mapping!$E$208:$K$236,5,0),"Contracts")</f>
        <v>Overhead</v>
      </c>
      <c r="Y418" s="7" t="str">
        <f>IFERROR(VLOOKUP($S418,Mapping!$E$208:$K$236,7,0),"ENDirect")</f>
        <v>OH</v>
      </c>
      <c r="Z418" s="7" t="str">
        <f>IFERROR(HLOOKUP(X418,'Calc|Weightings'!$U$5:$W$5,1,0),"Excl")</f>
        <v>Excl</v>
      </c>
      <c r="AA418" s="7" t="str">
        <f>VLOOKUP(Q418,Mapping!$E$11:$I$204,5,0)</f>
        <v>ACS</v>
      </c>
      <c r="AC418" s="35" t="s">
        <v>123</v>
      </c>
      <c r="AD418" s="35"/>
      <c r="AE418" s="35">
        <v>71006</v>
      </c>
      <c r="AF418" s="35" t="s">
        <v>468</v>
      </c>
      <c r="AG418" s="36">
        <v>369.76</v>
      </c>
      <c r="AI418" s="7" t="str">
        <f>VLOOKUP($AC418,Mapping!$E$11:$I$204,3,0)</f>
        <v>Augmentation</v>
      </c>
      <c r="AJ418" s="7" t="str">
        <f>IFERROR(VLOOKUP($AE418,Mapping!$E$208:$K$236,5,0),"Contracts")</f>
        <v>Materials</v>
      </c>
      <c r="AK418" s="7" t="str">
        <f>IFERROR(VLOOKUP($AE418,Mapping!$E$208:$K$236,7,0),"ENDirect")</f>
        <v>ENDirect</v>
      </c>
      <c r="AL418" s="7" t="str">
        <f>IFERROR(HLOOKUP(AJ418,'Calc|Weightings'!$U$5:$W$5,1,0),"Excl")</f>
        <v>Materials</v>
      </c>
      <c r="AM418" s="7" t="str">
        <f>VLOOKUP(AC418,Mapping!$E$11:$I$204,5,0)</f>
        <v>SCS</v>
      </c>
      <c r="AO418" s="35" t="s">
        <v>161</v>
      </c>
      <c r="AP418" s="35"/>
      <c r="AQ418" s="35">
        <v>71045</v>
      </c>
      <c r="AR418" s="35" t="s">
        <v>596</v>
      </c>
      <c r="AS418" s="121">
        <v>11.611129999999999</v>
      </c>
      <c r="AU418" s="7" t="str">
        <f>VLOOKUP($AO418,Mapping!$E$11:$I$204,3,0)</f>
        <v>Augmentation</v>
      </c>
      <c r="AV418" s="7" t="str">
        <f>IFERROR(VLOOKUP($AQ418,Mapping!$E$208:$K$236,5,0),"Contracts")</f>
        <v>Materials</v>
      </c>
      <c r="AW418" s="7" t="str">
        <f>IFERROR(VLOOKUP($AQ418,Mapping!$E$208:$K$236,7,0),"ENDirect")</f>
        <v>ENDirect</v>
      </c>
      <c r="AX418" s="7" t="str">
        <f>IFERROR(HLOOKUP(AV418,'Calc|Weightings'!$U$5:$W$5,1,0),"Excl")</f>
        <v>Materials</v>
      </c>
      <c r="AY418" s="7" t="str">
        <f>VLOOKUP(AO418,Mapping!$E$11:$I$204,5,0)</f>
        <v>SCS</v>
      </c>
    </row>
    <row r="419" spans="1:51" x14ac:dyDescent="0.3">
      <c r="A419" s="7"/>
      <c r="B419" s="7"/>
      <c r="C419" s="7"/>
      <c r="D419" s="7"/>
      <c r="E419" s="32" t="s">
        <v>547</v>
      </c>
      <c r="F419" s="32"/>
      <c r="G419" s="32">
        <v>71005</v>
      </c>
      <c r="H419" s="32" t="s">
        <v>461</v>
      </c>
      <c r="I419" s="33">
        <v>11.173</v>
      </c>
      <c r="J419" s="170"/>
      <c r="K419" s="7" t="str">
        <f>VLOOKUP($E419,Mapping!$E$11:$I$204,3,0)</f>
        <v>Connections</v>
      </c>
      <c r="L419" s="7" t="str">
        <f>IFERROR(VLOOKUP($G419,Mapping!$E$208:$K$236,5,0),"Contracts")</f>
        <v>Materials</v>
      </c>
      <c r="M419" s="7" t="str">
        <f>IFERROR(VLOOKUP($G419,Mapping!$E$208:$K$236,7,0),"ENDirect")</f>
        <v>ENDirect</v>
      </c>
      <c r="N419" s="7" t="str">
        <f>IFERROR(HLOOKUP(L419,'Calc|Weightings'!$U$5:$W$5,1,0),"Excl")</f>
        <v>Materials</v>
      </c>
      <c r="O419" s="7" t="str">
        <f>VLOOKUP(E419,Mapping!$E$11:$I$204,5,0)</f>
        <v>SCS</v>
      </c>
      <c r="Q419" s="32" t="s">
        <v>139</v>
      </c>
      <c r="R419" s="32"/>
      <c r="S419" s="32">
        <v>71000</v>
      </c>
      <c r="T419" s="32" t="s">
        <v>457</v>
      </c>
      <c r="U419" s="33">
        <v>2.2909999999999999</v>
      </c>
      <c r="V419" s="7"/>
      <c r="W419" s="7" t="str">
        <f>VLOOKUP($Q419,Mapping!$E$11:$I$204,3,0)</f>
        <v>ACS</v>
      </c>
      <c r="X419" s="7" t="str">
        <f>IFERROR(VLOOKUP($S419,Mapping!$E$208:$K$236,5,0),"Contracts")</f>
        <v>Labour</v>
      </c>
      <c r="Y419" s="7" t="str">
        <f>IFERROR(VLOOKUP($S419,Mapping!$E$208:$K$236,7,0),"ENDirect")</f>
        <v>ENDirect</v>
      </c>
      <c r="Z419" s="7" t="str">
        <f>IFERROR(HLOOKUP(X419,'Calc|Weightings'!$U$5:$W$5,1,0),"Excl")</f>
        <v>Labour</v>
      </c>
      <c r="AA419" s="7" t="str">
        <f>VLOOKUP(Q419,Mapping!$E$11:$I$204,5,0)</f>
        <v>ACS</v>
      </c>
      <c r="AC419" s="35" t="s">
        <v>123</v>
      </c>
      <c r="AD419" s="35"/>
      <c r="AE419" s="35">
        <v>71010</v>
      </c>
      <c r="AF419" s="35" t="s">
        <v>462</v>
      </c>
      <c r="AG419" s="36">
        <v>28.794</v>
      </c>
      <c r="AI419" s="7" t="str">
        <f>VLOOKUP($AC419,Mapping!$E$11:$I$204,3,0)</f>
        <v>Augmentation</v>
      </c>
      <c r="AJ419" s="7" t="str">
        <f>IFERROR(VLOOKUP($AE419,Mapping!$E$208:$K$236,5,0),"Contracts")</f>
        <v>Labour</v>
      </c>
      <c r="AK419" s="7" t="str">
        <f>IFERROR(VLOOKUP($AE419,Mapping!$E$208:$K$236,7,0),"ENDirect")</f>
        <v>ENDirect</v>
      </c>
      <c r="AL419" s="7" t="str">
        <f>IFERROR(HLOOKUP(AJ419,'Calc|Weightings'!$U$5:$W$5,1,0),"Excl")</f>
        <v>Labour</v>
      </c>
      <c r="AM419" s="7" t="str">
        <f>VLOOKUP(AC419,Mapping!$E$11:$I$204,5,0)</f>
        <v>SCS</v>
      </c>
      <c r="AO419" s="35" t="s">
        <v>161</v>
      </c>
      <c r="AP419" s="35"/>
      <c r="AQ419" s="35">
        <v>71055</v>
      </c>
      <c r="AR419" s="35" t="s">
        <v>465</v>
      </c>
      <c r="AS419" s="121">
        <v>16.235880000000002</v>
      </c>
      <c r="AU419" s="7" t="str">
        <f>VLOOKUP($AO419,Mapping!$E$11:$I$204,3,0)</f>
        <v>Augmentation</v>
      </c>
      <c r="AV419" s="7" t="str">
        <f>IFERROR(VLOOKUP($AQ419,Mapping!$E$208:$K$236,5,0),"Contracts")</f>
        <v>Contracts</v>
      </c>
      <c r="AW419" s="7" t="str">
        <f>IFERROR(VLOOKUP($AQ419,Mapping!$E$208:$K$236,7,0),"ENDirect")</f>
        <v>ENDirect</v>
      </c>
      <c r="AX419" s="7" t="str">
        <f>IFERROR(HLOOKUP(AV419,'Calc|Weightings'!$U$5:$W$5,1,0),"Excl")</f>
        <v>Contracts</v>
      </c>
      <c r="AY419" s="7" t="str">
        <f>VLOOKUP(AO419,Mapping!$E$11:$I$204,5,0)</f>
        <v>SCS</v>
      </c>
    </row>
    <row r="420" spans="1:51" x14ac:dyDescent="0.3">
      <c r="A420" s="7"/>
      <c r="B420" s="7"/>
      <c r="C420" s="7"/>
      <c r="D420" s="7"/>
      <c r="E420" s="32" t="s">
        <v>547</v>
      </c>
      <c r="F420" s="32"/>
      <c r="G420" s="32">
        <v>71010</v>
      </c>
      <c r="H420" s="32" t="s">
        <v>462</v>
      </c>
      <c r="I420" s="33">
        <v>9.4949999999999992</v>
      </c>
      <c r="J420" s="170"/>
      <c r="K420" s="7" t="str">
        <f>VLOOKUP($E420,Mapping!$E$11:$I$204,3,0)</f>
        <v>Connections</v>
      </c>
      <c r="L420" s="7" t="str">
        <f>IFERROR(VLOOKUP($G420,Mapping!$E$208:$K$236,5,0),"Contracts")</f>
        <v>Labour</v>
      </c>
      <c r="M420" s="7" t="str">
        <f>IFERROR(VLOOKUP($G420,Mapping!$E$208:$K$236,7,0),"ENDirect")</f>
        <v>ENDirect</v>
      </c>
      <c r="N420" s="7" t="str">
        <f>IFERROR(HLOOKUP(L420,'Calc|Weightings'!$U$5:$W$5,1,0),"Excl")</f>
        <v>Labour</v>
      </c>
      <c r="O420" s="7" t="str">
        <f>VLOOKUP(E420,Mapping!$E$11:$I$204,5,0)</f>
        <v>SCS</v>
      </c>
      <c r="Q420" s="32" t="s">
        <v>139</v>
      </c>
      <c r="R420" s="32"/>
      <c r="S420" s="32">
        <v>71005</v>
      </c>
      <c r="T420" s="32" t="s">
        <v>461</v>
      </c>
      <c r="U420" s="33">
        <v>0.42699999999999999</v>
      </c>
      <c r="V420" s="7"/>
      <c r="W420" s="7" t="str">
        <f>VLOOKUP($Q420,Mapping!$E$11:$I$204,3,0)</f>
        <v>ACS</v>
      </c>
      <c r="X420" s="7" t="str">
        <f>IFERROR(VLOOKUP($S420,Mapping!$E$208:$K$236,5,0),"Contracts")</f>
        <v>Materials</v>
      </c>
      <c r="Y420" s="7" t="str">
        <f>IFERROR(VLOOKUP($S420,Mapping!$E$208:$K$236,7,0),"ENDirect")</f>
        <v>ENDirect</v>
      </c>
      <c r="Z420" s="7" t="str">
        <f>IFERROR(HLOOKUP(X420,'Calc|Weightings'!$U$5:$W$5,1,0),"Excl")</f>
        <v>Materials</v>
      </c>
      <c r="AA420" s="7" t="str">
        <f>VLOOKUP(Q420,Mapping!$E$11:$I$204,5,0)</f>
        <v>ACS</v>
      </c>
      <c r="AC420" s="35" t="s">
        <v>123</v>
      </c>
      <c r="AD420" s="35"/>
      <c r="AE420" s="35">
        <v>71015</v>
      </c>
      <c r="AF420" s="35" t="s">
        <v>463</v>
      </c>
      <c r="AG420" s="36">
        <v>30.837</v>
      </c>
      <c r="AI420" s="7" t="str">
        <f>VLOOKUP($AC420,Mapping!$E$11:$I$204,3,0)</f>
        <v>Augmentation</v>
      </c>
      <c r="AJ420" s="7" t="str">
        <f>IFERROR(VLOOKUP($AE420,Mapping!$E$208:$K$236,5,0),"Contracts")</f>
        <v>Materials</v>
      </c>
      <c r="AK420" s="7" t="str">
        <f>IFERROR(VLOOKUP($AE420,Mapping!$E$208:$K$236,7,0),"ENDirect")</f>
        <v>ENDirect</v>
      </c>
      <c r="AL420" s="7" t="str">
        <f>IFERROR(HLOOKUP(AJ420,'Calc|Weightings'!$U$5:$W$5,1,0),"Excl")</f>
        <v>Materials</v>
      </c>
      <c r="AM420" s="7" t="str">
        <f>VLOOKUP(AC420,Mapping!$E$11:$I$204,5,0)</f>
        <v>SCS</v>
      </c>
      <c r="AO420" s="35" t="s">
        <v>161</v>
      </c>
      <c r="AP420" s="35"/>
      <c r="AQ420" s="35">
        <v>71130</v>
      </c>
      <c r="AR420" s="35" t="s">
        <v>592</v>
      </c>
      <c r="AS420" s="121">
        <v>71.058720000000008</v>
      </c>
      <c r="AU420" s="7" t="str">
        <f>VLOOKUP($AO420,Mapping!$E$11:$I$204,3,0)</f>
        <v>Augmentation</v>
      </c>
      <c r="AV420" s="7" t="str">
        <f>IFERROR(VLOOKUP($AQ420,Mapping!$E$208:$K$236,5,0),"Contracts")</f>
        <v>Contracts</v>
      </c>
      <c r="AW420" s="7" t="str">
        <f>IFERROR(VLOOKUP($AQ420,Mapping!$E$208:$K$236,7,0),"ENDirect")</f>
        <v>ENDirect</v>
      </c>
      <c r="AX420" s="7" t="str">
        <f>IFERROR(HLOOKUP(AV420,'Calc|Weightings'!$U$5:$W$5,1,0),"Excl")</f>
        <v>Contracts</v>
      </c>
      <c r="AY420" s="7" t="str">
        <f>VLOOKUP(AO420,Mapping!$E$11:$I$204,5,0)</f>
        <v>SCS</v>
      </c>
    </row>
    <row r="421" spans="1:51" x14ac:dyDescent="0.3">
      <c r="A421" s="7"/>
      <c r="B421" s="7"/>
      <c r="C421" s="7"/>
      <c r="D421" s="7"/>
      <c r="E421" s="32" t="s">
        <v>547</v>
      </c>
      <c r="F421" s="32"/>
      <c r="G421" s="32">
        <v>71015</v>
      </c>
      <c r="H421" s="32" t="s">
        <v>463</v>
      </c>
      <c r="I421" s="33">
        <v>37.563000000000002</v>
      </c>
      <c r="J421" s="170"/>
      <c r="K421" s="7" t="str">
        <f>VLOOKUP($E421,Mapping!$E$11:$I$204,3,0)</f>
        <v>Connections</v>
      </c>
      <c r="L421" s="7" t="str">
        <f>IFERROR(VLOOKUP($G421,Mapping!$E$208:$K$236,5,0),"Contracts")</f>
        <v>Materials</v>
      </c>
      <c r="M421" s="7" t="str">
        <f>IFERROR(VLOOKUP($G421,Mapping!$E$208:$K$236,7,0),"ENDirect")</f>
        <v>ENDirect</v>
      </c>
      <c r="N421" s="7" t="str">
        <f>IFERROR(HLOOKUP(L421,'Calc|Weightings'!$U$5:$W$5,1,0),"Excl")</f>
        <v>Materials</v>
      </c>
      <c r="O421" s="7" t="str">
        <f>VLOOKUP(E421,Mapping!$E$11:$I$204,5,0)</f>
        <v>SCS</v>
      </c>
      <c r="Q421" s="32" t="s">
        <v>139</v>
      </c>
      <c r="R421" s="32"/>
      <c r="S421" s="32">
        <v>71030</v>
      </c>
      <c r="T421" s="32" t="s">
        <v>464</v>
      </c>
      <c r="U421" s="33">
        <v>0.27700000000000002</v>
      </c>
      <c r="V421" s="7"/>
      <c r="W421" s="7" t="str">
        <f>VLOOKUP($Q421,Mapping!$E$11:$I$204,3,0)</f>
        <v>ACS</v>
      </c>
      <c r="X421" s="7" t="str">
        <f>IFERROR(VLOOKUP($S421,Mapping!$E$208:$K$236,5,0),"Contracts")</f>
        <v>Contracts</v>
      </c>
      <c r="Y421" s="7" t="str">
        <f>IFERROR(VLOOKUP($S421,Mapping!$E$208:$K$236,7,0),"ENDirect")</f>
        <v>ENDirect</v>
      </c>
      <c r="Z421" s="7" t="str">
        <f>IFERROR(HLOOKUP(X421,'Calc|Weightings'!$U$5:$W$5,1,0),"Excl")</f>
        <v>Contracts</v>
      </c>
      <c r="AA421" s="7" t="str">
        <f>VLOOKUP(Q421,Mapping!$E$11:$I$204,5,0)</f>
        <v>ACS</v>
      </c>
      <c r="AC421" s="35" t="s">
        <v>123</v>
      </c>
      <c r="AD421" s="35"/>
      <c r="AE421" s="35">
        <v>71030</v>
      </c>
      <c r="AF421" s="35" t="s">
        <v>464</v>
      </c>
      <c r="AG421" s="36">
        <v>25.367999999999999</v>
      </c>
      <c r="AI421" s="7" t="str">
        <f>VLOOKUP($AC421,Mapping!$E$11:$I$204,3,0)</f>
        <v>Augmentation</v>
      </c>
      <c r="AJ421" s="7" t="str">
        <f>IFERROR(VLOOKUP($AE421,Mapping!$E$208:$K$236,5,0),"Contracts")</f>
        <v>Contracts</v>
      </c>
      <c r="AK421" s="7" t="str">
        <f>IFERROR(VLOOKUP($AE421,Mapping!$E$208:$K$236,7,0),"ENDirect")</f>
        <v>ENDirect</v>
      </c>
      <c r="AL421" s="7" t="str">
        <f>IFERROR(HLOOKUP(AJ421,'Calc|Weightings'!$U$5:$W$5,1,0),"Excl")</f>
        <v>Contracts</v>
      </c>
      <c r="AM421" s="7" t="str">
        <f>VLOOKUP(AC421,Mapping!$E$11:$I$204,5,0)</f>
        <v>SCS</v>
      </c>
      <c r="AO421" s="35" t="s">
        <v>161</v>
      </c>
      <c r="AP421" s="35"/>
      <c r="AQ421" s="35">
        <v>71140</v>
      </c>
      <c r="AR421" s="35" t="s">
        <v>593</v>
      </c>
      <c r="AS421" s="121">
        <v>57.109000000000002</v>
      </c>
      <c r="AU421" s="7" t="str">
        <f>VLOOKUP($AO421,Mapping!$E$11:$I$204,3,0)</f>
        <v>Augmentation</v>
      </c>
      <c r="AV421" s="7" t="str">
        <f>IFERROR(VLOOKUP($AQ421,Mapping!$E$208:$K$236,5,0),"Contracts")</f>
        <v>Contracts</v>
      </c>
      <c r="AW421" s="7" t="str">
        <f>IFERROR(VLOOKUP($AQ421,Mapping!$E$208:$K$236,7,0),"ENDirect")</f>
        <v>ENDirect</v>
      </c>
      <c r="AX421" s="7" t="str">
        <f>IFERROR(HLOOKUP(AV421,'Calc|Weightings'!$U$5:$W$5,1,0),"Excl")</f>
        <v>Contracts</v>
      </c>
      <c r="AY421" s="7" t="str">
        <f>VLOOKUP(AO421,Mapping!$E$11:$I$204,5,0)</f>
        <v>SCS</v>
      </c>
    </row>
    <row r="422" spans="1:51" x14ac:dyDescent="0.3">
      <c r="A422" s="7"/>
      <c r="B422" s="7"/>
      <c r="C422" s="7"/>
      <c r="D422" s="7"/>
      <c r="E422" s="32" t="s">
        <v>115</v>
      </c>
      <c r="F422" s="32"/>
      <c r="G422" s="32">
        <v>71006</v>
      </c>
      <c r="H422" s="32" t="s">
        <v>468</v>
      </c>
      <c r="I422" s="33">
        <v>8.1210000000000004</v>
      </c>
      <c r="J422" s="170"/>
      <c r="K422" s="7" t="str">
        <f>VLOOKUP($E422,Mapping!$E$11:$I$204,3,0)</f>
        <v>Connections</v>
      </c>
      <c r="L422" s="7" t="str">
        <f>IFERROR(VLOOKUP($G422,Mapping!$E$208:$K$236,5,0),"Contracts")</f>
        <v>Materials</v>
      </c>
      <c r="M422" s="7" t="str">
        <f>IFERROR(VLOOKUP($G422,Mapping!$E$208:$K$236,7,0),"ENDirect")</f>
        <v>ENDirect</v>
      </c>
      <c r="N422" s="7" t="str">
        <f>IFERROR(HLOOKUP(L422,'Calc|Weightings'!$U$5:$W$5,1,0),"Excl")</f>
        <v>Materials</v>
      </c>
      <c r="O422" s="7" t="str">
        <f>VLOOKUP(E422,Mapping!$E$11:$I$204,5,0)</f>
        <v>SCS</v>
      </c>
      <c r="Q422" s="32" t="s">
        <v>139</v>
      </c>
      <c r="R422" s="32"/>
      <c r="S422" s="32">
        <v>71055</v>
      </c>
      <c r="T422" s="32" t="s">
        <v>465</v>
      </c>
      <c r="U422" s="33">
        <v>0.52200000000000002</v>
      </c>
      <c r="V422" s="7"/>
      <c r="W422" s="7" t="str">
        <f>VLOOKUP($Q422,Mapping!$E$11:$I$204,3,0)</f>
        <v>ACS</v>
      </c>
      <c r="X422" s="7" t="str">
        <f>IFERROR(VLOOKUP($S422,Mapping!$E$208:$K$236,5,0),"Contracts")</f>
        <v>Contracts</v>
      </c>
      <c r="Y422" s="7" t="str">
        <f>IFERROR(VLOOKUP($S422,Mapping!$E$208:$K$236,7,0),"ENDirect")</f>
        <v>ENDirect</v>
      </c>
      <c r="Z422" s="7" t="str">
        <f>IFERROR(HLOOKUP(X422,'Calc|Weightings'!$U$5:$W$5,1,0),"Excl")</f>
        <v>Contracts</v>
      </c>
      <c r="AA422" s="7" t="str">
        <f>VLOOKUP(Q422,Mapping!$E$11:$I$204,5,0)</f>
        <v>ACS</v>
      </c>
      <c r="AC422" s="35" t="s">
        <v>123</v>
      </c>
      <c r="AD422" s="35"/>
      <c r="AE422" s="35">
        <v>71055</v>
      </c>
      <c r="AF422" s="35" t="s">
        <v>465</v>
      </c>
      <c r="AG422" s="36">
        <v>58.524999999999999</v>
      </c>
      <c r="AI422" s="7" t="str">
        <f>VLOOKUP($AC422,Mapping!$E$11:$I$204,3,0)</f>
        <v>Augmentation</v>
      </c>
      <c r="AJ422" s="7" t="str">
        <f>IFERROR(VLOOKUP($AE422,Mapping!$E$208:$K$236,5,0),"Contracts")</f>
        <v>Contracts</v>
      </c>
      <c r="AK422" s="7" t="str">
        <f>IFERROR(VLOOKUP($AE422,Mapping!$E$208:$K$236,7,0),"ENDirect")</f>
        <v>ENDirect</v>
      </c>
      <c r="AL422" s="7" t="str">
        <f>IFERROR(HLOOKUP(AJ422,'Calc|Weightings'!$U$5:$W$5,1,0),"Excl")</f>
        <v>Contracts</v>
      </c>
      <c r="AM422" s="7" t="str">
        <f>VLOOKUP(AC422,Mapping!$E$11:$I$204,5,0)</f>
        <v>SCS</v>
      </c>
      <c r="AO422" s="35" t="s">
        <v>161</v>
      </c>
      <c r="AP422" s="35"/>
      <c r="AQ422" s="35">
        <v>80000</v>
      </c>
      <c r="AR422" s="35" t="s">
        <v>589</v>
      </c>
      <c r="AS422" s="121">
        <v>423.50739999999996</v>
      </c>
      <c r="AU422" s="7" t="str">
        <f>VLOOKUP($AO422,Mapping!$E$11:$I$204,3,0)</f>
        <v>Augmentation</v>
      </c>
      <c r="AV422" s="7" t="str">
        <f>IFERROR(VLOOKUP($AQ422,Mapping!$E$208:$K$236,5,0),"Contracts")</f>
        <v>Overhead</v>
      </c>
      <c r="AW422" s="7" t="str">
        <f>IFERROR(VLOOKUP($AQ422,Mapping!$E$208:$K$236,7,0),"ENDirect")</f>
        <v>OH</v>
      </c>
      <c r="AX422" s="7" t="str">
        <f>IFERROR(HLOOKUP(AV422,'Calc|Weightings'!$U$5:$W$5,1,0),"Excl")</f>
        <v>Excl</v>
      </c>
      <c r="AY422" s="7" t="str">
        <f>VLOOKUP(AO422,Mapping!$E$11:$I$204,5,0)</f>
        <v>SCS</v>
      </c>
    </row>
    <row r="423" spans="1:51" x14ac:dyDescent="0.3">
      <c r="A423" s="7"/>
      <c r="B423" s="7"/>
      <c r="C423" s="7"/>
      <c r="D423" s="7"/>
      <c r="E423" s="32" t="s">
        <v>125</v>
      </c>
      <c r="F423" s="32"/>
      <c r="G423" s="32">
        <v>71006</v>
      </c>
      <c r="H423" s="32" t="s">
        <v>468</v>
      </c>
      <c r="I423" s="33">
        <v>912.096</v>
      </c>
      <c r="J423" s="170"/>
      <c r="K423" s="7" t="str">
        <f>VLOOKUP($E423,Mapping!$E$11:$I$204,3,0)</f>
        <v>Augmentation</v>
      </c>
      <c r="L423" s="7" t="str">
        <f>IFERROR(VLOOKUP($G423,Mapping!$E$208:$K$236,5,0),"Contracts")</f>
        <v>Materials</v>
      </c>
      <c r="M423" s="7" t="str">
        <f>IFERROR(VLOOKUP($G423,Mapping!$E$208:$K$236,7,0),"ENDirect")</f>
        <v>ENDirect</v>
      </c>
      <c r="N423" s="7" t="str">
        <f>IFERROR(HLOOKUP(L423,'Calc|Weightings'!$U$5:$W$5,1,0),"Excl")</f>
        <v>Materials</v>
      </c>
      <c r="O423" s="7" t="str">
        <f>VLOOKUP(E423,Mapping!$E$11:$I$204,5,0)</f>
        <v>SCS</v>
      </c>
      <c r="Q423" s="32" t="s">
        <v>139</v>
      </c>
      <c r="R423" s="32"/>
      <c r="S423" s="32">
        <v>80000</v>
      </c>
      <c r="T423" s="32" t="s">
        <v>453</v>
      </c>
      <c r="U423" s="33">
        <v>0.69699999999999995</v>
      </c>
      <c r="V423" s="7"/>
      <c r="W423" s="7" t="str">
        <f>VLOOKUP($Q423,Mapping!$E$11:$I$204,3,0)</f>
        <v>ACS</v>
      </c>
      <c r="X423" s="7" t="str">
        <f>IFERROR(VLOOKUP($S423,Mapping!$E$208:$K$236,5,0),"Contracts")</f>
        <v>Overhead</v>
      </c>
      <c r="Y423" s="7" t="str">
        <f>IFERROR(VLOOKUP($S423,Mapping!$E$208:$K$236,7,0),"ENDirect")</f>
        <v>OH</v>
      </c>
      <c r="Z423" s="7" t="str">
        <f>IFERROR(HLOOKUP(X423,'Calc|Weightings'!$U$5:$W$5,1,0),"Excl")</f>
        <v>Excl</v>
      </c>
      <c r="AA423" s="7" t="str">
        <f>VLOOKUP(Q423,Mapping!$E$11:$I$204,5,0)</f>
        <v>ACS</v>
      </c>
      <c r="AC423" s="35" t="s">
        <v>123</v>
      </c>
      <c r="AD423" s="35"/>
      <c r="AE423" s="35">
        <v>80000</v>
      </c>
      <c r="AF423" s="35" t="s">
        <v>453</v>
      </c>
      <c r="AG423" s="36">
        <v>76.811000000000007</v>
      </c>
      <c r="AI423" s="7" t="str">
        <f>VLOOKUP($AC423,Mapping!$E$11:$I$204,3,0)</f>
        <v>Augmentation</v>
      </c>
      <c r="AJ423" s="7" t="str">
        <f>IFERROR(VLOOKUP($AE423,Mapping!$E$208:$K$236,5,0),"Contracts")</f>
        <v>Overhead</v>
      </c>
      <c r="AK423" s="7" t="str">
        <f>IFERROR(VLOOKUP($AE423,Mapping!$E$208:$K$236,7,0),"ENDirect")</f>
        <v>OH</v>
      </c>
      <c r="AL423" s="7" t="str">
        <f>IFERROR(HLOOKUP(AJ423,'Calc|Weightings'!$U$5:$W$5,1,0),"Excl")</f>
        <v>Excl</v>
      </c>
      <c r="AM423" s="7" t="str">
        <f>VLOOKUP(AC423,Mapping!$E$11:$I$204,5,0)</f>
        <v>SCS</v>
      </c>
      <c r="AO423" s="35" t="s">
        <v>162</v>
      </c>
      <c r="AP423" s="35"/>
      <c r="AQ423" s="35">
        <v>70815</v>
      </c>
      <c r="AR423" s="35" t="s">
        <v>594</v>
      </c>
      <c r="AS423" s="121">
        <v>583.69598999999982</v>
      </c>
      <c r="AU423" s="7" t="str">
        <f>VLOOKUP($AO423,Mapping!$E$11:$I$204,3,0)</f>
        <v>Replacement</v>
      </c>
      <c r="AV423" s="7" t="str">
        <f>IFERROR(VLOOKUP($AQ423,Mapping!$E$208:$K$236,5,0),"Contracts")</f>
        <v>Materials</v>
      </c>
      <c r="AW423" s="7" t="str">
        <f>IFERROR(VLOOKUP($AQ423,Mapping!$E$208:$K$236,7,0),"ENDirect")</f>
        <v>ENDirect</v>
      </c>
      <c r="AX423" s="7" t="str">
        <f>IFERROR(HLOOKUP(AV423,'Calc|Weightings'!$U$5:$W$5,1,0),"Excl")</f>
        <v>Materials</v>
      </c>
      <c r="AY423" s="7" t="str">
        <f>VLOOKUP(AO423,Mapping!$E$11:$I$204,5,0)</f>
        <v>SCS</v>
      </c>
    </row>
    <row r="424" spans="1:51" x14ac:dyDescent="0.3">
      <c r="A424" s="7"/>
      <c r="B424" s="7"/>
      <c r="C424" s="7"/>
      <c r="D424" s="7"/>
      <c r="E424" s="32" t="s">
        <v>103</v>
      </c>
      <c r="F424" s="32"/>
      <c r="G424" s="32">
        <v>71010</v>
      </c>
      <c r="H424" s="32" t="s">
        <v>462</v>
      </c>
      <c r="I424" s="33">
        <v>25.887</v>
      </c>
      <c r="J424" s="170"/>
      <c r="K424" s="7" t="str">
        <f>VLOOKUP($E424,Mapping!$E$11:$I$204,3,0)</f>
        <v>Public Lighting</v>
      </c>
      <c r="L424" s="7" t="str">
        <f>IFERROR(VLOOKUP($G424,Mapping!$E$208:$K$236,5,0),"Contracts")</f>
        <v>Labour</v>
      </c>
      <c r="M424" s="7" t="str">
        <f>IFERROR(VLOOKUP($G424,Mapping!$E$208:$K$236,7,0),"ENDirect")</f>
        <v>ENDirect</v>
      </c>
      <c r="N424" s="7" t="str">
        <f>IFERROR(HLOOKUP(L424,'Calc|Weightings'!$U$5:$W$5,1,0),"Excl")</f>
        <v>Labour</v>
      </c>
      <c r="O424" s="7" t="str">
        <f>VLOOKUP(E424,Mapping!$E$11:$I$204,5,0)</f>
        <v>Public Lighting</v>
      </c>
      <c r="Q424" s="32" t="s">
        <v>145</v>
      </c>
      <c r="R424" s="32"/>
      <c r="S424" s="32">
        <v>89999</v>
      </c>
      <c r="T424" s="32" t="s">
        <v>471</v>
      </c>
      <c r="U424" s="33">
        <v>0</v>
      </c>
      <c r="V424" s="7"/>
      <c r="W424" s="7" t="str">
        <f>VLOOKUP($Q424,Mapping!$E$11:$I$204,3,0)</f>
        <v>Augmentation</v>
      </c>
      <c r="X424" s="7" t="str">
        <f>IFERROR(VLOOKUP($S424,Mapping!$E$208:$K$236,5,0),"Contracts")</f>
        <v>Contracts</v>
      </c>
      <c r="Y424" s="7" t="str">
        <f>IFERROR(VLOOKUP($S424,Mapping!$E$208:$K$236,7,0),"ENDirect")</f>
        <v>ENDirect</v>
      </c>
      <c r="Z424" s="7" t="str">
        <f>IFERROR(HLOOKUP(X424,'Calc|Weightings'!$U$5:$W$5,1,0),"Excl")</f>
        <v>Contracts</v>
      </c>
      <c r="AA424" s="7" t="str">
        <f>VLOOKUP(Q424,Mapping!$E$11:$I$204,5,0)</f>
        <v>SCS</v>
      </c>
      <c r="AC424" s="35" t="s">
        <v>123</v>
      </c>
      <c r="AD424" s="35"/>
      <c r="AE424" s="35">
        <v>89999</v>
      </c>
      <c r="AF424" s="35" t="s">
        <v>471</v>
      </c>
      <c r="AG424" s="36">
        <v>0</v>
      </c>
      <c r="AI424" s="7" t="str">
        <f>VLOOKUP($AC424,Mapping!$E$11:$I$204,3,0)</f>
        <v>Augmentation</v>
      </c>
      <c r="AJ424" s="7" t="str">
        <f>IFERROR(VLOOKUP($AE424,Mapping!$E$208:$K$236,5,0),"Contracts")</f>
        <v>Contracts</v>
      </c>
      <c r="AK424" s="7" t="str">
        <f>IFERROR(VLOOKUP($AE424,Mapping!$E$208:$K$236,7,0),"ENDirect")</f>
        <v>ENDirect</v>
      </c>
      <c r="AL424" s="7" t="str">
        <f>IFERROR(HLOOKUP(AJ424,'Calc|Weightings'!$U$5:$W$5,1,0),"Excl")</f>
        <v>Contracts</v>
      </c>
      <c r="AM424" s="7" t="str">
        <f>VLOOKUP(AC424,Mapping!$E$11:$I$204,5,0)</f>
        <v>SCS</v>
      </c>
      <c r="AO424" s="35" t="s">
        <v>162</v>
      </c>
      <c r="AP424" s="35"/>
      <c r="AQ424" s="35">
        <v>71000</v>
      </c>
      <c r="AR424" s="35" t="s">
        <v>457</v>
      </c>
      <c r="AS424" s="121">
        <v>1916.5388500000001</v>
      </c>
      <c r="AU424" s="7" t="str">
        <f>VLOOKUP($AO424,Mapping!$E$11:$I$204,3,0)</f>
        <v>Replacement</v>
      </c>
      <c r="AV424" s="7" t="str">
        <f>IFERROR(VLOOKUP($AQ424,Mapping!$E$208:$K$236,5,0),"Contracts")</f>
        <v>Labour</v>
      </c>
      <c r="AW424" s="7" t="str">
        <f>IFERROR(VLOOKUP($AQ424,Mapping!$E$208:$K$236,7,0),"ENDirect")</f>
        <v>ENDirect</v>
      </c>
      <c r="AX424" s="7" t="str">
        <f>IFERROR(HLOOKUP(AV424,'Calc|Weightings'!$U$5:$W$5,1,0),"Excl")</f>
        <v>Labour</v>
      </c>
      <c r="AY424" s="7" t="str">
        <f>VLOOKUP(AO424,Mapping!$E$11:$I$204,5,0)</f>
        <v>SCS</v>
      </c>
    </row>
    <row r="425" spans="1:51" x14ac:dyDescent="0.3">
      <c r="A425" s="7"/>
      <c r="B425" s="7"/>
      <c r="C425" s="7"/>
      <c r="D425" s="7"/>
      <c r="E425" s="32" t="s">
        <v>160</v>
      </c>
      <c r="F425" s="32"/>
      <c r="G425" s="32">
        <v>71010</v>
      </c>
      <c r="H425" s="32" t="s">
        <v>462</v>
      </c>
      <c r="I425" s="33">
        <v>153.23400000000001</v>
      </c>
      <c r="J425" s="170"/>
      <c r="K425" s="7" t="str">
        <f>VLOOKUP($E425,Mapping!$E$11:$I$204,3,0)</f>
        <v>Augmentation</v>
      </c>
      <c r="L425" s="7" t="str">
        <f>IFERROR(VLOOKUP($G425,Mapping!$E$208:$K$236,5,0),"Contracts")</f>
        <v>Labour</v>
      </c>
      <c r="M425" s="7" t="str">
        <f>IFERROR(VLOOKUP($G425,Mapping!$E$208:$K$236,7,0),"ENDirect")</f>
        <v>ENDirect</v>
      </c>
      <c r="N425" s="7" t="str">
        <f>IFERROR(HLOOKUP(L425,'Calc|Weightings'!$U$5:$W$5,1,0),"Excl")</f>
        <v>Labour</v>
      </c>
      <c r="O425" s="7" t="str">
        <f>VLOOKUP(E425,Mapping!$E$11:$I$204,5,0)</f>
        <v>SCS</v>
      </c>
      <c r="Q425" s="32" t="s">
        <v>146</v>
      </c>
      <c r="R425" s="32"/>
      <c r="S425" s="32">
        <v>71000</v>
      </c>
      <c r="T425" s="32" t="s">
        <v>457</v>
      </c>
      <c r="U425" s="33">
        <v>0.60499999999999998</v>
      </c>
      <c r="V425" s="7"/>
      <c r="W425" s="7" t="str">
        <f>VLOOKUP($Q425,Mapping!$E$11:$I$204,3,0)</f>
        <v>VBRC</v>
      </c>
      <c r="X425" s="7" t="str">
        <f>IFERROR(VLOOKUP($S425,Mapping!$E$208:$K$236,5,0),"Contracts")</f>
        <v>Labour</v>
      </c>
      <c r="Y425" s="7" t="str">
        <f>IFERROR(VLOOKUP($S425,Mapping!$E$208:$K$236,7,0),"ENDirect")</f>
        <v>ENDirect</v>
      </c>
      <c r="Z425" s="7" t="str">
        <f>IFERROR(HLOOKUP(X425,'Calc|Weightings'!$U$5:$W$5,1,0),"Excl")</f>
        <v>Labour</v>
      </c>
      <c r="AA425" s="7" t="str">
        <f>VLOOKUP(Q425,Mapping!$E$11:$I$204,5,0)</f>
        <v>SCS</v>
      </c>
      <c r="AC425" s="35" t="s">
        <v>133</v>
      </c>
      <c r="AD425" s="35"/>
      <c r="AE425" s="35">
        <v>71000</v>
      </c>
      <c r="AF425" s="35" t="s">
        <v>457</v>
      </c>
      <c r="AG425" s="36">
        <v>799.16200000000003</v>
      </c>
      <c r="AI425" s="7" t="str">
        <f>VLOOKUP($AC425,Mapping!$E$11:$I$204,3,0)</f>
        <v>ACS</v>
      </c>
      <c r="AJ425" s="7" t="str">
        <f>IFERROR(VLOOKUP($AE425,Mapping!$E$208:$K$236,5,0),"Contracts")</f>
        <v>Labour</v>
      </c>
      <c r="AK425" s="7" t="str">
        <f>IFERROR(VLOOKUP($AE425,Mapping!$E$208:$K$236,7,0),"ENDirect")</f>
        <v>ENDirect</v>
      </c>
      <c r="AL425" s="7" t="str">
        <f>IFERROR(HLOOKUP(AJ425,'Calc|Weightings'!$U$5:$W$5,1,0),"Excl")</f>
        <v>Labour</v>
      </c>
      <c r="AM425" s="7" t="str">
        <f>VLOOKUP(AC425,Mapping!$E$11:$I$204,5,0)</f>
        <v>ACS</v>
      </c>
      <c r="AO425" s="35" t="s">
        <v>162</v>
      </c>
      <c r="AP425" s="35"/>
      <c r="AQ425" s="35">
        <v>71005</v>
      </c>
      <c r="AR425" s="35" t="s">
        <v>461</v>
      </c>
      <c r="AS425" s="121">
        <v>1275.32194</v>
      </c>
      <c r="AU425" s="7" t="str">
        <f>VLOOKUP($AO425,Mapping!$E$11:$I$204,3,0)</f>
        <v>Replacement</v>
      </c>
      <c r="AV425" s="7" t="str">
        <f>IFERROR(VLOOKUP($AQ425,Mapping!$E$208:$K$236,5,0),"Contracts")</f>
        <v>Materials</v>
      </c>
      <c r="AW425" s="7" t="str">
        <f>IFERROR(VLOOKUP($AQ425,Mapping!$E$208:$K$236,7,0),"ENDirect")</f>
        <v>ENDirect</v>
      </c>
      <c r="AX425" s="7" t="str">
        <f>IFERROR(HLOOKUP(AV425,'Calc|Weightings'!$U$5:$W$5,1,0),"Excl")</f>
        <v>Materials</v>
      </c>
      <c r="AY425" s="7" t="str">
        <f>VLOOKUP(AO425,Mapping!$E$11:$I$204,5,0)</f>
        <v>SCS</v>
      </c>
    </row>
    <row r="426" spans="1:51" x14ac:dyDescent="0.3">
      <c r="A426" s="7"/>
      <c r="B426" s="7"/>
      <c r="C426" s="7"/>
      <c r="D426" s="7"/>
      <c r="E426" s="32" t="s">
        <v>192</v>
      </c>
      <c r="F426" s="32"/>
      <c r="G426" s="32">
        <v>70815</v>
      </c>
      <c r="H426" s="32" t="s">
        <v>451</v>
      </c>
      <c r="I426" s="33">
        <v>3.74</v>
      </c>
      <c r="J426" s="170"/>
      <c r="K426" s="7" t="str">
        <f>VLOOKUP($E426,Mapping!$E$11:$I$204,3,0)</f>
        <v>VBRC</v>
      </c>
      <c r="L426" s="7" t="str">
        <f>IFERROR(VLOOKUP($G426,Mapping!$E$208:$K$236,5,0),"Contracts")</f>
        <v>Materials</v>
      </c>
      <c r="M426" s="7" t="str">
        <f>IFERROR(VLOOKUP($G426,Mapping!$E$208:$K$236,7,0),"ENDirect")</f>
        <v>ENDirect</v>
      </c>
      <c r="N426" s="7" t="str">
        <f>IFERROR(HLOOKUP(L426,'Calc|Weightings'!$U$5:$W$5,1,0),"Excl")</f>
        <v>Materials</v>
      </c>
      <c r="O426" s="7" t="str">
        <f>VLOOKUP(E426,Mapping!$E$11:$I$204,5,0)</f>
        <v>SCS</v>
      </c>
      <c r="Q426" s="32" t="s">
        <v>146</v>
      </c>
      <c r="R426" s="32"/>
      <c r="S426" s="32">
        <v>71015</v>
      </c>
      <c r="T426" s="32" t="s">
        <v>463</v>
      </c>
      <c r="U426" s="33">
        <v>1.6559999999999999</v>
      </c>
      <c r="V426" s="7"/>
      <c r="W426" s="7" t="str">
        <f>VLOOKUP($Q426,Mapping!$E$11:$I$204,3,0)</f>
        <v>VBRC</v>
      </c>
      <c r="X426" s="7" t="str">
        <f>IFERROR(VLOOKUP($S426,Mapping!$E$208:$K$236,5,0),"Contracts")</f>
        <v>Materials</v>
      </c>
      <c r="Y426" s="7" t="str">
        <f>IFERROR(VLOOKUP($S426,Mapping!$E$208:$K$236,7,0),"ENDirect")</f>
        <v>ENDirect</v>
      </c>
      <c r="Z426" s="7" t="str">
        <f>IFERROR(HLOOKUP(X426,'Calc|Weightings'!$U$5:$W$5,1,0),"Excl")</f>
        <v>Materials</v>
      </c>
      <c r="AA426" s="7" t="str">
        <f>VLOOKUP(Q426,Mapping!$E$11:$I$204,5,0)</f>
        <v>SCS</v>
      </c>
      <c r="AC426" s="35" t="s">
        <v>133</v>
      </c>
      <c r="AD426" s="35"/>
      <c r="AE426" s="35">
        <v>71005</v>
      </c>
      <c r="AF426" s="35" t="s">
        <v>461</v>
      </c>
      <c r="AG426" s="36">
        <v>265.12099999999998</v>
      </c>
      <c r="AI426" s="7" t="str">
        <f>VLOOKUP($AC426,Mapping!$E$11:$I$204,3,0)</f>
        <v>ACS</v>
      </c>
      <c r="AJ426" s="7" t="str">
        <f>IFERROR(VLOOKUP($AE426,Mapping!$E$208:$K$236,5,0),"Contracts")</f>
        <v>Materials</v>
      </c>
      <c r="AK426" s="7" t="str">
        <f>IFERROR(VLOOKUP($AE426,Mapping!$E$208:$K$236,7,0),"ENDirect")</f>
        <v>ENDirect</v>
      </c>
      <c r="AL426" s="7" t="str">
        <f>IFERROR(HLOOKUP(AJ426,'Calc|Weightings'!$U$5:$W$5,1,0),"Excl")</f>
        <v>Materials</v>
      </c>
      <c r="AM426" s="7" t="str">
        <f>VLOOKUP(AC426,Mapping!$E$11:$I$204,5,0)</f>
        <v>ACS</v>
      </c>
      <c r="AO426" s="35" t="s">
        <v>162</v>
      </c>
      <c r="AP426" s="35"/>
      <c r="AQ426" s="35">
        <v>71010</v>
      </c>
      <c r="AR426" s="35" t="s">
        <v>487</v>
      </c>
      <c r="AS426" s="121">
        <v>201.17668000000003</v>
      </c>
      <c r="AU426" s="7" t="str">
        <f>VLOOKUP($AO426,Mapping!$E$11:$I$204,3,0)</f>
        <v>Replacement</v>
      </c>
      <c r="AV426" s="7" t="str">
        <f>IFERROR(VLOOKUP($AQ426,Mapping!$E$208:$K$236,5,0),"Contracts")</f>
        <v>Labour</v>
      </c>
      <c r="AW426" s="7" t="str">
        <f>IFERROR(VLOOKUP($AQ426,Mapping!$E$208:$K$236,7,0),"ENDirect")</f>
        <v>ENDirect</v>
      </c>
      <c r="AX426" s="7" t="str">
        <f>IFERROR(HLOOKUP(AV426,'Calc|Weightings'!$U$5:$W$5,1,0),"Excl")</f>
        <v>Labour</v>
      </c>
      <c r="AY426" s="7" t="str">
        <f>VLOOKUP(AO426,Mapping!$E$11:$I$204,5,0)</f>
        <v>SCS</v>
      </c>
    </row>
    <row r="427" spans="1:51" x14ac:dyDescent="0.3">
      <c r="A427" s="7"/>
      <c r="B427" s="7"/>
      <c r="C427" s="7"/>
      <c r="D427" s="7"/>
      <c r="E427" s="32" t="s">
        <v>192</v>
      </c>
      <c r="F427" s="32"/>
      <c r="G427" s="32">
        <v>71000</v>
      </c>
      <c r="H427" s="32" t="s">
        <v>457</v>
      </c>
      <c r="I427" s="33">
        <v>769.08699999999999</v>
      </c>
      <c r="J427" s="170"/>
      <c r="K427" s="7" t="str">
        <f>VLOOKUP($E427,Mapping!$E$11:$I$204,3,0)</f>
        <v>VBRC</v>
      </c>
      <c r="L427" s="7" t="str">
        <f>IFERROR(VLOOKUP($G427,Mapping!$E$208:$K$236,5,0),"Contracts")</f>
        <v>Labour</v>
      </c>
      <c r="M427" s="7" t="str">
        <f>IFERROR(VLOOKUP($G427,Mapping!$E$208:$K$236,7,0),"ENDirect")</f>
        <v>ENDirect</v>
      </c>
      <c r="N427" s="7" t="str">
        <f>IFERROR(HLOOKUP(L427,'Calc|Weightings'!$U$5:$W$5,1,0),"Excl")</f>
        <v>Labour</v>
      </c>
      <c r="O427" s="7" t="str">
        <f>VLOOKUP(E427,Mapping!$E$11:$I$204,5,0)</f>
        <v>SCS</v>
      </c>
      <c r="Q427" s="32" t="s">
        <v>146</v>
      </c>
      <c r="R427" s="32"/>
      <c r="S427" s="32">
        <v>71030</v>
      </c>
      <c r="T427" s="32" t="s">
        <v>464</v>
      </c>
      <c r="U427" s="33">
        <v>0.28299999999999997</v>
      </c>
      <c r="V427" s="7"/>
      <c r="W427" s="7" t="str">
        <f>VLOOKUP($Q427,Mapping!$E$11:$I$204,3,0)</f>
        <v>VBRC</v>
      </c>
      <c r="X427" s="7" t="str">
        <f>IFERROR(VLOOKUP($S427,Mapping!$E$208:$K$236,5,0),"Contracts")</f>
        <v>Contracts</v>
      </c>
      <c r="Y427" s="7" t="str">
        <f>IFERROR(VLOOKUP($S427,Mapping!$E$208:$K$236,7,0),"ENDirect")</f>
        <v>ENDirect</v>
      </c>
      <c r="Z427" s="7" t="str">
        <f>IFERROR(HLOOKUP(X427,'Calc|Weightings'!$U$5:$W$5,1,0),"Excl")</f>
        <v>Contracts</v>
      </c>
      <c r="AA427" s="7" t="str">
        <f>VLOOKUP(Q427,Mapping!$E$11:$I$204,5,0)</f>
        <v>SCS</v>
      </c>
      <c r="AC427" s="35" t="s">
        <v>133</v>
      </c>
      <c r="AD427" s="35"/>
      <c r="AE427" s="35">
        <v>71010</v>
      </c>
      <c r="AF427" s="35" t="s">
        <v>462</v>
      </c>
      <c r="AG427" s="36">
        <v>57.622</v>
      </c>
      <c r="AI427" s="7" t="str">
        <f>VLOOKUP($AC427,Mapping!$E$11:$I$204,3,0)</f>
        <v>ACS</v>
      </c>
      <c r="AJ427" s="7" t="str">
        <f>IFERROR(VLOOKUP($AE427,Mapping!$E$208:$K$236,5,0),"Contracts")</f>
        <v>Labour</v>
      </c>
      <c r="AK427" s="7" t="str">
        <f>IFERROR(VLOOKUP($AE427,Mapping!$E$208:$K$236,7,0),"ENDirect")</f>
        <v>ENDirect</v>
      </c>
      <c r="AL427" s="7" t="str">
        <f>IFERROR(HLOOKUP(AJ427,'Calc|Weightings'!$U$5:$W$5,1,0),"Excl")</f>
        <v>Labour</v>
      </c>
      <c r="AM427" s="7" t="str">
        <f>VLOOKUP(AC427,Mapping!$E$11:$I$204,5,0)</f>
        <v>ACS</v>
      </c>
      <c r="AO427" s="35" t="s">
        <v>162</v>
      </c>
      <c r="AP427" s="35"/>
      <c r="AQ427" s="35">
        <v>71015</v>
      </c>
      <c r="AR427" s="35" t="s">
        <v>585</v>
      </c>
      <c r="AS427" s="121">
        <v>210.96851999999998</v>
      </c>
      <c r="AU427" s="7" t="str">
        <f>VLOOKUP($AO427,Mapping!$E$11:$I$204,3,0)</f>
        <v>Replacement</v>
      </c>
      <c r="AV427" s="7" t="str">
        <f>IFERROR(VLOOKUP($AQ427,Mapping!$E$208:$K$236,5,0),"Contracts")</f>
        <v>Materials</v>
      </c>
      <c r="AW427" s="7" t="str">
        <f>IFERROR(VLOOKUP($AQ427,Mapping!$E$208:$K$236,7,0),"ENDirect")</f>
        <v>ENDirect</v>
      </c>
      <c r="AX427" s="7" t="str">
        <f>IFERROR(HLOOKUP(AV427,'Calc|Weightings'!$U$5:$W$5,1,0),"Excl")</f>
        <v>Materials</v>
      </c>
      <c r="AY427" s="7" t="str">
        <f>VLOOKUP(AO427,Mapping!$E$11:$I$204,5,0)</f>
        <v>SCS</v>
      </c>
    </row>
    <row r="428" spans="1:51" x14ac:dyDescent="0.3">
      <c r="A428" s="7"/>
      <c r="B428" s="7"/>
      <c r="C428" s="7"/>
      <c r="D428" s="7"/>
      <c r="E428" s="32" t="s">
        <v>192</v>
      </c>
      <c r="F428" s="32"/>
      <c r="G428" s="32">
        <v>71005</v>
      </c>
      <c r="H428" s="32" t="s">
        <v>461</v>
      </c>
      <c r="I428" s="33">
        <v>382.36200000000002</v>
      </c>
      <c r="J428" s="170"/>
      <c r="K428" s="7" t="str">
        <f>VLOOKUP($E428,Mapping!$E$11:$I$204,3,0)</f>
        <v>VBRC</v>
      </c>
      <c r="L428" s="7" t="str">
        <f>IFERROR(VLOOKUP($G428,Mapping!$E$208:$K$236,5,0),"Contracts")</f>
        <v>Materials</v>
      </c>
      <c r="M428" s="7" t="str">
        <f>IFERROR(VLOOKUP($G428,Mapping!$E$208:$K$236,7,0),"ENDirect")</f>
        <v>ENDirect</v>
      </c>
      <c r="N428" s="7" t="str">
        <f>IFERROR(HLOOKUP(L428,'Calc|Weightings'!$U$5:$W$5,1,0),"Excl")</f>
        <v>Materials</v>
      </c>
      <c r="O428" s="7" t="str">
        <f>VLOOKUP(E428,Mapping!$E$11:$I$204,5,0)</f>
        <v>SCS</v>
      </c>
      <c r="Q428" s="32" t="s">
        <v>146</v>
      </c>
      <c r="R428" s="32"/>
      <c r="S428" s="32">
        <v>71055</v>
      </c>
      <c r="T428" s="32" t="s">
        <v>465</v>
      </c>
      <c r="U428" s="33">
        <v>0.35</v>
      </c>
      <c r="V428" s="7"/>
      <c r="W428" s="7" t="str">
        <f>VLOOKUP($Q428,Mapping!$E$11:$I$204,3,0)</f>
        <v>VBRC</v>
      </c>
      <c r="X428" s="7" t="str">
        <f>IFERROR(VLOOKUP($S428,Mapping!$E$208:$K$236,5,0),"Contracts")</f>
        <v>Contracts</v>
      </c>
      <c r="Y428" s="7" t="str">
        <f>IFERROR(VLOOKUP($S428,Mapping!$E$208:$K$236,7,0),"ENDirect")</f>
        <v>ENDirect</v>
      </c>
      <c r="Z428" s="7" t="str">
        <f>IFERROR(HLOOKUP(X428,'Calc|Weightings'!$U$5:$W$5,1,0),"Excl")</f>
        <v>Contracts</v>
      </c>
      <c r="AA428" s="7" t="str">
        <f>VLOOKUP(Q428,Mapping!$E$11:$I$204,5,0)</f>
        <v>SCS</v>
      </c>
      <c r="AC428" s="35" t="s">
        <v>133</v>
      </c>
      <c r="AD428" s="35"/>
      <c r="AE428" s="35">
        <v>71015</v>
      </c>
      <c r="AF428" s="35" t="s">
        <v>463</v>
      </c>
      <c r="AG428" s="36">
        <v>147.56100000000001</v>
      </c>
      <c r="AI428" s="7" t="str">
        <f>VLOOKUP($AC428,Mapping!$E$11:$I$204,3,0)</f>
        <v>ACS</v>
      </c>
      <c r="AJ428" s="7" t="str">
        <f>IFERROR(VLOOKUP($AE428,Mapping!$E$208:$K$236,5,0),"Contracts")</f>
        <v>Materials</v>
      </c>
      <c r="AK428" s="7" t="str">
        <f>IFERROR(VLOOKUP($AE428,Mapping!$E$208:$K$236,7,0),"ENDirect")</f>
        <v>ENDirect</v>
      </c>
      <c r="AL428" s="7" t="str">
        <f>IFERROR(HLOOKUP(AJ428,'Calc|Weightings'!$U$5:$W$5,1,0),"Excl")</f>
        <v>Materials</v>
      </c>
      <c r="AM428" s="7" t="str">
        <f>VLOOKUP(AC428,Mapping!$E$11:$I$204,5,0)</f>
        <v>ACS</v>
      </c>
      <c r="AO428" s="35" t="s">
        <v>162</v>
      </c>
      <c r="AP428" s="35"/>
      <c r="AQ428" s="35">
        <v>71020</v>
      </c>
      <c r="AR428" s="35" t="s">
        <v>590</v>
      </c>
      <c r="AS428" s="121">
        <v>1.2978299999999998</v>
      </c>
      <c r="AU428" s="7" t="str">
        <f>VLOOKUP($AO428,Mapping!$E$11:$I$204,3,0)</f>
        <v>Replacement</v>
      </c>
      <c r="AV428" s="7" t="str">
        <f>IFERROR(VLOOKUP($AQ428,Mapping!$E$208:$K$236,5,0),"Contracts")</f>
        <v>Contracts</v>
      </c>
      <c r="AW428" s="7" t="str">
        <f>IFERROR(VLOOKUP($AQ428,Mapping!$E$208:$K$236,7,0),"ENDirect")</f>
        <v>ENDirect</v>
      </c>
      <c r="AX428" s="7" t="str">
        <f>IFERROR(HLOOKUP(AV428,'Calc|Weightings'!$U$5:$W$5,1,0),"Excl")</f>
        <v>Contracts</v>
      </c>
      <c r="AY428" s="7" t="str">
        <f>VLOOKUP(AO428,Mapping!$E$11:$I$204,5,0)</f>
        <v>SCS</v>
      </c>
    </row>
    <row r="429" spans="1:51" x14ac:dyDescent="0.3">
      <c r="A429" s="7"/>
      <c r="B429" s="7"/>
      <c r="C429" s="7"/>
      <c r="D429" s="7"/>
      <c r="E429" s="32" t="s">
        <v>192</v>
      </c>
      <c r="F429" s="32"/>
      <c r="G429" s="32">
        <v>71010</v>
      </c>
      <c r="H429" s="32" t="s">
        <v>462</v>
      </c>
      <c r="I429" s="33">
        <v>203.22300000000001</v>
      </c>
      <c r="J429" s="170"/>
      <c r="K429" s="7" t="str">
        <f>VLOOKUP($E429,Mapping!$E$11:$I$204,3,0)</f>
        <v>VBRC</v>
      </c>
      <c r="L429" s="7" t="str">
        <f>IFERROR(VLOOKUP($G429,Mapping!$E$208:$K$236,5,0),"Contracts")</f>
        <v>Labour</v>
      </c>
      <c r="M429" s="7" t="str">
        <f>IFERROR(VLOOKUP($G429,Mapping!$E$208:$K$236,7,0),"ENDirect")</f>
        <v>ENDirect</v>
      </c>
      <c r="N429" s="7" t="str">
        <f>IFERROR(HLOOKUP(L429,'Calc|Weightings'!$U$5:$W$5,1,0),"Excl")</f>
        <v>Labour</v>
      </c>
      <c r="O429" s="7" t="str">
        <f>VLOOKUP(E429,Mapping!$E$11:$I$204,5,0)</f>
        <v>SCS</v>
      </c>
      <c r="Q429" s="32" t="s">
        <v>149</v>
      </c>
      <c r="R429" s="32"/>
      <c r="S429" s="32">
        <v>71000</v>
      </c>
      <c r="T429" s="32" t="s">
        <v>457</v>
      </c>
      <c r="U429" s="33">
        <v>71.83</v>
      </c>
      <c r="V429" s="7"/>
      <c r="W429" s="7" t="str">
        <f>VLOOKUP($Q429,Mapping!$E$11:$I$204,3,0)</f>
        <v>VBRC</v>
      </c>
      <c r="X429" s="7" t="str">
        <f>IFERROR(VLOOKUP($S429,Mapping!$E$208:$K$236,5,0),"Contracts")</f>
        <v>Labour</v>
      </c>
      <c r="Y429" s="7" t="str">
        <f>IFERROR(VLOOKUP($S429,Mapping!$E$208:$K$236,7,0),"ENDirect")</f>
        <v>ENDirect</v>
      </c>
      <c r="Z429" s="7" t="str">
        <f>IFERROR(HLOOKUP(X429,'Calc|Weightings'!$U$5:$W$5,1,0),"Excl")</f>
        <v>Labour</v>
      </c>
      <c r="AA429" s="7" t="str">
        <f>VLOOKUP(Q429,Mapping!$E$11:$I$204,5,0)</f>
        <v>SCS</v>
      </c>
      <c r="AC429" s="35" t="s">
        <v>133</v>
      </c>
      <c r="AD429" s="35"/>
      <c r="AE429" s="35">
        <v>71030</v>
      </c>
      <c r="AF429" s="35" t="s">
        <v>464</v>
      </c>
      <c r="AG429" s="36">
        <v>101.23699999999999</v>
      </c>
      <c r="AI429" s="7" t="str">
        <f>VLOOKUP($AC429,Mapping!$E$11:$I$204,3,0)</f>
        <v>ACS</v>
      </c>
      <c r="AJ429" s="7" t="str">
        <f>IFERROR(VLOOKUP($AE429,Mapping!$E$208:$K$236,5,0),"Contracts")</f>
        <v>Contracts</v>
      </c>
      <c r="AK429" s="7" t="str">
        <f>IFERROR(VLOOKUP($AE429,Mapping!$E$208:$K$236,7,0),"ENDirect")</f>
        <v>ENDirect</v>
      </c>
      <c r="AL429" s="7" t="str">
        <f>IFERROR(HLOOKUP(AJ429,'Calc|Weightings'!$U$5:$W$5,1,0),"Excl")</f>
        <v>Contracts</v>
      </c>
      <c r="AM429" s="7" t="str">
        <f>VLOOKUP(AC429,Mapping!$E$11:$I$204,5,0)</f>
        <v>ACS</v>
      </c>
      <c r="AO429" s="35" t="s">
        <v>162</v>
      </c>
      <c r="AP429" s="35"/>
      <c r="AQ429" s="35">
        <v>71030</v>
      </c>
      <c r="AR429" s="35" t="s">
        <v>464</v>
      </c>
      <c r="AS429" s="121">
        <v>23.126200000000004</v>
      </c>
      <c r="AU429" s="7" t="str">
        <f>VLOOKUP($AO429,Mapping!$E$11:$I$204,3,0)</f>
        <v>Replacement</v>
      </c>
      <c r="AV429" s="7" t="str">
        <f>IFERROR(VLOOKUP($AQ429,Mapping!$E$208:$K$236,5,0),"Contracts")</f>
        <v>Contracts</v>
      </c>
      <c r="AW429" s="7" t="str">
        <f>IFERROR(VLOOKUP($AQ429,Mapping!$E$208:$K$236,7,0),"ENDirect")</f>
        <v>ENDirect</v>
      </c>
      <c r="AX429" s="7" t="str">
        <f>IFERROR(HLOOKUP(AV429,'Calc|Weightings'!$U$5:$W$5,1,0),"Excl")</f>
        <v>Contracts</v>
      </c>
      <c r="AY429" s="7" t="str">
        <f>VLOOKUP(AO429,Mapping!$E$11:$I$204,5,0)</f>
        <v>SCS</v>
      </c>
    </row>
    <row r="430" spans="1:51" x14ac:dyDescent="0.3">
      <c r="A430" s="7"/>
      <c r="B430" s="7"/>
      <c r="C430" s="7"/>
      <c r="D430" s="7"/>
      <c r="E430" s="32" t="s">
        <v>192</v>
      </c>
      <c r="F430" s="32"/>
      <c r="G430" s="32">
        <v>71015</v>
      </c>
      <c r="H430" s="32" t="s">
        <v>463</v>
      </c>
      <c r="I430" s="33">
        <v>206.11500000000001</v>
      </c>
      <c r="J430" s="170"/>
      <c r="K430" s="7" t="str">
        <f>VLOOKUP($E430,Mapping!$E$11:$I$204,3,0)</f>
        <v>VBRC</v>
      </c>
      <c r="L430" s="7" t="str">
        <f>IFERROR(VLOOKUP($G430,Mapping!$E$208:$K$236,5,0),"Contracts")</f>
        <v>Materials</v>
      </c>
      <c r="M430" s="7" t="str">
        <f>IFERROR(VLOOKUP($G430,Mapping!$E$208:$K$236,7,0),"ENDirect")</f>
        <v>ENDirect</v>
      </c>
      <c r="N430" s="7" t="str">
        <f>IFERROR(HLOOKUP(L430,'Calc|Weightings'!$U$5:$W$5,1,0),"Excl")</f>
        <v>Materials</v>
      </c>
      <c r="O430" s="7" t="str">
        <f>VLOOKUP(E430,Mapping!$E$11:$I$204,5,0)</f>
        <v>SCS</v>
      </c>
      <c r="Q430" s="32" t="s">
        <v>149</v>
      </c>
      <c r="R430" s="32"/>
      <c r="S430" s="32">
        <v>71005</v>
      </c>
      <c r="T430" s="32" t="s">
        <v>461</v>
      </c>
      <c r="U430" s="33">
        <v>7.8840000000000003</v>
      </c>
      <c r="V430" s="7"/>
      <c r="W430" s="7" t="str">
        <f>VLOOKUP($Q430,Mapping!$E$11:$I$204,3,0)</f>
        <v>VBRC</v>
      </c>
      <c r="X430" s="7" t="str">
        <f>IFERROR(VLOOKUP($S430,Mapping!$E$208:$K$236,5,0),"Contracts")</f>
        <v>Materials</v>
      </c>
      <c r="Y430" s="7" t="str">
        <f>IFERROR(VLOOKUP($S430,Mapping!$E$208:$K$236,7,0),"ENDirect")</f>
        <v>ENDirect</v>
      </c>
      <c r="Z430" s="7" t="str">
        <f>IFERROR(HLOOKUP(X430,'Calc|Weightings'!$U$5:$W$5,1,0),"Excl")</f>
        <v>Materials</v>
      </c>
      <c r="AA430" s="7" t="str">
        <f>VLOOKUP(Q430,Mapping!$E$11:$I$204,5,0)</f>
        <v>SCS</v>
      </c>
      <c r="AC430" s="35" t="s">
        <v>133</v>
      </c>
      <c r="AD430" s="35"/>
      <c r="AE430" s="35">
        <v>71055</v>
      </c>
      <c r="AF430" s="35" t="s">
        <v>465</v>
      </c>
      <c r="AG430" s="36">
        <v>203.48500000000001</v>
      </c>
      <c r="AI430" s="7" t="str">
        <f>VLOOKUP($AC430,Mapping!$E$11:$I$204,3,0)</f>
        <v>ACS</v>
      </c>
      <c r="AJ430" s="7" t="str">
        <f>IFERROR(VLOOKUP($AE430,Mapping!$E$208:$K$236,5,0),"Contracts")</f>
        <v>Contracts</v>
      </c>
      <c r="AK430" s="7" t="str">
        <f>IFERROR(VLOOKUP($AE430,Mapping!$E$208:$K$236,7,0),"ENDirect")</f>
        <v>ENDirect</v>
      </c>
      <c r="AL430" s="7" t="str">
        <f>IFERROR(HLOOKUP(AJ430,'Calc|Weightings'!$U$5:$W$5,1,0),"Excl")</f>
        <v>Contracts</v>
      </c>
      <c r="AM430" s="7" t="str">
        <f>VLOOKUP(AC430,Mapping!$E$11:$I$204,5,0)</f>
        <v>ACS</v>
      </c>
      <c r="AO430" s="35" t="s">
        <v>162</v>
      </c>
      <c r="AP430" s="35"/>
      <c r="AQ430" s="35">
        <v>71045</v>
      </c>
      <c r="AR430" s="35" t="s">
        <v>596</v>
      </c>
      <c r="AS430" s="121">
        <v>2.25</v>
      </c>
      <c r="AU430" s="7" t="str">
        <f>VLOOKUP($AO430,Mapping!$E$11:$I$204,3,0)</f>
        <v>Replacement</v>
      </c>
      <c r="AV430" s="7" t="str">
        <f>IFERROR(VLOOKUP($AQ430,Mapping!$E$208:$K$236,5,0),"Contracts")</f>
        <v>Materials</v>
      </c>
      <c r="AW430" s="7" t="str">
        <f>IFERROR(VLOOKUP($AQ430,Mapping!$E$208:$K$236,7,0),"ENDirect")</f>
        <v>ENDirect</v>
      </c>
      <c r="AX430" s="7" t="str">
        <f>IFERROR(HLOOKUP(AV430,'Calc|Weightings'!$U$5:$W$5,1,0),"Excl")</f>
        <v>Materials</v>
      </c>
      <c r="AY430" s="7" t="str">
        <f>VLOOKUP(AO430,Mapping!$E$11:$I$204,5,0)</f>
        <v>SCS</v>
      </c>
    </row>
    <row r="431" spans="1:51" x14ac:dyDescent="0.3">
      <c r="A431" s="7"/>
      <c r="B431" s="7"/>
      <c r="C431" s="7"/>
      <c r="D431" s="7"/>
      <c r="E431" s="32" t="s">
        <v>192</v>
      </c>
      <c r="F431" s="32"/>
      <c r="G431" s="32">
        <v>71030</v>
      </c>
      <c r="H431" s="32" t="s">
        <v>464</v>
      </c>
      <c r="I431" s="33">
        <v>126.15300000000001</v>
      </c>
      <c r="J431" s="170"/>
      <c r="K431" s="7" t="str">
        <f>VLOOKUP($E431,Mapping!$E$11:$I$204,3,0)</f>
        <v>VBRC</v>
      </c>
      <c r="L431" s="7" t="str">
        <f>IFERROR(VLOOKUP($G431,Mapping!$E$208:$K$236,5,0),"Contracts")</f>
        <v>Contracts</v>
      </c>
      <c r="M431" s="7" t="str">
        <f>IFERROR(VLOOKUP($G431,Mapping!$E$208:$K$236,7,0),"ENDirect")</f>
        <v>ENDirect</v>
      </c>
      <c r="N431" s="7" t="str">
        <f>IFERROR(HLOOKUP(L431,'Calc|Weightings'!$U$5:$W$5,1,0),"Excl")</f>
        <v>Contracts</v>
      </c>
      <c r="O431" s="7" t="str">
        <f>VLOOKUP(E431,Mapping!$E$11:$I$204,5,0)</f>
        <v>SCS</v>
      </c>
      <c r="Q431" s="32" t="s">
        <v>149</v>
      </c>
      <c r="R431" s="32"/>
      <c r="S431" s="32">
        <v>71010</v>
      </c>
      <c r="T431" s="32" t="s">
        <v>462</v>
      </c>
      <c r="U431" s="33">
        <v>52.853999999999999</v>
      </c>
      <c r="V431" s="7"/>
      <c r="W431" s="7" t="str">
        <f>VLOOKUP($Q431,Mapping!$E$11:$I$204,3,0)</f>
        <v>VBRC</v>
      </c>
      <c r="X431" s="7" t="str">
        <f>IFERROR(VLOOKUP($S431,Mapping!$E$208:$K$236,5,0),"Contracts")</f>
        <v>Labour</v>
      </c>
      <c r="Y431" s="7" t="str">
        <f>IFERROR(VLOOKUP($S431,Mapping!$E$208:$K$236,7,0),"ENDirect")</f>
        <v>ENDirect</v>
      </c>
      <c r="Z431" s="7" t="str">
        <f>IFERROR(HLOOKUP(X431,'Calc|Weightings'!$U$5:$W$5,1,0),"Excl")</f>
        <v>Labour</v>
      </c>
      <c r="AA431" s="7" t="str">
        <f>VLOOKUP(Q431,Mapping!$E$11:$I$204,5,0)</f>
        <v>SCS</v>
      </c>
      <c r="AC431" s="35" t="s">
        <v>133</v>
      </c>
      <c r="AD431" s="35"/>
      <c r="AE431" s="35">
        <v>80000</v>
      </c>
      <c r="AF431" s="35" t="s">
        <v>453</v>
      </c>
      <c r="AG431" s="36">
        <v>136.56899999999999</v>
      </c>
      <c r="AI431" s="7" t="str">
        <f>VLOOKUP($AC431,Mapping!$E$11:$I$204,3,0)</f>
        <v>ACS</v>
      </c>
      <c r="AJ431" s="7" t="str">
        <f>IFERROR(VLOOKUP($AE431,Mapping!$E$208:$K$236,5,0),"Contracts")</f>
        <v>Overhead</v>
      </c>
      <c r="AK431" s="7" t="str">
        <f>IFERROR(VLOOKUP($AE431,Mapping!$E$208:$K$236,7,0),"ENDirect")</f>
        <v>OH</v>
      </c>
      <c r="AL431" s="7" t="str">
        <f>IFERROR(HLOOKUP(AJ431,'Calc|Weightings'!$U$5:$W$5,1,0),"Excl")</f>
        <v>Excl</v>
      </c>
      <c r="AM431" s="7" t="str">
        <f>VLOOKUP(AC431,Mapping!$E$11:$I$204,5,0)</f>
        <v>ACS</v>
      </c>
      <c r="AO431" s="35" t="s">
        <v>162</v>
      </c>
      <c r="AP431" s="35"/>
      <c r="AQ431" s="35">
        <v>71055</v>
      </c>
      <c r="AR431" s="35" t="s">
        <v>465</v>
      </c>
      <c r="AS431" s="121">
        <v>24.482660000000003</v>
      </c>
      <c r="AU431" s="7" t="str">
        <f>VLOOKUP($AO431,Mapping!$E$11:$I$204,3,0)</f>
        <v>Replacement</v>
      </c>
      <c r="AV431" s="7" t="str">
        <f>IFERROR(VLOOKUP($AQ431,Mapping!$E$208:$K$236,5,0),"Contracts")</f>
        <v>Contracts</v>
      </c>
      <c r="AW431" s="7" t="str">
        <f>IFERROR(VLOOKUP($AQ431,Mapping!$E$208:$K$236,7,0),"ENDirect")</f>
        <v>ENDirect</v>
      </c>
      <c r="AX431" s="7" t="str">
        <f>IFERROR(HLOOKUP(AV431,'Calc|Weightings'!$U$5:$W$5,1,0),"Excl")</f>
        <v>Contracts</v>
      </c>
      <c r="AY431" s="7" t="str">
        <f>VLOOKUP(AO431,Mapping!$E$11:$I$204,5,0)</f>
        <v>SCS</v>
      </c>
    </row>
    <row r="432" spans="1:51" x14ac:dyDescent="0.3">
      <c r="A432" s="7"/>
      <c r="B432" s="7"/>
      <c r="C432" s="7"/>
      <c r="D432" s="7"/>
      <c r="E432" s="32" t="s">
        <v>192</v>
      </c>
      <c r="F432" s="32"/>
      <c r="G432" s="32">
        <v>71040</v>
      </c>
      <c r="H432" s="32" t="s">
        <v>460</v>
      </c>
      <c r="I432" s="33">
        <v>-1.028</v>
      </c>
      <c r="J432" s="170"/>
      <c r="K432" s="7" t="str">
        <f>VLOOKUP($E432,Mapping!$E$11:$I$204,3,0)</f>
        <v>VBRC</v>
      </c>
      <c r="L432" s="7" t="str">
        <f>IFERROR(VLOOKUP($G432,Mapping!$E$208:$K$236,5,0),"Contracts")</f>
        <v>Contracts</v>
      </c>
      <c r="M432" s="7" t="str">
        <f>IFERROR(VLOOKUP($G432,Mapping!$E$208:$K$236,7,0),"ENDirect")</f>
        <v>ENDirect</v>
      </c>
      <c r="N432" s="7" t="str">
        <f>IFERROR(HLOOKUP(L432,'Calc|Weightings'!$U$5:$W$5,1,0),"Excl")</f>
        <v>Contracts</v>
      </c>
      <c r="O432" s="7" t="str">
        <f>VLOOKUP(E432,Mapping!$E$11:$I$204,5,0)</f>
        <v>SCS</v>
      </c>
      <c r="Q432" s="32" t="s">
        <v>149</v>
      </c>
      <c r="R432" s="32"/>
      <c r="S432" s="32">
        <v>71015</v>
      </c>
      <c r="T432" s="32" t="s">
        <v>463</v>
      </c>
      <c r="U432" s="33">
        <v>14.927</v>
      </c>
      <c r="V432" s="7"/>
      <c r="W432" s="7" t="str">
        <f>VLOOKUP($Q432,Mapping!$E$11:$I$204,3,0)</f>
        <v>VBRC</v>
      </c>
      <c r="X432" s="7" t="str">
        <f>IFERROR(VLOOKUP($S432,Mapping!$E$208:$K$236,5,0),"Contracts")</f>
        <v>Materials</v>
      </c>
      <c r="Y432" s="7" t="str">
        <f>IFERROR(VLOOKUP($S432,Mapping!$E$208:$K$236,7,0),"ENDirect")</f>
        <v>ENDirect</v>
      </c>
      <c r="Z432" s="7" t="str">
        <f>IFERROR(HLOOKUP(X432,'Calc|Weightings'!$U$5:$W$5,1,0),"Excl")</f>
        <v>Materials</v>
      </c>
      <c r="AA432" s="7" t="str">
        <f>VLOOKUP(Q432,Mapping!$E$11:$I$204,5,0)</f>
        <v>SCS</v>
      </c>
      <c r="AC432" s="35" t="s">
        <v>135</v>
      </c>
      <c r="AD432" s="35"/>
      <c r="AE432" s="35">
        <v>71000</v>
      </c>
      <c r="AF432" s="35" t="s">
        <v>457</v>
      </c>
      <c r="AG432" s="36">
        <v>264.61700000000002</v>
      </c>
      <c r="AI432" s="7" t="str">
        <f>VLOOKUP($AC432,Mapping!$E$11:$I$204,3,0)</f>
        <v>ACS</v>
      </c>
      <c r="AJ432" s="7" t="str">
        <f>IFERROR(VLOOKUP($AE432,Mapping!$E$208:$K$236,5,0),"Contracts")</f>
        <v>Labour</v>
      </c>
      <c r="AK432" s="7" t="str">
        <f>IFERROR(VLOOKUP($AE432,Mapping!$E$208:$K$236,7,0),"ENDirect")</f>
        <v>ENDirect</v>
      </c>
      <c r="AL432" s="7" t="str">
        <f>IFERROR(HLOOKUP(AJ432,'Calc|Weightings'!$U$5:$W$5,1,0),"Excl")</f>
        <v>Labour</v>
      </c>
      <c r="AM432" s="7" t="str">
        <f>VLOOKUP(AC432,Mapping!$E$11:$I$204,5,0)</f>
        <v>ACS</v>
      </c>
      <c r="AO432" s="35" t="s">
        <v>162</v>
      </c>
      <c r="AP432" s="35"/>
      <c r="AQ432" s="35">
        <v>71130</v>
      </c>
      <c r="AR432" s="35" t="s">
        <v>592</v>
      </c>
      <c r="AS432" s="121">
        <v>145.84549999999999</v>
      </c>
      <c r="AU432" s="7" t="str">
        <f>VLOOKUP($AO432,Mapping!$E$11:$I$204,3,0)</f>
        <v>Replacement</v>
      </c>
      <c r="AV432" s="7" t="str">
        <f>IFERROR(VLOOKUP($AQ432,Mapping!$E$208:$K$236,5,0),"Contracts")</f>
        <v>Contracts</v>
      </c>
      <c r="AW432" s="7" t="str">
        <f>IFERROR(VLOOKUP($AQ432,Mapping!$E$208:$K$236,7,0),"ENDirect")</f>
        <v>ENDirect</v>
      </c>
      <c r="AX432" s="7" t="str">
        <f>IFERROR(HLOOKUP(AV432,'Calc|Weightings'!$U$5:$W$5,1,0),"Excl")</f>
        <v>Contracts</v>
      </c>
      <c r="AY432" s="7" t="str">
        <f>VLOOKUP(AO432,Mapping!$E$11:$I$204,5,0)</f>
        <v>SCS</v>
      </c>
    </row>
    <row r="433" spans="1:51" x14ac:dyDescent="0.3">
      <c r="A433" s="7"/>
      <c r="B433" s="7"/>
      <c r="C433" s="7"/>
      <c r="D433" s="7"/>
      <c r="E433" s="32" t="s">
        <v>192</v>
      </c>
      <c r="F433" s="32"/>
      <c r="G433" s="32">
        <v>71055</v>
      </c>
      <c r="H433" s="32" t="s">
        <v>465</v>
      </c>
      <c r="I433" s="33">
        <v>34.040999999999997</v>
      </c>
      <c r="J433" s="170"/>
      <c r="K433" s="7" t="str">
        <f>VLOOKUP($E433,Mapping!$E$11:$I$204,3,0)</f>
        <v>VBRC</v>
      </c>
      <c r="L433" s="7" t="str">
        <f>IFERROR(VLOOKUP($G433,Mapping!$E$208:$K$236,5,0),"Contracts")</f>
        <v>Contracts</v>
      </c>
      <c r="M433" s="7" t="str">
        <f>IFERROR(VLOOKUP($G433,Mapping!$E$208:$K$236,7,0),"ENDirect")</f>
        <v>ENDirect</v>
      </c>
      <c r="N433" s="7" t="str">
        <f>IFERROR(HLOOKUP(L433,'Calc|Weightings'!$U$5:$W$5,1,0),"Excl")</f>
        <v>Contracts</v>
      </c>
      <c r="O433" s="7" t="str">
        <f>VLOOKUP(E433,Mapping!$E$11:$I$204,5,0)</f>
        <v>SCS</v>
      </c>
      <c r="Q433" s="32" t="s">
        <v>149</v>
      </c>
      <c r="R433" s="32"/>
      <c r="S433" s="32">
        <v>71030</v>
      </c>
      <c r="T433" s="32" t="s">
        <v>464</v>
      </c>
      <c r="U433" s="33">
        <v>12.055</v>
      </c>
      <c r="V433" s="7"/>
      <c r="W433" s="7" t="str">
        <f>VLOOKUP($Q433,Mapping!$E$11:$I$204,3,0)</f>
        <v>VBRC</v>
      </c>
      <c r="X433" s="7" t="str">
        <f>IFERROR(VLOOKUP($S433,Mapping!$E$208:$K$236,5,0),"Contracts")</f>
        <v>Contracts</v>
      </c>
      <c r="Y433" s="7" t="str">
        <f>IFERROR(VLOOKUP($S433,Mapping!$E$208:$K$236,7,0),"ENDirect")</f>
        <v>ENDirect</v>
      </c>
      <c r="Z433" s="7" t="str">
        <f>IFERROR(HLOOKUP(X433,'Calc|Weightings'!$U$5:$W$5,1,0),"Excl")</f>
        <v>Contracts</v>
      </c>
      <c r="AA433" s="7" t="str">
        <f>VLOOKUP(Q433,Mapping!$E$11:$I$204,5,0)</f>
        <v>SCS</v>
      </c>
      <c r="AC433" s="35" t="s">
        <v>135</v>
      </c>
      <c r="AD433" s="35"/>
      <c r="AE433" s="35">
        <v>71005</v>
      </c>
      <c r="AF433" s="35" t="s">
        <v>461</v>
      </c>
      <c r="AG433" s="36">
        <v>100.544</v>
      </c>
      <c r="AI433" s="7" t="str">
        <f>VLOOKUP($AC433,Mapping!$E$11:$I$204,3,0)</f>
        <v>ACS</v>
      </c>
      <c r="AJ433" s="7" t="str">
        <f>IFERROR(VLOOKUP($AE433,Mapping!$E$208:$K$236,5,0),"Contracts")</f>
        <v>Materials</v>
      </c>
      <c r="AK433" s="7" t="str">
        <f>IFERROR(VLOOKUP($AE433,Mapping!$E$208:$K$236,7,0),"ENDirect")</f>
        <v>ENDirect</v>
      </c>
      <c r="AL433" s="7" t="str">
        <f>IFERROR(HLOOKUP(AJ433,'Calc|Weightings'!$U$5:$W$5,1,0),"Excl")</f>
        <v>Materials</v>
      </c>
      <c r="AM433" s="7" t="str">
        <f>VLOOKUP(AC433,Mapping!$E$11:$I$204,5,0)</f>
        <v>ACS</v>
      </c>
      <c r="AO433" s="35" t="s">
        <v>162</v>
      </c>
      <c r="AP433" s="35"/>
      <c r="AQ433" s="35">
        <v>71140</v>
      </c>
      <c r="AR433" s="35" t="s">
        <v>593</v>
      </c>
      <c r="AS433" s="121">
        <v>154.005</v>
      </c>
      <c r="AU433" s="7" t="str">
        <f>VLOOKUP($AO433,Mapping!$E$11:$I$204,3,0)</f>
        <v>Replacement</v>
      </c>
      <c r="AV433" s="7" t="str">
        <f>IFERROR(VLOOKUP($AQ433,Mapping!$E$208:$K$236,5,0),"Contracts")</f>
        <v>Contracts</v>
      </c>
      <c r="AW433" s="7" t="str">
        <f>IFERROR(VLOOKUP($AQ433,Mapping!$E$208:$K$236,7,0),"ENDirect")</f>
        <v>ENDirect</v>
      </c>
      <c r="AX433" s="7" t="str">
        <f>IFERROR(HLOOKUP(AV433,'Calc|Weightings'!$U$5:$W$5,1,0),"Excl")</f>
        <v>Contracts</v>
      </c>
      <c r="AY433" s="7" t="str">
        <f>VLOOKUP(AO433,Mapping!$E$11:$I$204,5,0)</f>
        <v>SCS</v>
      </c>
    </row>
    <row r="434" spans="1:51" x14ac:dyDescent="0.3">
      <c r="A434" s="7"/>
      <c r="B434" s="7"/>
      <c r="C434" s="7"/>
      <c r="D434" s="7"/>
      <c r="E434" s="32" t="s">
        <v>192</v>
      </c>
      <c r="F434" s="32"/>
      <c r="G434" s="32">
        <v>80000</v>
      </c>
      <c r="H434" s="32" t="s">
        <v>453</v>
      </c>
      <c r="I434" s="33">
        <v>181.827</v>
      </c>
      <c r="J434" s="170"/>
      <c r="K434" s="7" t="str">
        <f>VLOOKUP($E434,Mapping!$E$11:$I$204,3,0)</f>
        <v>VBRC</v>
      </c>
      <c r="L434" s="7" t="str">
        <f>IFERROR(VLOOKUP($G434,Mapping!$E$208:$K$236,5,0),"Contracts")</f>
        <v>Overhead</v>
      </c>
      <c r="M434" s="7" t="str">
        <f>IFERROR(VLOOKUP($G434,Mapping!$E$208:$K$236,7,0),"ENDirect")</f>
        <v>OH</v>
      </c>
      <c r="N434" s="7" t="str">
        <f>IFERROR(HLOOKUP(L434,'Calc|Weightings'!$U$5:$W$5,1,0),"Excl")</f>
        <v>Excl</v>
      </c>
      <c r="O434" s="7" t="str">
        <f>VLOOKUP(E434,Mapping!$E$11:$I$204,5,0)</f>
        <v>SCS</v>
      </c>
      <c r="Q434" s="32" t="s">
        <v>149</v>
      </c>
      <c r="R434" s="32"/>
      <c r="S434" s="32">
        <v>71055</v>
      </c>
      <c r="T434" s="32" t="s">
        <v>465</v>
      </c>
      <c r="U434" s="33">
        <v>24.71</v>
      </c>
      <c r="V434" s="7"/>
      <c r="W434" s="7" t="str">
        <f>VLOOKUP($Q434,Mapping!$E$11:$I$204,3,0)</f>
        <v>VBRC</v>
      </c>
      <c r="X434" s="7" t="str">
        <f>IFERROR(VLOOKUP($S434,Mapping!$E$208:$K$236,5,0),"Contracts")</f>
        <v>Contracts</v>
      </c>
      <c r="Y434" s="7" t="str">
        <f>IFERROR(VLOOKUP($S434,Mapping!$E$208:$K$236,7,0),"ENDirect")</f>
        <v>ENDirect</v>
      </c>
      <c r="Z434" s="7" t="str">
        <f>IFERROR(HLOOKUP(X434,'Calc|Weightings'!$U$5:$W$5,1,0),"Excl")</f>
        <v>Contracts</v>
      </c>
      <c r="AA434" s="7" t="str">
        <f>VLOOKUP(Q434,Mapping!$E$11:$I$204,5,0)</f>
        <v>SCS</v>
      </c>
      <c r="AC434" s="35" t="s">
        <v>135</v>
      </c>
      <c r="AD434" s="35"/>
      <c r="AE434" s="35">
        <v>71015</v>
      </c>
      <c r="AF434" s="35" t="s">
        <v>463</v>
      </c>
      <c r="AG434" s="36">
        <v>56.505000000000003</v>
      </c>
      <c r="AI434" s="7" t="str">
        <f>VLOOKUP($AC434,Mapping!$E$11:$I$204,3,0)</f>
        <v>ACS</v>
      </c>
      <c r="AJ434" s="7" t="str">
        <f>IFERROR(VLOOKUP($AE434,Mapping!$E$208:$K$236,5,0),"Contracts")</f>
        <v>Materials</v>
      </c>
      <c r="AK434" s="7" t="str">
        <f>IFERROR(VLOOKUP($AE434,Mapping!$E$208:$K$236,7,0),"ENDirect")</f>
        <v>ENDirect</v>
      </c>
      <c r="AL434" s="7" t="str">
        <f>IFERROR(HLOOKUP(AJ434,'Calc|Weightings'!$U$5:$W$5,1,0),"Excl")</f>
        <v>Materials</v>
      </c>
      <c r="AM434" s="7" t="str">
        <f>VLOOKUP(AC434,Mapping!$E$11:$I$204,5,0)</f>
        <v>ACS</v>
      </c>
      <c r="AO434" s="35" t="s">
        <v>162</v>
      </c>
      <c r="AP434" s="35"/>
      <c r="AQ434" s="35">
        <v>80000</v>
      </c>
      <c r="AR434" s="35" t="s">
        <v>589</v>
      </c>
      <c r="AS434" s="121">
        <v>815.42333000000008</v>
      </c>
      <c r="AU434" s="7" t="str">
        <f>VLOOKUP($AO434,Mapping!$E$11:$I$204,3,0)</f>
        <v>Replacement</v>
      </c>
      <c r="AV434" s="7" t="str">
        <f>IFERROR(VLOOKUP($AQ434,Mapping!$E$208:$K$236,5,0),"Contracts")</f>
        <v>Overhead</v>
      </c>
      <c r="AW434" s="7" t="str">
        <f>IFERROR(VLOOKUP($AQ434,Mapping!$E$208:$K$236,7,0),"ENDirect")</f>
        <v>OH</v>
      </c>
      <c r="AX434" s="7" t="str">
        <f>IFERROR(HLOOKUP(AV434,'Calc|Weightings'!$U$5:$W$5,1,0),"Excl")</f>
        <v>Excl</v>
      </c>
      <c r="AY434" s="7" t="str">
        <f>VLOOKUP(AO434,Mapping!$E$11:$I$204,5,0)</f>
        <v>SCS</v>
      </c>
    </row>
    <row r="435" spans="1:51" x14ac:dyDescent="0.3">
      <c r="A435" s="7"/>
      <c r="B435" s="7"/>
      <c r="C435" s="7"/>
      <c r="D435" s="7"/>
      <c r="E435" s="32" t="s">
        <v>157</v>
      </c>
      <c r="F435" s="32"/>
      <c r="G435" s="32">
        <v>70815</v>
      </c>
      <c r="H435" s="32" t="s">
        <v>451</v>
      </c>
      <c r="I435" s="33">
        <v>6.6559999999999997</v>
      </c>
      <c r="J435" s="170"/>
      <c r="K435" s="7" t="str">
        <f>VLOOKUP($E435,Mapping!$E$11:$I$204,3,0)</f>
        <v>Replacement</v>
      </c>
      <c r="L435" s="7" t="str">
        <f>IFERROR(VLOOKUP($G435,Mapping!$E$208:$K$236,5,0),"Contracts")</f>
        <v>Materials</v>
      </c>
      <c r="M435" s="7" t="str">
        <f>IFERROR(VLOOKUP($G435,Mapping!$E$208:$K$236,7,0),"ENDirect")</f>
        <v>ENDirect</v>
      </c>
      <c r="N435" s="7" t="str">
        <f>IFERROR(HLOOKUP(L435,'Calc|Weightings'!$U$5:$W$5,1,0),"Excl")</f>
        <v>Materials</v>
      </c>
      <c r="O435" s="7" t="str">
        <f>VLOOKUP(E435,Mapping!$E$11:$I$204,5,0)</f>
        <v>SCS</v>
      </c>
      <c r="Q435" s="32" t="s">
        <v>149</v>
      </c>
      <c r="R435" s="32"/>
      <c r="S435" s="32">
        <v>80000</v>
      </c>
      <c r="T435" s="32" t="s">
        <v>453</v>
      </c>
      <c r="U435" s="33">
        <v>24.332999999999998</v>
      </c>
      <c r="V435" s="7"/>
      <c r="W435" s="7" t="str">
        <f>VLOOKUP($Q435,Mapping!$E$11:$I$204,3,0)</f>
        <v>VBRC</v>
      </c>
      <c r="X435" s="7" t="str">
        <f>IFERROR(VLOOKUP($S435,Mapping!$E$208:$K$236,5,0),"Contracts")</f>
        <v>Overhead</v>
      </c>
      <c r="Y435" s="7" t="str">
        <f>IFERROR(VLOOKUP($S435,Mapping!$E$208:$K$236,7,0),"ENDirect")</f>
        <v>OH</v>
      </c>
      <c r="Z435" s="7" t="str">
        <f>IFERROR(HLOOKUP(X435,'Calc|Weightings'!$U$5:$W$5,1,0),"Excl")</f>
        <v>Excl</v>
      </c>
      <c r="AA435" s="7" t="str">
        <f>VLOOKUP(Q435,Mapping!$E$11:$I$204,5,0)</f>
        <v>SCS</v>
      </c>
      <c r="AC435" s="35" t="s">
        <v>135</v>
      </c>
      <c r="AD435" s="35"/>
      <c r="AE435" s="35">
        <v>71030</v>
      </c>
      <c r="AF435" s="35" t="s">
        <v>464</v>
      </c>
      <c r="AG435" s="36">
        <v>33.200000000000003</v>
      </c>
      <c r="AI435" s="7" t="str">
        <f>VLOOKUP($AC435,Mapping!$E$11:$I$204,3,0)</f>
        <v>ACS</v>
      </c>
      <c r="AJ435" s="7" t="str">
        <f>IFERROR(VLOOKUP($AE435,Mapping!$E$208:$K$236,5,0),"Contracts")</f>
        <v>Contracts</v>
      </c>
      <c r="AK435" s="7" t="str">
        <f>IFERROR(VLOOKUP($AE435,Mapping!$E$208:$K$236,7,0),"ENDirect")</f>
        <v>ENDirect</v>
      </c>
      <c r="AL435" s="7" t="str">
        <f>IFERROR(HLOOKUP(AJ435,'Calc|Weightings'!$U$5:$W$5,1,0),"Excl")</f>
        <v>Contracts</v>
      </c>
      <c r="AM435" s="7" t="str">
        <f>VLOOKUP(AC435,Mapping!$E$11:$I$204,5,0)</f>
        <v>ACS</v>
      </c>
      <c r="AO435" s="35" t="s">
        <v>163</v>
      </c>
      <c r="AP435" s="35"/>
      <c r="AQ435" s="35">
        <v>70815</v>
      </c>
      <c r="AR435" s="35" t="s">
        <v>594</v>
      </c>
      <c r="AS435" s="121">
        <f>-127.87838-101</f>
        <v>-228.87837999999999</v>
      </c>
      <c r="AU435" s="7" t="str">
        <f>VLOOKUP($AO435,Mapping!$E$11:$I$204,3,0)</f>
        <v>Replacement</v>
      </c>
      <c r="AV435" s="7" t="str">
        <f>IFERROR(VLOOKUP($AQ435,Mapping!$E$208:$K$236,5,0),"Contracts")</f>
        <v>Materials</v>
      </c>
      <c r="AW435" s="7" t="str">
        <f>IFERROR(VLOOKUP($AQ435,Mapping!$E$208:$K$236,7,0),"ENDirect")</f>
        <v>ENDirect</v>
      </c>
      <c r="AX435" s="7" t="str">
        <f>IFERROR(HLOOKUP(AV435,'Calc|Weightings'!$U$5:$W$5,1,0),"Excl")</f>
        <v>Materials</v>
      </c>
      <c r="AY435" s="7" t="str">
        <f>VLOOKUP(AO435,Mapping!$E$11:$I$204,5,0)</f>
        <v>SCS</v>
      </c>
    </row>
    <row r="436" spans="1:51" x14ac:dyDescent="0.3">
      <c r="A436" s="7"/>
      <c r="B436" s="7"/>
      <c r="C436" s="7"/>
      <c r="D436" s="7"/>
      <c r="E436" s="32" t="s">
        <v>157</v>
      </c>
      <c r="F436" s="32"/>
      <c r="G436" s="32">
        <v>71000</v>
      </c>
      <c r="H436" s="32" t="s">
        <v>457</v>
      </c>
      <c r="I436" s="33">
        <v>37.991999999999997</v>
      </c>
      <c r="J436" s="170"/>
      <c r="K436" s="7" t="str">
        <f>VLOOKUP($E436,Mapping!$E$11:$I$204,3,0)</f>
        <v>Replacement</v>
      </c>
      <c r="L436" s="7" t="str">
        <f>IFERROR(VLOOKUP($G436,Mapping!$E$208:$K$236,5,0),"Contracts")</f>
        <v>Labour</v>
      </c>
      <c r="M436" s="7" t="str">
        <f>IFERROR(VLOOKUP($G436,Mapping!$E$208:$K$236,7,0),"ENDirect")</f>
        <v>ENDirect</v>
      </c>
      <c r="N436" s="7" t="str">
        <f>IFERROR(HLOOKUP(L436,'Calc|Weightings'!$U$5:$W$5,1,0),"Excl")</f>
        <v>Labour</v>
      </c>
      <c r="O436" s="7" t="str">
        <f>VLOOKUP(E436,Mapping!$E$11:$I$204,5,0)</f>
        <v>SCS</v>
      </c>
      <c r="Q436" s="32" t="s">
        <v>149</v>
      </c>
      <c r="R436" s="32"/>
      <c r="S436" s="32">
        <v>89999</v>
      </c>
      <c r="T436" s="32" t="s">
        <v>471</v>
      </c>
      <c r="U436" s="33">
        <v>0</v>
      </c>
      <c r="V436" s="7"/>
      <c r="W436" s="7" t="str">
        <f>VLOOKUP($Q436,Mapping!$E$11:$I$204,3,0)</f>
        <v>VBRC</v>
      </c>
      <c r="X436" s="7" t="str">
        <f>IFERROR(VLOOKUP($S436,Mapping!$E$208:$K$236,5,0),"Contracts")</f>
        <v>Contracts</v>
      </c>
      <c r="Y436" s="7" t="str">
        <f>IFERROR(VLOOKUP($S436,Mapping!$E$208:$K$236,7,0),"ENDirect")</f>
        <v>ENDirect</v>
      </c>
      <c r="Z436" s="7" t="str">
        <f>IFERROR(HLOOKUP(X436,'Calc|Weightings'!$U$5:$W$5,1,0),"Excl")</f>
        <v>Contracts</v>
      </c>
      <c r="AA436" s="7" t="str">
        <f>VLOOKUP(Q436,Mapping!$E$11:$I$204,5,0)</f>
        <v>SCS</v>
      </c>
      <c r="AC436" s="35" t="s">
        <v>135</v>
      </c>
      <c r="AD436" s="35"/>
      <c r="AE436" s="35">
        <v>71055</v>
      </c>
      <c r="AF436" s="35" t="s">
        <v>465</v>
      </c>
      <c r="AG436" s="36">
        <v>74.653999999999996</v>
      </c>
      <c r="AI436" s="7" t="str">
        <f>VLOOKUP($AC436,Mapping!$E$11:$I$204,3,0)</f>
        <v>ACS</v>
      </c>
      <c r="AJ436" s="7" t="str">
        <f>IFERROR(VLOOKUP($AE436,Mapping!$E$208:$K$236,5,0),"Contracts")</f>
        <v>Contracts</v>
      </c>
      <c r="AK436" s="7" t="str">
        <f>IFERROR(VLOOKUP($AE436,Mapping!$E$208:$K$236,7,0),"ENDirect")</f>
        <v>ENDirect</v>
      </c>
      <c r="AL436" s="7" t="str">
        <f>IFERROR(HLOOKUP(AJ436,'Calc|Weightings'!$U$5:$W$5,1,0),"Excl")</f>
        <v>Contracts</v>
      </c>
      <c r="AM436" s="7" t="str">
        <f>VLOOKUP(AC436,Mapping!$E$11:$I$204,5,0)</f>
        <v>ACS</v>
      </c>
      <c r="AO436" s="35" t="s">
        <v>163</v>
      </c>
      <c r="AP436" s="35"/>
      <c r="AQ436" s="35">
        <v>71000</v>
      </c>
      <c r="AR436" s="35" t="s">
        <v>457</v>
      </c>
      <c r="AS436" s="121">
        <v>136.56326999999999</v>
      </c>
      <c r="AU436" s="7" t="str">
        <f>VLOOKUP($AO436,Mapping!$E$11:$I$204,3,0)</f>
        <v>Replacement</v>
      </c>
      <c r="AV436" s="7" t="str">
        <f>IFERROR(VLOOKUP($AQ436,Mapping!$E$208:$K$236,5,0),"Contracts")</f>
        <v>Labour</v>
      </c>
      <c r="AW436" s="7" t="str">
        <f>IFERROR(VLOOKUP($AQ436,Mapping!$E$208:$K$236,7,0),"ENDirect")</f>
        <v>ENDirect</v>
      </c>
      <c r="AX436" s="7" t="str">
        <f>IFERROR(HLOOKUP(AV436,'Calc|Weightings'!$U$5:$W$5,1,0),"Excl")</f>
        <v>Labour</v>
      </c>
      <c r="AY436" s="7" t="str">
        <f>VLOOKUP(AO436,Mapping!$E$11:$I$204,5,0)</f>
        <v>SCS</v>
      </c>
    </row>
    <row r="437" spans="1:51" x14ac:dyDescent="0.3">
      <c r="A437" s="7"/>
      <c r="B437" s="7"/>
      <c r="C437" s="7"/>
      <c r="D437" s="7"/>
      <c r="E437" s="32" t="s">
        <v>157</v>
      </c>
      <c r="F437" s="32"/>
      <c r="G437" s="32">
        <v>71005</v>
      </c>
      <c r="H437" s="32" t="s">
        <v>461</v>
      </c>
      <c r="I437" s="33">
        <v>20.695</v>
      </c>
      <c r="J437" s="170"/>
      <c r="K437" s="7" t="str">
        <f>VLOOKUP($E437,Mapping!$E$11:$I$204,3,0)</f>
        <v>Replacement</v>
      </c>
      <c r="L437" s="7" t="str">
        <f>IFERROR(VLOOKUP($G437,Mapping!$E$208:$K$236,5,0),"Contracts")</f>
        <v>Materials</v>
      </c>
      <c r="M437" s="7" t="str">
        <f>IFERROR(VLOOKUP($G437,Mapping!$E$208:$K$236,7,0),"ENDirect")</f>
        <v>ENDirect</v>
      </c>
      <c r="N437" s="7" t="str">
        <f>IFERROR(HLOOKUP(L437,'Calc|Weightings'!$U$5:$W$5,1,0),"Excl")</f>
        <v>Materials</v>
      </c>
      <c r="O437" s="7" t="str">
        <f>VLOOKUP(E437,Mapping!$E$11:$I$204,5,0)</f>
        <v>SCS</v>
      </c>
      <c r="Q437" s="32" t="s">
        <v>151</v>
      </c>
      <c r="R437" s="32"/>
      <c r="S437" s="32">
        <v>71000</v>
      </c>
      <c r="T437" s="32" t="s">
        <v>457</v>
      </c>
      <c r="U437" s="33">
        <v>21.46</v>
      </c>
      <c r="V437" s="7"/>
      <c r="W437" s="7" t="str">
        <f>VLOOKUP($Q437,Mapping!$E$11:$I$204,3,0)</f>
        <v>Replacement</v>
      </c>
      <c r="X437" s="7" t="str">
        <f>IFERROR(VLOOKUP($S437,Mapping!$E$208:$K$236,5,0),"Contracts")</f>
        <v>Labour</v>
      </c>
      <c r="Y437" s="7" t="str">
        <f>IFERROR(VLOOKUP($S437,Mapping!$E$208:$K$236,7,0),"ENDirect")</f>
        <v>ENDirect</v>
      </c>
      <c r="Z437" s="7" t="str">
        <f>IFERROR(HLOOKUP(X437,'Calc|Weightings'!$U$5:$W$5,1,0),"Excl")</f>
        <v>Labour</v>
      </c>
      <c r="AA437" s="7" t="str">
        <f>VLOOKUP(Q437,Mapping!$E$11:$I$204,5,0)</f>
        <v>SCS</v>
      </c>
      <c r="AC437" s="35" t="s">
        <v>135</v>
      </c>
      <c r="AD437" s="35"/>
      <c r="AE437" s="35">
        <v>80000</v>
      </c>
      <c r="AF437" s="35" t="s">
        <v>453</v>
      </c>
      <c r="AG437" s="36">
        <v>50.582000000000001</v>
      </c>
      <c r="AI437" s="7" t="str">
        <f>VLOOKUP($AC437,Mapping!$E$11:$I$204,3,0)</f>
        <v>ACS</v>
      </c>
      <c r="AJ437" s="7" t="str">
        <f>IFERROR(VLOOKUP($AE437,Mapping!$E$208:$K$236,5,0),"Contracts")</f>
        <v>Overhead</v>
      </c>
      <c r="AK437" s="7" t="str">
        <f>IFERROR(VLOOKUP($AE437,Mapping!$E$208:$K$236,7,0),"ENDirect")</f>
        <v>OH</v>
      </c>
      <c r="AL437" s="7" t="str">
        <f>IFERROR(HLOOKUP(AJ437,'Calc|Weightings'!$U$5:$W$5,1,0),"Excl")</f>
        <v>Excl</v>
      </c>
      <c r="AM437" s="7" t="str">
        <f>VLOOKUP(AC437,Mapping!$E$11:$I$204,5,0)</f>
        <v>ACS</v>
      </c>
      <c r="AO437" s="35" t="s">
        <v>163</v>
      </c>
      <c r="AP437" s="35"/>
      <c r="AQ437" s="35">
        <v>71005</v>
      </c>
      <c r="AR437" s="35" t="s">
        <v>461</v>
      </c>
      <c r="AS437" s="121">
        <v>10.06901</v>
      </c>
      <c r="AU437" s="7" t="str">
        <f>VLOOKUP($AO437,Mapping!$E$11:$I$204,3,0)</f>
        <v>Replacement</v>
      </c>
      <c r="AV437" s="7" t="str">
        <f>IFERROR(VLOOKUP($AQ437,Mapping!$E$208:$K$236,5,0),"Contracts")</f>
        <v>Materials</v>
      </c>
      <c r="AW437" s="7" t="str">
        <f>IFERROR(VLOOKUP($AQ437,Mapping!$E$208:$K$236,7,0),"ENDirect")</f>
        <v>ENDirect</v>
      </c>
      <c r="AX437" s="7" t="str">
        <f>IFERROR(HLOOKUP(AV437,'Calc|Weightings'!$U$5:$W$5,1,0),"Excl")</f>
        <v>Materials</v>
      </c>
      <c r="AY437" s="7" t="str">
        <f>VLOOKUP(AO437,Mapping!$E$11:$I$204,5,0)</f>
        <v>SCS</v>
      </c>
    </row>
    <row r="438" spans="1:51" x14ac:dyDescent="0.3">
      <c r="A438" s="7"/>
      <c r="B438" s="7"/>
      <c r="C438" s="7"/>
      <c r="D438" s="7"/>
      <c r="E438" s="32" t="s">
        <v>157</v>
      </c>
      <c r="F438" s="32"/>
      <c r="G438" s="32">
        <v>71010</v>
      </c>
      <c r="H438" s="32" t="s">
        <v>462</v>
      </c>
      <c r="I438" s="33">
        <v>61.387</v>
      </c>
      <c r="J438" s="170"/>
      <c r="K438" s="7" t="str">
        <f>VLOOKUP($E438,Mapping!$E$11:$I$204,3,0)</f>
        <v>Replacement</v>
      </c>
      <c r="L438" s="7" t="str">
        <f>IFERROR(VLOOKUP($G438,Mapping!$E$208:$K$236,5,0),"Contracts")</f>
        <v>Labour</v>
      </c>
      <c r="M438" s="7" t="str">
        <f>IFERROR(VLOOKUP($G438,Mapping!$E$208:$K$236,7,0),"ENDirect")</f>
        <v>ENDirect</v>
      </c>
      <c r="N438" s="7" t="str">
        <f>IFERROR(HLOOKUP(L438,'Calc|Weightings'!$U$5:$W$5,1,0),"Excl")</f>
        <v>Labour</v>
      </c>
      <c r="O438" s="7" t="str">
        <f>VLOOKUP(E438,Mapping!$E$11:$I$204,5,0)</f>
        <v>SCS</v>
      </c>
      <c r="Q438" s="32" t="s">
        <v>151</v>
      </c>
      <c r="R438" s="32"/>
      <c r="S438" s="32">
        <v>71005</v>
      </c>
      <c r="T438" s="32" t="s">
        <v>461</v>
      </c>
      <c r="U438" s="33">
        <v>7.0970000000000004</v>
      </c>
      <c r="V438" s="7"/>
      <c r="W438" s="7" t="str">
        <f>VLOOKUP($Q438,Mapping!$E$11:$I$204,3,0)</f>
        <v>Replacement</v>
      </c>
      <c r="X438" s="7" t="str">
        <f>IFERROR(VLOOKUP($S438,Mapping!$E$208:$K$236,5,0),"Contracts")</f>
        <v>Materials</v>
      </c>
      <c r="Y438" s="7" t="str">
        <f>IFERROR(VLOOKUP($S438,Mapping!$E$208:$K$236,7,0),"ENDirect")</f>
        <v>ENDirect</v>
      </c>
      <c r="Z438" s="7" t="str">
        <f>IFERROR(HLOOKUP(X438,'Calc|Weightings'!$U$5:$W$5,1,0),"Excl")</f>
        <v>Materials</v>
      </c>
      <c r="AA438" s="7" t="str">
        <f>VLOOKUP(Q438,Mapping!$E$11:$I$204,5,0)</f>
        <v>SCS</v>
      </c>
      <c r="AC438" s="35" t="s">
        <v>137</v>
      </c>
      <c r="AD438" s="35"/>
      <c r="AE438" s="35">
        <v>71000</v>
      </c>
      <c r="AF438" s="35" t="s">
        <v>457</v>
      </c>
      <c r="AG438" s="36">
        <v>0.46899999999999997</v>
      </c>
      <c r="AI438" s="7" t="str">
        <f>VLOOKUP($AC438,Mapping!$E$11:$I$204,3,0)</f>
        <v>ACS</v>
      </c>
      <c r="AJ438" s="7" t="str">
        <f>IFERROR(VLOOKUP($AE438,Mapping!$E$208:$K$236,5,0),"Contracts")</f>
        <v>Labour</v>
      </c>
      <c r="AK438" s="7" t="str">
        <f>IFERROR(VLOOKUP($AE438,Mapping!$E$208:$K$236,7,0),"ENDirect")</f>
        <v>ENDirect</v>
      </c>
      <c r="AL438" s="7" t="str">
        <f>IFERROR(HLOOKUP(AJ438,'Calc|Weightings'!$U$5:$W$5,1,0),"Excl")</f>
        <v>Labour</v>
      </c>
      <c r="AM438" s="7" t="str">
        <f>VLOOKUP(AC438,Mapping!$E$11:$I$204,5,0)</f>
        <v>ACS</v>
      </c>
      <c r="AO438" s="35" t="s">
        <v>163</v>
      </c>
      <c r="AP438" s="35"/>
      <c r="AQ438" s="35">
        <v>71006</v>
      </c>
      <c r="AR438" s="35" t="s">
        <v>468</v>
      </c>
      <c r="AS438" s="121">
        <v>289.59699999999998</v>
      </c>
      <c r="AU438" s="7" t="str">
        <f>VLOOKUP($AO438,Mapping!$E$11:$I$204,3,0)</f>
        <v>Replacement</v>
      </c>
      <c r="AV438" s="7" t="str">
        <f>IFERROR(VLOOKUP($AQ438,Mapping!$E$208:$K$236,5,0),"Contracts")</f>
        <v>Materials</v>
      </c>
      <c r="AW438" s="7" t="str">
        <f>IFERROR(VLOOKUP($AQ438,Mapping!$E$208:$K$236,7,0),"ENDirect")</f>
        <v>ENDirect</v>
      </c>
      <c r="AX438" s="7" t="str">
        <f>IFERROR(HLOOKUP(AV438,'Calc|Weightings'!$U$5:$W$5,1,0),"Excl")</f>
        <v>Materials</v>
      </c>
      <c r="AY438" s="7" t="str">
        <f>VLOOKUP(AO438,Mapping!$E$11:$I$204,5,0)</f>
        <v>SCS</v>
      </c>
    </row>
    <row r="439" spans="1:51" x14ac:dyDescent="0.3">
      <c r="A439" s="7"/>
      <c r="B439" s="7"/>
      <c r="C439" s="7"/>
      <c r="D439" s="7"/>
      <c r="E439" s="32" t="s">
        <v>157</v>
      </c>
      <c r="F439" s="32"/>
      <c r="G439" s="32">
        <v>71015</v>
      </c>
      <c r="H439" s="32" t="s">
        <v>463</v>
      </c>
      <c r="I439" s="33">
        <v>2.0459999999999998</v>
      </c>
      <c r="J439" s="170"/>
      <c r="K439" s="7" t="str">
        <f>VLOOKUP($E439,Mapping!$E$11:$I$204,3,0)</f>
        <v>Replacement</v>
      </c>
      <c r="L439" s="7" t="str">
        <f>IFERROR(VLOOKUP($G439,Mapping!$E$208:$K$236,5,0),"Contracts")</f>
        <v>Materials</v>
      </c>
      <c r="M439" s="7" t="str">
        <f>IFERROR(VLOOKUP($G439,Mapping!$E$208:$K$236,7,0),"ENDirect")</f>
        <v>ENDirect</v>
      </c>
      <c r="N439" s="7" t="str">
        <f>IFERROR(HLOOKUP(L439,'Calc|Weightings'!$U$5:$W$5,1,0),"Excl")</f>
        <v>Materials</v>
      </c>
      <c r="O439" s="7" t="str">
        <f>VLOOKUP(E439,Mapping!$E$11:$I$204,5,0)</f>
        <v>SCS</v>
      </c>
      <c r="Q439" s="32" t="s">
        <v>151</v>
      </c>
      <c r="R439" s="32"/>
      <c r="S439" s="32">
        <v>71010</v>
      </c>
      <c r="T439" s="32" t="s">
        <v>462</v>
      </c>
      <c r="U439" s="33">
        <v>12.332000000000001</v>
      </c>
      <c r="V439" s="7"/>
      <c r="W439" s="7" t="str">
        <f>VLOOKUP($Q439,Mapping!$E$11:$I$204,3,0)</f>
        <v>Replacement</v>
      </c>
      <c r="X439" s="7" t="str">
        <f>IFERROR(VLOOKUP($S439,Mapping!$E$208:$K$236,5,0),"Contracts")</f>
        <v>Labour</v>
      </c>
      <c r="Y439" s="7" t="str">
        <f>IFERROR(VLOOKUP($S439,Mapping!$E$208:$K$236,7,0),"ENDirect")</f>
        <v>ENDirect</v>
      </c>
      <c r="Z439" s="7" t="str">
        <f>IFERROR(HLOOKUP(X439,'Calc|Weightings'!$U$5:$W$5,1,0),"Excl")</f>
        <v>Labour</v>
      </c>
      <c r="AA439" s="7" t="str">
        <f>VLOOKUP(Q439,Mapping!$E$11:$I$204,5,0)</f>
        <v>SCS</v>
      </c>
      <c r="AC439" s="35" t="s">
        <v>137</v>
      </c>
      <c r="AD439" s="35"/>
      <c r="AE439" s="35">
        <v>71005</v>
      </c>
      <c r="AF439" s="35" t="s">
        <v>461</v>
      </c>
      <c r="AG439" s="36">
        <v>0.20200000000000001</v>
      </c>
      <c r="AI439" s="7" t="str">
        <f>VLOOKUP($AC439,Mapping!$E$11:$I$204,3,0)</f>
        <v>ACS</v>
      </c>
      <c r="AJ439" s="7" t="str">
        <f>IFERROR(VLOOKUP($AE439,Mapping!$E$208:$K$236,5,0),"Contracts")</f>
        <v>Materials</v>
      </c>
      <c r="AK439" s="7" t="str">
        <f>IFERROR(VLOOKUP($AE439,Mapping!$E$208:$K$236,7,0),"ENDirect")</f>
        <v>ENDirect</v>
      </c>
      <c r="AL439" s="7" t="str">
        <f>IFERROR(HLOOKUP(AJ439,'Calc|Weightings'!$U$5:$W$5,1,0),"Excl")</f>
        <v>Materials</v>
      </c>
      <c r="AM439" s="7" t="str">
        <f>VLOOKUP(AC439,Mapping!$E$11:$I$204,5,0)</f>
        <v>ACS</v>
      </c>
      <c r="AO439" s="35" t="s">
        <v>163</v>
      </c>
      <c r="AP439" s="35"/>
      <c r="AQ439" s="35">
        <v>71010</v>
      </c>
      <c r="AR439" s="35" t="s">
        <v>487</v>
      </c>
      <c r="AS439" s="121">
        <v>45.626280000000001</v>
      </c>
      <c r="AU439" s="7" t="str">
        <f>VLOOKUP($AO439,Mapping!$E$11:$I$204,3,0)</f>
        <v>Replacement</v>
      </c>
      <c r="AV439" s="7" t="str">
        <f>IFERROR(VLOOKUP($AQ439,Mapping!$E$208:$K$236,5,0),"Contracts")</f>
        <v>Labour</v>
      </c>
      <c r="AW439" s="7" t="str">
        <f>IFERROR(VLOOKUP($AQ439,Mapping!$E$208:$K$236,7,0),"ENDirect")</f>
        <v>ENDirect</v>
      </c>
      <c r="AX439" s="7" t="str">
        <f>IFERROR(HLOOKUP(AV439,'Calc|Weightings'!$U$5:$W$5,1,0),"Excl")</f>
        <v>Labour</v>
      </c>
      <c r="AY439" s="7" t="str">
        <f>VLOOKUP(AO439,Mapping!$E$11:$I$204,5,0)</f>
        <v>SCS</v>
      </c>
    </row>
    <row r="440" spans="1:51" x14ac:dyDescent="0.3">
      <c r="A440" s="7"/>
      <c r="B440" s="7"/>
      <c r="C440" s="7"/>
      <c r="D440" s="7"/>
      <c r="E440" s="32" t="s">
        <v>157</v>
      </c>
      <c r="F440" s="32"/>
      <c r="G440" s="32">
        <v>71030</v>
      </c>
      <c r="H440" s="32" t="s">
        <v>464</v>
      </c>
      <c r="I440" s="33">
        <v>10.135999999999999</v>
      </c>
      <c r="J440" s="170"/>
      <c r="K440" s="7" t="str">
        <f>VLOOKUP($E440,Mapping!$E$11:$I$204,3,0)</f>
        <v>Replacement</v>
      </c>
      <c r="L440" s="7" t="str">
        <f>IFERROR(VLOOKUP($G440,Mapping!$E$208:$K$236,5,0),"Contracts")</f>
        <v>Contracts</v>
      </c>
      <c r="M440" s="7" t="str">
        <f>IFERROR(VLOOKUP($G440,Mapping!$E$208:$K$236,7,0),"ENDirect")</f>
        <v>ENDirect</v>
      </c>
      <c r="N440" s="7" t="str">
        <f>IFERROR(HLOOKUP(L440,'Calc|Weightings'!$U$5:$W$5,1,0),"Excl")</f>
        <v>Contracts</v>
      </c>
      <c r="O440" s="7" t="str">
        <f>VLOOKUP(E440,Mapping!$E$11:$I$204,5,0)</f>
        <v>SCS</v>
      </c>
      <c r="Q440" s="32" t="s">
        <v>151</v>
      </c>
      <c r="R440" s="32"/>
      <c r="S440" s="32">
        <v>71015</v>
      </c>
      <c r="T440" s="32" t="s">
        <v>463</v>
      </c>
      <c r="U440" s="33">
        <v>7.4870000000000001</v>
      </c>
      <c r="V440" s="7"/>
      <c r="W440" s="7" t="str">
        <f>VLOOKUP($Q440,Mapping!$E$11:$I$204,3,0)</f>
        <v>Replacement</v>
      </c>
      <c r="X440" s="7" t="str">
        <f>IFERROR(VLOOKUP($S440,Mapping!$E$208:$K$236,5,0),"Contracts")</f>
        <v>Materials</v>
      </c>
      <c r="Y440" s="7" t="str">
        <f>IFERROR(VLOOKUP($S440,Mapping!$E$208:$K$236,7,0),"ENDirect")</f>
        <v>ENDirect</v>
      </c>
      <c r="Z440" s="7" t="str">
        <f>IFERROR(HLOOKUP(X440,'Calc|Weightings'!$U$5:$W$5,1,0),"Excl")</f>
        <v>Materials</v>
      </c>
      <c r="AA440" s="7" t="str">
        <f>VLOOKUP(Q440,Mapping!$E$11:$I$204,5,0)</f>
        <v>SCS</v>
      </c>
      <c r="AC440" s="35" t="s">
        <v>137</v>
      </c>
      <c r="AD440" s="35"/>
      <c r="AE440" s="35">
        <v>71010</v>
      </c>
      <c r="AF440" s="35" t="s">
        <v>462</v>
      </c>
      <c r="AG440" s="36">
        <v>0.112</v>
      </c>
      <c r="AI440" s="7" t="str">
        <f>VLOOKUP($AC440,Mapping!$E$11:$I$204,3,0)</f>
        <v>ACS</v>
      </c>
      <c r="AJ440" s="7" t="str">
        <f>IFERROR(VLOOKUP($AE440,Mapping!$E$208:$K$236,5,0),"Contracts")</f>
        <v>Labour</v>
      </c>
      <c r="AK440" s="7" t="str">
        <f>IFERROR(VLOOKUP($AE440,Mapping!$E$208:$K$236,7,0),"ENDirect")</f>
        <v>ENDirect</v>
      </c>
      <c r="AL440" s="7" t="str">
        <f>IFERROR(HLOOKUP(AJ440,'Calc|Weightings'!$U$5:$W$5,1,0),"Excl")</f>
        <v>Labour</v>
      </c>
      <c r="AM440" s="7" t="str">
        <f>VLOOKUP(AC440,Mapping!$E$11:$I$204,5,0)</f>
        <v>ACS</v>
      </c>
      <c r="AO440" s="35" t="s">
        <v>163</v>
      </c>
      <c r="AP440" s="35"/>
      <c r="AQ440" s="35">
        <v>71015</v>
      </c>
      <c r="AR440" s="35" t="s">
        <v>585</v>
      </c>
      <c r="AS440" s="121">
        <v>1.10179</v>
      </c>
      <c r="AU440" s="7" t="str">
        <f>VLOOKUP($AO440,Mapping!$E$11:$I$204,3,0)</f>
        <v>Replacement</v>
      </c>
      <c r="AV440" s="7" t="str">
        <f>IFERROR(VLOOKUP($AQ440,Mapping!$E$208:$K$236,5,0),"Contracts")</f>
        <v>Materials</v>
      </c>
      <c r="AW440" s="7" t="str">
        <f>IFERROR(VLOOKUP($AQ440,Mapping!$E$208:$K$236,7,0),"ENDirect")</f>
        <v>ENDirect</v>
      </c>
      <c r="AX440" s="7" t="str">
        <f>IFERROR(HLOOKUP(AV440,'Calc|Weightings'!$U$5:$W$5,1,0),"Excl")</f>
        <v>Materials</v>
      </c>
      <c r="AY440" s="7" t="str">
        <f>VLOOKUP(AO440,Mapping!$E$11:$I$204,5,0)</f>
        <v>SCS</v>
      </c>
    </row>
    <row r="441" spans="1:51" x14ac:dyDescent="0.3">
      <c r="A441" s="7"/>
      <c r="B441" s="7"/>
      <c r="C441" s="7"/>
      <c r="D441" s="7"/>
      <c r="E441" s="32" t="s">
        <v>157</v>
      </c>
      <c r="F441" s="32"/>
      <c r="G441" s="32">
        <v>71055</v>
      </c>
      <c r="H441" s="32" t="s">
        <v>465</v>
      </c>
      <c r="I441" s="33">
        <v>22.686</v>
      </c>
      <c r="J441" s="170"/>
      <c r="K441" s="7" t="str">
        <f>VLOOKUP($E441,Mapping!$E$11:$I$204,3,0)</f>
        <v>Replacement</v>
      </c>
      <c r="L441" s="7" t="str">
        <f>IFERROR(VLOOKUP($G441,Mapping!$E$208:$K$236,5,0),"Contracts")</f>
        <v>Contracts</v>
      </c>
      <c r="M441" s="7" t="str">
        <f>IFERROR(VLOOKUP($G441,Mapping!$E$208:$K$236,7,0),"ENDirect")</f>
        <v>ENDirect</v>
      </c>
      <c r="N441" s="7" t="str">
        <f>IFERROR(HLOOKUP(L441,'Calc|Weightings'!$U$5:$W$5,1,0),"Excl")</f>
        <v>Contracts</v>
      </c>
      <c r="O441" s="7" t="str">
        <f>VLOOKUP(E441,Mapping!$E$11:$I$204,5,0)</f>
        <v>SCS</v>
      </c>
      <c r="Q441" s="32" t="s">
        <v>151</v>
      </c>
      <c r="R441" s="32"/>
      <c r="S441" s="32">
        <v>71030</v>
      </c>
      <c r="T441" s="32" t="s">
        <v>464</v>
      </c>
      <c r="U441" s="33">
        <v>3.9169999999999998</v>
      </c>
      <c r="V441" s="7"/>
      <c r="W441" s="7" t="str">
        <f>VLOOKUP($Q441,Mapping!$E$11:$I$204,3,0)</f>
        <v>Replacement</v>
      </c>
      <c r="X441" s="7" t="str">
        <f>IFERROR(VLOOKUP($S441,Mapping!$E$208:$K$236,5,0),"Contracts")</f>
        <v>Contracts</v>
      </c>
      <c r="Y441" s="7" t="str">
        <f>IFERROR(VLOOKUP($S441,Mapping!$E$208:$K$236,7,0),"ENDirect")</f>
        <v>ENDirect</v>
      </c>
      <c r="Z441" s="7" t="str">
        <f>IFERROR(HLOOKUP(X441,'Calc|Weightings'!$U$5:$W$5,1,0),"Excl")</f>
        <v>Contracts</v>
      </c>
      <c r="AA441" s="7" t="str">
        <f>VLOOKUP(Q441,Mapping!$E$11:$I$204,5,0)</f>
        <v>SCS</v>
      </c>
      <c r="AC441" s="35" t="s">
        <v>137</v>
      </c>
      <c r="AD441" s="35"/>
      <c r="AE441" s="35">
        <v>71015</v>
      </c>
      <c r="AF441" s="35" t="s">
        <v>463</v>
      </c>
      <c r="AG441" s="36">
        <v>0.157</v>
      </c>
      <c r="AI441" s="7" t="str">
        <f>VLOOKUP($AC441,Mapping!$E$11:$I$204,3,0)</f>
        <v>ACS</v>
      </c>
      <c r="AJ441" s="7" t="str">
        <f>IFERROR(VLOOKUP($AE441,Mapping!$E$208:$K$236,5,0),"Contracts")</f>
        <v>Materials</v>
      </c>
      <c r="AK441" s="7" t="str">
        <f>IFERROR(VLOOKUP($AE441,Mapping!$E$208:$K$236,7,0),"ENDirect")</f>
        <v>ENDirect</v>
      </c>
      <c r="AL441" s="7" t="str">
        <f>IFERROR(HLOOKUP(AJ441,'Calc|Weightings'!$U$5:$W$5,1,0),"Excl")</f>
        <v>Materials</v>
      </c>
      <c r="AM441" s="7" t="str">
        <f>VLOOKUP(AC441,Mapping!$E$11:$I$204,5,0)</f>
        <v>ACS</v>
      </c>
      <c r="AO441" s="35" t="s">
        <v>163</v>
      </c>
      <c r="AP441" s="35"/>
      <c r="AQ441" s="35">
        <v>71030</v>
      </c>
      <c r="AR441" s="35" t="s">
        <v>464</v>
      </c>
      <c r="AS441" s="121">
        <v>0.56338999999999995</v>
      </c>
      <c r="AU441" s="7" t="str">
        <f>VLOOKUP($AO441,Mapping!$E$11:$I$204,3,0)</f>
        <v>Replacement</v>
      </c>
      <c r="AV441" s="7" t="str">
        <f>IFERROR(VLOOKUP($AQ441,Mapping!$E$208:$K$236,5,0),"Contracts")</f>
        <v>Contracts</v>
      </c>
      <c r="AW441" s="7" t="str">
        <f>IFERROR(VLOOKUP($AQ441,Mapping!$E$208:$K$236,7,0),"ENDirect")</f>
        <v>ENDirect</v>
      </c>
      <c r="AX441" s="7" t="str">
        <f>IFERROR(HLOOKUP(AV441,'Calc|Weightings'!$U$5:$W$5,1,0),"Excl")</f>
        <v>Contracts</v>
      </c>
      <c r="AY441" s="7" t="str">
        <f>VLOOKUP(AO441,Mapping!$E$11:$I$204,5,0)</f>
        <v>SCS</v>
      </c>
    </row>
    <row r="442" spans="1:51" x14ac:dyDescent="0.3">
      <c r="A442" s="7"/>
      <c r="B442" s="7"/>
      <c r="C442" s="7"/>
      <c r="D442" s="7"/>
      <c r="E442" s="32" t="s">
        <v>157</v>
      </c>
      <c r="F442" s="32"/>
      <c r="G442" s="32">
        <v>80000</v>
      </c>
      <c r="H442" s="32" t="s">
        <v>453</v>
      </c>
      <c r="I442" s="33">
        <v>15.538</v>
      </c>
      <c r="J442" s="170"/>
      <c r="K442" s="7" t="str">
        <f>VLOOKUP($E442,Mapping!$E$11:$I$204,3,0)</f>
        <v>Replacement</v>
      </c>
      <c r="L442" s="7" t="str">
        <f>IFERROR(VLOOKUP($G442,Mapping!$E$208:$K$236,5,0),"Contracts")</f>
        <v>Overhead</v>
      </c>
      <c r="M442" s="7" t="str">
        <f>IFERROR(VLOOKUP($G442,Mapping!$E$208:$K$236,7,0),"ENDirect")</f>
        <v>OH</v>
      </c>
      <c r="N442" s="7" t="str">
        <f>IFERROR(HLOOKUP(L442,'Calc|Weightings'!$U$5:$W$5,1,0),"Excl")</f>
        <v>Excl</v>
      </c>
      <c r="O442" s="7" t="str">
        <f>VLOOKUP(E442,Mapping!$E$11:$I$204,5,0)</f>
        <v>SCS</v>
      </c>
      <c r="Q442" s="32" t="s">
        <v>151</v>
      </c>
      <c r="R442" s="32"/>
      <c r="S442" s="32">
        <v>71055</v>
      </c>
      <c r="T442" s="32" t="s">
        <v>465</v>
      </c>
      <c r="U442" s="33">
        <v>7.5789999999999997</v>
      </c>
      <c r="V442" s="7"/>
      <c r="W442" s="7" t="str">
        <f>VLOOKUP($Q442,Mapping!$E$11:$I$204,3,0)</f>
        <v>Replacement</v>
      </c>
      <c r="X442" s="7" t="str">
        <f>IFERROR(VLOOKUP($S442,Mapping!$E$208:$K$236,5,0),"Contracts")</f>
        <v>Contracts</v>
      </c>
      <c r="Y442" s="7" t="str">
        <f>IFERROR(VLOOKUP($S442,Mapping!$E$208:$K$236,7,0),"ENDirect")</f>
        <v>ENDirect</v>
      </c>
      <c r="Z442" s="7" t="str">
        <f>IFERROR(HLOOKUP(X442,'Calc|Weightings'!$U$5:$W$5,1,0),"Excl")</f>
        <v>Contracts</v>
      </c>
      <c r="AA442" s="7" t="str">
        <f>VLOOKUP(Q442,Mapping!$E$11:$I$204,5,0)</f>
        <v>SCS</v>
      </c>
      <c r="AC442" s="35" t="s">
        <v>137</v>
      </c>
      <c r="AD442" s="35"/>
      <c r="AE442" s="35">
        <v>71030</v>
      </c>
      <c r="AF442" s="35" t="s">
        <v>464</v>
      </c>
      <c r="AG442" s="36">
        <v>7.4999999999999997E-2</v>
      </c>
      <c r="AI442" s="7" t="str">
        <f>VLOOKUP($AC442,Mapping!$E$11:$I$204,3,0)</f>
        <v>ACS</v>
      </c>
      <c r="AJ442" s="7" t="str">
        <f>IFERROR(VLOOKUP($AE442,Mapping!$E$208:$K$236,5,0),"Contracts")</f>
        <v>Contracts</v>
      </c>
      <c r="AK442" s="7" t="str">
        <f>IFERROR(VLOOKUP($AE442,Mapping!$E$208:$K$236,7,0),"ENDirect")</f>
        <v>ENDirect</v>
      </c>
      <c r="AL442" s="7" t="str">
        <f>IFERROR(HLOOKUP(AJ442,'Calc|Weightings'!$U$5:$W$5,1,0),"Excl")</f>
        <v>Contracts</v>
      </c>
      <c r="AM442" s="7" t="str">
        <f>VLOOKUP(AC442,Mapping!$E$11:$I$204,5,0)</f>
        <v>ACS</v>
      </c>
      <c r="AO442" s="35" t="s">
        <v>163</v>
      </c>
      <c r="AP442" s="35"/>
      <c r="AQ442" s="35">
        <v>71055</v>
      </c>
      <c r="AR442" s="35" t="s">
        <v>465</v>
      </c>
      <c r="AS442" s="121">
        <v>2.2118999999999995</v>
      </c>
      <c r="AU442" s="7" t="str">
        <f>VLOOKUP($AO442,Mapping!$E$11:$I$204,3,0)</f>
        <v>Replacement</v>
      </c>
      <c r="AV442" s="7" t="str">
        <f>IFERROR(VLOOKUP($AQ442,Mapping!$E$208:$K$236,5,0),"Contracts")</f>
        <v>Contracts</v>
      </c>
      <c r="AW442" s="7" t="str">
        <f>IFERROR(VLOOKUP($AQ442,Mapping!$E$208:$K$236,7,0),"ENDirect")</f>
        <v>ENDirect</v>
      </c>
      <c r="AX442" s="7" t="str">
        <f>IFERROR(HLOOKUP(AV442,'Calc|Weightings'!$U$5:$W$5,1,0),"Excl")</f>
        <v>Contracts</v>
      </c>
      <c r="AY442" s="7" t="str">
        <f>VLOOKUP(AO442,Mapping!$E$11:$I$204,5,0)</f>
        <v>SCS</v>
      </c>
    </row>
    <row r="443" spans="1:51" x14ac:dyDescent="0.3">
      <c r="A443" s="7"/>
      <c r="B443" s="7"/>
      <c r="C443" s="7"/>
      <c r="D443" s="7"/>
      <c r="E443" s="32" t="s">
        <v>112</v>
      </c>
      <c r="F443" s="32"/>
      <c r="G443" s="32">
        <v>71010</v>
      </c>
      <c r="H443" s="32" t="s">
        <v>462</v>
      </c>
      <c r="I443" s="33">
        <v>7.9000000000000001E-2</v>
      </c>
      <c r="J443" s="170"/>
      <c r="K443" s="7" t="str">
        <f>VLOOKUP($E443,Mapping!$E$11:$I$204,3,0)</f>
        <v>Connections</v>
      </c>
      <c r="L443" s="7" t="str">
        <f>IFERROR(VLOOKUP($G443,Mapping!$E$208:$K$236,5,0),"Contracts")</f>
        <v>Labour</v>
      </c>
      <c r="M443" s="7" t="str">
        <f>IFERROR(VLOOKUP($G443,Mapping!$E$208:$K$236,7,0),"ENDirect")</f>
        <v>ENDirect</v>
      </c>
      <c r="N443" s="7" t="str">
        <f>IFERROR(HLOOKUP(L443,'Calc|Weightings'!$U$5:$W$5,1,0),"Excl")</f>
        <v>Labour</v>
      </c>
      <c r="O443" s="7" t="str">
        <f>VLOOKUP(E443,Mapping!$E$11:$I$204,5,0)</f>
        <v>SCS</v>
      </c>
      <c r="Q443" s="32" t="s">
        <v>151</v>
      </c>
      <c r="R443" s="32"/>
      <c r="S443" s="32">
        <v>80000</v>
      </c>
      <c r="T443" s="32" t="s">
        <v>453</v>
      </c>
      <c r="U443" s="33">
        <v>8.0190000000000001</v>
      </c>
      <c r="V443" s="7"/>
      <c r="W443" s="7" t="str">
        <f>VLOOKUP($Q443,Mapping!$E$11:$I$204,3,0)</f>
        <v>Replacement</v>
      </c>
      <c r="X443" s="7" t="str">
        <f>IFERROR(VLOOKUP($S443,Mapping!$E$208:$K$236,5,0),"Contracts")</f>
        <v>Overhead</v>
      </c>
      <c r="Y443" s="7" t="str">
        <f>IFERROR(VLOOKUP($S443,Mapping!$E$208:$K$236,7,0),"ENDirect")</f>
        <v>OH</v>
      </c>
      <c r="Z443" s="7" t="str">
        <f>IFERROR(HLOOKUP(X443,'Calc|Weightings'!$U$5:$W$5,1,0),"Excl")</f>
        <v>Excl</v>
      </c>
      <c r="AA443" s="7" t="str">
        <f>VLOOKUP(Q443,Mapping!$E$11:$I$204,5,0)</f>
        <v>SCS</v>
      </c>
      <c r="AC443" s="35" t="s">
        <v>137</v>
      </c>
      <c r="AD443" s="35"/>
      <c r="AE443" s="35">
        <v>71055</v>
      </c>
      <c r="AF443" s="35" t="s">
        <v>465</v>
      </c>
      <c r="AG443" s="36">
        <v>0.14099999999999999</v>
      </c>
      <c r="AI443" s="7" t="str">
        <f>VLOOKUP($AC443,Mapping!$E$11:$I$204,3,0)</f>
        <v>ACS</v>
      </c>
      <c r="AJ443" s="7" t="str">
        <f>IFERROR(VLOOKUP($AE443,Mapping!$E$208:$K$236,5,0),"Contracts")</f>
        <v>Contracts</v>
      </c>
      <c r="AK443" s="7" t="str">
        <f>IFERROR(VLOOKUP($AE443,Mapping!$E$208:$K$236,7,0),"ENDirect")</f>
        <v>ENDirect</v>
      </c>
      <c r="AL443" s="7" t="str">
        <f>IFERROR(HLOOKUP(AJ443,'Calc|Weightings'!$U$5:$W$5,1,0),"Excl")</f>
        <v>Contracts</v>
      </c>
      <c r="AM443" s="7" t="str">
        <f>VLOOKUP(AC443,Mapping!$E$11:$I$204,5,0)</f>
        <v>ACS</v>
      </c>
      <c r="AO443" s="35" t="s">
        <v>163</v>
      </c>
      <c r="AP443" s="35"/>
      <c r="AQ443" s="35">
        <v>71075</v>
      </c>
      <c r="AR443" s="35" t="s">
        <v>587</v>
      </c>
      <c r="AS443" s="121">
        <v>18.57526</v>
      </c>
      <c r="AU443" s="7" t="str">
        <f>VLOOKUP($AO443,Mapping!$E$11:$I$204,3,0)</f>
        <v>Replacement</v>
      </c>
      <c r="AV443" s="7" t="str">
        <f>IFERROR(VLOOKUP($AQ443,Mapping!$E$208:$K$236,5,0),"Contracts")</f>
        <v>Contracts</v>
      </c>
      <c r="AW443" s="7" t="str">
        <f>IFERROR(VLOOKUP($AQ443,Mapping!$E$208:$K$236,7,0),"ENDirect")</f>
        <v>ENDirect</v>
      </c>
      <c r="AX443" s="7" t="str">
        <f>IFERROR(HLOOKUP(AV443,'Calc|Weightings'!$U$5:$W$5,1,0),"Excl")</f>
        <v>Contracts</v>
      </c>
      <c r="AY443" s="7" t="str">
        <f>VLOOKUP(AO443,Mapping!$E$11:$I$204,5,0)</f>
        <v>SCS</v>
      </c>
    </row>
    <row r="444" spans="1:51" x14ac:dyDescent="0.3">
      <c r="A444" s="7"/>
      <c r="B444" s="7"/>
      <c r="C444" s="7"/>
      <c r="D444" s="7"/>
      <c r="E444" s="32" t="s">
        <v>551</v>
      </c>
      <c r="F444" s="32"/>
      <c r="G444" s="32">
        <v>71005</v>
      </c>
      <c r="H444" s="32" t="s">
        <v>461</v>
      </c>
      <c r="I444" s="33">
        <v>259.74799999999999</v>
      </c>
      <c r="J444" s="170"/>
      <c r="K444" s="7" t="str">
        <f>VLOOKUP($E444,Mapping!$E$11:$I$204,3,0)</f>
        <v>Connections</v>
      </c>
      <c r="L444" s="7" t="str">
        <f>IFERROR(VLOOKUP($G444,Mapping!$E$208:$K$236,5,0),"Contracts")</f>
        <v>Materials</v>
      </c>
      <c r="M444" s="7" t="str">
        <f>IFERROR(VLOOKUP($G444,Mapping!$E$208:$K$236,7,0),"ENDirect")</f>
        <v>ENDirect</v>
      </c>
      <c r="N444" s="7" t="str">
        <f>IFERROR(HLOOKUP(L444,'Calc|Weightings'!$U$5:$W$5,1,0),"Excl")</f>
        <v>Materials</v>
      </c>
      <c r="O444" s="7" t="str">
        <f>VLOOKUP(E444,Mapping!$E$11:$I$204,5,0)</f>
        <v>SCS</v>
      </c>
      <c r="Q444" s="32" t="s">
        <v>152</v>
      </c>
      <c r="R444" s="32"/>
      <c r="S444" s="32">
        <v>71005</v>
      </c>
      <c r="T444" s="32" t="s">
        <v>461</v>
      </c>
      <c r="U444" s="33">
        <v>224.31399999999999</v>
      </c>
      <c r="V444" s="7"/>
      <c r="W444" s="7" t="str">
        <f>VLOOKUP($Q444,Mapping!$E$11:$I$204,3,0)</f>
        <v>Augmentation</v>
      </c>
      <c r="X444" s="7" t="str">
        <f>IFERROR(VLOOKUP($S444,Mapping!$E$208:$K$236,5,0),"Contracts")</f>
        <v>Materials</v>
      </c>
      <c r="Y444" s="7" t="str">
        <f>IFERROR(VLOOKUP($S444,Mapping!$E$208:$K$236,7,0),"ENDirect")</f>
        <v>ENDirect</v>
      </c>
      <c r="Z444" s="7" t="str">
        <f>IFERROR(HLOOKUP(X444,'Calc|Weightings'!$U$5:$W$5,1,0),"Excl")</f>
        <v>Materials</v>
      </c>
      <c r="AA444" s="7" t="str">
        <f>VLOOKUP(Q444,Mapping!$E$11:$I$204,5,0)</f>
        <v>SCS</v>
      </c>
      <c r="AC444" s="35" t="s">
        <v>137</v>
      </c>
      <c r="AD444" s="35"/>
      <c r="AE444" s="35">
        <v>80000</v>
      </c>
      <c r="AF444" s="35" t="s">
        <v>453</v>
      </c>
      <c r="AG444" s="36">
        <v>0.111</v>
      </c>
      <c r="AI444" s="7" t="str">
        <f>VLOOKUP($AC444,Mapping!$E$11:$I$204,3,0)</f>
        <v>ACS</v>
      </c>
      <c r="AJ444" s="7" t="str">
        <f>IFERROR(VLOOKUP($AE444,Mapping!$E$208:$K$236,5,0),"Contracts")</f>
        <v>Overhead</v>
      </c>
      <c r="AK444" s="7" t="str">
        <f>IFERROR(VLOOKUP($AE444,Mapping!$E$208:$K$236,7,0),"ENDirect")</f>
        <v>OH</v>
      </c>
      <c r="AL444" s="7" t="str">
        <f>IFERROR(HLOOKUP(AJ444,'Calc|Weightings'!$U$5:$W$5,1,0),"Excl")</f>
        <v>Excl</v>
      </c>
      <c r="AM444" s="7" t="str">
        <f>VLOOKUP(AC444,Mapping!$E$11:$I$204,5,0)</f>
        <v>ACS</v>
      </c>
      <c r="AO444" s="35" t="s">
        <v>163</v>
      </c>
      <c r="AP444" s="35"/>
      <c r="AQ444" s="35">
        <v>71130</v>
      </c>
      <c r="AR444" s="35" t="s">
        <v>592</v>
      </c>
      <c r="AS444" s="121">
        <v>15.085360000000001</v>
      </c>
      <c r="AU444" s="7" t="str">
        <f>VLOOKUP($AO444,Mapping!$E$11:$I$204,3,0)</f>
        <v>Replacement</v>
      </c>
      <c r="AV444" s="7" t="str">
        <f>IFERROR(VLOOKUP($AQ444,Mapping!$E$208:$K$236,5,0),"Contracts")</f>
        <v>Contracts</v>
      </c>
      <c r="AW444" s="7" t="str">
        <f>IFERROR(VLOOKUP($AQ444,Mapping!$E$208:$K$236,7,0),"ENDirect")</f>
        <v>ENDirect</v>
      </c>
      <c r="AX444" s="7" t="str">
        <f>IFERROR(HLOOKUP(AV444,'Calc|Weightings'!$U$5:$W$5,1,0),"Excl")</f>
        <v>Contracts</v>
      </c>
      <c r="AY444" s="7" t="str">
        <f>VLOOKUP(AO444,Mapping!$E$11:$I$204,5,0)</f>
        <v>SCS</v>
      </c>
    </row>
    <row r="445" spans="1:51" x14ac:dyDescent="0.3">
      <c r="A445" s="7"/>
      <c r="B445" s="7"/>
      <c r="C445" s="7"/>
      <c r="D445" s="7"/>
      <c r="E445" s="32" t="s">
        <v>551</v>
      </c>
      <c r="F445" s="32"/>
      <c r="G445" s="32">
        <v>71006</v>
      </c>
      <c r="H445" s="32" t="s">
        <v>468</v>
      </c>
      <c r="I445" s="33">
        <v>194.71100000000001</v>
      </c>
      <c r="J445" s="170"/>
      <c r="K445" s="7" t="str">
        <f>VLOOKUP($E445,Mapping!$E$11:$I$204,3,0)</f>
        <v>Connections</v>
      </c>
      <c r="L445" s="7" t="str">
        <f>IFERROR(VLOOKUP($G445,Mapping!$E$208:$K$236,5,0),"Contracts")</f>
        <v>Materials</v>
      </c>
      <c r="M445" s="7" t="str">
        <f>IFERROR(VLOOKUP($G445,Mapping!$E$208:$K$236,7,0),"ENDirect")</f>
        <v>ENDirect</v>
      </c>
      <c r="N445" s="7" t="str">
        <f>IFERROR(HLOOKUP(L445,'Calc|Weightings'!$U$5:$W$5,1,0),"Excl")</f>
        <v>Materials</v>
      </c>
      <c r="O445" s="7" t="str">
        <f>VLOOKUP(E445,Mapping!$E$11:$I$204,5,0)</f>
        <v>SCS</v>
      </c>
      <c r="Q445" s="32" t="s">
        <v>152</v>
      </c>
      <c r="R445" s="32"/>
      <c r="S445" s="32">
        <v>71010</v>
      </c>
      <c r="T445" s="32" t="s">
        <v>462</v>
      </c>
      <c r="U445" s="33">
        <v>519.95100000000002</v>
      </c>
      <c r="V445" s="7"/>
      <c r="W445" s="7" t="str">
        <f>VLOOKUP($Q445,Mapping!$E$11:$I$204,3,0)</f>
        <v>Augmentation</v>
      </c>
      <c r="X445" s="7" t="str">
        <f>IFERROR(VLOOKUP($S445,Mapping!$E$208:$K$236,5,0),"Contracts")</f>
        <v>Labour</v>
      </c>
      <c r="Y445" s="7" t="str">
        <f>IFERROR(VLOOKUP($S445,Mapping!$E$208:$K$236,7,0),"ENDirect")</f>
        <v>ENDirect</v>
      </c>
      <c r="Z445" s="7" t="str">
        <f>IFERROR(HLOOKUP(X445,'Calc|Weightings'!$U$5:$W$5,1,0),"Excl")</f>
        <v>Labour</v>
      </c>
      <c r="AA445" s="7" t="str">
        <f>VLOOKUP(Q445,Mapping!$E$11:$I$204,5,0)</f>
        <v>SCS</v>
      </c>
      <c r="AC445" s="35" t="s">
        <v>139</v>
      </c>
      <c r="AD445" s="35"/>
      <c r="AE445" s="35">
        <v>71000</v>
      </c>
      <c r="AF445" s="35" t="s">
        <v>457</v>
      </c>
      <c r="AG445" s="36">
        <v>2.5379999999999998</v>
      </c>
      <c r="AI445" s="7" t="str">
        <f>VLOOKUP($AC445,Mapping!$E$11:$I$204,3,0)</f>
        <v>ACS</v>
      </c>
      <c r="AJ445" s="7" t="str">
        <f>IFERROR(VLOOKUP($AE445,Mapping!$E$208:$K$236,5,0),"Contracts")</f>
        <v>Labour</v>
      </c>
      <c r="AK445" s="7" t="str">
        <f>IFERROR(VLOOKUP($AE445,Mapping!$E$208:$K$236,7,0),"ENDirect")</f>
        <v>ENDirect</v>
      </c>
      <c r="AL445" s="7" t="str">
        <f>IFERROR(HLOOKUP(AJ445,'Calc|Weightings'!$U$5:$W$5,1,0),"Excl")</f>
        <v>Labour</v>
      </c>
      <c r="AM445" s="7" t="str">
        <f>VLOOKUP(AC445,Mapping!$E$11:$I$204,5,0)</f>
        <v>ACS</v>
      </c>
      <c r="AO445" s="35" t="s">
        <v>163</v>
      </c>
      <c r="AP445" s="35"/>
      <c r="AQ445" s="35">
        <v>72300</v>
      </c>
      <c r="AR445" s="35" t="s">
        <v>598</v>
      </c>
      <c r="AS445" s="121">
        <v>-65.05</v>
      </c>
      <c r="AU445" s="7" t="str">
        <f>VLOOKUP($AO445,Mapping!$E$11:$I$204,3,0)</f>
        <v>Replacement</v>
      </c>
      <c r="AV445" s="7" t="str">
        <f>IFERROR(VLOOKUP($AQ445,Mapping!$E$208:$K$236,5,0),"Contracts")</f>
        <v>Contracts</v>
      </c>
      <c r="AW445" s="7" t="str">
        <f>IFERROR(VLOOKUP($AQ445,Mapping!$E$208:$K$236,7,0),"ENDirect")</f>
        <v>ENDirect</v>
      </c>
      <c r="AX445" s="7" t="str">
        <f>IFERROR(HLOOKUP(AV445,'Calc|Weightings'!$U$5:$W$5,1,0),"Excl")</f>
        <v>Contracts</v>
      </c>
      <c r="AY445" s="7" t="str">
        <f>VLOOKUP(AO445,Mapping!$E$11:$I$204,5,0)</f>
        <v>SCS</v>
      </c>
    </row>
    <row r="446" spans="1:51" x14ac:dyDescent="0.3">
      <c r="A446" s="7"/>
      <c r="B446" s="7"/>
      <c r="C446" s="7"/>
      <c r="D446" s="7"/>
      <c r="E446" s="32" t="s">
        <v>127</v>
      </c>
      <c r="F446" s="32"/>
      <c r="G446" s="32">
        <v>71000</v>
      </c>
      <c r="H446" s="32" t="s">
        <v>457</v>
      </c>
      <c r="I446" s="33">
        <v>-14.73</v>
      </c>
      <c r="J446" s="170"/>
      <c r="K446" s="7" t="str">
        <f>VLOOKUP($E446,Mapping!$E$11:$I$204,3,0)</f>
        <v>Non-network general assets - Other</v>
      </c>
      <c r="L446" s="7" t="str">
        <f>IFERROR(VLOOKUP($G446,Mapping!$E$208:$K$236,5,0),"Contracts")</f>
        <v>Labour</v>
      </c>
      <c r="M446" s="7" t="str">
        <f>IFERROR(VLOOKUP($G446,Mapping!$E$208:$K$236,7,0),"ENDirect")</f>
        <v>ENDirect</v>
      </c>
      <c r="N446" s="7" t="str">
        <f>IFERROR(HLOOKUP(L446,'Calc|Weightings'!$U$5:$W$5,1,0),"Excl")</f>
        <v>Labour</v>
      </c>
      <c r="O446" s="7" t="str">
        <f>VLOOKUP(E446,Mapping!$E$11:$I$204,5,0)</f>
        <v>SCS</v>
      </c>
      <c r="Q446" s="32" t="s">
        <v>152</v>
      </c>
      <c r="R446" s="32"/>
      <c r="S446" s="32">
        <v>71015</v>
      </c>
      <c r="T446" s="32" t="s">
        <v>463</v>
      </c>
      <c r="U446" s="33">
        <v>38.024999999999999</v>
      </c>
      <c r="V446" s="7"/>
      <c r="W446" s="7" t="str">
        <f>VLOOKUP($Q446,Mapping!$E$11:$I$204,3,0)</f>
        <v>Augmentation</v>
      </c>
      <c r="X446" s="7" t="str">
        <f>IFERROR(VLOOKUP($S446,Mapping!$E$208:$K$236,5,0),"Contracts")</f>
        <v>Materials</v>
      </c>
      <c r="Y446" s="7" t="str">
        <f>IFERROR(VLOOKUP($S446,Mapping!$E$208:$K$236,7,0),"ENDirect")</f>
        <v>ENDirect</v>
      </c>
      <c r="Z446" s="7" t="str">
        <f>IFERROR(HLOOKUP(X446,'Calc|Weightings'!$U$5:$W$5,1,0),"Excl")</f>
        <v>Materials</v>
      </c>
      <c r="AA446" s="7" t="str">
        <f>VLOOKUP(Q446,Mapping!$E$11:$I$204,5,0)</f>
        <v>SCS</v>
      </c>
      <c r="AC446" s="35" t="s">
        <v>139</v>
      </c>
      <c r="AD446" s="35"/>
      <c r="AE446" s="35">
        <v>71005</v>
      </c>
      <c r="AF446" s="35" t="s">
        <v>461</v>
      </c>
      <c r="AG446" s="36">
        <v>0.63</v>
      </c>
      <c r="AI446" s="7" t="str">
        <f>VLOOKUP($AC446,Mapping!$E$11:$I$204,3,0)</f>
        <v>ACS</v>
      </c>
      <c r="AJ446" s="7" t="str">
        <f>IFERROR(VLOOKUP($AE446,Mapping!$E$208:$K$236,5,0),"Contracts")</f>
        <v>Materials</v>
      </c>
      <c r="AK446" s="7" t="str">
        <f>IFERROR(VLOOKUP($AE446,Mapping!$E$208:$K$236,7,0),"ENDirect")</f>
        <v>ENDirect</v>
      </c>
      <c r="AL446" s="7" t="str">
        <f>IFERROR(HLOOKUP(AJ446,'Calc|Weightings'!$U$5:$W$5,1,0),"Excl")</f>
        <v>Materials</v>
      </c>
      <c r="AM446" s="7" t="str">
        <f>VLOOKUP(AC446,Mapping!$E$11:$I$204,5,0)</f>
        <v>ACS</v>
      </c>
      <c r="AO446" s="35" t="s">
        <v>163</v>
      </c>
      <c r="AP446" s="35"/>
      <c r="AQ446" s="35">
        <v>80000</v>
      </c>
      <c r="AR446" s="35" t="s">
        <v>589</v>
      </c>
      <c r="AS446" s="121">
        <v>117.33916999999998</v>
      </c>
      <c r="AU446" s="7" t="str">
        <f>VLOOKUP($AO446,Mapping!$E$11:$I$204,3,0)</f>
        <v>Replacement</v>
      </c>
      <c r="AV446" s="7" t="str">
        <f>IFERROR(VLOOKUP($AQ446,Mapping!$E$208:$K$236,5,0),"Contracts")</f>
        <v>Overhead</v>
      </c>
      <c r="AW446" s="7" t="str">
        <f>IFERROR(VLOOKUP($AQ446,Mapping!$E$208:$K$236,7,0),"ENDirect")</f>
        <v>OH</v>
      </c>
      <c r="AX446" s="7" t="str">
        <f>IFERROR(HLOOKUP(AV446,'Calc|Weightings'!$U$5:$W$5,1,0),"Excl")</f>
        <v>Excl</v>
      </c>
      <c r="AY446" s="7" t="str">
        <f>VLOOKUP(AO446,Mapping!$E$11:$I$204,5,0)</f>
        <v>SCS</v>
      </c>
    </row>
    <row r="447" spans="1:51" x14ac:dyDescent="0.3">
      <c r="A447" s="7"/>
      <c r="B447" s="7"/>
      <c r="C447" s="7"/>
      <c r="D447" s="7"/>
      <c r="E447" s="32" t="s">
        <v>127</v>
      </c>
      <c r="F447" s="32"/>
      <c r="G447" s="32">
        <v>71010</v>
      </c>
      <c r="H447" s="32" t="s">
        <v>462</v>
      </c>
      <c r="I447" s="33">
        <v>-4.4349999999999996</v>
      </c>
      <c r="J447" s="170"/>
      <c r="K447" s="7" t="str">
        <f>VLOOKUP($E447,Mapping!$E$11:$I$204,3,0)</f>
        <v>Non-network general assets - Other</v>
      </c>
      <c r="L447" s="7" t="str">
        <f>IFERROR(VLOOKUP($G447,Mapping!$E$208:$K$236,5,0),"Contracts")</f>
        <v>Labour</v>
      </c>
      <c r="M447" s="7" t="str">
        <f>IFERROR(VLOOKUP($G447,Mapping!$E$208:$K$236,7,0),"ENDirect")</f>
        <v>ENDirect</v>
      </c>
      <c r="N447" s="7" t="str">
        <f>IFERROR(HLOOKUP(L447,'Calc|Weightings'!$U$5:$W$5,1,0),"Excl")</f>
        <v>Labour</v>
      </c>
      <c r="O447" s="7" t="str">
        <f>VLOOKUP(E447,Mapping!$E$11:$I$204,5,0)</f>
        <v>SCS</v>
      </c>
      <c r="Q447" s="32" t="s">
        <v>152</v>
      </c>
      <c r="R447" s="32"/>
      <c r="S447" s="32">
        <v>80000</v>
      </c>
      <c r="T447" s="32" t="s">
        <v>453</v>
      </c>
      <c r="U447" s="33">
        <v>158.672</v>
      </c>
      <c r="V447" s="7"/>
      <c r="W447" s="7" t="str">
        <f>VLOOKUP($Q447,Mapping!$E$11:$I$204,3,0)</f>
        <v>Augmentation</v>
      </c>
      <c r="X447" s="7" t="str">
        <f>IFERROR(VLOOKUP($S447,Mapping!$E$208:$K$236,5,0),"Contracts")</f>
        <v>Overhead</v>
      </c>
      <c r="Y447" s="7" t="str">
        <f>IFERROR(VLOOKUP($S447,Mapping!$E$208:$K$236,7,0),"ENDirect")</f>
        <v>OH</v>
      </c>
      <c r="Z447" s="7" t="str">
        <f>IFERROR(HLOOKUP(X447,'Calc|Weightings'!$U$5:$W$5,1,0),"Excl")</f>
        <v>Excl</v>
      </c>
      <c r="AA447" s="7" t="str">
        <f>VLOOKUP(Q447,Mapping!$E$11:$I$204,5,0)</f>
        <v>SCS</v>
      </c>
      <c r="AC447" s="35" t="s">
        <v>139</v>
      </c>
      <c r="AD447" s="35"/>
      <c r="AE447" s="35">
        <v>71015</v>
      </c>
      <c r="AF447" s="35" t="s">
        <v>463</v>
      </c>
      <c r="AG447" s="36">
        <v>0.67300000000000004</v>
      </c>
      <c r="AI447" s="7" t="str">
        <f>VLOOKUP($AC447,Mapping!$E$11:$I$204,3,0)</f>
        <v>ACS</v>
      </c>
      <c r="AJ447" s="7" t="str">
        <f>IFERROR(VLOOKUP($AE447,Mapping!$E$208:$K$236,5,0),"Contracts")</f>
        <v>Materials</v>
      </c>
      <c r="AK447" s="7" t="str">
        <f>IFERROR(VLOOKUP($AE447,Mapping!$E$208:$K$236,7,0),"ENDirect")</f>
        <v>ENDirect</v>
      </c>
      <c r="AL447" s="7" t="str">
        <f>IFERROR(HLOOKUP(AJ447,'Calc|Weightings'!$U$5:$W$5,1,0),"Excl")</f>
        <v>Materials</v>
      </c>
      <c r="AM447" s="7" t="str">
        <f>VLOOKUP(AC447,Mapping!$E$11:$I$204,5,0)</f>
        <v>ACS</v>
      </c>
      <c r="AO447" s="35" t="s">
        <v>163</v>
      </c>
      <c r="AP447" s="35"/>
      <c r="AQ447" s="35">
        <v>83010</v>
      </c>
      <c r="AR447" s="35" t="s">
        <v>591</v>
      </c>
      <c r="AS447" s="121">
        <v>138.33483999999999</v>
      </c>
      <c r="AU447" s="7" t="str">
        <f>VLOOKUP($AO447,Mapping!$E$11:$I$204,3,0)</f>
        <v>Replacement</v>
      </c>
      <c r="AV447" s="7" t="str">
        <f>IFERROR(VLOOKUP($AQ447,Mapping!$E$208:$K$236,5,0),"Contracts")</f>
        <v>Contracts</v>
      </c>
      <c r="AW447" s="7" t="str">
        <f>IFERROR(VLOOKUP($AQ447,Mapping!$E$208:$K$236,7,0),"ENDirect")</f>
        <v>ENDirect</v>
      </c>
      <c r="AX447" s="7" t="str">
        <f>IFERROR(HLOOKUP(AV447,'Calc|Weightings'!$U$5:$W$5,1,0),"Excl")</f>
        <v>Contracts</v>
      </c>
      <c r="AY447" s="7" t="str">
        <f>VLOOKUP(AO447,Mapping!$E$11:$I$204,5,0)</f>
        <v>SCS</v>
      </c>
    </row>
    <row r="448" spans="1:51" x14ac:dyDescent="0.3">
      <c r="A448" s="7"/>
      <c r="B448" s="7"/>
      <c r="C448" s="7"/>
      <c r="D448" s="7"/>
      <c r="E448" s="32" t="s">
        <v>127</v>
      </c>
      <c r="F448" s="32"/>
      <c r="G448" s="32">
        <v>71015</v>
      </c>
      <c r="H448" s="32" t="s">
        <v>463</v>
      </c>
      <c r="I448" s="33">
        <v>-1.7050000000000001</v>
      </c>
      <c r="J448" s="170"/>
      <c r="K448" s="7" t="str">
        <f>VLOOKUP($E448,Mapping!$E$11:$I$204,3,0)</f>
        <v>Non-network general assets - Other</v>
      </c>
      <c r="L448" s="7" t="str">
        <f>IFERROR(VLOOKUP($G448,Mapping!$E$208:$K$236,5,0),"Contracts")</f>
        <v>Materials</v>
      </c>
      <c r="M448" s="7" t="str">
        <f>IFERROR(VLOOKUP($G448,Mapping!$E$208:$K$236,7,0),"ENDirect")</f>
        <v>ENDirect</v>
      </c>
      <c r="N448" s="7" t="str">
        <f>IFERROR(HLOOKUP(L448,'Calc|Weightings'!$U$5:$W$5,1,0),"Excl")</f>
        <v>Materials</v>
      </c>
      <c r="O448" s="7" t="str">
        <f>VLOOKUP(E448,Mapping!$E$11:$I$204,5,0)</f>
        <v>SCS</v>
      </c>
      <c r="Q448" s="32" t="s">
        <v>152</v>
      </c>
      <c r="R448" s="32"/>
      <c r="S448" s="32">
        <v>89999</v>
      </c>
      <c r="T448" s="32" t="s">
        <v>471</v>
      </c>
      <c r="U448" s="33">
        <v>0</v>
      </c>
      <c r="V448" s="7"/>
      <c r="W448" s="7" t="str">
        <f>VLOOKUP($Q448,Mapping!$E$11:$I$204,3,0)</f>
        <v>Augmentation</v>
      </c>
      <c r="X448" s="7" t="str">
        <f>IFERROR(VLOOKUP($S448,Mapping!$E$208:$K$236,5,0),"Contracts")</f>
        <v>Contracts</v>
      </c>
      <c r="Y448" s="7" t="str">
        <f>IFERROR(VLOOKUP($S448,Mapping!$E$208:$K$236,7,0),"ENDirect")</f>
        <v>ENDirect</v>
      </c>
      <c r="Z448" s="7" t="str">
        <f>IFERROR(HLOOKUP(X448,'Calc|Weightings'!$U$5:$W$5,1,0),"Excl")</f>
        <v>Contracts</v>
      </c>
      <c r="AA448" s="7" t="str">
        <f>VLOOKUP(Q448,Mapping!$E$11:$I$204,5,0)</f>
        <v>SCS</v>
      </c>
      <c r="AC448" s="35" t="s">
        <v>139</v>
      </c>
      <c r="AD448" s="35"/>
      <c r="AE448" s="35">
        <v>71030</v>
      </c>
      <c r="AF448" s="35" t="s">
        <v>464</v>
      </c>
      <c r="AG448" s="36">
        <v>0.26600000000000001</v>
      </c>
      <c r="AI448" s="7" t="str">
        <f>VLOOKUP($AC448,Mapping!$E$11:$I$204,3,0)</f>
        <v>ACS</v>
      </c>
      <c r="AJ448" s="7" t="str">
        <f>IFERROR(VLOOKUP($AE448,Mapping!$E$208:$K$236,5,0),"Contracts")</f>
        <v>Contracts</v>
      </c>
      <c r="AK448" s="7" t="str">
        <f>IFERROR(VLOOKUP($AE448,Mapping!$E$208:$K$236,7,0),"ENDirect")</f>
        <v>ENDirect</v>
      </c>
      <c r="AL448" s="7" t="str">
        <f>IFERROR(HLOOKUP(AJ448,'Calc|Weightings'!$U$5:$W$5,1,0),"Excl")</f>
        <v>Contracts</v>
      </c>
      <c r="AM448" s="7" t="str">
        <f>VLOOKUP(AC448,Mapping!$E$11:$I$204,5,0)</f>
        <v>ACS</v>
      </c>
      <c r="AO448" s="35" t="s">
        <v>164</v>
      </c>
      <c r="AP448" s="35"/>
      <c r="AQ448" s="35">
        <v>70815</v>
      </c>
      <c r="AR448" s="35" t="s">
        <v>594</v>
      </c>
      <c r="AS448" s="121">
        <v>708.604790000001</v>
      </c>
      <c r="AU448" s="7" t="str">
        <f>VLOOKUP($AO448,Mapping!$E$11:$I$204,3,0)</f>
        <v>Replacement</v>
      </c>
      <c r="AV448" s="7" t="str">
        <f>IFERROR(VLOOKUP($AQ448,Mapping!$E$208:$K$236,5,0),"Contracts")</f>
        <v>Materials</v>
      </c>
      <c r="AW448" s="7" t="str">
        <f>IFERROR(VLOOKUP($AQ448,Mapping!$E$208:$K$236,7,0),"ENDirect")</f>
        <v>ENDirect</v>
      </c>
      <c r="AX448" s="7" t="str">
        <f>IFERROR(HLOOKUP(AV448,'Calc|Weightings'!$U$5:$W$5,1,0),"Excl")</f>
        <v>Materials</v>
      </c>
      <c r="AY448" s="7" t="str">
        <f>VLOOKUP(AO448,Mapping!$E$11:$I$204,5,0)</f>
        <v>SCS</v>
      </c>
    </row>
    <row r="449" spans="1:51" x14ac:dyDescent="0.3">
      <c r="A449" s="7"/>
      <c r="B449" s="7"/>
      <c r="C449" s="7"/>
      <c r="D449" s="7"/>
      <c r="E449" s="32" t="s">
        <v>127</v>
      </c>
      <c r="F449" s="32"/>
      <c r="G449" s="32">
        <v>71055</v>
      </c>
      <c r="H449" s="32" t="s">
        <v>465</v>
      </c>
      <c r="I449" s="33">
        <v>-1.1659999999999999</v>
      </c>
      <c r="J449" s="170"/>
      <c r="K449" s="7" t="str">
        <f>VLOOKUP($E449,Mapping!$E$11:$I$204,3,0)</f>
        <v>Non-network general assets - Other</v>
      </c>
      <c r="L449" s="7" t="str">
        <f>IFERROR(VLOOKUP($G449,Mapping!$E$208:$K$236,5,0),"Contracts")</f>
        <v>Contracts</v>
      </c>
      <c r="M449" s="7" t="str">
        <f>IFERROR(VLOOKUP($G449,Mapping!$E$208:$K$236,7,0),"ENDirect")</f>
        <v>ENDirect</v>
      </c>
      <c r="N449" s="7" t="str">
        <f>IFERROR(HLOOKUP(L449,'Calc|Weightings'!$U$5:$W$5,1,0),"Excl")</f>
        <v>Contracts</v>
      </c>
      <c r="O449" s="7" t="str">
        <f>VLOOKUP(E449,Mapping!$E$11:$I$204,5,0)</f>
        <v>SCS</v>
      </c>
      <c r="Q449" s="32" t="s">
        <v>155</v>
      </c>
      <c r="R449" s="32"/>
      <c r="S449" s="32">
        <v>71000</v>
      </c>
      <c r="T449" s="32" t="s">
        <v>457</v>
      </c>
      <c r="U449" s="33">
        <v>275.983</v>
      </c>
      <c r="V449" s="7"/>
      <c r="W449" s="7" t="str">
        <f>VLOOKUP($Q449,Mapping!$E$11:$I$204,3,0)</f>
        <v>Replacement</v>
      </c>
      <c r="X449" s="7" t="str">
        <f>IFERROR(VLOOKUP($S449,Mapping!$E$208:$K$236,5,0),"Contracts")</f>
        <v>Labour</v>
      </c>
      <c r="Y449" s="7" t="str">
        <f>IFERROR(VLOOKUP($S449,Mapping!$E$208:$K$236,7,0),"ENDirect")</f>
        <v>ENDirect</v>
      </c>
      <c r="Z449" s="7" t="str">
        <f>IFERROR(HLOOKUP(X449,'Calc|Weightings'!$U$5:$W$5,1,0),"Excl")</f>
        <v>Labour</v>
      </c>
      <c r="AA449" s="7" t="str">
        <f>VLOOKUP(Q449,Mapping!$E$11:$I$204,5,0)</f>
        <v>SCS</v>
      </c>
      <c r="AC449" s="35" t="s">
        <v>139</v>
      </c>
      <c r="AD449" s="35"/>
      <c r="AE449" s="35">
        <v>71055</v>
      </c>
      <c r="AF449" s="35" t="s">
        <v>465</v>
      </c>
      <c r="AG449" s="36">
        <v>0.42099999999999999</v>
      </c>
      <c r="AI449" s="7" t="str">
        <f>VLOOKUP($AC449,Mapping!$E$11:$I$204,3,0)</f>
        <v>ACS</v>
      </c>
      <c r="AJ449" s="7" t="str">
        <f>IFERROR(VLOOKUP($AE449,Mapping!$E$208:$K$236,5,0),"Contracts")</f>
        <v>Contracts</v>
      </c>
      <c r="AK449" s="7" t="str">
        <f>IFERROR(VLOOKUP($AE449,Mapping!$E$208:$K$236,7,0),"ENDirect")</f>
        <v>ENDirect</v>
      </c>
      <c r="AL449" s="7" t="str">
        <f>IFERROR(HLOOKUP(AJ449,'Calc|Weightings'!$U$5:$W$5,1,0),"Excl")</f>
        <v>Contracts</v>
      </c>
      <c r="AM449" s="7" t="str">
        <f>VLOOKUP(AC449,Mapping!$E$11:$I$204,5,0)</f>
        <v>ACS</v>
      </c>
      <c r="AO449" s="35" t="s">
        <v>164</v>
      </c>
      <c r="AP449" s="35"/>
      <c r="AQ449" s="35">
        <v>71000</v>
      </c>
      <c r="AR449" s="35" t="s">
        <v>457</v>
      </c>
      <c r="AS449" s="121">
        <v>10.111320000000006</v>
      </c>
      <c r="AU449" s="7" t="str">
        <f>VLOOKUP($AO449,Mapping!$E$11:$I$204,3,0)</f>
        <v>Replacement</v>
      </c>
      <c r="AV449" s="7" t="str">
        <f>IFERROR(VLOOKUP($AQ449,Mapping!$E$208:$K$236,5,0),"Contracts")</f>
        <v>Labour</v>
      </c>
      <c r="AW449" s="7" t="str">
        <f>IFERROR(VLOOKUP($AQ449,Mapping!$E$208:$K$236,7,0),"ENDirect")</f>
        <v>ENDirect</v>
      </c>
      <c r="AX449" s="7" t="str">
        <f>IFERROR(HLOOKUP(AV449,'Calc|Weightings'!$U$5:$W$5,1,0),"Excl")</f>
        <v>Labour</v>
      </c>
      <c r="AY449" s="7" t="str">
        <f>VLOOKUP(AO449,Mapping!$E$11:$I$204,5,0)</f>
        <v>SCS</v>
      </c>
    </row>
    <row r="450" spans="1:51" x14ac:dyDescent="0.3">
      <c r="A450" s="7"/>
      <c r="B450" s="7"/>
      <c r="C450" s="7"/>
      <c r="D450" s="7"/>
      <c r="E450" s="32" t="s">
        <v>119</v>
      </c>
      <c r="F450" s="32"/>
      <c r="G450" s="32">
        <v>71005</v>
      </c>
      <c r="H450" s="32" t="s">
        <v>461</v>
      </c>
      <c r="I450" s="33">
        <v>78.254999999999995</v>
      </c>
      <c r="J450" s="170"/>
      <c r="K450" s="7" t="str">
        <f>VLOOKUP($E450,Mapping!$E$11:$I$204,3,0)</f>
        <v>Connections</v>
      </c>
      <c r="L450" s="7" t="str">
        <f>IFERROR(VLOOKUP($G450,Mapping!$E$208:$K$236,5,0),"Contracts")</f>
        <v>Materials</v>
      </c>
      <c r="M450" s="7" t="str">
        <f>IFERROR(VLOOKUP($G450,Mapping!$E$208:$K$236,7,0),"ENDirect")</f>
        <v>ENDirect</v>
      </c>
      <c r="N450" s="7" t="str">
        <f>IFERROR(HLOOKUP(L450,'Calc|Weightings'!$U$5:$W$5,1,0),"Excl")</f>
        <v>Materials</v>
      </c>
      <c r="O450" s="7" t="str">
        <f>VLOOKUP(E450,Mapping!$E$11:$I$204,5,0)</f>
        <v>SCS</v>
      </c>
      <c r="Q450" s="32" t="s">
        <v>155</v>
      </c>
      <c r="R450" s="32"/>
      <c r="S450" s="32">
        <v>71005</v>
      </c>
      <c r="T450" s="32" t="s">
        <v>461</v>
      </c>
      <c r="U450" s="33">
        <v>204.76599999999999</v>
      </c>
      <c r="V450" s="7"/>
      <c r="W450" s="7" t="str">
        <f>VLOOKUP($Q450,Mapping!$E$11:$I$204,3,0)</f>
        <v>Replacement</v>
      </c>
      <c r="X450" s="7" t="str">
        <f>IFERROR(VLOOKUP($S450,Mapping!$E$208:$K$236,5,0),"Contracts")</f>
        <v>Materials</v>
      </c>
      <c r="Y450" s="7" t="str">
        <f>IFERROR(VLOOKUP($S450,Mapping!$E$208:$K$236,7,0),"ENDirect")</f>
        <v>ENDirect</v>
      </c>
      <c r="Z450" s="7" t="str">
        <f>IFERROR(HLOOKUP(X450,'Calc|Weightings'!$U$5:$W$5,1,0),"Excl")</f>
        <v>Materials</v>
      </c>
      <c r="AA450" s="7" t="str">
        <f>VLOOKUP(Q450,Mapping!$E$11:$I$204,5,0)</f>
        <v>SCS</v>
      </c>
      <c r="AC450" s="35" t="s">
        <v>139</v>
      </c>
      <c r="AD450" s="35"/>
      <c r="AE450" s="35">
        <v>80000</v>
      </c>
      <c r="AF450" s="35" t="s">
        <v>453</v>
      </c>
      <c r="AG450" s="36">
        <v>0.44800000000000001</v>
      </c>
      <c r="AI450" s="7" t="str">
        <f>VLOOKUP($AC450,Mapping!$E$11:$I$204,3,0)</f>
        <v>ACS</v>
      </c>
      <c r="AJ450" s="7" t="str">
        <f>IFERROR(VLOOKUP($AE450,Mapping!$E$208:$K$236,5,0),"Contracts")</f>
        <v>Overhead</v>
      </c>
      <c r="AK450" s="7" t="str">
        <f>IFERROR(VLOOKUP($AE450,Mapping!$E$208:$K$236,7,0),"ENDirect")</f>
        <v>OH</v>
      </c>
      <c r="AL450" s="7" t="str">
        <f>IFERROR(HLOOKUP(AJ450,'Calc|Weightings'!$U$5:$W$5,1,0),"Excl")</f>
        <v>Excl</v>
      </c>
      <c r="AM450" s="7" t="str">
        <f>VLOOKUP(AC450,Mapping!$E$11:$I$204,5,0)</f>
        <v>ACS</v>
      </c>
      <c r="AO450" s="35" t="s">
        <v>164</v>
      </c>
      <c r="AP450" s="35"/>
      <c r="AQ450" s="35">
        <v>71005</v>
      </c>
      <c r="AR450" s="35" t="s">
        <v>461</v>
      </c>
      <c r="AS450" s="121">
        <v>1.64042</v>
      </c>
      <c r="AU450" s="7" t="str">
        <f>VLOOKUP($AO450,Mapping!$E$11:$I$204,3,0)</f>
        <v>Replacement</v>
      </c>
      <c r="AV450" s="7" t="str">
        <f>IFERROR(VLOOKUP($AQ450,Mapping!$E$208:$K$236,5,0),"Contracts")</f>
        <v>Materials</v>
      </c>
      <c r="AW450" s="7" t="str">
        <f>IFERROR(VLOOKUP($AQ450,Mapping!$E$208:$K$236,7,0),"ENDirect")</f>
        <v>ENDirect</v>
      </c>
      <c r="AX450" s="7" t="str">
        <f>IFERROR(HLOOKUP(AV450,'Calc|Weightings'!$U$5:$W$5,1,0),"Excl")</f>
        <v>Materials</v>
      </c>
      <c r="AY450" s="7" t="str">
        <f>VLOOKUP(AO450,Mapping!$E$11:$I$204,5,0)</f>
        <v>SCS</v>
      </c>
    </row>
    <row r="451" spans="1:51" x14ac:dyDescent="0.3">
      <c r="A451" s="7"/>
      <c r="B451" s="7"/>
      <c r="C451" s="7"/>
      <c r="D451" s="7"/>
      <c r="E451" s="32" t="s">
        <v>119</v>
      </c>
      <c r="F451" s="32"/>
      <c r="G451" s="32">
        <v>71006</v>
      </c>
      <c r="H451" s="32" t="s">
        <v>468</v>
      </c>
      <c r="I451" s="33">
        <v>88.957999999999998</v>
      </c>
      <c r="J451" s="170"/>
      <c r="K451" s="7" t="str">
        <f>VLOOKUP($E451,Mapping!$E$11:$I$204,3,0)</f>
        <v>Connections</v>
      </c>
      <c r="L451" s="7" t="str">
        <f>IFERROR(VLOOKUP($G451,Mapping!$E$208:$K$236,5,0),"Contracts")</f>
        <v>Materials</v>
      </c>
      <c r="M451" s="7" t="str">
        <f>IFERROR(VLOOKUP($G451,Mapping!$E$208:$K$236,7,0),"ENDirect")</f>
        <v>ENDirect</v>
      </c>
      <c r="N451" s="7" t="str">
        <f>IFERROR(HLOOKUP(L451,'Calc|Weightings'!$U$5:$W$5,1,0),"Excl")</f>
        <v>Materials</v>
      </c>
      <c r="O451" s="7" t="str">
        <f>VLOOKUP(E451,Mapping!$E$11:$I$204,5,0)</f>
        <v>SCS</v>
      </c>
      <c r="Q451" s="32" t="s">
        <v>155</v>
      </c>
      <c r="R451" s="32"/>
      <c r="S451" s="32">
        <v>71010</v>
      </c>
      <c r="T451" s="32" t="s">
        <v>462</v>
      </c>
      <c r="U451" s="33">
        <v>147.44300000000001</v>
      </c>
      <c r="V451" s="7"/>
      <c r="W451" s="7" t="str">
        <f>VLOOKUP($Q451,Mapping!$E$11:$I$204,3,0)</f>
        <v>Replacement</v>
      </c>
      <c r="X451" s="7" t="str">
        <f>IFERROR(VLOOKUP($S451,Mapping!$E$208:$K$236,5,0),"Contracts")</f>
        <v>Labour</v>
      </c>
      <c r="Y451" s="7" t="str">
        <f>IFERROR(VLOOKUP($S451,Mapping!$E$208:$K$236,7,0),"ENDirect")</f>
        <v>ENDirect</v>
      </c>
      <c r="Z451" s="7" t="str">
        <f>IFERROR(HLOOKUP(X451,'Calc|Weightings'!$U$5:$W$5,1,0),"Excl")</f>
        <v>Labour</v>
      </c>
      <c r="AA451" s="7" t="str">
        <f>VLOOKUP(Q451,Mapping!$E$11:$I$204,5,0)</f>
        <v>SCS</v>
      </c>
      <c r="AC451" s="35" t="s">
        <v>145</v>
      </c>
      <c r="AD451" s="35"/>
      <c r="AE451" s="35">
        <v>89999</v>
      </c>
      <c r="AF451" s="35" t="s">
        <v>471</v>
      </c>
      <c r="AG451" s="36">
        <v>0</v>
      </c>
      <c r="AI451" s="7" t="str">
        <f>VLOOKUP($AC451,Mapping!$E$11:$I$204,3,0)</f>
        <v>Augmentation</v>
      </c>
      <c r="AJ451" s="7" t="str">
        <f>IFERROR(VLOOKUP($AE451,Mapping!$E$208:$K$236,5,0),"Contracts")</f>
        <v>Contracts</v>
      </c>
      <c r="AK451" s="7" t="str">
        <f>IFERROR(VLOOKUP($AE451,Mapping!$E$208:$K$236,7,0),"ENDirect")</f>
        <v>ENDirect</v>
      </c>
      <c r="AL451" s="7" t="str">
        <f>IFERROR(HLOOKUP(AJ451,'Calc|Weightings'!$U$5:$W$5,1,0),"Excl")</f>
        <v>Contracts</v>
      </c>
      <c r="AM451" s="7" t="str">
        <f>VLOOKUP(AC451,Mapping!$E$11:$I$204,5,0)</f>
        <v>SCS</v>
      </c>
      <c r="AO451" s="35" t="s">
        <v>164</v>
      </c>
      <c r="AP451" s="35"/>
      <c r="AQ451" s="35">
        <v>71006</v>
      </c>
      <c r="AR451" s="35" t="s">
        <v>468</v>
      </c>
      <c r="AS451" s="121">
        <v>86.055999999999997</v>
      </c>
      <c r="AU451" s="7" t="str">
        <f>VLOOKUP($AO451,Mapping!$E$11:$I$204,3,0)</f>
        <v>Replacement</v>
      </c>
      <c r="AV451" s="7" t="str">
        <f>IFERROR(VLOOKUP($AQ451,Mapping!$E$208:$K$236,5,0),"Contracts")</f>
        <v>Materials</v>
      </c>
      <c r="AW451" s="7" t="str">
        <f>IFERROR(VLOOKUP($AQ451,Mapping!$E$208:$K$236,7,0),"ENDirect")</f>
        <v>ENDirect</v>
      </c>
      <c r="AX451" s="7" t="str">
        <f>IFERROR(HLOOKUP(AV451,'Calc|Weightings'!$U$5:$W$5,1,0),"Excl")</f>
        <v>Materials</v>
      </c>
      <c r="AY451" s="7" t="str">
        <f>VLOOKUP(AO451,Mapping!$E$11:$I$204,5,0)</f>
        <v>SCS</v>
      </c>
    </row>
    <row r="452" spans="1:51" x14ac:dyDescent="0.3">
      <c r="A452" s="7"/>
      <c r="B452" s="7"/>
      <c r="C452" s="7"/>
      <c r="D452" s="7"/>
      <c r="E452" s="32" t="s">
        <v>119</v>
      </c>
      <c r="F452" s="32"/>
      <c r="G452" s="32">
        <v>71015</v>
      </c>
      <c r="H452" s="32" t="s">
        <v>463</v>
      </c>
      <c r="I452" s="33">
        <v>9.3960000000000008</v>
      </c>
      <c r="J452" s="170"/>
      <c r="K452" s="7" t="str">
        <f>VLOOKUP($E452,Mapping!$E$11:$I$204,3,0)</f>
        <v>Connections</v>
      </c>
      <c r="L452" s="7" t="str">
        <f>IFERROR(VLOOKUP($G452,Mapping!$E$208:$K$236,5,0),"Contracts")</f>
        <v>Materials</v>
      </c>
      <c r="M452" s="7" t="str">
        <f>IFERROR(VLOOKUP($G452,Mapping!$E$208:$K$236,7,0),"ENDirect")</f>
        <v>ENDirect</v>
      </c>
      <c r="N452" s="7" t="str">
        <f>IFERROR(HLOOKUP(L452,'Calc|Weightings'!$U$5:$W$5,1,0),"Excl")</f>
        <v>Materials</v>
      </c>
      <c r="O452" s="7" t="str">
        <f>VLOOKUP(E452,Mapping!$E$11:$I$204,5,0)</f>
        <v>SCS</v>
      </c>
      <c r="Q452" s="32" t="s">
        <v>155</v>
      </c>
      <c r="R452" s="32"/>
      <c r="S452" s="32">
        <v>71015</v>
      </c>
      <c r="T452" s="32" t="s">
        <v>463</v>
      </c>
      <c r="U452" s="33">
        <v>57.241999999999997</v>
      </c>
      <c r="V452" s="7"/>
      <c r="W452" s="7" t="str">
        <f>VLOOKUP($Q452,Mapping!$E$11:$I$204,3,0)</f>
        <v>Replacement</v>
      </c>
      <c r="X452" s="7" t="str">
        <f>IFERROR(VLOOKUP($S452,Mapping!$E$208:$K$236,5,0),"Contracts")</f>
        <v>Materials</v>
      </c>
      <c r="Y452" s="7" t="str">
        <f>IFERROR(VLOOKUP($S452,Mapping!$E$208:$K$236,7,0),"ENDirect")</f>
        <v>ENDirect</v>
      </c>
      <c r="Z452" s="7" t="str">
        <f>IFERROR(HLOOKUP(X452,'Calc|Weightings'!$U$5:$W$5,1,0),"Excl")</f>
        <v>Materials</v>
      </c>
      <c r="AA452" s="7" t="str">
        <f>VLOOKUP(Q452,Mapping!$E$11:$I$204,5,0)</f>
        <v>SCS</v>
      </c>
      <c r="AC452" s="35" t="s">
        <v>146</v>
      </c>
      <c r="AD452" s="35"/>
      <c r="AE452" s="35">
        <v>71000</v>
      </c>
      <c r="AF452" s="35" t="s">
        <v>457</v>
      </c>
      <c r="AG452" s="36">
        <v>0.61099999999999999</v>
      </c>
      <c r="AI452" s="7" t="str">
        <f>VLOOKUP($AC452,Mapping!$E$11:$I$204,3,0)</f>
        <v>VBRC</v>
      </c>
      <c r="AJ452" s="7" t="str">
        <f>IFERROR(VLOOKUP($AE452,Mapping!$E$208:$K$236,5,0),"Contracts")</f>
        <v>Labour</v>
      </c>
      <c r="AK452" s="7" t="str">
        <f>IFERROR(VLOOKUP($AE452,Mapping!$E$208:$K$236,7,0),"ENDirect")</f>
        <v>ENDirect</v>
      </c>
      <c r="AL452" s="7" t="str">
        <f>IFERROR(HLOOKUP(AJ452,'Calc|Weightings'!$U$5:$W$5,1,0),"Excl")</f>
        <v>Labour</v>
      </c>
      <c r="AM452" s="7" t="str">
        <f>VLOOKUP(AC452,Mapping!$E$11:$I$204,5,0)</f>
        <v>SCS</v>
      </c>
      <c r="AO452" s="35" t="s">
        <v>164</v>
      </c>
      <c r="AP452" s="35"/>
      <c r="AQ452" s="35">
        <v>71010</v>
      </c>
      <c r="AR452" s="35" t="s">
        <v>487</v>
      </c>
      <c r="AS452" s="121">
        <v>1.4202600000000001</v>
      </c>
      <c r="AU452" s="7" t="str">
        <f>VLOOKUP($AO452,Mapping!$E$11:$I$204,3,0)</f>
        <v>Replacement</v>
      </c>
      <c r="AV452" s="7" t="str">
        <f>IFERROR(VLOOKUP($AQ452,Mapping!$E$208:$K$236,5,0),"Contracts")</f>
        <v>Labour</v>
      </c>
      <c r="AW452" s="7" t="str">
        <f>IFERROR(VLOOKUP($AQ452,Mapping!$E$208:$K$236,7,0),"ENDirect")</f>
        <v>ENDirect</v>
      </c>
      <c r="AX452" s="7" t="str">
        <f>IFERROR(HLOOKUP(AV452,'Calc|Weightings'!$U$5:$W$5,1,0),"Excl")</f>
        <v>Labour</v>
      </c>
      <c r="AY452" s="7" t="str">
        <f>VLOOKUP(AO452,Mapping!$E$11:$I$204,5,0)</f>
        <v>SCS</v>
      </c>
    </row>
    <row r="453" spans="1:51" x14ac:dyDescent="0.3">
      <c r="A453" s="7"/>
      <c r="B453" s="7"/>
      <c r="C453" s="7"/>
      <c r="D453" s="7"/>
      <c r="E453" s="32" t="s">
        <v>548</v>
      </c>
      <c r="F453" s="32"/>
      <c r="G453" s="32">
        <v>71045</v>
      </c>
      <c r="H453" s="32" t="s">
        <v>469</v>
      </c>
      <c r="I453" s="33">
        <v>137.69999999999999</v>
      </c>
      <c r="J453" s="170"/>
      <c r="K453" s="7" t="str">
        <f>VLOOKUP($E453,Mapping!$E$11:$I$204,3,0)</f>
        <v>Connections</v>
      </c>
      <c r="L453" s="7" t="str">
        <f>IFERROR(VLOOKUP($G453,Mapping!$E$208:$K$236,5,0),"Contracts")</f>
        <v>Materials</v>
      </c>
      <c r="M453" s="7" t="str">
        <f>IFERROR(VLOOKUP($G453,Mapping!$E$208:$K$236,7,0),"ENDirect")</f>
        <v>ENDirect</v>
      </c>
      <c r="N453" s="7" t="str">
        <f>IFERROR(HLOOKUP(L453,'Calc|Weightings'!$U$5:$W$5,1,0),"Excl")</f>
        <v>Materials</v>
      </c>
      <c r="O453" s="7" t="str">
        <f>VLOOKUP(E453,Mapping!$E$11:$I$204,5,0)</f>
        <v>SCS</v>
      </c>
      <c r="Q453" s="32" t="s">
        <v>155</v>
      </c>
      <c r="R453" s="32"/>
      <c r="S453" s="32">
        <v>71030</v>
      </c>
      <c r="T453" s="32" t="s">
        <v>464</v>
      </c>
      <c r="U453" s="33">
        <v>52.503999999999998</v>
      </c>
      <c r="V453" s="7"/>
      <c r="W453" s="7" t="str">
        <f>VLOOKUP($Q453,Mapping!$E$11:$I$204,3,0)</f>
        <v>Replacement</v>
      </c>
      <c r="X453" s="7" t="str">
        <f>IFERROR(VLOOKUP($S453,Mapping!$E$208:$K$236,5,0),"Contracts")</f>
        <v>Contracts</v>
      </c>
      <c r="Y453" s="7" t="str">
        <f>IFERROR(VLOOKUP($S453,Mapping!$E$208:$K$236,7,0),"ENDirect")</f>
        <v>ENDirect</v>
      </c>
      <c r="Z453" s="7" t="str">
        <f>IFERROR(HLOOKUP(X453,'Calc|Weightings'!$U$5:$W$5,1,0),"Excl")</f>
        <v>Contracts</v>
      </c>
      <c r="AA453" s="7" t="str">
        <f>VLOOKUP(Q453,Mapping!$E$11:$I$204,5,0)</f>
        <v>SCS</v>
      </c>
      <c r="AC453" s="35" t="s">
        <v>146</v>
      </c>
      <c r="AD453" s="35"/>
      <c r="AE453" s="35">
        <v>71005</v>
      </c>
      <c r="AF453" s="35" t="s">
        <v>461</v>
      </c>
      <c r="AG453" s="36">
        <v>0.158</v>
      </c>
      <c r="AI453" s="7" t="str">
        <f>VLOOKUP($AC453,Mapping!$E$11:$I$204,3,0)</f>
        <v>VBRC</v>
      </c>
      <c r="AJ453" s="7" t="str">
        <f>IFERROR(VLOOKUP($AE453,Mapping!$E$208:$K$236,5,0),"Contracts")</f>
        <v>Materials</v>
      </c>
      <c r="AK453" s="7" t="str">
        <f>IFERROR(VLOOKUP($AE453,Mapping!$E$208:$K$236,7,0),"ENDirect")</f>
        <v>ENDirect</v>
      </c>
      <c r="AL453" s="7" t="str">
        <f>IFERROR(HLOOKUP(AJ453,'Calc|Weightings'!$U$5:$W$5,1,0),"Excl")</f>
        <v>Materials</v>
      </c>
      <c r="AM453" s="7" t="str">
        <f>VLOOKUP(AC453,Mapping!$E$11:$I$204,5,0)</f>
        <v>SCS</v>
      </c>
      <c r="AO453" s="35" t="s">
        <v>164</v>
      </c>
      <c r="AP453" s="35"/>
      <c r="AQ453" s="35">
        <v>71015</v>
      </c>
      <c r="AR453" s="35" t="s">
        <v>585</v>
      </c>
      <c r="AS453" s="121">
        <v>1.4326100000000002</v>
      </c>
      <c r="AU453" s="7" t="str">
        <f>VLOOKUP($AO453,Mapping!$E$11:$I$204,3,0)</f>
        <v>Replacement</v>
      </c>
      <c r="AV453" s="7" t="str">
        <f>IFERROR(VLOOKUP($AQ453,Mapping!$E$208:$K$236,5,0),"Contracts")</f>
        <v>Materials</v>
      </c>
      <c r="AW453" s="7" t="str">
        <f>IFERROR(VLOOKUP($AQ453,Mapping!$E$208:$K$236,7,0),"ENDirect")</f>
        <v>ENDirect</v>
      </c>
      <c r="AX453" s="7" t="str">
        <f>IFERROR(HLOOKUP(AV453,'Calc|Weightings'!$U$5:$W$5,1,0),"Excl")</f>
        <v>Materials</v>
      </c>
      <c r="AY453" s="7" t="str">
        <f>VLOOKUP(AO453,Mapping!$E$11:$I$204,5,0)</f>
        <v>SCS</v>
      </c>
    </row>
    <row r="454" spans="1:51" x14ac:dyDescent="0.3">
      <c r="A454" s="7"/>
      <c r="B454" s="7"/>
      <c r="C454" s="7"/>
      <c r="D454" s="7"/>
      <c r="E454" s="32" t="s">
        <v>152</v>
      </c>
      <c r="F454" s="32"/>
      <c r="G454" s="32">
        <v>70815</v>
      </c>
      <c r="H454" s="32" t="s">
        <v>451</v>
      </c>
      <c r="I454" s="33">
        <v>2.3679999999999999</v>
      </c>
      <c r="J454" s="170"/>
      <c r="K454" s="7" t="str">
        <f>VLOOKUP($E454,Mapping!$E$11:$I$204,3,0)</f>
        <v>Augmentation</v>
      </c>
      <c r="L454" s="7" t="str">
        <f>IFERROR(VLOOKUP($G454,Mapping!$E$208:$K$236,5,0),"Contracts")</f>
        <v>Materials</v>
      </c>
      <c r="M454" s="7" t="str">
        <f>IFERROR(VLOOKUP($G454,Mapping!$E$208:$K$236,7,0),"ENDirect")</f>
        <v>ENDirect</v>
      </c>
      <c r="N454" s="7" t="str">
        <f>IFERROR(HLOOKUP(L454,'Calc|Weightings'!$U$5:$W$5,1,0),"Excl")</f>
        <v>Materials</v>
      </c>
      <c r="O454" s="7" t="str">
        <f>VLOOKUP(E454,Mapping!$E$11:$I$204,5,0)</f>
        <v>SCS</v>
      </c>
      <c r="Q454" s="32" t="s">
        <v>155</v>
      </c>
      <c r="R454" s="32"/>
      <c r="S454" s="32">
        <v>71055</v>
      </c>
      <c r="T454" s="32" t="s">
        <v>465</v>
      </c>
      <c r="U454" s="33">
        <v>64.62</v>
      </c>
      <c r="V454" s="7"/>
      <c r="W454" s="7" t="str">
        <f>VLOOKUP($Q454,Mapping!$E$11:$I$204,3,0)</f>
        <v>Replacement</v>
      </c>
      <c r="X454" s="7" t="str">
        <f>IFERROR(VLOOKUP($S454,Mapping!$E$208:$K$236,5,0),"Contracts")</f>
        <v>Contracts</v>
      </c>
      <c r="Y454" s="7" t="str">
        <f>IFERROR(VLOOKUP($S454,Mapping!$E$208:$K$236,7,0),"ENDirect")</f>
        <v>ENDirect</v>
      </c>
      <c r="Z454" s="7" t="str">
        <f>IFERROR(HLOOKUP(X454,'Calc|Weightings'!$U$5:$W$5,1,0),"Excl")</f>
        <v>Contracts</v>
      </c>
      <c r="AA454" s="7" t="str">
        <f>VLOOKUP(Q454,Mapping!$E$11:$I$204,5,0)</f>
        <v>SCS</v>
      </c>
      <c r="AC454" s="35" t="s">
        <v>146</v>
      </c>
      <c r="AD454" s="35"/>
      <c r="AE454" s="35">
        <v>71010</v>
      </c>
      <c r="AF454" s="35" t="s">
        <v>462</v>
      </c>
      <c r="AG454" s="36">
        <v>1.7999999999999999E-2</v>
      </c>
      <c r="AI454" s="7" t="str">
        <f>VLOOKUP($AC454,Mapping!$E$11:$I$204,3,0)</f>
        <v>VBRC</v>
      </c>
      <c r="AJ454" s="7" t="str">
        <f>IFERROR(VLOOKUP($AE454,Mapping!$E$208:$K$236,5,0),"Contracts")</f>
        <v>Labour</v>
      </c>
      <c r="AK454" s="7" t="str">
        <f>IFERROR(VLOOKUP($AE454,Mapping!$E$208:$K$236,7,0),"ENDirect")</f>
        <v>ENDirect</v>
      </c>
      <c r="AL454" s="7" t="str">
        <f>IFERROR(HLOOKUP(AJ454,'Calc|Weightings'!$U$5:$W$5,1,0),"Excl")</f>
        <v>Labour</v>
      </c>
      <c r="AM454" s="7" t="str">
        <f>VLOOKUP(AC454,Mapping!$E$11:$I$204,5,0)</f>
        <v>SCS</v>
      </c>
      <c r="AO454" s="35" t="s">
        <v>164</v>
      </c>
      <c r="AP454" s="35"/>
      <c r="AQ454" s="35">
        <v>71030</v>
      </c>
      <c r="AR454" s="35" t="s">
        <v>464</v>
      </c>
      <c r="AS454" s="121">
        <v>1.11992</v>
      </c>
      <c r="AU454" s="7" t="str">
        <f>VLOOKUP($AO454,Mapping!$E$11:$I$204,3,0)</f>
        <v>Replacement</v>
      </c>
      <c r="AV454" s="7" t="str">
        <f>IFERROR(VLOOKUP($AQ454,Mapping!$E$208:$K$236,5,0),"Contracts")</f>
        <v>Contracts</v>
      </c>
      <c r="AW454" s="7" t="str">
        <f>IFERROR(VLOOKUP($AQ454,Mapping!$E$208:$K$236,7,0),"ENDirect")</f>
        <v>ENDirect</v>
      </c>
      <c r="AX454" s="7" t="str">
        <f>IFERROR(HLOOKUP(AV454,'Calc|Weightings'!$U$5:$W$5,1,0),"Excl")</f>
        <v>Contracts</v>
      </c>
      <c r="AY454" s="7" t="str">
        <f>VLOOKUP(AO454,Mapping!$E$11:$I$204,5,0)</f>
        <v>SCS</v>
      </c>
    </row>
    <row r="455" spans="1:51" x14ac:dyDescent="0.3">
      <c r="A455" s="7"/>
      <c r="B455" s="7"/>
      <c r="C455" s="7"/>
      <c r="D455" s="7"/>
      <c r="E455" s="32" t="s">
        <v>152</v>
      </c>
      <c r="F455" s="32"/>
      <c r="G455" s="32">
        <v>71000</v>
      </c>
      <c r="H455" s="32" t="s">
        <v>457</v>
      </c>
      <c r="I455" s="33">
        <v>275.44499999999999</v>
      </c>
      <c r="J455" s="170"/>
      <c r="K455" s="7" t="str">
        <f>VLOOKUP($E455,Mapping!$E$11:$I$204,3,0)</f>
        <v>Augmentation</v>
      </c>
      <c r="L455" s="7" t="str">
        <f>IFERROR(VLOOKUP($G455,Mapping!$E$208:$K$236,5,0),"Contracts")</f>
        <v>Labour</v>
      </c>
      <c r="M455" s="7" t="str">
        <f>IFERROR(VLOOKUP($G455,Mapping!$E$208:$K$236,7,0),"ENDirect")</f>
        <v>ENDirect</v>
      </c>
      <c r="N455" s="7" t="str">
        <f>IFERROR(HLOOKUP(L455,'Calc|Weightings'!$U$5:$W$5,1,0),"Excl")</f>
        <v>Labour</v>
      </c>
      <c r="O455" s="7" t="str">
        <f>VLOOKUP(E455,Mapping!$E$11:$I$204,5,0)</f>
        <v>SCS</v>
      </c>
      <c r="Q455" s="32" t="s">
        <v>155</v>
      </c>
      <c r="R455" s="32"/>
      <c r="S455" s="32">
        <v>80000</v>
      </c>
      <c r="T455" s="32" t="s">
        <v>453</v>
      </c>
      <c r="U455" s="33">
        <v>108.758</v>
      </c>
      <c r="V455" s="7"/>
      <c r="W455" s="7" t="str">
        <f>VLOOKUP($Q455,Mapping!$E$11:$I$204,3,0)</f>
        <v>Replacement</v>
      </c>
      <c r="X455" s="7" t="str">
        <f>IFERROR(VLOOKUP($S455,Mapping!$E$208:$K$236,5,0),"Contracts")</f>
        <v>Overhead</v>
      </c>
      <c r="Y455" s="7" t="str">
        <f>IFERROR(VLOOKUP($S455,Mapping!$E$208:$K$236,7,0),"ENDirect")</f>
        <v>OH</v>
      </c>
      <c r="Z455" s="7" t="str">
        <f>IFERROR(HLOOKUP(X455,'Calc|Weightings'!$U$5:$W$5,1,0),"Excl")</f>
        <v>Excl</v>
      </c>
      <c r="AA455" s="7" t="str">
        <f>VLOOKUP(Q455,Mapping!$E$11:$I$204,5,0)</f>
        <v>SCS</v>
      </c>
      <c r="AC455" s="35" t="s">
        <v>146</v>
      </c>
      <c r="AD455" s="35"/>
      <c r="AE455" s="35">
        <v>71015</v>
      </c>
      <c r="AF455" s="35" t="s">
        <v>463</v>
      </c>
      <c r="AG455" s="36">
        <v>0.154</v>
      </c>
      <c r="AI455" s="7" t="str">
        <f>VLOOKUP($AC455,Mapping!$E$11:$I$204,3,0)</f>
        <v>VBRC</v>
      </c>
      <c r="AJ455" s="7" t="str">
        <f>IFERROR(VLOOKUP($AE455,Mapping!$E$208:$K$236,5,0),"Contracts")</f>
        <v>Materials</v>
      </c>
      <c r="AK455" s="7" t="str">
        <f>IFERROR(VLOOKUP($AE455,Mapping!$E$208:$K$236,7,0),"ENDirect")</f>
        <v>ENDirect</v>
      </c>
      <c r="AL455" s="7" t="str">
        <f>IFERROR(HLOOKUP(AJ455,'Calc|Weightings'!$U$5:$W$5,1,0),"Excl")</f>
        <v>Materials</v>
      </c>
      <c r="AM455" s="7" t="str">
        <f>VLOOKUP(AC455,Mapping!$E$11:$I$204,5,0)</f>
        <v>SCS</v>
      </c>
      <c r="AO455" s="35" t="s">
        <v>164</v>
      </c>
      <c r="AP455" s="35"/>
      <c r="AQ455" s="35">
        <v>71055</v>
      </c>
      <c r="AR455" s="35" t="s">
        <v>465</v>
      </c>
      <c r="AS455" s="121">
        <v>1.39428</v>
      </c>
      <c r="AU455" s="7" t="str">
        <f>VLOOKUP($AO455,Mapping!$E$11:$I$204,3,0)</f>
        <v>Replacement</v>
      </c>
      <c r="AV455" s="7" t="str">
        <f>IFERROR(VLOOKUP($AQ455,Mapping!$E$208:$K$236,5,0),"Contracts")</f>
        <v>Contracts</v>
      </c>
      <c r="AW455" s="7" t="str">
        <f>IFERROR(VLOOKUP($AQ455,Mapping!$E$208:$K$236,7,0),"ENDirect")</f>
        <v>ENDirect</v>
      </c>
      <c r="AX455" s="7" t="str">
        <f>IFERROR(HLOOKUP(AV455,'Calc|Weightings'!$U$5:$W$5,1,0),"Excl")</f>
        <v>Contracts</v>
      </c>
      <c r="AY455" s="7" t="str">
        <f>VLOOKUP(AO455,Mapping!$E$11:$I$204,5,0)</f>
        <v>SCS</v>
      </c>
    </row>
    <row r="456" spans="1:51" x14ac:dyDescent="0.3">
      <c r="A456" s="7"/>
      <c r="B456" s="7"/>
      <c r="C456" s="7"/>
      <c r="D456" s="7"/>
      <c r="E456" s="32" t="s">
        <v>152</v>
      </c>
      <c r="F456" s="32"/>
      <c r="G456" s="32">
        <v>71005</v>
      </c>
      <c r="H456" s="32" t="s">
        <v>461</v>
      </c>
      <c r="I456" s="33">
        <v>280.62900000000002</v>
      </c>
      <c r="J456" s="170"/>
      <c r="K456" s="7" t="str">
        <f>VLOOKUP($E456,Mapping!$E$11:$I$204,3,0)</f>
        <v>Augmentation</v>
      </c>
      <c r="L456" s="7" t="str">
        <f>IFERROR(VLOOKUP($G456,Mapping!$E$208:$K$236,5,0),"Contracts")</f>
        <v>Materials</v>
      </c>
      <c r="M456" s="7" t="str">
        <f>IFERROR(VLOOKUP($G456,Mapping!$E$208:$K$236,7,0),"ENDirect")</f>
        <v>ENDirect</v>
      </c>
      <c r="N456" s="7" t="str">
        <f>IFERROR(HLOOKUP(L456,'Calc|Weightings'!$U$5:$W$5,1,0),"Excl")</f>
        <v>Materials</v>
      </c>
      <c r="O456" s="7" t="str">
        <f>VLOOKUP(E456,Mapping!$E$11:$I$204,5,0)</f>
        <v>SCS</v>
      </c>
      <c r="Q456" s="32" t="s">
        <v>155</v>
      </c>
      <c r="R456" s="32"/>
      <c r="S456" s="32">
        <v>89999</v>
      </c>
      <c r="T456" s="32" t="s">
        <v>471</v>
      </c>
      <c r="U456" s="33">
        <v>0</v>
      </c>
      <c r="V456" s="7"/>
      <c r="W456" s="7" t="str">
        <f>VLOOKUP($Q456,Mapping!$E$11:$I$204,3,0)</f>
        <v>Replacement</v>
      </c>
      <c r="X456" s="7" t="str">
        <f>IFERROR(VLOOKUP($S456,Mapping!$E$208:$K$236,5,0),"Contracts")</f>
        <v>Contracts</v>
      </c>
      <c r="Y456" s="7" t="str">
        <f>IFERROR(VLOOKUP($S456,Mapping!$E$208:$K$236,7,0),"ENDirect")</f>
        <v>ENDirect</v>
      </c>
      <c r="Z456" s="7" t="str">
        <f>IFERROR(HLOOKUP(X456,'Calc|Weightings'!$U$5:$W$5,1,0),"Excl")</f>
        <v>Contracts</v>
      </c>
      <c r="AA456" s="7" t="str">
        <f>VLOOKUP(Q456,Mapping!$E$11:$I$204,5,0)</f>
        <v>SCS</v>
      </c>
      <c r="AC456" s="35" t="s">
        <v>146</v>
      </c>
      <c r="AD456" s="35"/>
      <c r="AE456" s="35">
        <v>71030</v>
      </c>
      <c r="AF456" s="35" t="s">
        <v>464</v>
      </c>
      <c r="AG456" s="36">
        <v>7.4999999999999997E-2</v>
      </c>
      <c r="AI456" s="7" t="str">
        <f>VLOOKUP($AC456,Mapping!$E$11:$I$204,3,0)</f>
        <v>VBRC</v>
      </c>
      <c r="AJ456" s="7" t="str">
        <f>IFERROR(VLOOKUP($AE456,Mapping!$E$208:$K$236,5,0),"Contracts")</f>
        <v>Contracts</v>
      </c>
      <c r="AK456" s="7" t="str">
        <f>IFERROR(VLOOKUP($AE456,Mapping!$E$208:$K$236,7,0),"ENDirect")</f>
        <v>ENDirect</v>
      </c>
      <c r="AL456" s="7" t="str">
        <f>IFERROR(HLOOKUP(AJ456,'Calc|Weightings'!$U$5:$W$5,1,0),"Excl")</f>
        <v>Contracts</v>
      </c>
      <c r="AM456" s="7" t="str">
        <f>VLOOKUP(AC456,Mapping!$E$11:$I$204,5,0)</f>
        <v>SCS</v>
      </c>
      <c r="AO456" s="35" t="s">
        <v>164</v>
      </c>
      <c r="AP456" s="35"/>
      <c r="AQ456" s="35">
        <v>71075</v>
      </c>
      <c r="AR456" s="35" t="s">
        <v>587</v>
      </c>
      <c r="AS456" s="121">
        <v>9.8650999999999982</v>
      </c>
      <c r="AU456" s="7" t="str">
        <f>VLOOKUP($AO456,Mapping!$E$11:$I$204,3,0)</f>
        <v>Replacement</v>
      </c>
      <c r="AV456" s="7" t="str">
        <f>IFERROR(VLOOKUP($AQ456,Mapping!$E$208:$K$236,5,0),"Contracts")</f>
        <v>Contracts</v>
      </c>
      <c r="AW456" s="7" t="str">
        <f>IFERROR(VLOOKUP($AQ456,Mapping!$E$208:$K$236,7,0),"ENDirect")</f>
        <v>ENDirect</v>
      </c>
      <c r="AX456" s="7" t="str">
        <f>IFERROR(HLOOKUP(AV456,'Calc|Weightings'!$U$5:$W$5,1,0),"Excl")</f>
        <v>Contracts</v>
      </c>
      <c r="AY456" s="7" t="str">
        <f>VLOOKUP(AO456,Mapping!$E$11:$I$204,5,0)</f>
        <v>SCS</v>
      </c>
    </row>
    <row r="457" spans="1:51" x14ac:dyDescent="0.3">
      <c r="A457" s="7"/>
      <c r="B457" s="7"/>
      <c r="C457" s="7"/>
      <c r="D457" s="7"/>
      <c r="E457" s="32" t="s">
        <v>152</v>
      </c>
      <c r="F457" s="32"/>
      <c r="G457" s="32">
        <v>71010</v>
      </c>
      <c r="H457" s="32" t="s">
        <v>462</v>
      </c>
      <c r="I457" s="33">
        <v>242.01300000000001</v>
      </c>
      <c r="J457" s="170"/>
      <c r="K457" s="7" t="str">
        <f>VLOOKUP($E457,Mapping!$E$11:$I$204,3,0)</f>
        <v>Augmentation</v>
      </c>
      <c r="L457" s="7" t="str">
        <f>IFERROR(VLOOKUP($G457,Mapping!$E$208:$K$236,5,0),"Contracts")</f>
        <v>Labour</v>
      </c>
      <c r="M457" s="7" t="str">
        <f>IFERROR(VLOOKUP($G457,Mapping!$E$208:$K$236,7,0),"ENDirect")</f>
        <v>ENDirect</v>
      </c>
      <c r="N457" s="7" t="str">
        <f>IFERROR(HLOOKUP(L457,'Calc|Weightings'!$U$5:$W$5,1,0),"Excl")</f>
        <v>Labour</v>
      </c>
      <c r="O457" s="7" t="str">
        <f>VLOOKUP(E457,Mapping!$E$11:$I$204,5,0)</f>
        <v>SCS</v>
      </c>
      <c r="Q457" s="32" t="s">
        <v>156</v>
      </c>
      <c r="R457" s="32"/>
      <c r="S457" s="32">
        <v>71000</v>
      </c>
      <c r="T457" s="32" t="s">
        <v>457</v>
      </c>
      <c r="U457" s="33">
        <v>113.515</v>
      </c>
      <c r="V457" s="7"/>
      <c r="W457" s="7" t="str">
        <f>VLOOKUP($Q457,Mapping!$E$11:$I$204,3,0)</f>
        <v>VBRC</v>
      </c>
      <c r="X457" s="7" t="str">
        <f>IFERROR(VLOOKUP($S457,Mapping!$E$208:$K$236,5,0),"Contracts")</f>
        <v>Labour</v>
      </c>
      <c r="Y457" s="7" t="str">
        <f>IFERROR(VLOOKUP($S457,Mapping!$E$208:$K$236,7,0),"ENDirect")</f>
        <v>ENDirect</v>
      </c>
      <c r="Z457" s="7" t="str">
        <f>IFERROR(HLOOKUP(X457,'Calc|Weightings'!$U$5:$W$5,1,0),"Excl")</f>
        <v>Labour</v>
      </c>
      <c r="AA457" s="7" t="str">
        <f>VLOOKUP(Q457,Mapping!$E$11:$I$204,5,0)</f>
        <v>SCS</v>
      </c>
      <c r="AC457" s="35" t="s">
        <v>146</v>
      </c>
      <c r="AD457" s="35"/>
      <c r="AE457" s="35">
        <v>71055</v>
      </c>
      <c r="AF457" s="35" t="s">
        <v>465</v>
      </c>
      <c r="AG457" s="36">
        <v>0.13200000000000001</v>
      </c>
      <c r="AI457" s="7" t="str">
        <f>VLOOKUP($AC457,Mapping!$E$11:$I$204,3,0)</f>
        <v>VBRC</v>
      </c>
      <c r="AJ457" s="7" t="str">
        <f>IFERROR(VLOOKUP($AE457,Mapping!$E$208:$K$236,5,0),"Contracts")</f>
        <v>Contracts</v>
      </c>
      <c r="AK457" s="7" t="str">
        <f>IFERROR(VLOOKUP($AE457,Mapping!$E$208:$K$236,7,0),"ENDirect")</f>
        <v>ENDirect</v>
      </c>
      <c r="AL457" s="7" t="str">
        <f>IFERROR(HLOOKUP(AJ457,'Calc|Weightings'!$U$5:$W$5,1,0),"Excl")</f>
        <v>Contracts</v>
      </c>
      <c r="AM457" s="7" t="str">
        <f>VLOOKUP(AC457,Mapping!$E$11:$I$204,5,0)</f>
        <v>SCS</v>
      </c>
      <c r="AO457" s="35" t="s">
        <v>164</v>
      </c>
      <c r="AP457" s="35"/>
      <c r="AQ457" s="35">
        <v>80000</v>
      </c>
      <c r="AR457" s="35" t="s">
        <v>589</v>
      </c>
      <c r="AS457" s="121">
        <v>30.478959999999997</v>
      </c>
      <c r="AU457" s="7" t="str">
        <f>VLOOKUP($AO457,Mapping!$E$11:$I$204,3,0)</f>
        <v>Replacement</v>
      </c>
      <c r="AV457" s="7" t="str">
        <f>IFERROR(VLOOKUP($AQ457,Mapping!$E$208:$K$236,5,0),"Contracts")</f>
        <v>Overhead</v>
      </c>
      <c r="AW457" s="7" t="str">
        <f>IFERROR(VLOOKUP($AQ457,Mapping!$E$208:$K$236,7,0),"ENDirect")</f>
        <v>OH</v>
      </c>
      <c r="AX457" s="7" t="str">
        <f>IFERROR(HLOOKUP(AV457,'Calc|Weightings'!$U$5:$W$5,1,0),"Excl")</f>
        <v>Excl</v>
      </c>
      <c r="AY457" s="7" t="str">
        <f>VLOOKUP(AO457,Mapping!$E$11:$I$204,5,0)</f>
        <v>SCS</v>
      </c>
    </row>
    <row r="458" spans="1:51" x14ac:dyDescent="0.3">
      <c r="A458" s="7"/>
      <c r="B458" s="7"/>
      <c r="C458" s="7"/>
      <c r="D458" s="7"/>
      <c r="E458" s="32" t="s">
        <v>152</v>
      </c>
      <c r="F458" s="32"/>
      <c r="G458" s="32">
        <v>71015</v>
      </c>
      <c r="H458" s="32" t="s">
        <v>463</v>
      </c>
      <c r="I458" s="33">
        <v>62.707000000000001</v>
      </c>
      <c r="J458" s="170"/>
      <c r="K458" s="7" t="str">
        <f>VLOOKUP($E458,Mapping!$E$11:$I$204,3,0)</f>
        <v>Augmentation</v>
      </c>
      <c r="L458" s="7" t="str">
        <f>IFERROR(VLOOKUP($G458,Mapping!$E$208:$K$236,5,0),"Contracts")</f>
        <v>Materials</v>
      </c>
      <c r="M458" s="7" t="str">
        <f>IFERROR(VLOOKUP($G458,Mapping!$E$208:$K$236,7,0),"ENDirect")</f>
        <v>ENDirect</v>
      </c>
      <c r="N458" s="7" t="str">
        <f>IFERROR(HLOOKUP(L458,'Calc|Weightings'!$U$5:$W$5,1,0),"Excl")</f>
        <v>Materials</v>
      </c>
      <c r="O458" s="7" t="str">
        <f>VLOOKUP(E458,Mapping!$E$11:$I$204,5,0)</f>
        <v>SCS</v>
      </c>
      <c r="Q458" s="32" t="s">
        <v>156</v>
      </c>
      <c r="R458" s="32"/>
      <c r="S458" s="32">
        <v>71005</v>
      </c>
      <c r="T458" s="32" t="s">
        <v>461</v>
      </c>
      <c r="U458" s="33">
        <v>28.937000000000001</v>
      </c>
      <c r="V458" s="7"/>
      <c r="W458" s="7" t="str">
        <f>VLOOKUP($Q458,Mapping!$E$11:$I$204,3,0)</f>
        <v>VBRC</v>
      </c>
      <c r="X458" s="7" t="str">
        <f>IFERROR(VLOOKUP($S458,Mapping!$E$208:$K$236,5,0),"Contracts")</f>
        <v>Materials</v>
      </c>
      <c r="Y458" s="7" t="str">
        <f>IFERROR(VLOOKUP($S458,Mapping!$E$208:$K$236,7,0),"ENDirect")</f>
        <v>ENDirect</v>
      </c>
      <c r="Z458" s="7" t="str">
        <f>IFERROR(HLOOKUP(X458,'Calc|Weightings'!$U$5:$W$5,1,0),"Excl")</f>
        <v>Materials</v>
      </c>
      <c r="AA458" s="7" t="str">
        <f>VLOOKUP(Q458,Mapping!$E$11:$I$204,5,0)</f>
        <v>SCS</v>
      </c>
      <c r="AC458" s="35" t="s">
        <v>146</v>
      </c>
      <c r="AD458" s="35"/>
      <c r="AE458" s="35">
        <v>80000</v>
      </c>
      <c r="AF458" s="35" t="s">
        <v>453</v>
      </c>
      <c r="AG458" s="36">
        <v>0.16600000000000001</v>
      </c>
      <c r="AI458" s="7" t="str">
        <f>VLOOKUP($AC458,Mapping!$E$11:$I$204,3,0)</f>
        <v>VBRC</v>
      </c>
      <c r="AJ458" s="7" t="str">
        <f>IFERROR(VLOOKUP($AE458,Mapping!$E$208:$K$236,5,0),"Contracts")</f>
        <v>Overhead</v>
      </c>
      <c r="AK458" s="7" t="str">
        <f>IFERROR(VLOOKUP($AE458,Mapping!$E$208:$K$236,7,0),"ENDirect")</f>
        <v>OH</v>
      </c>
      <c r="AL458" s="7" t="str">
        <f>IFERROR(HLOOKUP(AJ458,'Calc|Weightings'!$U$5:$W$5,1,0),"Excl")</f>
        <v>Excl</v>
      </c>
      <c r="AM458" s="7" t="str">
        <f>VLOOKUP(AC458,Mapping!$E$11:$I$204,5,0)</f>
        <v>SCS</v>
      </c>
      <c r="AO458" s="35" t="s">
        <v>164</v>
      </c>
      <c r="AP458" s="35"/>
      <c r="AQ458" s="35">
        <v>83010</v>
      </c>
      <c r="AR458" s="35" t="s">
        <v>591</v>
      </c>
      <c r="AS458" s="121">
        <v>77.263669999999991</v>
      </c>
      <c r="AU458" s="7" t="str">
        <f>VLOOKUP($AO458,Mapping!$E$11:$I$204,3,0)</f>
        <v>Replacement</v>
      </c>
      <c r="AV458" s="7" t="str">
        <f>IFERROR(VLOOKUP($AQ458,Mapping!$E$208:$K$236,5,0),"Contracts")</f>
        <v>Contracts</v>
      </c>
      <c r="AW458" s="7" t="str">
        <f>IFERROR(VLOOKUP($AQ458,Mapping!$E$208:$K$236,7,0),"ENDirect")</f>
        <v>ENDirect</v>
      </c>
      <c r="AX458" s="7" t="str">
        <f>IFERROR(HLOOKUP(AV458,'Calc|Weightings'!$U$5:$W$5,1,0),"Excl")</f>
        <v>Contracts</v>
      </c>
      <c r="AY458" s="7" t="str">
        <f>VLOOKUP(AO458,Mapping!$E$11:$I$204,5,0)</f>
        <v>SCS</v>
      </c>
    </row>
    <row r="459" spans="1:51" x14ac:dyDescent="0.3">
      <c r="A459" s="7"/>
      <c r="B459" s="7"/>
      <c r="C459" s="7"/>
      <c r="D459" s="7"/>
      <c r="E459" s="32" t="s">
        <v>152</v>
      </c>
      <c r="F459" s="32"/>
      <c r="G459" s="32">
        <v>71030</v>
      </c>
      <c r="H459" s="32" t="s">
        <v>464</v>
      </c>
      <c r="I459" s="33">
        <v>69.495999999999995</v>
      </c>
      <c r="J459" s="170"/>
      <c r="K459" s="7" t="str">
        <f>VLOOKUP($E459,Mapping!$E$11:$I$204,3,0)</f>
        <v>Augmentation</v>
      </c>
      <c r="L459" s="7" t="str">
        <f>IFERROR(VLOOKUP($G459,Mapping!$E$208:$K$236,5,0),"Contracts")</f>
        <v>Contracts</v>
      </c>
      <c r="M459" s="7" t="str">
        <f>IFERROR(VLOOKUP($G459,Mapping!$E$208:$K$236,7,0),"ENDirect")</f>
        <v>ENDirect</v>
      </c>
      <c r="N459" s="7" t="str">
        <f>IFERROR(HLOOKUP(L459,'Calc|Weightings'!$U$5:$W$5,1,0),"Excl")</f>
        <v>Contracts</v>
      </c>
      <c r="O459" s="7" t="str">
        <f>VLOOKUP(E459,Mapping!$E$11:$I$204,5,0)</f>
        <v>SCS</v>
      </c>
      <c r="Q459" s="32" t="s">
        <v>156</v>
      </c>
      <c r="R459" s="32"/>
      <c r="S459" s="32">
        <v>71010</v>
      </c>
      <c r="T459" s="32" t="s">
        <v>462</v>
      </c>
      <c r="U459" s="33">
        <v>26.738</v>
      </c>
      <c r="V459" s="7"/>
      <c r="W459" s="7" t="str">
        <f>VLOOKUP($Q459,Mapping!$E$11:$I$204,3,0)</f>
        <v>VBRC</v>
      </c>
      <c r="X459" s="7" t="str">
        <f>IFERROR(VLOOKUP($S459,Mapping!$E$208:$K$236,5,0),"Contracts")</f>
        <v>Labour</v>
      </c>
      <c r="Y459" s="7" t="str">
        <f>IFERROR(VLOOKUP($S459,Mapping!$E$208:$K$236,7,0),"ENDirect")</f>
        <v>ENDirect</v>
      </c>
      <c r="Z459" s="7" t="str">
        <f>IFERROR(HLOOKUP(X459,'Calc|Weightings'!$U$5:$W$5,1,0),"Excl")</f>
        <v>Labour</v>
      </c>
      <c r="AA459" s="7" t="str">
        <f>VLOOKUP(Q459,Mapping!$E$11:$I$204,5,0)</f>
        <v>SCS</v>
      </c>
      <c r="AC459" s="35" t="s">
        <v>146</v>
      </c>
      <c r="AD459" s="35"/>
      <c r="AE459" s="35">
        <v>89999</v>
      </c>
      <c r="AF459" s="35" t="s">
        <v>471</v>
      </c>
      <c r="AG459" s="36">
        <v>0</v>
      </c>
      <c r="AI459" s="7" t="str">
        <f>VLOOKUP($AC459,Mapping!$E$11:$I$204,3,0)</f>
        <v>VBRC</v>
      </c>
      <c r="AJ459" s="7" t="str">
        <f>IFERROR(VLOOKUP($AE459,Mapping!$E$208:$K$236,5,0),"Contracts")</f>
        <v>Contracts</v>
      </c>
      <c r="AK459" s="7" t="str">
        <f>IFERROR(VLOOKUP($AE459,Mapping!$E$208:$K$236,7,0),"ENDirect")</f>
        <v>ENDirect</v>
      </c>
      <c r="AL459" s="7" t="str">
        <f>IFERROR(HLOOKUP(AJ459,'Calc|Weightings'!$U$5:$W$5,1,0),"Excl")</f>
        <v>Contracts</v>
      </c>
      <c r="AM459" s="7" t="str">
        <f>VLOOKUP(AC459,Mapping!$E$11:$I$204,5,0)</f>
        <v>SCS</v>
      </c>
      <c r="AO459" s="35" t="s">
        <v>165</v>
      </c>
      <c r="AP459" s="35"/>
      <c r="AQ459" s="35">
        <v>71000</v>
      </c>
      <c r="AR459" s="35" t="s">
        <v>457</v>
      </c>
      <c r="AS459" s="121">
        <v>21.47261</v>
      </c>
      <c r="AU459" s="7" t="str">
        <f>VLOOKUP($AO459,Mapping!$E$11:$I$204,3,0)</f>
        <v>Replacement</v>
      </c>
      <c r="AV459" s="7" t="str">
        <f>IFERROR(VLOOKUP($AQ459,Mapping!$E$208:$K$236,5,0),"Contracts")</f>
        <v>Labour</v>
      </c>
      <c r="AW459" s="7" t="str">
        <f>IFERROR(VLOOKUP($AQ459,Mapping!$E$208:$K$236,7,0),"ENDirect")</f>
        <v>ENDirect</v>
      </c>
      <c r="AX459" s="7" t="str">
        <f>IFERROR(HLOOKUP(AV459,'Calc|Weightings'!$U$5:$W$5,1,0),"Excl")</f>
        <v>Labour</v>
      </c>
      <c r="AY459" s="7" t="str">
        <f>VLOOKUP(AO459,Mapping!$E$11:$I$204,5,0)</f>
        <v>SCS</v>
      </c>
    </row>
    <row r="460" spans="1:51" x14ac:dyDescent="0.3">
      <c r="A460" s="7"/>
      <c r="B460" s="7"/>
      <c r="C460" s="7"/>
      <c r="D460" s="7"/>
      <c r="E460" s="32" t="s">
        <v>152</v>
      </c>
      <c r="F460" s="32"/>
      <c r="G460" s="32">
        <v>71055</v>
      </c>
      <c r="H460" s="32" t="s">
        <v>465</v>
      </c>
      <c r="I460" s="33">
        <v>129.48400000000001</v>
      </c>
      <c r="J460" s="170"/>
      <c r="K460" s="7" t="str">
        <f>VLOOKUP($E460,Mapping!$E$11:$I$204,3,0)</f>
        <v>Augmentation</v>
      </c>
      <c r="L460" s="7" t="str">
        <f>IFERROR(VLOOKUP($G460,Mapping!$E$208:$K$236,5,0),"Contracts")</f>
        <v>Contracts</v>
      </c>
      <c r="M460" s="7" t="str">
        <f>IFERROR(VLOOKUP($G460,Mapping!$E$208:$K$236,7,0),"ENDirect")</f>
        <v>ENDirect</v>
      </c>
      <c r="N460" s="7" t="str">
        <f>IFERROR(HLOOKUP(L460,'Calc|Weightings'!$U$5:$W$5,1,0),"Excl")</f>
        <v>Contracts</v>
      </c>
      <c r="O460" s="7" t="str">
        <f>VLOOKUP(E460,Mapping!$E$11:$I$204,5,0)</f>
        <v>SCS</v>
      </c>
      <c r="Q460" s="32" t="s">
        <v>156</v>
      </c>
      <c r="R460" s="32"/>
      <c r="S460" s="32">
        <v>71015</v>
      </c>
      <c r="T460" s="32" t="s">
        <v>463</v>
      </c>
      <c r="U460" s="33">
        <v>27.584</v>
      </c>
      <c r="V460" s="7"/>
      <c r="W460" s="7" t="str">
        <f>VLOOKUP($Q460,Mapping!$E$11:$I$204,3,0)</f>
        <v>VBRC</v>
      </c>
      <c r="X460" s="7" t="str">
        <f>IFERROR(VLOOKUP($S460,Mapping!$E$208:$K$236,5,0),"Contracts")</f>
        <v>Materials</v>
      </c>
      <c r="Y460" s="7" t="str">
        <f>IFERROR(VLOOKUP($S460,Mapping!$E$208:$K$236,7,0),"ENDirect")</f>
        <v>ENDirect</v>
      </c>
      <c r="Z460" s="7" t="str">
        <f>IFERROR(HLOOKUP(X460,'Calc|Weightings'!$U$5:$W$5,1,0),"Excl")</f>
        <v>Materials</v>
      </c>
      <c r="AA460" s="7" t="str">
        <f>VLOOKUP(Q460,Mapping!$E$11:$I$204,5,0)</f>
        <v>SCS</v>
      </c>
      <c r="AC460" s="35" t="s">
        <v>149</v>
      </c>
      <c r="AD460" s="35"/>
      <c r="AE460" s="35">
        <v>71000</v>
      </c>
      <c r="AF460" s="35" t="s">
        <v>457</v>
      </c>
      <c r="AG460" s="36">
        <v>110.01300000000001</v>
      </c>
      <c r="AI460" s="7" t="str">
        <f>VLOOKUP($AC460,Mapping!$E$11:$I$204,3,0)</f>
        <v>VBRC</v>
      </c>
      <c r="AJ460" s="7" t="str">
        <f>IFERROR(VLOOKUP($AE460,Mapping!$E$208:$K$236,5,0),"Contracts")</f>
        <v>Labour</v>
      </c>
      <c r="AK460" s="7" t="str">
        <f>IFERROR(VLOOKUP($AE460,Mapping!$E$208:$K$236,7,0),"ENDirect")</f>
        <v>ENDirect</v>
      </c>
      <c r="AL460" s="7" t="str">
        <f>IFERROR(HLOOKUP(AJ460,'Calc|Weightings'!$U$5:$W$5,1,0),"Excl")</f>
        <v>Labour</v>
      </c>
      <c r="AM460" s="7" t="str">
        <f>VLOOKUP(AC460,Mapping!$E$11:$I$204,5,0)</f>
        <v>SCS</v>
      </c>
      <c r="AO460" s="35" t="s">
        <v>165</v>
      </c>
      <c r="AP460" s="35"/>
      <c r="AQ460" s="35">
        <v>71005</v>
      </c>
      <c r="AR460" s="35" t="s">
        <v>461</v>
      </c>
      <c r="AS460" s="121">
        <v>3.7636299999999996</v>
      </c>
      <c r="AU460" s="7" t="str">
        <f>VLOOKUP($AO460,Mapping!$E$11:$I$204,3,0)</f>
        <v>Replacement</v>
      </c>
      <c r="AV460" s="7" t="str">
        <f>IFERROR(VLOOKUP($AQ460,Mapping!$E$208:$K$236,5,0),"Contracts")</f>
        <v>Materials</v>
      </c>
      <c r="AW460" s="7" t="str">
        <f>IFERROR(VLOOKUP($AQ460,Mapping!$E$208:$K$236,7,0),"ENDirect")</f>
        <v>ENDirect</v>
      </c>
      <c r="AX460" s="7" t="str">
        <f>IFERROR(HLOOKUP(AV460,'Calc|Weightings'!$U$5:$W$5,1,0),"Excl")</f>
        <v>Materials</v>
      </c>
      <c r="AY460" s="7" t="str">
        <f>VLOOKUP(AO460,Mapping!$E$11:$I$204,5,0)</f>
        <v>SCS</v>
      </c>
    </row>
    <row r="461" spans="1:51" x14ac:dyDescent="0.3">
      <c r="A461" s="7"/>
      <c r="B461" s="7"/>
      <c r="C461" s="7"/>
      <c r="D461" s="7"/>
      <c r="E461" s="32" t="s">
        <v>152</v>
      </c>
      <c r="F461" s="32"/>
      <c r="G461" s="32">
        <v>80000</v>
      </c>
      <c r="H461" s="32" t="s">
        <v>453</v>
      </c>
      <c r="I461" s="33">
        <v>105.205</v>
      </c>
      <c r="J461" s="170"/>
      <c r="K461" s="7" t="str">
        <f>VLOOKUP($E461,Mapping!$E$11:$I$204,3,0)</f>
        <v>Augmentation</v>
      </c>
      <c r="L461" s="7" t="str">
        <f>IFERROR(VLOOKUP($G461,Mapping!$E$208:$K$236,5,0),"Contracts")</f>
        <v>Overhead</v>
      </c>
      <c r="M461" s="7" t="str">
        <f>IFERROR(VLOOKUP($G461,Mapping!$E$208:$K$236,7,0),"ENDirect")</f>
        <v>OH</v>
      </c>
      <c r="N461" s="7" t="str">
        <f>IFERROR(HLOOKUP(L461,'Calc|Weightings'!$U$5:$W$5,1,0),"Excl")</f>
        <v>Excl</v>
      </c>
      <c r="O461" s="7" t="str">
        <f>VLOOKUP(E461,Mapping!$E$11:$I$204,5,0)</f>
        <v>SCS</v>
      </c>
      <c r="Q461" s="32" t="s">
        <v>156</v>
      </c>
      <c r="R461" s="32"/>
      <c r="S461" s="32">
        <v>71030</v>
      </c>
      <c r="T461" s="32" t="s">
        <v>464</v>
      </c>
      <c r="U461" s="33">
        <v>15.734</v>
      </c>
      <c r="V461" s="7"/>
      <c r="W461" s="7" t="str">
        <f>VLOOKUP($Q461,Mapping!$E$11:$I$204,3,0)</f>
        <v>VBRC</v>
      </c>
      <c r="X461" s="7" t="str">
        <f>IFERROR(VLOOKUP($S461,Mapping!$E$208:$K$236,5,0),"Contracts")</f>
        <v>Contracts</v>
      </c>
      <c r="Y461" s="7" t="str">
        <f>IFERROR(VLOOKUP($S461,Mapping!$E$208:$K$236,7,0),"ENDirect")</f>
        <v>ENDirect</v>
      </c>
      <c r="Z461" s="7" t="str">
        <f>IFERROR(HLOOKUP(X461,'Calc|Weightings'!$U$5:$W$5,1,0),"Excl")</f>
        <v>Contracts</v>
      </c>
      <c r="AA461" s="7" t="str">
        <f>VLOOKUP(Q461,Mapping!$E$11:$I$204,5,0)</f>
        <v>SCS</v>
      </c>
      <c r="AC461" s="35" t="s">
        <v>149</v>
      </c>
      <c r="AD461" s="35"/>
      <c r="AE461" s="35">
        <v>71005</v>
      </c>
      <c r="AF461" s="35" t="s">
        <v>461</v>
      </c>
      <c r="AG461" s="36">
        <v>8.7029999999999994</v>
      </c>
      <c r="AI461" s="7" t="str">
        <f>VLOOKUP($AC461,Mapping!$E$11:$I$204,3,0)</f>
        <v>VBRC</v>
      </c>
      <c r="AJ461" s="7" t="str">
        <f>IFERROR(VLOOKUP($AE461,Mapping!$E$208:$K$236,5,0),"Contracts")</f>
        <v>Materials</v>
      </c>
      <c r="AK461" s="7" t="str">
        <f>IFERROR(VLOOKUP($AE461,Mapping!$E$208:$K$236,7,0),"ENDirect")</f>
        <v>ENDirect</v>
      </c>
      <c r="AL461" s="7" t="str">
        <f>IFERROR(HLOOKUP(AJ461,'Calc|Weightings'!$U$5:$W$5,1,0),"Excl")</f>
        <v>Materials</v>
      </c>
      <c r="AM461" s="7" t="str">
        <f>VLOOKUP(AC461,Mapping!$E$11:$I$204,5,0)</f>
        <v>SCS</v>
      </c>
      <c r="AO461" s="35" t="s">
        <v>165</v>
      </c>
      <c r="AP461" s="35"/>
      <c r="AQ461" s="35">
        <v>71006</v>
      </c>
      <c r="AR461" s="35" t="s">
        <v>468</v>
      </c>
      <c r="AS461" s="121">
        <v>375.935</v>
      </c>
      <c r="AU461" s="7" t="str">
        <f>VLOOKUP($AO461,Mapping!$E$11:$I$204,3,0)</f>
        <v>Replacement</v>
      </c>
      <c r="AV461" s="7" t="str">
        <f>IFERROR(VLOOKUP($AQ461,Mapping!$E$208:$K$236,5,0),"Contracts")</f>
        <v>Materials</v>
      </c>
      <c r="AW461" s="7" t="str">
        <f>IFERROR(VLOOKUP($AQ461,Mapping!$E$208:$K$236,7,0),"ENDirect")</f>
        <v>ENDirect</v>
      </c>
      <c r="AX461" s="7" t="str">
        <f>IFERROR(HLOOKUP(AV461,'Calc|Weightings'!$U$5:$W$5,1,0),"Excl")</f>
        <v>Materials</v>
      </c>
      <c r="AY461" s="7" t="str">
        <f>VLOOKUP(AO461,Mapping!$E$11:$I$204,5,0)</f>
        <v>SCS</v>
      </c>
    </row>
    <row r="462" spans="1:51" x14ac:dyDescent="0.3">
      <c r="A462" s="7"/>
      <c r="B462" s="7"/>
      <c r="C462" s="7"/>
      <c r="D462" s="7"/>
      <c r="E462" s="32" t="s">
        <v>546</v>
      </c>
      <c r="F462" s="32"/>
      <c r="G462" s="32">
        <v>72345</v>
      </c>
      <c r="H462" s="32" t="s">
        <v>467</v>
      </c>
      <c r="I462" s="33">
        <v>36.006</v>
      </c>
      <c r="J462" s="170"/>
      <c r="K462" s="7" t="str">
        <f>VLOOKUP($E462,Mapping!$E$11:$I$204,3,0)</f>
        <v>Connections</v>
      </c>
      <c r="L462" s="7" t="str">
        <f>IFERROR(VLOOKUP($G462,Mapping!$E$208:$K$236,5,0),"Contracts")</f>
        <v>Contracts</v>
      </c>
      <c r="M462" s="7" t="str">
        <f>IFERROR(VLOOKUP($G462,Mapping!$E$208:$K$236,7,0),"ENDirect")</f>
        <v>ENDirect</v>
      </c>
      <c r="N462" s="7" t="str">
        <f>IFERROR(HLOOKUP(L462,'Calc|Weightings'!$U$5:$W$5,1,0),"Excl")</f>
        <v>Contracts</v>
      </c>
      <c r="O462" s="7" t="str">
        <f>VLOOKUP(E462,Mapping!$E$11:$I$204,5,0)</f>
        <v>SCS</v>
      </c>
      <c r="Q462" s="32" t="s">
        <v>156</v>
      </c>
      <c r="R462" s="32"/>
      <c r="S462" s="32">
        <v>71055</v>
      </c>
      <c r="T462" s="32" t="s">
        <v>465</v>
      </c>
      <c r="U462" s="33">
        <v>28</v>
      </c>
      <c r="V462" s="7"/>
      <c r="W462" s="7" t="str">
        <f>VLOOKUP($Q462,Mapping!$E$11:$I$204,3,0)</f>
        <v>VBRC</v>
      </c>
      <c r="X462" s="7" t="str">
        <f>IFERROR(VLOOKUP($S462,Mapping!$E$208:$K$236,5,0),"Contracts")</f>
        <v>Contracts</v>
      </c>
      <c r="Y462" s="7" t="str">
        <f>IFERROR(VLOOKUP($S462,Mapping!$E$208:$K$236,7,0),"ENDirect")</f>
        <v>ENDirect</v>
      </c>
      <c r="Z462" s="7" t="str">
        <f>IFERROR(HLOOKUP(X462,'Calc|Weightings'!$U$5:$W$5,1,0),"Excl")</f>
        <v>Contracts</v>
      </c>
      <c r="AA462" s="7" t="str">
        <f>VLOOKUP(Q462,Mapping!$E$11:$I$204,5,0)</f>
        <v>SCS</v>
      </c>
      <c r="AC462" s="35" t="s">
        <v>149</v>
      </c>
      <c r="AD462" s="35"/>
      <c r="AE462" s="35">
        <v>71010</v>
      </c>
      <c r="AF462" s="35" t="s">
        <v>462</v>
      </c>
      <c r="AG462" s="36">
        <v>20.649000000000001</v>
      </c>
      <c r="AI462" s="7" t="str">
        <f>VLOOKUP($AC462,Mapping!$E$11:$I$204,3,0)</f>
        <v>VBRC</v>
      </c>
      <c r="AJ462" s="7" t="str">
        <f>IFERROR(VLOOKUP($AE462,Mapping!$E$208:$K$236,5,0),"Contracts")</f>
        <v>Labour</v>
      </c>
      <c r="AK462" s="7" t="str">
        <f>IFERROR(VLOOKUP($AE462,Mapping!$E$208:$K$236,7,0),"ENDirect")</f>
        <v>ENDirect</v>
      </c>
      <c r="AL462" s="7" t="str">
        <f>IFERROR(HLOOKUP(AJ462,'Calc|Weightings'!$U$5:$W$5,1,0),"Excl")</f>
        <v>Labour</v>
      </c>
      <c r="AM462" s="7" t="str">
        <f>VLOOKUP(AC462,Mapping!$E$11:$I$204,5,0)</f>
        <v>SCS</v>
      </c>
      <c r="AO462" s="35" t="s">
        <v>165</v>
      </c>
      <c r="AP462" s="35"/>
      <c r="AQ462" s="35">
        <v>71010</v>
      </c>
      <c r="AR462" s="35" t="s">
        <v>487</v>
      </c>
      <c r="AS462" s="121">
        <v>5.0095000000000001</v>
      </c>
      <c r="AU462" s="7" t="str">
        <f>VLOOKUP($AO462,Mapping!$E$11:$I$204,3,0)</f>
        <v>Replacement</v>
      </c>
      <c r="AV462" s="7" t="str">
        <f>IFERROR(VLOOKUP($AQ462,Mapping!$E$208:$K$236,5,0),"Contracts")</f>
        <v>Labour</v>
      </c>
      <c r="AW462" s="7" t="str">
        <f>IFERROR(VLOOKUP($AQ462,Mapping!$E$208:$K$236,7,0),"ENDirect")</f>
        <v>ENDirect</v>
      </c>
      <c r="AX462" s="7" t="str">
        <f>IFERROR(HLOOKUP(AV462,'Calc|Weightings'!$U$5:$W$5,1,0),"Excl")</f>
        <v>Labour</v>
      </c>
      <c r="AY462" s="7" t="str">
        <f>VLOOKUP(AO462,Mapping!$E$11:$I$204,5,0)</f>
        <v>SCS</v>
      </c>
    </row>
    <row r="463" spans="1:51" x14ac:dyDescent="0.3">
      <c r="A463" s="7"/>
      <c r="B463" s="7"/>
      <c r="C463" s="7"/>
      <c r="D463" s="7"/>
      <c r="E463" s="32" t="s">
        <v>105</v>
      </c>
      <c r="F463" s="32"/>
      <c r="G463" s="32">
        <v>71000</v>
      </c>
      <c r="H463" s="32" t="s">
        <v>457</v>
      </c>
      <c r="I463" s="33">
        <v>1103.6669999999999</v>
      </c>
      <c r="J463" s="170"/>
      <c r="K463" s="7" t="str">
        <f>VLOOKUP($E463,Mapping!$E$11:$I$204,3,0)</f>
        <v>ACS</v>
      </c>
      <c r="L463" s="7" t="str">
        <f>IFERROR(VLOOKUP($G463,Mapping!$E$208:$K$236,5,0),"Contracts")</f>
        <v>Labour</v>
      </c>
      <c r="M463" s="7" t="str">
        <f>IFERROR(VLOOKUP($G463,Mapping!$E$208:$K$236,7,0),"ENDirect")</f>
        <v>ENDirect</v>
      </c>
      <c r="N463" s="7" t="str">
        <f>IFERROR(HLOOKUP(L463,'Calc|Weightings'!$U$5:$W$5,1,0),"Excl")</f>
        <v>Labour</v>
      </c>
      <c r="O463" s="7" t="str">
        <f>VLOOKUP(E463,Mapping!$E$11:$I$204,5,0)</f>
        <v>ACS</v>
      </c>
      <c r="Q463" s="32" t="s">
        <v>156</v>
      </c>
      <c r="R463" s="32"/>
      <c r="S463" s="32">
        <v>80000</v>
      </c>
      <c r="T463" s="32" t="s">
        <v>453</v>
      </c>
      <c r="U463" s="33">
        <v>28.957999999999998</v>
      </c>
      <c r="V463" s="7"/>
      <c r="W463" s="7" t="str">
        <f>VLOOKUP($Q463,Mapping!$E$11:$I$204,3,0)</f>
        <v>VBRC</v>
      </c>
      <c r="X463" s="7" t="str">
        <f>IFERROR(VLOOKUP($S463,Mapping!$E$208:$K$236,5,0),"Contracts")</f>
        <v>Overhead</v>
      </c>
      <c r="Y463" s="7" t="str">
        <f>IFERROR(VLOOKUP($S463,Mapping!$E$208:$K$236,7,0),"ENDirect")</f>
        <v>OH</v>
      </c>
      <c r="Z463" s="7" t="str">
        <f>IFERROR(HLOOKUP(X463,'Calc|Weightings'!$U$5:$W$5,1,0),"Excl")</f>
        <v>Excl</v>
      </c>
      <c r="AA463" s="7" t="str">
        <f>VLOOKUP(Q463,Mapping!$E$11:$I$204,5,0)</f>
        <v>SCS</v>
      </c>
      <c r="AC463" s="35" t="s">
        <v>149</v>
      </c>
      <c r="AD463" s="35"/>
      <c r="AE463" s="35">
        <v>71015</v>
      </c>
      <c r="AF463" s="35" t="s">
        <v>463</v>
      </c>
      <c r="AG463" s="36">
        <v>24.023</v>
      </c>
      <c r="AI463" s="7" t="str">
        <f>VLOOKUP($AC463,Mapping!$E$11:$I$204,3,0)</f>
        <v>VBRC</v>
      </c>
      <c r="AJ463" s="7" t="str">
        <f>IFERROR(VLOOKUP($AE463,Mapping!$E$208:$K$236,5,0),"Contracts")</f>
        <v>Materials</v>
      </c>
      <c r="AK463" s="7" t="str">
        <f>IFERROR(VLOOKUP($AE463,Mapping!$E$208:$K$236,7,0),"ENDirect")</f>
        <v>ENDirect</v>
      </c>
      <c r="AL463" s="7" t="str">
        <f>IFERROR(HLOOKUP(AJ463,'Calc|Weightings'!$U$5:$W$5,1,0),"Excl")</f>
        <v>Materials</v>
      </c>
      <c r="AM463" s="7" t="str">
        <f>VLOOKUP(AC463,Mapping!$E$11:$I$204,5,0)</f>
        <v>SCS</v>
      </c>
      <c r="AO463" s="35" t="s">
        <v>165</v>
      </c>
      <c r="AP463" s="35"/>
      <c r="AQ463" s="35">
        <v>71015</v>
      </c>
      <c r="AR463" s="35" t="s">
        <v>585</v>
      </c>
      <c r="AS463" s="121">
        <v>2.6719899999999996</v>
      </c>
      <c r="AU463" s="7" t="str">
        <f>VLOOKUP($AO463,Mapping!$E$11:$I$204,3,0)</f>
        <v>Replacement</v>
      </c>
      <c r="AV463" s="7" t="str">
        <f>IFERROR(VLOOKUP($AQ463,Mapping!$E$208:$K$236,5,0),"Contracts")</f>
        <v>Materials</v>
      </c>
      <c r="AW463" s="7" t="str">
        <f>IFERROR(VLOOKUP($AQ463,Mapping!$E$208:$K$236,7,0),"ENDirect")</f>
        <v>ENDirect</v>
      </c>
      <c r="AX463" s="7" t="str">
        <f>IFERROR(HLOOKUP(AV463,'Calc|Weightings'!$U$5:$W$5,1,0),"Excl")</f>
        <v>Materials</v>
      </c>
      <c r="AY463" s="7" t="str">
        <f>VLOOKUP(AO463,Mapping!$E$11:$I$204,5,0)</f>
        <v>SCS</v>
      </c>
    </row>
    <row r="464" spans="1:51" x14ac:dyDescent="0.3">
      <c r="A464" s="7"/>
      <c r="B464" s="7"/>
      <c r="C464" s="7"/>
      <c r="D464" s="7"/>
      <c r="E464" s="32" t="s">
        <v>105</v>
      </c>
      <c r="F464" s="32"/>
      <c r="G464" s="32">
        <v>71010</v>
      </c>
      <c r="H464" s="32" t="s">
        <v>462</v>
      </c>
      <c r="I464" s="33">
        <v>134.244</v>
      </c>
      <c r="J464" s="170"/>
      <c r="K464" s="7" t="str">
        <f>VLOOKUP($E464,Mapping!$E$11:$I$204,3,0)</f>
        <v>ACS</v>
      </c>
      <c r="L464" s="7" t="str">
        <f>IFERROR(VLOOKUP($G464,Mapping!$E$208:$K$236,5,0),"Contracts")</f>
        <v>Labour</v>
      </c>
      <c r="M464" s="7" t="str">
        <f>IFERROR(VLOOKUP($G464,Mapping!$E$208:$K$236,7,0),"ENDirect")</f>
        <v>ENDirect</v>
      </c>
      <c r="N464" s="7" t="str">
        <f>IFERROR(HLOOKUP(L464,'Calc|Weightings'!$U$5:$W$5,1,0),"Excl")</f>
        <v>Labour</v>
      </c>
      <c r="O464" s="7" t="str">
        <f>VLOOKUP(E464,Mapping!$E$11:$I$204,5,0)</f>
        <v>ACS</v>
      </c>
      <c r="Q464" s="32" t="s">
        <v>163</v>
      </c>
      <c r="R464" s="32"/>
      <c r="S464" s="32">
        <v>71000</v>
      </c>
      <c r="T464" s="32" t="s">
        <v>457</v>
      </c>
      <c r="U464" s="33">
        <v>140.70400000000001</v>
      </c>
      <c r="V464" s="7"/>
      <c r="W464" s="7" t="str">
        <f>VLOOKUP($Q464,Mapping!$E$11:$I$204,3,0)</f>
        <v>Replacement</v>
      </c>
      <c r="X464" s="7" t="str">
        <f>IFERROR(VLOOKUP($S464,Mapping!$E$208:$K$236,5,0),"Contracts")</f>
        <v>Labour</v>
      </c>
      <c r="Y464" s="7" t="str">
        <f>IFERROR(VLOOKUP($S464,Mapping!$E$208:$K$236,7,0),"ENDirect")</f>
        <v>ENDirect</v>
      </c>
      <c r="Z464" s="7" t="str">
        <f>IFERROR(HLOOKUP(X464,'Calc|Weightings'!$U$5:$W$5,1,0),"Excl")</f>
        <v>Labour</v>
      </c>
      <c r="AA464" s="7" t="str">
        <f>VLOOKUP(Q464,Mapping!$E$11:$I$204,5,0)</f>
        <v>SCS</v>
      </c>
      <c r="AC464" s="35" t="s">
        <v>149</v>
      </c>
      <c r="AD464" s="35"/>
      <c r="AE464" s="35">
        <v>71030</v>
      </c>
      <c r="AF464" s="35" t="s">
        <v>464</v>
      </c>
      <c r="AG464" s="36">
        <v>12.981999999999999</v>
      </c>
      <c r="AI464" s="7" t="str">
        <f>VLOOKUP($AC464,Mapping!$E$11:$I$204,3,0)</f>
        <v>VBRC</v>
      </c>
      <c r="AJ464" s="7" t="str">
        <f>IFERROR(VLOOKUP($AE464,Mapping!$E$208:$K$236,5,0),"Contracts")</f>
        <v>Contracts</v>
      </c>
      <c r="AK464" s="7" t="str">
        <f>IFERROR(VLOOKUP($AE464,Mapping!$E$208:$K$236,7,0),"ENDirect")</f>
        <v>ENDirect</v>
      </c>
      <c r="AL464" s="7" t="str">
        <f>IFERROR(HLOOKUP(AJ464,'Calc|Weightings'!$U$5:$W$5,1,0),"Excl")</f>
        <v>Contracts</v>
      </c>
      <c r="AM464" s="7" t="str">
        <f>VLOOKUP(AC464,Mapping!$E$11:$I$204,5,0)</f>
        <v>SCS</v>
      </c>
      <c r="AO464" s="35" t="s">
        <v>165</v>
      </c>
      <c r="AP464" s="35"/>
      <c r="AQ464" s="35">
        <v>71030</v>
      </c>
      <c r="AR464" s="35" t="s">
        <v>464</v>
      </c>
      <c r="AS464" s="121">
        <v>2.7530699999999997</v>
      </c>
      <c r="AU464" s="7" t="str">
        <f>VLOOKUP($AO464,Mapping!$E$11:$I$204,3,0)</f>
        <v>Replacement</v>
      </c>
      <c r="AV464" s="7" t="str">
        <f>IFERROR(VLOOKUP($AQ464,Mapping!$E$208:$K$236,5,0),"Contracts")</f>
        <v>Contracts</v>
      </c>
      <c r="AW464" s="7" t="str">
        <f>IFERROR(VLOOKUP($AQ464,Mapping!$E$208:$K$236,7,0),"ENDirect")</f>
        <v>ENDirect</v>
      </c>
      <c r="AX464" s="7" t="str">
        <f>IFERROR(HLOOKUP(AV464,'Calc|Weightings'!$U$5:$W$5,1,0),"Excl")</f>
        <v>Contracts</v>
      </c>
      <c r="AY464" s="7" t="str">
        <f>VLOOKUP(AO464,Mapping!$E$11:$I$204,5,0)</f>
        <v>SCS</v>
      </c>
    </row>
    <row r="465" spans="1:51" x14ac:dyDescent="0.3">
      <c r="A465" s="7"/>
      <c r="B465" s="7"/>
      <c r="C465" s="7"/>
      <c r="D465" s="7"/>
      <c r="E465" s="32" t="s">
        <v>105</v>
      </c>
      <c r="F465" s="32"/>
      <c r="G465" s="32">
        <v>71030</v>
      </c>
      <c r="H465" s="32" t="s">
        <v>464</v>
      </c>
      <c r="I465" s="33">
        <v>153.173</v>
      </c>
      <c r="J465" s="170"/>
      <c r="K465" s="7" t="str">
        <f>VLOOKUP($E465,Mapping!$E$11:$I$204,3,0)</f>
        <v>ACS</v>
      </c>
      <c r="L465" s="7" t="str">
        <f>IFERROR(VLOOKUP($G465,Mapping!$E$208:$K$236,5,0),"Contracts")</f>
        <v>Contracts</v>
      </c>
      <c r="M465" s="7" t="str">
        <f>IFERROR(VLOOKUP($G465,Mapping!$E$208:$K$236,7,0),"ENDirect")</f>
        <v>ENDirect</v>
      </c>
      <c r="N465" s="7" t="str">
        <f>IFERROR(HLOOKUP(L465,'Calc|Weightings'!$U$5:$W$5,1,0),"Excl")</f>
        <v>Contracts</v>
      </c>
      <c r="O465" s="7" t="str">
        <f>VLOOKUP(E465,Mapping!$E$11:$I$204,5,0)</f>
        <v>ACS</v>
      </c>
      <c r="Q465" s="32" t="s">
        <v>163</v>
      </c>
      <c r="R465" s="32"/>
      <c r="S465" s="32">
        <v>71005</v>
      </c>
      <c r="T465" s="32" t="s">
        <v>461</v>
      </c>
      <c r="U465" s="33">
        <v>52.99</v>
      </c>
      <c r="V465" s="7"/>
      <c r="W465" s="7" t="str">
        <f>VLOOKUP($Q465,Mapping!$E$11:$I$204,3,0)</f>
        <v>Replacement</v>
      </c>
      <c r="X465" s="7" t="str">
        <f>IFERROR(VLOOKUP($S465,Mapping!$E$208:$K$236,5,0),"Contracts")</f>
        <v>Materials</v>
      </c>
      <c r="Y465" s="7" t="str">
        <f>IFERROR(VLOOKUP($S465,Mapping!$E$208:$K$236,7,0),"ENDirect")</f>
        <v>ENDirect</v>
      </c>
      <c r="Z465" s="7" t="str">
        <f>IFERROR(HLOOKUP(X465,'Calc|Weightings'!$U$5:$W$5,1,0),"Excl")</f>
        <v>Materials</v>
      </c>
      <c r="AA465" s="7" t="str">
        <f>VLOOKUP(Q465,Mapping!$E$11:$I$204,5,0)</f>
        <v>SCS</v>
      </c>
      <c r="AC465" s="35" t="s">
        <v>149</v>
      </c>
      <c r="AD465" s="35"/>
      <c r="AE465" s="35">
        <v>71055</v>
      </c>
      <c r="AF465" s="35" t="s">
        <v>465</v>
      </c>
      <c r="AG465" s="36">
        <v>24.312000000000001</v>
      </c>
      <c r="AI465" s="7" t="str">
        <f>VLOOKUP($AC465,Mapping!$E$11:$I$204,3,0)</f>
        <v>VBRC</v>
      </c>
      <c r="AJ465" s="7" t="str">
        <f>IFERROR(VLOOKUP($AE465,Mapping!$E$208:$K$236,5,0),"Contracts")</f>
        <v>Contracts</v>
      </c>
      <c r="AK465" s="7" t="str">
        <f>IFERROR(VLOOKUP($AE465,Mapping!$E$208:$K$236,7,0),"ENDirect")</f>
        <v>ENDirect</v>
      </c>
      <c r="AL465" s="7" t="str">
        <f>IFERROR(HLOOKUP(AJ465,'Calc|Weightings'!$U$5:$W$5,1,0),"Excl")</f>
        <v>Contracts</v>
      </c>
      <c r="AM465" s="7" t="str">
        <f>VLOOKUP(AC465,Mapping!$E$11:$I$204,5,0)</f>
        <v>SCS</v>
      </c>
      <c r="AO465" s="35" t="s">
        <v>165</v>
      </c>
      <c r="AP465" s="35"/>
      <c r="AQ465" s="35">
        <v>71055</v>
      </c>
      <c r="AR465" s="35" t="s">
        <v>465</v>
      </c>
      <c r="AS465" s="121">
        <v>6.4118600000000008</v>
      </c>
      <c r="AU465" s="7" t="str">
        <f>VLOOKUP($AO465,Mapping!$E$11:$I$204,3,0)</f>
        <v>Replacement</v>
      </c>
      <c r="AV465" s="7" t="str">
        <f>IFERROR(VLOOKUP($AQ465,Mapping!$E$208:$K$236,5,0),"Contracts")</f>
        <v>Contracts</v>
      </c>
      <c r="AW465" s="7" t="str">
        <f>IFERROR(VLOOKUP($AQ465,Mapping!$E$208:$K$236,7,0),"ENDirect")</f>
        <v>ENDirect</v>
      </c>
      <c r="AX465" s="7" t="str">
        <f>IFERROR(HLOOKUP(AV465,'Calc|Weightings'!$U$5:$W$5,1,0),"Excl")</f>
        <v>Contracts</v>
      </c>
      <c r="AY465" s="7" t="str">
        <f>VLOOKUP(AO465,Mapping!$E$11:$I$204,5,0)</f>
        <v>SCS</v>
      </c>
    </row>
    <row r="466" spans="1:51" x14ac:dyDescent="0.3">
      <c r="A466" s="7"/>
      <c r="B466" s="7"/>
      <c r="C466" s="7"/>
      <c r="D466" s="7"/>
      <c r="E466" s="32" t="s">
        <v>105</v>
      </c>
      <c r="F466" s="32"/>
      <c r="G466" s="32">
        <v>80000</v>
      </c>
      <c r="H466" s="32" t="s">
        <v>453</v>
      </c>
      <c r="I466" s="33">
        <v>212.173</v>
      </c>
      <c r="J466" s="170"/>
      <c r="K466" s="7" t="str">
        <f>VLOOKUP($E466,Mapping!$E$11:$I$204,3,0)</f>
        <v>ACS</v>
      </c>
      <c r="L466" s="7" t="str">
        <f>IFERROR(VLOOKUP($G466,Mapping!$E$208:$K$236,5,0),"Contracts")</f>
        <v>Overhead</v>
      </c>
      <c r="M466" s="7" t="str">
        <f>IFERROR(VLOOKUP($G466,Mapping!$E$208:$K$236,7,0),"ENDirect")</f>
        <v>OH</v>
      </c>
      <c r="N466" s="7" t="str">
        <f>IFERROR(HLOOKUP(L466,'Calc|Weightings'!$U$5:$W$5,1,0),"Excl")</f>
        <v>Excl</v>
      </c>
      <c r="O466" s="7" t="str">
        <f>VLOOKUP(E466,Mapping!$E$11:$I$204,5,0)</f>
        <v>ACS</v>
      </c>
      <c r="Q466" s="32" t="s">
        <v>163</v>
      </c>
      <c r="R466" s="32"/>
      <c r="S466" s="32">
        <v>71006</v>
      </c>
      <c r="T466" s="32" t="s">
        <v>468</v>
      </c>
      <c r="U466" s="33">
        <v>386.29199999999997</v>
      </c>
      <c r="V466" s="7"/>
      <c r="W466" s="7" t="str">
        <f>VLOOKUP($Q466,Mapping!$E$11:$I$204,3,0)</f>
        <v>Replacement</v>
      </c>
      <c r="X466" s="7" t="str">
        <f>IFERROR(VLOOKUP($S466,Mapping!$E$208:$K$236,5,0),"Contracts")</f>
        <v>Materials</v>
      </c>
      <c r="Y466" s="7" t="str">
        <f>IFERROR(VLOOKUP($S466,Mapping!$E$208:$K$236,7,0),"ENDirect")</f>
        <v>ENDirect</v>
      </c>
      <c r="Z466" s="7" t="str">
        <f>IFERROR(HLOOKUP(X466,'Calc|Weightings'!$U$5:$W$5,1,0),"Excl")</f>
        <v>Materials</v>
      </c>
      <c r="AA466" s="7" t="str">
        <f>VLOOKUP(Q466,Mapping!$E$11:$I$204,5,0)</f>
        <v>SCS</v>
      </c>
      <c r="AC466" s="35" t="s">
        <v>149</v>
      </c>
      <c r="AD466" s="35"/>
      <c r="AE466" s="35">
        <v>80000</v>
      </c>
      <c r="AF466" s="35" t="s">
        <v>453</v>
      </c>
      <c r="AG466" s="36">
        <v>20.32</v>
      </c>
      <c r="AI466" s="7" t="str">
        <f>VLOOKUP($AC466,Mapping!$E$11:$I$204,3,0)</f>
        <v>VBRC</v>
      </c>
      <c r="AJ466" s="7" t="str">
        <f>IFERROR(VLOOKUP($AE466,Mapping!$E$208:$K$236,5,0),"Contracts")</f>
        <v>Overhead</v>
      </c>
      <c r="AK466" s="7" t="str">
        <f>IFERROR(VLOOKUP($AE466,Mapping!$E$208:$K$236,7,0),"ENDirect")</f>
        <v>OH</v>
      </c>
      <c r="AL466" s="7" t="str">
        <f>IFERROR(HLOOKUP(AJ466,'Calc|Weightings'!$U$5:$W$5,1,0),"Excl")</f>
        <v>Excl</v>
      </c>
      <c r="AM466" s="7" t="str">
        <f>VLOOKUP(AC466,Mapping!$E$11:$I$204,5,0)</f>
        <v>SCS</v>
      </c>
      <c r="AO466" s="35" t="s">
        <v>165</v>
      </c>
      <c r="AP466" s="35"/>
      <c r="AQ466" s="35">
        <v>71070</v>
      </c>
      <c r="AR466" s="35" t="s">
        <v>586</v>
      </c>
      <c r="AS466" s="121">
        <v>10.796660000000001</v>
      </c>
      <c r="AU466" s="7" t="str">
        <f>VLOOKUP($AO466,Mapping!$E$11:$I$204,3,0)</f>
        <v>Replacement</v>
      </c>
      <c r="AV466" s="7" t="str">
        <f>IFERROR(VLOOKUP($AQ466,Mapping!$E$208:$K$236,5,0),"Contracts")</f>
        <v>Contracts</v>
      </c>
      <c r="AW466" s="7" t="str">
        <f>IFERROR(VLOOKUP($AQ466,Mapping!$E$208:$K$236,7,0),"ENDirect")</f>
        <v>ENDirect</v>
      </c>
      <c r="AX466" s="7" t="str">
        <f>IFERROR(HLOOKUP(AV466,'Calc|Weightings'!$U$5:$W$5,1,0),"Excl")</f>
        <v>Contracts</v>
      </c>
      <c r="AY466" s="7" t="str">
        <f>VLOOKUP(AO466,Mapping!$E$11:$I$204,5,0)</f>
        <v>SCS</v>
      </c>
    </row>
    <row r="467" spans="1:51" x14ac:dyDescent="0.3">
      <c r="A467" s="7"/>
      <c r="B467" s="7"/>
      <c r="C467" s="7"/>
      <c r="D467" s="7"/>
      <c r="E467" s="32" t="s">
        <v>106</v>
      </c>
      <c r="F467" s="32"/>
      <c r="G467" s="32">
        <v>71000</v>
      </c>
      <c r="H467" s="32" t="s">
        <v>457</v>
      </c>
      <c r="I467" s="33">
        <v>389.53699999999998</v>
      </c>
      <c r="J467" s="170"/>
      <c r="K467" s="7" t="str">
        <f>VLOOKUP($E467,Mapping!$E$11:$I$204,3,0)</f>
        <v>ACS</v>
      </c>
      <c r="L467" s="7" t="str">
        <f>IFERROR(VLOOKUP($G467,Mapping!$E$208:$K$236,5,0),"Contracts")</f>
        <v>Labour</v>
      </c>
      <c r="M467" s="7" t="str">
        <f>IFERROR(VLOOKUP($G467,Mapping!$E$208:$K$236,7,0),"ENDirect")</f>
        <v>ENDirect</v>
      </c>
      <c r="N467" s="7" t="str">
        <f>IFERROR(HLOOKUP(L467,'Calc|Weightings'!$U$5:$W$5,1,0),"Excl")</f>
        <v>Labour</v>
      </c>
      <c r="O467" s="7" t="str">
        <f>VLOOKUP(E467,Mapping!$E$11:$I$204,5,0)</f>
        <v>ACS</v>
      </c>
      <c r="Q467" s="32" t="s">
        <v>163</v>
      </c>
      <c r="R467" s="32"/>
      <c r="S467" s="32">
        <v>71010</v>
      </c>
      <c r="T467" s="32" t="s">
        <v>462</v>
      </c>
      <c r="U467" s="33">
        <v>85.337999999999994</v>
      </c>
      <c r="V467" s="7"/>
      <c r="W467" s="7" t="str">
        <f>VLOOKUP($Q467,Mapping!$E$11:$I$204,3,0)</f>
        <v>Replacement</v>
      </c>
      <c r="X467" s="7" t="str">
        <f>IFERROR(VLOOKUP($S467,Mapping!$E$208:$K$236,5,0),"Contracts")</f>
        <v>Labour</v>
      </c>
      <c r="Y467" s="7" t="str">
        <f>IFERROR(VLOOKUP($S467,Mapping!$E$208:$K$236,7,0),"ENDirect")</f>
        <v>ENDirect</v>
      </c>
      <c r="Z467" s="7" t="str">
        <f>IFERROR(HLOOKUP(X467,'Calc|Weightings'!$U$5:$W$5,1,0),"Excl")</f>
        <v>Labour</v>
      </c>
      <c r="AA467" s="7" t="str">
        <f>VLOOKUP(Q467,Mapping!$E$11:$I$204,5,0)</f>
        <v>SCS</v>
      </c>
      <c r="AC467" s="35" t="s">
        <v>149</v>
      </c>
      <c r="AD467" s="35"/>
      <c r="AE467" s="35">
        <v>89999</v>
      </c>
      <c r="AF467" s="35" t="s">
        <v>471</v>
      </c>
      <c r="AG467" s="36">
        <v>0</v>
      </c>
      <c r="AI467" s="7" t="str">
        <f>VLOOKUP($AC467,Mapping!$E$11:$I$204,3,0)</f>
        <v>VBRC</v>
      </c>
      <c r="AJ467" s="7" t="str">
        <f>IFERROR(VLOOKUP($AE467,Mapping!$E$208:$K$236,5,0),"Contracts")</f>
        <v>Contracts</v>
      </c>
      <c r="AK467" s="7" t="str">
        <f>IFERROR(VLOOKUP($AE467,Mapping!$E$208:$K$236,7,0),"ENDirect")</f>
        <v>ENDirect</v>
      </c>
      <c r="AL467" s="7" t="str">
        <f>IFERROR(HLOOKUP(AJ467,'Calc|Weightings'!$U$5:$W$5,1,0),"Excl")</f>
        <v>Contracts</v>
      </c>
      <c r="AM467" s="7" t="str">
        <f>VLOOKUP(AC467,Mapping!$E$11:$I$204,5,0)</f>
        <v>SCS</v>
      </c>
      <c r="AO467" s="35" t="s">
        <v>165</v>
      </c>
      <c r="AP467" s="35"/>
      <c r="AQ467" s="35">
        <v>71075</v>
      </c>
      <c r="AR467" s="35" t="s">
        <v>587</v>
      </c>
      <c r="AS467" s="121">
        <v>23.832939999999997</v>
      </c>
      <c r="AU467" s="7" t="str">
        <f>VLOOKUP($AO467,Mapping!$E$11:$I$204,3,0)</f>
        <v>Replacement</v>
      </c>
      <c r="AV467" s="7" t="str">
        <f>IFERROR(VLOOKUP($AQ467,Mapping!$E$208:$K$236,5,0),"Contracts")</f>
        <v>Contracts</v>
      </c>
      <c r="AW467" s="7" t="str">
        <f>IFERROR(VLOOKUP($AQ467,Mapping!$E$208:$K$236,7,0),"ENDirect")</f>
        <v>ENDirect</v>
      </c>
      <c r="AX467" s="7" t="str">
        <f>IFERROR(HLOOKUP(AV467,'Calc|Weightings'!$U$5:$W$5,1,0),"Excl")</f>
        <v>Contracts</v>
      </c>
      <c r="AY467" s="7" t="str">
        <f>VLOOKUP(AO467,Mapping!$E$11:$I$204,5,0)</f>
        <v>SCS</v>
      </c>
    </row>
    <row r="468" spans="1:51" x14ac:dyDescent="0.3">
      <c r="A468" s="7"/>
      <c r="B468" s="7"/>
      <c r="C468" s="7"/>
      <c r="D468" s="7"/>
      <c r="E468" s="32" t="s">
        <v>106</v>
      </c>
      <c r="F468" s="32"/>
      <c r="G468" s="32">
        <v>71010</v>
      </c>
      <c r="H468" s="32" t="s">
        <v>462</v>
      </c>
      <c r="I468" s="33">
        <v>111.902</v>
      </c>
      <c r="J468" s="170"/>
      <c r="K468" s="7" t="str">
        <f>VLOOKUP($E468,Mapping!$E$11:$I$204,3,0)</f>
        <v>ACS</v>
      </c>
      <c r="L468" s="7" t="str">
        <f>IFERROR(VLOOKUP($G468,Mapping!$E$208:$K$236,5,0),"Contracts")</f>
        <v>Labour</v>
      </c>
      <c r="M468" s="7" t="str">
        <f>IFERROR(VLOOKUP($G468,Mapping!$E$208:$K$236,7,0),"ENDirect")</f>
        <v>ENDirect</v>
      </c>
      <c r="N468" s="7" t="str">
        <f>IFERROR(HLOOKUP(L468,'Calc|Weightings'!$U$5:$W$5,1,0),"Excl")</f>
        <v>Labour</v>
      </c>
      <c r="O468" s="7" t="str">
        <f>VLOOKUP(E468,Mapping!$E$11:$I$204,5,0)</f>
        <v>ACS</v>
      </c>
      <c r="Q468" s="32" t="s">
        <v>163</v>
      </c>
      <c r="R468" s="32"/>
      <c r="S468" s="32">
        <v>71015</v>
      </c>
      <c r="T468" s="32" t="s">
        <v>463</v>
      </c>
      <c r="U468" s="33">
        <v>29.901</v>
      </c>
      <c r="V468" s="7"/>
      <c r="W468" s="7" t="str">
        <f>VLOOKUP($Q468,Mapping!$E$11:$I$204,3,0)</f>
        <v>Replacement</v>
      </c>
      <c r="X468" s="7" t="str">
        <f>IFERROR(VLOOKUP($S468,Mapping!$E$208:$K$236,5,0),"Contracts")</f>
        <v>Materials</v>
      </c>
      <c r="Y468" s="7" t="str">
        <f>IFERROR(VLOOKUP($S468,Mapping!$E$208:$K$236,7,0),"ENDirect")</f>
        <v>ENDirect</v>
      </c>
      <c r="Z468" s="7" t="str">
        <f>IFERROR(HLOOKUP(X468,'Calc|Weightings'!$U$5:$W$5,1,0),"Excl")</f>
        <v>Materials</v>
      </c>
      <c r="AA468" s="7" t="str">
        <f>VLOOKUP(Q468,Mapping!$E$11:$I$204,5,0)</f>
        <v>SCS</v>
      </c>
      <c r="AC468" s="35" t="s">
        <v>151</v>
      </c>
      <c r="AD468" s="35"/>
      <c r="AE468" s="35">
        <v>71000</v>
      </c>
      <c r="AF468" s="35" t="s">
        <v>457</v>
      </c>
      <c r="AG468" s="36">
        <v>8.81</v>
      </c>
      <c r="AI468" s="7" t="str">
        <f>VLOOKUP($AC468,Mapping!$E$11:$I$204,3,0)</f>
        <v>Replacement</v>
      </c>
      <c r="AJ468" s="7" t="str">
        <f>IFERROR(VLOOKUP($AE468,Mapping!$E$208:$K$236,5,0),"Contracts")</f>
        <v>Labour</v>
      </c>
      <c r="AK468" s="7" t="str">
        <f>IFERROR(VLOOKUP($AE468,Mapping!$E$208:$K$236,7,0),"ENDirect")</f>
        <v>ENDirect</v>
      </c>
      <c r="AL468" s="7" t="str">
        <f>IFERROR(HLOOKUP(AJ468,'Calc|Weightings'!$U$5:$W$5,1,0),"Excl")</f>
        <v>Labour</v>
      </c>
      <c r="AM468" s="7" t="str">
        <f>VLOOKUP(AC468,Mapping!$E$11:$I$204,5,0)</f>
        <v>SCS</v>
      </c>
      <c r="AO468" s="35" t="s">
        <v>165</v>
      </c>
      <c r="AP468" s="35"/>
      <c r="AQ468" s="35">
        <v>80000</v>
      </c>
      <c r="AR468" s="35" t="s">
        <v>589</v>
      </c>
      <c r="AS468" s="121">
        <v>117.79570000000001</v>
      </c>
      <c r="AU468" s="7" t="str">
        <f>VLOOKUP($AO468,Mapping!$E$11:$I$204,3,0)</f>
        <v>Replacement</v>
      </c>
      <c r="AV468" s="7" t="str">
        <f>IFERROR(VLOOKUP($AQ468,Mapping!$E$208:$K$236,5,0),"Contracts")</f>
        <v>Overhead</v>
      </c>
      <c r="AW468" s="7" t="str">
        <f>IFERROR(VLOOKUP($AQ468,Mapping!$E$208:$K$236,7,0),"ENDirect")</f>
        <v>OH</v>
      </c>
      <c r="AX468" s="7" t="str">
        <f>IFERROR(HLOOKUP(AV468,'Calc|Weightings'!$U$5:$W$5,1,0),"Excl")</f>
        <v>Excl</v>
      </c>
      <c r="AY468" s="7" t="str">
        <f>VLOOKUP(AO468,Mapping!$E$11:$I$204,5,0)</f>
        <v>SCS</v>
      </c>
    </row>
    <row r="469" spans="1:51" x14ac:dyDescent="0.3">
      <c r="A469" s="7"/>
      <c r="B469" s="7"/>
      <c r="C469" s="7"/>
      <c r="D469" s="7"/>
      <c r="E469" s="32" t="s">
        <v>106</v>
      </c>
      <c r="F469" s="32"/>
      <c r="G469" s="32">
        <v>71030</v>
      </c>
      <c r="H469" s="32" t="s">
        <v>464</v>
      </c>
      <c r="I469" s="33">
        <v>34.201999999999998</v>
      </c>
      <c r="J469" s="170"/>
      <c r="K469" s="7" t="str">
        <f>VLOOKUP($E469,Mapping!$E$11:$I$204,3,0)</f>
        <v>ACS</v>
      </c>
      <c r="L469" s="7" t="str">
        <f>IFERROR(VLOOKUP($G469,Mapping!$E$208:$K$236,5,0),"Contracts")</f>
        <v>Contracts</v>
      </c>
      <c r="M469" s="7" t="str">
        <f>IFERROR(VLOOKUP($G469,Mapping!$E$208:$K$236,7,0),"ENDirect")</f>
        <v>ENDirect</v>
      </c>
      <c r="N469" s="7" t="str">
        <f>IFERROR(HLOOKUP(L469,'Calc|Weightings'!$U$5:$W$5,1,0),"Excl")</f>
        <v>Contracts</v>
      </c>
      <c r="O469" s="7" t="str">
        <f>VLOOKUP(E469,Mapping!$E$11:$I$204,5,0)</f>
        <v>ACS</v>
      </c>
      <c r="Q469" s="32" t="s">
        <v>163</v>
      </c>
      <c r="R469" s="32"/>
      <c r="S469" s="32">
        <v>71030</v>
      </c>
      <c r="T469" s="32" t="s">
        <v>464</v>
      </c>
      <c r="U469" s="33">
        <v>25.216000000000001</v>
      </c>
      <c r="V469" s="7"/>
      <c r="W469" s="7" t="str">
        <f>VLOOKUP($Q469,Mapping!$E$11:$I$204,3,0)</f>
        <v>Replacement</v>
      </c>
      <c r="X469" s="7" t="str">
        <f>IFERROR(VLOOKUP($S469,Mapping!$E$208:$K$236,5,0),"Contracts")</f>
        <v>Contracts</v>
      </c>
      <c r="Y469" s="7" t="str">
        <f>IFERROR(VLOOKUP($S469,Mapping!$E$208:$K$236,7,0),"ENDirect")</f>
        <v>ENDirect</v>
      </c>
      <c r="Z469" s="7" t="str">
        <f>IFERROR(HLOOKUP(X469,'Calc|Weightings'!$U$5:$W$5,1,0),"Excl")</f>
        <v>Contracts</v>
      </c>
      <c r="AA469" s="7" t="str">
        <f>VLOOKUP(Q469,Mapping!$E$11:$I$204,5,0)</f>
        <v>SCS</v>
      </c>
      <c r="AC469" s="35" t="s">
        <v>152</v>
      </c>
      <c r="AD469" s="35"/>
      <c r="AE469" s="35">
        <v>71005</v>
      </c>
      <c r="AF469" s="35" t="s">
        <v>461</v>
      </c>
      <c r="AG469" s="36">
        <v>86.146000000000001</v>
      </c>
      <c r="AI469" s="7" t="str">
        <f>VLOOKUP($AC469,Mapping!$E$11:$I$204,3,0)</f>
        <v>Augmentation</v>
      </c>
      <c r="AJ469" s="7" t="str">
        <f>IFERROR(VLOOKUP($AE469,Mapping!$E$208:$K$236,5,0),"Contracts")</f>
        <v>Materials</v>
      </c>
      <c r="AK469" s="7" t="str">
        <f>IFERROR(VLOOKUP($AE469,Mapping!$E$208:$K$236,7,0),"ENDirect")</f>
        <v>ENDirect</v>
      </c>
      <c r="AL469" s="7" t="str">
        <f>IFERROR(HLOOKUP(AJ469,'Calc|Weightings'!$U$5:$W$5,1,0),"Excl")</f>
        <v>Materials</v>
      </c>
      <c r="AM469" s="7" t="str">
        <f>VLOOKUP(AC469,Mapping!$E$11:$I$204,5,0)</f>
        <v>SCS</v>
      </c>
      <c r="AO469" s="35" t="s">
        <v>165</v>
      </c>
      <c r="AP469" s="35"/>
      <c r="AQ469" s="35">
        <v>83010</v>
      </c>
      <c r="AR469" s="35" t="s">
        <v>591</v>
      </c>
      <c r="AS469" s="121">
        <v>194.33880000000008</v>
      </c>
      <c r="AU469" s="7" t="str">
        <f>VLOOKUP($AO469,Mapping!$E$11:$I$204,3,0)</f>
        <v>Replacement</v>
      </c>
      <c r="AV469" s="7" t="str">
        <f>IFERROR(VLOOKUP($AQ469,Mapping!$E$208:$K$236,5,0),"Contracts")</f>
        <v>Contracts</v>
      </c>
      <c r="AW469" s="7" t="str">
        <f>IFERROR(VLOOKUP($AQ469,Mapping!$E$208:$K$236,7,0),"ENDirect")</f>
        <v>ENDirect</v>
      </c>
      <c r="AX469" s="7" t="str">
        <f>IFERROR(HLOOKUP(AV469,'Calc|Weightings'!$U$5:$W$5,1,0),"Excl")</f>
        <v>Contracts</v>
      </c>
      <c r="AY469" s="7" t="str">
        <f>VLOOKUP(AO469,Mapping!$E$11:$I$204,5,0)</f>
        <v>SCS</v>
      </c>
    </row>
    <row r="470" spans="1:51" x14ac:dyDescent="0.3">
      <c r="A470" s="7"/>
      <c r="B470" s="7"/>
      <c r="C470" s="7"/>
      <c r="D470" s="7"/>
      <c r="E470" s="32" t="s">
        <v>106</v>
      </c>
      <c r="F470" s="32"/>
      <c r="G470" s="32">
        <v>80000</v>
      </c>
      <c r="H470" s="32" t="s">
        <v>453</v>
      </c>
      <c r="I470" s="33">
        <v>49.244</v>
      </c>
      <c r="J470" s="170"/>
      <c r="K470" s="7" t="str">
        <f>VLOOKUP($E470,Mapping!$E$11:$I$204,3,0)</f>
        <v>ACS</v>
      </c>
      <c r="L470" s="7" t="str">
        <f>IFERROR(VLOOKUP($G470,Mapping!$E$208:$K$236,5,0),"Contracts")</f>
        <v>Overhead</v>
      </c>
      <c r="M470" s="7" t="str">
        <f>IFERROR(VLOOKUP($G470,Mapping!$E$208:$K$236,7,0),"ENDirect")</f>
        <v>OH</v>
      </c>
      <c r="N470" s="7" t="str">
        <f>IFERROR(HLOOKUP(L470,'Calc|Weightings'!$U$5:$W$5,1,0),"Excl")</f>
        <v>Excl</v>
      </c>
      <c r="O470" s="7" t="str">
        <f>VLOOKUP(E470,Mapping!$E$11:$I$204,5,0)</f>
        <v>ACS</v>
      </c>
      <c r="Q470" s="32" t="s">
        <v>163</v>
      </c>
      <c r="R470" s="32"/>
      <c r="S470" s="32">
        <v>71055</v>
      </c>
      <c r="T470" s="32" t="s">
        <v>465</v>
      </c>
      <c r="U470" s="33">
        <v>51.302999999999997</v>
      </c>
      <c r="V470" s="7"/>
      <c r="W470" s="7" t="str">
        <f>VLOOKUP($Q470,Mapping!$E$11:$I$204,3,0)</f>
        <v>Replacement</v>
      </c>
      <c r="X470" s="7" t="str">
        <f>IFERROR(VLOOKUP($S470,Mapping!$E$208:$K$236,5,0),"Contracts")</f>
        <v>Contracts</v>
      </c>
      <c r="Y470" s="7" t="str">
        <f>IFERROR(VLOOKUP($S470,Mapping!$E$208:$K$236,7,0),"ENDirect")</f>
        <v>ENDirect</v>
      </c>
      <c r="Z470" s="7" t="str">
        <f>IFERROR(HLOOKUP(X470,'Calc|Weightings'!$U$5:$W$5,1,0),"Excl")</f>
        <v>Contracts</v>
      </c>
      <c r="AA470" s="7" t="str">
        <f>VLOOKUP(Q470,Mapping!$E$11:$I$204,5,0)</f>
        <v>SCS</v>
      </c>
      <c r="AC470" s="35" t="s">
        <v>152</v>
      </c>
      <c r="AD470" s="35"/>
      <c r="AE470" s="35">
        <v>71010</v>
      </c>
      <c r="AF470" s="35" t="s">
        <v>462</v>
      </c>
      <c r="AG470" s="36">
        <v>26.081</v>
      </c>
      <c r="AI470" s="7" t="str">
        <f>VLOOKUP($AC470,Mapping!$E$11:$I$204,3,0)</f>
        <v>Augmentation</v>
      </c>
      <c r="AJ470" s="7" t="str">
        <f>IFERROR(VLOOKUP($AE470,Mapping!$E$208:$K$236,5,0),"Contracts")</f>
        <v>Labour</v>
      </c>
      <c r="AK470" s="7" t="str">
        <f>IFERROR(VLOOKUP($AE470,Mapping!$E$208:$K$236,7,0),"ENDirect")</f>
        <v>ENDirect</v>
      </c>
      <c r="AL470" s="7" t="str">
        <f>IFERROR(HLOOKUP(AJ470,'Calc|Weightings'!$U$5:$W$5,1,0),"Excl")</f>
        <v>Labour</v>
      </c>
      <c r="AM470" s="7" t="str">
        <f>VLOOKUP(AC470,Mapping!$E$11:$I$204,5,0)</f>
        <v>SCS</v>
      </c>
      <c r="AO470" s="35" t="s">
        <v>166</v>
      </c>
      <c r="AP470" s="35"/>
      <c r="AQ470" s="35">
        <v>71000</v>
      </c>
      <c r="AR470" s="35" t="s">
        <v>457</v>
      </c>
      <c r="AS470" s="121">
        <v>90.286020000000008</v>
      </c>
      <c r="AU470" s="7" t="str">
        <f>VLOOKUP($AO470,Mapping!$E$11:$I$204,3,0)</f>
        <v>Replacement</v>
      </c>
      <c r="AV470" s="7" t="str">
        <f>IFERROR(VLOOKUP($AQ470,Mapping!$E$208:$K$236,5,0),"Contracts")</f>
        <v>Labour</v>
      </c>
      <c r="AW470" s="7" t="str">
        <f>IFERROR(VLOOKUP($AQ470,Mapping!$E$208:$K$236,7,0),"ENDirect")</f>
        <v>ENDirect</v>
      </c>
      <c r="AX470" s="7" t="str">
        <f>IFERROR(HLOOKUP(AV470,'Calc|Weightings'!$U$5:$W$5,1,0),"Excl")</f>
        <v>Labour</v>
      </c>
      <c r="AY470" s="7" t="str">
        <f>VLOOKUP(AO470,Mapping!$E$11:$I$204,5,0)</f>
        <v>SCS</v>
      </c>
    </row>
    <row r="471" spans="1:51" x14ac:dyDescent="0.3">
      <c r="A471" s="7"/>
      <c r="B471" s="7"/>
      <c r="C471" s="7"/>
      <c r="D471" s="7"/>
      <c r="E471" s="32" t="s">
        <v>133</v>
      </c>
      <c r="F471" s="32"/>
      <c r="G471" s="32">
        <v>71000</v>
      </c>
      <c r="H471" s="32" t="s">
        <v>457</v>
      </c>
      <c r="I471" s="33">
        <v>1242.472</v>
      </c>
      <c r="J471" s="170"/>
      <c r="K471" s="7" t="str">
        <f>VLOOKUP($E471,Mapping!$E$11:$I$204,3,0)</f>
        <v>ACS</v>
      </c>
      <c r="L471" s="7" t="str">
        <f>IFERROR(VLOOKUP($G471,Mapping!$E$208:$K$236,5,0),"Contracts")</f>
        <v>Labour</v>
      </c>
      <c r="M471" s="7" t="str">
        <f>IFERROR(VLOOKUP($G471,Mapping!$E$208:$K$236,7,0),"ENDirect")</f>
        <v>ENDirect</v>
      </c>
      <c r="N471" s="7" t="str">
        <f>IFERROR(HLOOKUP(L471,'Calc|Weightings'!$U$5:$W$5,1,0),"Excl")</f>
        <v>Labour</v>
      </c>
      <c r="O471" s="7" t="str">
        <f>VLOOKUP(E471,Mapping!$E$11:$I$204,5,0)</f>
        <v>ACS</v>
      </c>
      <c r="Q471" s="32" t="s">
        <v>163</v>
      </c>
      <c r="R471" s="32"/>
      <c r="S471" s="32">
        <v>80000</v>
      </c>
      <c r="T471" s="32" t="s">
        <v>453</v>
      </c>
      <c r="U471" s="33">
        <v>76.927999999999997</v>
      </c>
      <c r="V471" s="7"/>
      <c r="W471" s="7" t="str">
        <f>VLOOKUP($Q471,Mapping!$E$11:$I$204,3,0)</f>
        <v>Replacement</v>
      </c>
      <c r="X471" s="7" t="str">
        <f>IFERROR(VLOOKUP($S471,Mapping!$E$208:$K$236,5,0),"Contracts")</f>
        <v>Overhead</v>
      </c>
      <c r="Y471" s="7" t="str">
        <f>IFERROR(VLOOKUP($S471,Mapping!$E$208:$K$236,7,0),"ENDirect")</f>
        <v>OH</v>
      </c>
      <c r="Z471" s="7" t="str">
        <f>IFERROR(HLOOKUP(X471,'Calc|Weightings'!$U$5:$W$5,1,0),"Excl")</f>
        <v>Excl</v>
      </c>
      <c r="AA471" s="7" t="str">
        <f>VLOOKUP(Q471,Mapping!$E$11:$I$204,5,0)</f>
        <v>SCS</v>
      </c>
      <c r="AC471" s="35" t="s">
        <v>152</v>
      </c>
      <c r="AD471" s="35"/>
      <c r="AE471" s="35">
        <v>71015</v>
      </c>
      <c r="AF471" s="35" t="s">
        <v>463</v>
      </c>
      <c r="AG471" s="36">
        <v>24.370999999999999</v>
      </c>
      <c r="AI471" s="7" t="str">
        <f>VLOOKUP($AC471,Mapping!$E$11:$I$204,3,0)</f>
        <v>Augmentation</v>
      </c>
      <c r="AJ471" s="7" t="str">
        <f>IFERROR(VLOOKUP($AE471,Mapping!$E$208:$K$236,5,0),"Contracts")</f>
        <v>Materials</v>
      </c>
      <c r="AK471" s="7" t="str">
        <f>IFERROR(VLOOKUP($AE471,Mapping!$E$208:$K$236,7,0),"ENDirect")</f>
        <v>ENDirect</v>
      </c>
      <c r="AL471" s="7" t="str">
        <f>IFERROR(HLOOKUP(AJ471,'Calc|Weightings'!$U$5:$W$5,1,0),"Excl")</f>
        <v>Materials</v>
      </c>
      <c r="AM471" s="7" t="str">
        <f>VLOOKUP(AC471,Mapping!$E$11:$I$204,5,0)</f>
        <v>SCS</v>
      </c>
      <c r="AO471" s="35" t="s">
        <v>166</v>
      </c>
      <c r="AP471" s="35"/>
      <c r="AQ471" s="35">
        <v>71005</v>
      </c>
      <c r="AR471" s="35" t="s">
        <v>461</v>
      </c>
      <c r="AS471" s="121">
        <v>12.906450000000001</v>
      </c>
      <c r="AU471" s="7" t="str">
        <f>VLOOKUP($AO471,Mapping!$E$11:$I$204,3,0)</f>
        <v>Replacement</v>
      </c>
      <c r="AV471" s="7" t="str">
        <f>IFERROR(VLOOKUP($AQ471,Mapping!$E$208:$K$236,5,0),"Contracts")</f>
        <v>Materials</v>
      </c>
      <c r="AW471" s="7" t="str">
        <f>IFERROR(VLOOKUP($AQ471,Mapping!$E$208:$K$236,7,0),"ENDirect")</f>
        <v>ENDirect</v>
      </c>
      <c r="AX471" s="7" t="str">
        <f>IFERROR(HLOOKUP(AV471,'Calc|Weightings'!$U$5:$W$5,1,0),"Excl")</f>
        <v>Materials</v>
      </c>
      <c r="AY471" s="7" t="str">
        <f>VLOOKUP(AO471,Mapping!$E$11:$I$204,5,0)</f>
        <v>SCS</v>
      </c>
    </row>
    <row r="472" spans="1:51" x14ac:dyDescent="0.3">
      <c r="A472" s="7"/>
      <c r="B472" s="7"/>
      <c r="C472" s="7"/>
      <c r="D472" s="7"/>
      <c r="E472" s="32" t="s">
        <v>133</v>
      </c>
      <c r="F472" s="32"/>
      <c r="G472" s="32">
        <v>71010</v>
      </c>
      <c r="H472" s="32" t="s">
        <v>462</v>
      </c>
      <c r="I472" s="33">
        <v>146.03200000000001</v>
      </c>
      <c r="J472" s="170"/>
      <c r="K472" s="7" t="str">
        <f>VLOOKUP($E472,Mapping!$E$11:$I$204,3,0)</f>
        <v>ACS</v>
      </c>
      <c r="L472" s="7" t="str">
        <f>IFERROR(VLOOKUP($G472,Mapping!$E$208:$K$236,5,0),"Contracts")</f>
        <v>Labour</v>
      </c>
      <c r="M472" s="7" t="str">
        <f>IFERROR(VLOOKUP($G472,Mapping!$E$208:$K$236,7,0),"ENDirect")</f>
        <v>ENDirect</v>
      </c>
      <c r="N472" s="7" t="str">
        <f>IFERROR(HLOOKUP(L472,'Calc|Weightings'!$U$5:$W$5,1,0),"Excl")</f>
        <v>Labour</v>
      </c>
      <c r="O472" s="7" t="str">
        <f>VLOOKUP(E472,Mapping!$E$11:$I$204,5,0)</f>
        <v>ACS</v>
      </c>
      <c r="Q472" s="32" t="s">
        <v>163</v>
      </c>
      <c r="R472" s="32"/>
      <c r="S472" s="32">
        <v>89999</v>
      </c>
      <c r="T472" s="32" t="s">
        <v>471</v>
      </c>
      <c r="U472" s="33">
        <v>0</v>
      </c>
      <c r="V472" s="7"/>
      <c r="W472" s="7" t="str">
        <f>VLOOKUP($Q472,Mapping!$E$11:$I$204,3,0)</f>
        <v>Replacement</v>
      </c>
      <c r="X472" s="7" t="str">
        <f>IFERROR(VLOOKUP($S472,Mapping!$E$208:$K$236,5,0),"Contracts")</f>
        <v>Contracts</v>
      </c>
      <c r="Y472" s="7" t="str">
        <f>IFERROR(VLOOKUP($S472,Mapping!$E$208:$K$236,7,0),"ENDirect")</f>
        <v>ENDirect</v>
      </c>
      <c r="Z472" s="7" t="str">
        <f>IFERROR(HLOOKUP(X472,'Calc|Weightings'!$U$5:$W$5,1,0),"Excl")</f>
        <v>Contracts</v>
      </c>
      <c r="AA472" s="7" t="str">
        <f>VLOOKUP(Q472,Mapping!$E$11:$I$204,5,0)</f>
        <v>SCS</v>
      </c>
      <c r="AC472" s="35" t="s">
        <v>152</v>
      </c>
      <c r="AD472" s="35"/>
      <c r="AE472" s="35">
        <v>71055</v>
      </c>
      <c r="AF472" s="35" t="s">
        <v>465</v>
      </c>
      <c r="AG472" s="36">
        <v>35.92</v>
      </c>
      <c r="AI472" s="7" t="str">
        <f>VLOOKUP($AC472,Mapping!$E$11:$I$204,3,0)</f>
        <v>Augmentation</v>
      </c>
      <c r="AJ472" s="7" t="str">
        <f>IFERROR(VLOOKUP($AE472,Mapping!$E$208:$K$236,5,0),"Contracts")</f>
        <v>Contracts</v>
      </c>
      <c r="AK472" s="7" t="str">
        <f>IFERROR(VLOOKUP($AE472,Mapping!$E$208:$K$236,7,0),"ENDirect")</f>
        <v>ENDirect</v>
      </c>
      <c r="AL472" s="7" t="str">
        <f>IFERROR(HLOOKUP(AJ472,'Calc|Weightings'!$U$5:$W$5,1,0),"Excl")</f>
        <v>Contracts</v>
      </c>
      <c r="AM472" s="7" t="str">
        <f>VLOOKUP(AC472,Mapping!$E$11:$I$204,5,0)</f>
        <v>SCS</v>
      </c>
      <c r="AO472" s="35" t="s">
        <v>166</v>
      </c>
      <c r="AP472" s="35"/>
      <c r="AQ472" s="35">
        <v>71010</v>
      </c>
      <c r="AR472" s="35" t="s">
        <v>487</v>
      </c>
      <c r="AS472" s="121">
        <v>17.199950000000001</v>
      </c>
      <c r="AU472" s="7" t="str">
        <f>VLOOKUP($AO472,Mapping!$E$11:$I$204,3,0)</f>
        <v>Replacement</v>
      </c>
      <c r="AV472" s="7" t="str">
        <f>IFERROR(VLOOKUP($AQ472,Mapping!$E$208:$K$236,5,0),"Contracts")</f>
        <v>Labour</v>
      </c>
      <c r="AW472" s="7" t="str">
        <f>IFERROR(VLOOKUP($AQ472,Mapping!$E$208:$K$236,7,0),"ENDirect")</f>
        <v>ENDirect</v>
      </c>
      <c r="AX472" s="7" t="str">
        <f>IFERROR(HLOOKUP(AV472,'Calc|Weightings'!$U$5:$W$5,1,0),"Excl")</f>
        <v>Labour</v>
      </c>
      <c r="AY472" s="7" t="str">
        <f>VLOOKUP(AO472,Mapping!$E$11:$I$204,5,0)</f>
        <v>SCS</v>
      </c>
    </row>
    <row r="473" spans="1:51" x14ac:dyDescent="0.3">
      <c r="A473" s="7"/>
      <c r="B473" s="7"/>
      <c r="C473" s="7"/>
      <c r="D473" s="7"/>
      <c r="E473" s="32" t="s">
        <v>133</v>
      </c>
      <c r="F473" s="32"/>
      <c r="G473" s="32">
        <v>71030</v>
      </c>
      <c r="H473" s="32" t="s">
        <v>464</v>
      </c>
      <c r="I473" s="33">
        <v>131.839</v>
      </c>
      <c r="J473" s="170"/>
      <c r="K473" s="7" t="str">
        <f>VLOOKUP($E473,Mapping!$E$11:$I$204,3,0)</f>
        <v>ACS</v>
      </c>
      <c r="L473" s="7" t="str">
        <f>IFERROR(VLOOKUP($G473,Mapping!$E$208:$K$236,5,0),"Contracts")</f>
        <v>Contracts</v>
      </c>
      <c r="M473" s="7" t="str">
        <f>IFERROR(VLOOKUP($G473,Mapping!$E$208:$K$236,7,0),"ENDirect")</f>
        <v>ENDirect</v>
      </c>
      <c r="N473" s="7" t="str">
        <f>IFERROR(HLOOKUP(L473,'Calc|Weightings'!$U$5:$W$5,1,0),"Excl")</f>
        <v>Contracts</v>
      </c>
      <c r="O473" s="7" t="str">
        <f>VLOOKUP(E473,Mapping!$E$11:$I$204,5,0)</f>
        <v>ACS</v>
      </c>
      <c r="Q473" s="32" t="s">
        <v>165</v>
      </c>
      <c r="R473" s="32"/>
      <c r="S473" s="32">
        <v>71000</v>
      </c>
      <c r="T473" s="32" t="s">
        <v>457</v>
      </c>
      <c r="U473" s="33">
        <v>81.501000000000005</v>
      </c>
      <c r="V473" s="7"/>
      <c r="W473" s="7" t="str">
        <f>VLOOKUP($Q473,Mapping!$E$11:$I$204,3,0)</f>
        <v>Replacement</v>
      </c>
      <c r="X473" s="7" t="str">
        <f>IFERROR(VLOOKUP($S473,Mapping!$E$208:$K$236,5,0),"Contracts")</f>
        <v>Labour</v>
      </c>
      <c r="Y473" s="7" t="str">
        <f>IFERROR(VLOOKUP($S473,Mapping!$E$208:$K$236,7,0),"ENDirect")</f>
        <v>ENDirect</v>
      </c>
      <c r="Z473" s="7" t="str">
        <f>IFERROR(HLOOKUP(X473,'Calc|Weightings'!$U$5:$W$5,1,0),"Excl")</f>
        <v>Labour</v>
      </c>
      <c r="AA473" s="7" t="str">
        <f>VLOOKUP(Q473,Mapping!$E$11:$I$204,5,0)</f>
        <v>SCS</v>
      </c>
      <c r="AC473" s="35" t="s">
        <v>152</v>
      </c>
      <c r="AD473" s="35"/>
      <c r="AE473" s="35">
        <v>89999</v>
      </c>
      <c r="AF473" s="35" t="s">
        <v>471</v>
      </c>
      <c r="AG473" s="36">
        <v>0</v>
      </c>
      <c r="AI473" s="7" t="str">
        <f>VLOOKUP($AC473,Mapping!$E$11:$I$204,3,0)</f>
        <v>Augmentation</v>
      </c>
      <c r="AJ473" s="7" t="str">
        <f>IFERROR(VLOOKUP($AE473,Mapping!$E$208:$K$236,5,0),"Contracts")</f>
        <v>Contracts</v>
      </c>
      <c r="AK473" s="7" t="str">
        <f>IFERROR(VLOOKUP($AE473,Mapping!$E$208:$K$236,7,0),"ENDirect")</f>
        <v>ENDirect</v>
      </c>
      <c r="AL473" s="7" t="str">
        <f>IFERROR(HLOOKUP(AJ473,'Calc|Weightings'!$U$5:$W$5,1,0),"Excl")</f>
        <v>Contracts</v>
      </c>
      <c r="AM473" s="7" t="str">
        <f>VLOOKUP(AC473,Mapping!$E$11:$I$204,5,0)</f>
        <v>SCS</v>
      </c>
      <c r="AO473" s="35" t="s">
        <v>166</v>
      </c>
      <c r="AP473" s="35"/>
      <c r="AQ473" s="35">
        <v>71015</v>
      </c>
      <c r="AR473" s="35" t="s">
        <v>585</v>
      </c>
      <c r="AS473" s="121">
        <v>4.4864300000000004</v>
      </c>
      <c r="AU473" s="7" t="str">
        <f>VLOOKUP($AO473,Mapping!$E$11:$I$204,3,0)</f>
        <v>Replacement</v>
      </c>
      <c r="AV473" s="7" t="str">
        <f>IFERROR(VLOOKUP($AQ473,Mapping!$E$208:$K$236,5,0),"Contracts")</f>
        <v>Materials</v>
      </c>
      <c r="AW473" s="7" t="str">
        <f>IFERROR(VLOOKUP($AQ473,Mapping!$E$208:$K$236,7,0),"ENDirect")</f>
        <v>ENDirect</v>
      </c>
      <c r="AX473" s="7" t="str">
        <f>IFERROR(HLOOKUP(AV473,'Calc|Weightings'!$U$5:$W$5,1,0),"Excl")</f>
        <v>Materials</v>
      </c>
      <c r="AY473" s="7" t="str">
        <f>VLOOKUP(AO473,Mapping!$E$11:$I$204,5,0)</f>
        <v>SCS</v>
      </c>
    </row>
    <row r="474" spans="1:51" x14ac:dyDescent="0.3">
      <c r="A474" s="7"/>
      <c r="B474" s="7"/>
      <c r="C474" s="7"/>
      <c r="D474" s="7"/>
      <c r="E474" s="32" t="s">
        <v>133</v>
      </c>
      <c r="F474" s="32"/>
      <c r="G474" s="32">
        <v>80000</v>
      </c>
      <c r="H474" s="32" t="s">
        <v>453</v>
      </c>
      <c r="I474" s="33">
        <v>183.244</v>
      </c>
      <c r="J474" s="170"/>
      <c r="K474" s="7" t="str">
        <f>VLOOKUP($E474,Mapping!$E$11:$I$204,3,0)</f>
        <v>ACS</v>
      </c>
      <c r="L474" s="7" t="str">
        <f>IFERROR(VLOOKUP($G474,Mapping!$E$208:$K$236,5,0),"Contracts")</f>
        <v>Overhead</v>
      </c>
      <c r="M474" s="7" t="str">
        <f>IFERROR(VLOOKUP($G474,Mapping!$E$208:$K$236,7,0),"ENDirect")</f>
        <v>OH</v>
      </c>
      <c r="N474" s="7" t="str">
        <f>IFERROR(HLOOKUP(L474,'Calc|Weightings'!$U$5:$W$5,1,0),"Excl")</f>
        <v>Excl</v>
      </c>
      <c r="O474" s="7" t="str">
        <f>VLOOKUP(E474,Mapping!$E$11:$I$204,5,0)</f>
        <v>ACS</v>
      </c>
      <c r="Q474" s="32" t="s">
        <v>165</v>
      </c>
      <c r="R474" s="32"/>
      <c r="S474" s="32">
        <v>71005</v>
      </c>
      <c r="T474" s="32" t="s">
        <v>461</v>
      </c>
      <c r="U474" s="33">
        <v>13.061</v>
      </c>
      <c r="V474" s="7"/>
      <c r="W474" s="7" t="str">
        <f>VLOOKUP($Q474,Mapping!$E$11:$I$204,3,0)</f>
        <v>Replacement</v>
      </c>
      <c r="X474" s="7" t="str">
        <f>IFERROR(VLOOKUP($S474,Mapping!$E$208:$K$236,5,0),"Contracts")</f>
        <v>Materials</v>
      </c>
      <c r="Y474" s="7" t="str">
        <f>IFERROR(VLOOKUP($S474,Mapping!$E$208:$K$236,7,0),"ENDirect")</f>
        <v>ENDirect</v>
      </c>
      <c r="Z474" s="7" t="str">
        <f>IFERROR(HLOOKUP(X474,'Calc|Weightings'!$U$5:$W$5,1,0),"Excl")</f>
        <v>Materials</v>
      </c>
      <c r="AA474" s="7" t="str">
        <f>VLOOKUP(Q474,Mapping!$E$11:$I$204,5,0)</f>
        <v>SCS</v>
      </c>
      <c r="AC474" s="35" t="s">
        <v>155</v>
      </c>
      <c r="AD474" s="35"/>
      <c r="AE474" s="35">
        <v>71000</v>
      </c>
      <c r="AF474" s="35" t="s">
        <v>457</v>
      </c>
      <c r="AG474" s="36">
        <v>493.00799999999998</v>
      </c>
      <c r="AI474" s="7" t="str">
        <f>VLOOKUP($AC474,Mapping!$E$11:$I$204,3,0)</f>
        <v>Replacement</v>
      </c>
      <c r="AJ474" s="7" t="str">
        <f>IFERROR(VLOOKUP($AE474,Mapping!$E$208:$K$236,5,0),"Contracts")</f>
        <v>Labour</v>
      </c>
      <c r="AK474" s="7" t="str">
        <f>IFERROR(VLOOKUP($AE474,Mapping!$E$208:$K$236,7,0),"ENDirect")</f>
        <v>ENDirect</v>
      </c>
      <c r="AL474" s="7" t="str">
        <f>IFERROR(HLOOKUP(AJ474,'Calc|Weightings'!$U$5:$W$5,1,0),"Excl")</f>
        <v>Labour</v>
      </c>
      <c r="AM474" s="7" t="str">
        <f>VLOOKUP(AC474,Mapping!$E$11:$I$204,5,0)</f>
        <v>SCS</v>
      </c>
      <c r="AO474" s="35" t="s">
        <v>166</v>
      </c>
      <c r="AP474" s="35"/>
      <c r="AQ474" s="35">
        <v>71030</v>
      </c>
      <c r="AR474" s="35" t="s">
        <v>464</v>
      </c>
      <c r="AS474" s="121">
        <v>10.559190000000003</v>
      </c>
      <c r="AU474" s="7" t="str">
        <f>VLOOKUP($AO474,Mapping!$E$11:$I$204,3,0)</f>
        <v>Replacement</v>
      </c>
      <c r="AV474" s="7" t="str">
        <f>IFERROR(VLOOKUP($AQ474,Mapping!$E$208:$K$236,5,0),"Contracts")</f>
        <v>Contracts</v>
      </c>
      <c r="AW474" s="7" t="str">
        <f>IFERROR(VLOOKUP($AQ474,Mapping!$E$208:$K$236,7,0),"ENDirect")</f>
        <v>ENDirect</v>
      </c>
      <c r="AX474" s="7" t="str">
        <f>IFERROR(HLOOKUP(AV474,'Calc|Weightings'!$U$5:$W$5,1,0),"Excl")</f>
        <v>Contracts</v>
      </c>
      <c r="AY474" s="7" t="str">
        <f>VLOOKUP(AO474,Mapping!$E$11:$I$204,5,0)</f>
        <v>SCS</v>
      </c>
    </row>
    <row r="475" spans="1:51" x14ac:dyDescent="0.3">
      <c r="A475" s="7"/>
      <c r="B475" s="7"/>
      <c r="C475" s="7"/>
      <c r="D475" s="7"/>
      <c r="E475" s="32" t="s">
        <v>135</v>
      </c>
      <c r="F475" s="32"/>
      <c r="G475" s="32">
        <v>71000</v>
      </c>
      <c r="H475" s="32" t="s">
        <v>457</v>
      </c>
      <c r="I475" s="33">
        <v>567.20000000000005</v>
      </c>
      <c r="J475" s="170"/>
      <c r="K475" s="7" t="str">
        <f>VLOOKUP($E475,Mapping!$E$11:$I$204,3,0)</f>
        <v>ACS</v>
      </c>
      <c r="L475" s="7" t="str">
        <f>IFERROR(VLOOKUP($G475,Mapping!$E$208:$K$236,5,0),"Contracts")</f>
        <v>Labour</v>
      </c>
      <c r="M475" s="7" t="str">
        <f>IFERROR(VLOOKUP($G475,Mapping!$E$208:$K$236,7,0),"ENDirect")</f>
        <v>ENDirect</v>
      </c>
      <c r="N475" s="7" t="str">
        <f>IFERROR(HLOOKUP(L475,'Calc|Weightings'!$U$5:$W$5,1,0),"Excl")</f>
        <v>Labour</v>
      </c>
      <c r="O475" s="7" t="str">
        <f>VLOOKUP(E475,Mapping!$E$11:$I$204,5,0)</f>
        <v>ACS</v>
      </c>
      <c r="Q475" s="32" t="s">
        <v>165</v>
      </c>
      <c r="R475" s="32"/>
      <c r="S475" s="32">
        <v>71006</v>
      </c>
      <c r="T475" s="32" t="s">
        <v>468</v>
      </c>
      <c r="U475" s="33">
        <v>195.77</v>
      </c>
      <c r="V475" s="7"/>
      <c r="W475" s="7" t="str">
        <f>VLOOKUP($Q475,Mapping!$E$11:$I$204,3,0)</f>
        <v>Replacement</v>
      </c>
      <c r="X475" s="7" t="str">
        <f>IFERROR(VLOOKUP($S475,Mapping!$E$208:$K$236,5,0),"Contracts")</f>
        <v>Materials</v>
      </c>
      <c r="Y475" s="7" t="str">
        <f>IFERROR(VLOOKUP($S475,Mapping!$E$208:$K$236,7,0),"ENDirect")</f>
        <v>ENDirect</v>
      </c>
      <c r="Z475" s="7" t="str">
        <f>IFERROR(HLOOKUP(X475,'Calc|Weightings'!$U$5:$W$5,1,0),"Excl")</f>
        <v>Materials</v>
      </c>
      <c r="AA475" s="7" t="str">
        <f>VLOOKUP(Q475,Mapping!$E$11:$I$204,5,0)</f>
        <v>SCS</v>
      </c>
      <c r="AC475" s="35" t="s">
        <v>155</v>
      </c>
      <c r="AD475" s="35"/>
      <c r="AE475" s="35">
        <v>71005</v>
      </c>
      <c r="AF475" s="35" t="s">
        <v>461</v>
      </c>
      <c r="AG475" s="36">
        <v>187.875</v>
      </c>
      <c r="AI475" s="7" t="str">
        <f>VLOOKUP($AC475,Mapping!$E$11:$I$204,3,0)</f>
        <v>Replacement</v>
      </c>
      <c r="AJ475" s="7" t="str">
        <f>IFERROR(VLOOKUP($AE475,Mapping!$E$208:$K$236,5,0),"Contracts")</f>
        <v>Materials</v>
      </c>
      <c r="AK475" s="7" t="str">
        <f>IFERROR(VLOOKUP($AE475,Mapping!$E$208:$K$236,7,0),"ENDirect")</f>
        <v>ENDirect</v>
      </c>
      <c r="AL475" s="7" t="str">
        <f>IFERROR(HLOOKUP(AJ475,'Calc|Weightings'!$U$5:$W$5,1,0),"Excl")</f>
        <v>Materials</v>
      </c>
      <c r="AM475" s="7" t="str">
        <f>VLOOKUP(AC475,Mapping!$E$11:$I$204,5,0)</f>
        <v>SCS</v>
      </c>
      <c r="AO475" s="35" t="s">
        <v>166</v>
      </c>
      <c r="AP475" s="35"/>
      <c r="AQ475" s="35">
        <v>71055</v>
      </c>
      <c r="AR475" s="35" t="s">
        <v>465</v>
      </c>
      <c r="AS475" s="121">
        <v>25.966830000000002</v>
      </c>
      <c r="AU475" s="7" t="str">
        <f>VLOOKUP($AO475,Mapping!$E$11:$I$204,3,0)</f>
        <v>Replacement</v>
      </c>
      <c r="AV475" s="7" t="str">
        <f>IFERROR(VLOOKUP($AQ475,Mapping!$E$208:$K$236,5,0),"Contracts")</f>
        <v>Contracts</v>
      </c>
      <c r="AW475" s="7" t="str">
        <f>IFERROR(VLOOKUP($AQ475,Mapping!$E$208:$K$236,7,0),"ENDirect")</f>
        <v>ENDirect</v>
      </c>
      <c r="AX475" s="7" t="str">
        <f>IFERROR(HLOOKUP(AV475,'Calc|Weightings'!$U$5:$W$5,1,0),"Excl")</f>
        <v>Contracts</v>
      </c>
      <c r="AY475" s="7" t="str">
        <f>VLOOKUP(AO475,Mapping!$E$11:$I$204,5,0)</f>
        <v>SCS</v>
      </c>
    </row>
    <row r="476" spans="1:51" x14ac:dyDescent="0.3">
      <c r="A476" s="7"/>
      <c r="B476" s="7"/>
      <c r="C476" s="7"/>
      <c r="D476" s="7"/>
      <c r="E476" s="32" t="s">
        <v>135</v>
      </c>
      <c r="F476" s="32"/>
      <c r="G476" s="32">
        <v>71010</v>
      </c>
      <c r="H476" s="32" t="s">
        <v>462</v>
      </c>
      <c r="I476" s="33">
        <v>55.38</v>
      </c>
      <c r="J476" s="170"/>
      <c r="K476" s="7" t="str">
        <f>VLOOKUP($E476,Mapping!$E$11:$I$204,3,0)</f>
        <v>ACS</v>
      </c>
      <c r="L476" s="7" t="str">
        <f>IFERROR(VLOOKUP($G476,Mapping!$E$208:$K$236,5,0),"Contracts")</f>
        <v>Labour</v>
      </c>
      <c r="M476" s="7" t="str">
        <f>IFERROR(VLOOKUP($G476,Mapping!$E$208:$K$236,7,0),"ENDirect")</f>
        <v>ENDirect</v>
      </c>
      <c r="N476" s="7" t="str">
        <f>IFERROR(HLOOKUP(L476,'Calc|Weightings'!$U$5:$W$5,1,0),"Excl")</f>
        <v>Labour</v>
      </c>
      <c r="O476" s="7" t="str">
        <f>VLOOKUP(E476,Mapping!$E$11:$I$204,5,0)</f>
        <v>ACS</v>
      </c>
      <c r="Q476" s="32" t="s">
        <v>165</v>
      </c>
      <c r="R476" s="32"/>
      <c r="S476" s="32">
        <v>71010</v>
      </c>
      <c r="T476" s="32" t="s">
        <v>462</v>
      </c>
      <c r="U476" s="33">
        <v>33.436</v>
      </c>
      <c r="V476" s="7"/>
      <c r="W476" s="7" t="str">
        <f>VLOOKUP($Q476,Mapping!$E$11:$I$204,3,0)</f>
        <v>Replacement</v>
      </c>
      <c r="X476" s="7" t="str">
        <f>IFERROR(VLOOKUP($S476,Mapping!$E$208:$K$236,5,0),"Contracts")</f>
        <v>Labour</v>
      </c>
      <c r="Y476" s="7" t="str">
        <f>IFERROR(VLOOKUP($S476,Mapping!$E$208:$K$236,7,0),"ENDirect")</f>
        <v>ENDirect</v>
      </c>
      <c r="Z476" s="7" t="str">
        <f>IFERROR(HLOOKUP(X476,'Calc|Weightings'!$U$5:$W$5,1,0),"Excl")</f>
        <v>Labour</v>
      </c>
      <c r="AA476" s="7" t="str">
        <f>VLOOKUP(Q476,Mapping!$E$11:$I$204,5,0)</f>
        <v>SCS</v>
      </c>
      <c r="AC476" s="35" t="s">
        <v>155</v>
      </c>
      <c r="AD476" s="35"/>
      <c r="AE476" s="35">
        <v>71010</v>
      </c>
      <c r="AF476" s="35" t="s">
        <v>462</v>
      </c>
      <c r="AG476" s="36">
        <v>73.744</v>
      </c>
      <c r="AI476" s="7" t="str">
        <f>VLOOKUP($AC476,Mapping!$E$11:$I$204,3,0)</f>
        <v>Replacement</v>
      </c>
      <c r="AJ476" s="7" t="str">
        <f>IFERROR(VLOOKUP($AE476,Mapping!$E$208:$K$236,5,0),"Contracts")</f>
        <v>Labour</v>
      </c>
      <c r="AK476" s="7" t="str">
        <f>IFERROR(VLOOKUP($AE476,Mapping!$E$208:$K$236,7,0),"ENDirect")</f>
        <v>ENDirect</v>
      </c>
      <c r="AL476" s="7" t="str">
        <f>IFERROR(HLOOKUP(AJ476,'Calc|Weightings'!$U$5:$W$5,1,0),"Excl")</f>
        <v>Labour</v>
      </c>
      <c r="AM476" s="7" t="str">
        <f>VLOOKUP(AC476,Mapping!$E$11:$I$204,5,0)</f>
        <v>SCS</v>
      </c>
      <c r="AO476" s="35" t="s">
        <v>166</v>
      </c>
      <c r="AP476" s="35"/>
      <c r="AQ476" s="35">
        <v>71070</v>
      </c>
      <c r="AR476" s="35" t="s">
        <v>586</v>
      </c>
      <c r="AS476" s="121">
        <v>27.167619999999999</v>
      </c>
      <c r="AU476" s="7" t="str">
        <f>VLOOKUP($AO476,Mapping!$E$11:$I$204,3,0)</f>
        <v>Replacement</v>
      </c>
      <c r="AV476" s="7" t="str">
        <f>IFERROR(VLOOKUP($AQ476,Mapping!$E$208:$K$236,5,0),"Contracts")</f>
        <v>Contracts</v>
      </c>
      <c r="AW476" s="7" t="str">
        <f>IFERROR(VLOOKUP($AQ476,Mapping!$E$208:$K$236,7,0),"ENDirect")</f>
        <v>ENDirect</v>
      </c>
      <c r="AX476" s="7" t="str">
        <f>IFERROR(HLOOKUP(AV476,'Calc|Weightings'!$U$5:$W$5,1,0),"Excl")</f>
        <v>Contracts</v>
      </c>
      <c r="AY476" s="7" t="str">
        <f>VLOOKUP(AO476,Mapping!$E$11:$I$204,5,0)</f>
        <v>SCS</v>
      </c>
    </row>
    <row r="477" spans="1:51" x14ac:dyDescent="0.3">
      <c r="A477" s="7"/>
      <c r="B477" s="7"/>
      <c r="C477" s="7"/>
      <c r="D477" s="7"/>
      <c r="E477" s="32" t="s">
        <v>135</v>
      </c>
      <c r="F477" s="32"/>
      <c r="G477" s="32">
        <v>71030</v>
      </c>
      <c r="H477" s="32" t="s">
        <v>464</v>
      </c>
      <c r="I477" s="33">
        <v>47.421999999999997</v>
      </c>
      <c r="J477" s="170"/>
      <c r="K477" s="7" t="str">
        <f>VLOOKUP($E477,Mapping!$E$11:$I$204,3,0)</f>
        <v>ACS</v>
      </c>
      <c r="L477" s="7" t="str">
        <f>IFERROR(VLOOKUP($G477,Mapping!$E$208:$K$236,5,0),"Contracts")</f>
        <v>Contracts</v>
      </c>
      <c r="M477" s="7" t="str">
        <f>IFERROR(VLOOKUP($G477,Mapping!$E$208:$K$236,7,0),"ENDirect")</f>
        <v>ENDirect</v>
      </c>
      <c r="N477" s="7" t="str">
        <f>IFERROR(HLOOKUP(L477,'Calc|Weightings'!$U$5:$W$5,1,0),"Excl")</f>
        <v>Contracts</v>
      </c>
      <c r="O477" s="7" t="str">
        <f>VLOOKUP(E477,Mapping!$E$11:$I$204,5,0)</f>
        <v>ACS</v>
      </c>
      <c r="Q477" s="32" t="s">
        <v>165</v>
      </c>
      <c r="R477" s="32"/>
      <c r="S477" s="32">
        <v>71015</v>
      </c>
      <c r="T477" s="32" t="s">
        <v>463</v>
      </c>
      <c r="U477" s="33">
        <v>26.776</v>
      </c>
      <c r="V477" s="7"/>
      <c r="W477" s="7" t="str">
        <f>VLOOKUP($Q477,Mapping!$E$11:$I$204,3,0)</f>
        <v>Replacement</v>
      </c>
      <c r="X477" s="7" t="str">
        <f>IFERROR(VLOOKUP($S477,Mapping!$E$208:$K$236,5,0),"Contracts")</f>
        <v>Materials</v>
      </c>
      <c r="Y477" s="7" t="str">
        <f>IFERROR(VLOOKUP($S477,Mapping!$E$208:$K$236,7,0),"ENDirect")</f>
        <v>ENDirect</v>
      </c>
      <c r="Z477" s="7" t="str">
        <f>IFERROR(HLOOKUP(X477,'Calc|Weightings'!$U$5:$W$5,1,0),"Excl")</f>
        <v>Materials</v>
      </c>
      <c r="AA477" s="7" t="str">
        <f>VLOOKUP(Q477,Mapping!$E$11:$I$204,5,0)</f>
        <v>SCS</v>
      </c>
      <c r="AC477" s="35" t="s">
        <v>155</v>
      </c>
      <c r="AD477" s="35"/>
      <c r="AE477" s="35">
        <v>71015</v>
      </c>
      <c r="AF477" s="35" t="s">
        <v>463</v>
      </c>
      <c r="AG477" s="36">
        <v>113.48699999999999</v>
      </c>
      <c r="AI477" s="7" t="str">
        <f>VLOOKUP($AC477,Mapping!$E$11:$I$204,3,0)</f>
        <v>Replacement</v>
      </c>
      <c r="AJ477" s="7" t="str">
        <f>IFERROR(VLOOKUP($AE477,Mapping!$E$208:$K$236,5,0),"Contracts")</f>
        <v>Materials</v>
      </c>
      <c r="AK477" s="7" t="str">
        <f>IFERROR(VLOOKUP($AE477,Mapping!$E$208:$K$236,7,0),"ENDirect")</f>
        <v>ENDirect</v>
      </c>
      <c r="AL477" s="7" t="str">
        <f>IFERROR(HLOOKUP(AJ477,'Calc|Weightings'!$U$5:$W$5,1,0),"Excl")</f>
        <v>Materials</v>
      </c>
      <c r="AM477" s="7" t="str">
        <f>VLOOKUP(AC477,Mapping!$E$11:$I$204,5,0)</f>
        <v>SCS</v>
      </c>
      <c r="AO477" s="35" t="s">
        <v>166</v>
      </c>
      <c r="AP477" s="35"/>
      <c r="AQ477" s="35">
        <v>71075</v>
      </c>
      <c r="AR477" s="35" t="s">
        <v>587</v>
      </c>
      <c r="AS477" s="121">
        <v>107.30566999999999</v>
      </c>
      <c r="AU477" s="7" t="str">
        <f>VLOOKUP($AO477,Mapping!$E$11:$I$204,3,0)</f>
        <v>Replacement</v>
      </c>
      <c r="AV477" s="7" t="str">
        <f>IFERROR(VLOOKUP($AQ477,Mapping!$E$208:$K$236,5,0),"Contracts")</f>
        <v>Contracts</v>
      </c>
      <c r="AW477" s="7" t="str">
        <f>IFERROR(VLOOKUP($AQ477,Mapping!$E$208:$K$236,7,0),"ENDirect")</f>
        <v>ENDirect</v>
      </c>
      <c r="AX477" s="7" t="str">
        <f>IFERROR(HLOOKUP(AV477,'Calc|Weightings'!$U$5:$W$5,1,0),"Excl")</f>
        <v>Contracts</v>
      </c>
      <c r="AY477" s="7" t="str">
        <f>VLOOKUP(AO477,Mapping!$E$11:$I$204,5,0)</f>
        <v>SCS</v>
      </c>
    </row>
    <row r="478" spans="1:51" x14ac:dyDescent="0.3">
      <c r="A478" s="7"/>
      <c r="B478" s="7"/>
      <c r="C478" s="7"/>
      <c r="D478" s="7"/>
      <c r="E478" s="32" t="s">
        <v>135</v>
      </c>
      <c r="F478" s="32"/>
      <c r="G478" s="32">
        <v>80000</v>
      </c>
      <c r="H478" s="32" t="s">
        <v>453</v>
      </c>
      <c r="I478" s="33">
        <v>68.483999999999995</v>
      </c>
      <c r="J478" s="170"/>
      <c r="K478" s="7" t="str">
        <f>VLOOKUP($E478,Mapping!$E$11:$I$204,3,0)</f>
        <v>ACS</v>
      </c>
      <c r="L478" s="7" t="str">
        <f>IFERROR(VLOOKUP($G478,Mapping!$E$208:$K$236,5,0),"Contracts")</f>
        <v>Overhead</v>
      </c>
      <c r="M478" s="7" t="str">
        <f>IFERROR(VLOOKUP($G478,Mapping!$E$208:$K$236,7,0),"ENDirect")</f>
        <v>OH</v>
      </c>
      <c r="N478" s="7" t="str">
        <f>IFERROR(HLOOKUP(L478,'Calc|Weightings'!$U$5:$W$5,1,0),"Excl")</f>
        <v>Excl</v>
      </c>
      <c r="O478" s="7" t="str">
        <f>VLOOKUP(E478,Mapping!$E$11:$I$204,5,0)</f>
        <v>ACS</v>
      </c>
      <c r="Q478" s="32" t="s">
        <v>165</v>
      </c>
      <c r="R478" s="32"/>
      <c r="S478" s="32">
        <v>71030</v>
      </c>
      <c r="T478" s="32" t="s">
        <v>464</v>
      </c>
      <c r="U478" s="33">
        <v>12.583</v>
      </c>
      <c r="V478" s="7"/>
      <c r="W478" s="7" t="str">
        <f>VLOOKUP($Q478,Mapping!$E$11:$I$204,3,0)</f>
        <v>Replacement</v>
      </c>
      <c r="X478" s="7" t="str">
        <f>IFERROR(VLOOKUP($S478,Mapping!$E$208:$K$236,5,0),"Contracts")</f>
        <v>Contracts</v>
      </c>
      <c r="Y478" s="7" t="str">
        <f>IFERROR(VLOOKUP($S478,Mapping!$E$208:$K$236,7,0),"ENDirect")</f>
        <v>ENDirect</v>
      </c>
      <c r="Z478" s="7" t="str">
        <f>IFERROR(HLOOKUP(X478,'Calc|Weightings'!$U$5:$W$5,1,0),"Excl")</f>
        <v>Contracts</v>
      </c>
      <c r="AA478" s="7" t="str">
        <f>VLOOKUP(Q478,Mapping!$E$11:$I$204,5,0)</f>
        <v>SCS</v>
      </c>
      <c r="AC478" s="35" t="s">
        <v>155</v>
      </c>
      <c r="AD478" s="35"/>
      <c r="AE478" s="35">
        <v>71030</v>
      </c>
      <c r="AF478" s="35" t="s">
        <v>464</v>
      </c>
      <c r="AG478" s="36">
        <v>70.867000000000004</v>
      </c>
      <c r="AI478" s="7" t="str">
        <f>VLOOKUP($AC478,Mapping!$E$11:$I$204,3,0)</f>
        <v>Replacement</v>
      </c>
      <c r="AJ478" s="7" t="str">
        <f>IFERROR(VLOOKUP($AE478,Mapping!$E$208:$K$236,5,0),"Contracts")</f>
        <v>Contracts</v>
      </c>
      <c r="AK478" s="7" t="str">
        <f>IFERROR(VLOOKUP($AE478,Mapping!$E$208:$K$236,7,0),"ENDirect")</f>
        <v>ENDirect</v>
      </c>
      <c r="AL478" s="7" t="str">
        <f>IFERROR(HLOOKUP(AJ478,'Calc|Weightings'!$U$5:$W$5,1,0),"Excl")</f>
        <v>Contracts</v>
      </c>
      <c r="AM478" s="7" t="str">
        <f>VLOOKUP(AC478,Mapping!$E$11:$I$204,5,0)</f>
        <v>SCS</v>
      </c>
      <c r="AO478" s="35" t="s">
        <v>166</v>
      </c>
      <c r="AP478" s="35"/>
      <c r="AQ478" s="35">
        <v>80000</v>
      </c>
      <c r="AR478" s="35" t="s">
        <v>589</v>
      </c>
      <c r="AS478" s="121">
        <v>208.51190999999997</v>
      </c>
      <c r="AU478" s="7" t="str">
        <f>VLOOKUP($AO478,Mapping!$E$11:$I$204,3,0)</f>
        <v>Replacement</v>
      </c>
      <c r="AV478" s="7" t="str">
        <f>IFERROR(VLOOKUP($AQ478,Mapping!$E$208:$K$236,5,0),"Contracts")</f>
        <v>Overhead</v>
      </c>
      <c r="AW478" s="7" t="str">
        <f>IFERROR(VLOOKUP($AQ478,Mapping!$E$208:$K$236,7,0),"ENDirect")</f>
        <v>OH</v>
      </c>
      <c r="AX478" s="7" t="str">
        <f>IFERROR(HLOOKUP(AV478,'Calc|Weightings'!$U$5:$W$5,1,0),"Excl")</f>
        <v>Excl</v>
      </c>
      <c r="AY478" s="7" t="str">
        <f>VLOOKUP(AO478,Mapping!$E$11:$I$204,5,0)</f>
        <v>SCS</v>
      </c>
    </row>
    <row r="479" spans="1:51" x14ac:dyDescent="0.3">
      <c r="A479" s="7"/>
      <c r="B479" s="7"/>
      <c r="C479" s="7"/>
      <c r="D479" s="7"/>
      <c r="E479" s="32" t="s">
        <v>137</v>
      </c>
      <c r="F479" s="32"/>
      <c r="G479" s="32">
        <v>71000</v>
      </c>
      <c r="H479" s="32" t="s">
        <v>457</v>
      </c>
      <c r="I479" s="33">
        <v>11.041</v>
      </c>
      <c r="J479" s="170"/>
      <c r="K479" s="7" t="str">
        <f>VLOOKUP($E479,Mapping!$E$11:$I$204,3,0)</f>
        <v>ACS</v>
      </c>
      <c r="L479" s="7" t="str">
        <f>IFERROR(VLOOKUP($G479,Mapping!$E$208:$K$236,5,0),"Contracts")</f>
        <v>Labour</v>
      </c>
      <c r="M479" s="7" t="str">
        <f>IFERROR(VLOOKUP($G479,Mapping!$E$208:$K$236,7,0),"ENDirect")</f>
        <v>ENDirect</v>
      </c>
      <c r="N479" s="7" t="str">
        <f>IFERROR(HLOOKUP(L479,'Calc|Weightings'!$U$5:$W$5,1,0),"Excl")</f>
        <v>Labour</v>
      </c>
      <c r="O479" s="7" t="str">
        <f>VLOOKUP(E479,Mapping!$E$11:$I$204,5,0)</f>
        <v>ACS</v>
      </c>
      <c r="Q479" s="32" t="s">
        <v>165</v>
      </c>
      <c r="R479" s="32"/>
      <c r="S479" s="32">
        <v>71055</v>
      </c>
      <c r="T479" s="32" t="s">
        <v>465</v>
      </c>
      <c r="U479" s="33">
        <v>25.004000000000001</v>
      </c>
      <c r="V479" s="7"/>
      <c r="W479" s="7" t="str">
        <f>VLOOKUP($Q479,Mapping!$E$11:$I$204,3,0)</f>
        <v>Replacement</v>
      </c>
      <c r="X479" s="7" t="str">
        <f>IFERROR(VLOOKUP($S479,Mapping!$E$208:$K$236,5,0),"Contracts")</f>
        <v>Contracts</v>
      </c>
      <c r="Y479" s="7" t="str">
        <f>IFERROR(VLOOKUP($S479,Mapping!$E$208:$K$236,7,0),"ENDirect")</f>
        <v>ENDirect</v>
      </c>
      <c r="Z479" s="7" t="str">
        <f>IFERROR(HLOOKUP(X479,'Calc|Weightings'!$U$5:$W$5,1,0),"Excl")</f>
        <v>Contracts</v>
      </c>
      <c r="AA479" s="7" t="str">
        <f>VLOOKUP(Q479,Mapping!$E$11:$I$204,5,0)</f>
        <v>SCS</v>
      </c>
      <c r="AC479" s="35" t="s">
        <v>155</v>
      </c>
      <c r="AD479" s="35"/>
      <c r="AE479" s="35">
        <v>71055</v>
      </c>
      <c r="AF479" s="35" t="s">
        <v>465</v>
      </c>
      <c r="AG479" s="36">
        <v>152.27799999999999</v>
      </c>
      <c r="AI479" s="7" t="str">
        <f>VLOOKUP($AC479,Mapping!$E$11:$I$204,3,0)</f>
        <v>Replacement</v>
      </c>
      <c r="AJ479" s="7" t="str">
        <f>IFERROR(VLOOKUP($AE479,Mapping!$E$208:$K$236,5,0),"Contracts")</f>
        <v>Contracts</v>
      </c>
      <c r="AK479" s="7" t="str">
        <f>IFERROR(VLOOKUP($AE479,Mapping!$E$208:$K$236,7,0),"ENDirect")</f>
        <v>ENDirect</v>
      </c>
      <c r="AL479" s="7" t="str">
        <f>IFERROR(HLOOKUP(AJ479,'Calc|Weightings'!$U$5:$W$5,1,0),"Excl")</f>
        <v>Contracts</v>
      </c>
      <c r="AM479" s="7" t="str">
        <f>VLOOKUP(AC479,Mapping!$E$11:$I$204,5,0)</f>
        <v>SCS</v>
      </c>
      <c r="AO479" s="35" t="s">
        <v>166</v>
      </c>
      <c r="AP479" s="35"/>
      <c r="AQ479" s="35">
        <v>83010</v>
      </c>
      <c r="AR479" s="35" t="s">
        <v>591</v>
      </c>
      <c r="AS479" s="121">
        <v>896.53079999999954</v>
      </c>
      <c r="AU479" s="7" t="str">
        <f>VLOOKUP($AO479,Mapping!$E$11:$I$204,3,0)</f>
        <v>Replacement</v>
      </c>
      <c r="AV479" s="7" t="str">
        <f>IFERROR(VLOOKUP($AQ479,Mapping!$E$208:$K$236,5,0),"Contracts")</f>
        <v>Contracts</v>
      </c>
      <c r="AW479" s="7" t="str">
        <f>IFERROR(VLOOKUP($AQ479,Mapping!$E$208:$K$236,7,0),"ENDirect")</f>
        <v>ENDirect</v>
      </c>
      <c r="AX479" s="7" t="str">
        <f>IFERROR(HLOOKUP(AV479,'Calc|Weightings'!$U$5:$W$5,1,0),"Excl")</f>
        <v>Contracts</v>
      </c>
      <c r="AY479" s="7" t="str">
        <f>VLOOKUP(AO479,Mapping!$E$11:$I$204,5,0)</f>
        <v>SCS</v>
      </c>
    </row>
    <row r="480" spans="1:51" x14ac:dyDescent="0.3">
      <c r="A480" s="7"/>
      <c r="B480" s="7"/>
      <c r="C480" s="7"/>
      <c r="D480" s="7"/>
      <c r="E480" s="32" t="s">
        <v>137</v>
      </c>
      <c r="F480" s="32"/>
      <c r="G480" s="32">
        <v>71010</v>
      </c>
      <c r="H480" s="32" t="s">
        <v>462</v>
      </c>
      <c r="I480" s="33">
        <v>-2.819</v>
      </c>
      <c r="J480" s="170"/>
      <c r="K480" s="7" t="str">
        <f>VLOOKUP($E480,Mapping!$E$11:$I$204,3,0)</f>
        <v>ACS</v>
      </c>
      <c r="L480" s="7" t="str">
        <f>IFERROR(VLOOKUP($G480,Mapping!$E$208:$K$236,5,0),"Contracts")</f>
        <v>Labour</v>
      </c>
      <c r="M480" s="7" t="str">
        <f>IFERROR(VLOOKUP($G480,Mapping!$E$208:$K$236,7,0),"ENDirect")</f>
        <v>ENDirect</v>
      </c>
      <c r="N480" s="7" t="str">
        <f>IFERROR(HLOOKUP(L480,'Calc|Weightings'!$U$5:$W$5,1,0),"Excl")</f>
        <v>Labour</v>
      </c>
      <c r="O480" s="7" t="str">
        <f>VLOOKUP(E480,Mapping!$E$11:$I$204,5,0)</f>
        <v>ACS</v>
      </c>
      <c r="Q480" s="32" t="s">
        <v>165</v>
      </c>
      <c r="R480" s="32"/>
      <c r="S480" s="32">
        <v>80000</v>
      </c>
      <c r="T480" s="32" t="s">
        <v>453</v>
      </c>
      <c r="U480" s="33">
        <v>47.75</v>
      </c>
      <c r="V480" s="7"/>
      <c r="W480" s="7" t="str">
        <f>VLOOKUP($Q480,Mapping!$E$11:$I$204,3,0)</f>
        <v>Replacement</v>
      </c>
      <c r="X480" s="7" t="str">
        <f>IFERROR(VLOOKUP($S480,Mapping!$E$208:$K$236,5,0),"Contracts")</f>
        <v>Overhead</v>
      </c>
      <c r="Y480" s="7" t="str">
        <f>IFERROR(VLOOKUP($S480,Mapping!$E$208:$K$236,7,0),"ENDirect")</f>
        <v>OH</v>
      </c>
      <c r="Z480" s="7" t="str">
        <f>IFERROR(HLOOKUP(X480,'Calc|Weightings'!$U$5:$W$5,1,0),"Excl")</f>
        <v>Excl</v>
      </c>
      <c r="AA480" s="7" t="str">
        <f>VLOOKUP(Q480,Mapping!$E$11:$I$204,5,0)</f>
        <v>SCS</v>
      </c>
      <c r="AC480" s="35" t="s">
        <v>155</v>
      </c>
      <c r="AD480" s="35"/>
      <c r="AE480" s="35">
        <v>80000</v>
      </c>
      <c r="AF480" s="35" t="s">
        <v>453</v>
      </c>
      <c r="AG480" s="36">
        <v>106.84699999999999</v>
      </c>
      <c r="AI480" s="7" t="str">
        <f>VLOOKUP($AC480,Mapping!$E$11:$I$204,3,0)</f>
        <v>Replacement</v>
      </c>
      <c r="AJ480" s="7" t="str">
        <f>IFERROR(VLOOKUP($AE480,Mapping!$E$208:$K$236,5,0),"Contracts")</f>
        <v>Overhead</v>
      </c>
      <c r="AK480" s="7" t="str">
        <f>IFERROR(VLOOKUP($AE480,Mapping!$E$208:$K$236,7,0),"ENDirect")</f>
        <v>OH</v>
      </c>
      <c r="AL480" s="7" t="str">
        <f>IFERROR(HLOOKUP(AJ480,'Calc|Weightings'!$U$5:$W$5,1,0),"Excl")</f>
        <v>Excl</v>
      </c>
      <c r="AM480" s="7" t="str">
        <f>VLOOKUP(AC480,Mapping!$E$11:$I$204,5,0)</f>
        <v>SCS</v>
      </c>
      <c r="AO480" s="35" t="s">
        <v>167</v>
      </c>
      <c r="AP480" s="35"/>
      <c r="AQ480" s="35">
        <v>71000</v>
      </c>
      <c r="AR480" s="35" t="s">
        <v>457</v>
      </c>
      <c r="AS480" s="121">
        <v>21.280360000000002</v>
      </c>
      <c r="AU480" s="7" t="str">
        <f>VLOOKUP($AO480,Mapping!$E$11:$I$204,3,0)</f>
        <v>Replacement</v>
      </c>
      <c r="AV480" s="7" t="str">
        <f>IFERROR(VLOOKUP($AQ480,Mapping!$E$208:$K$236,5,0),"Contracts")</f>
        <v>Labour</v>
      </c>
      <c r="AW480" s="7" t="str">
        <f>IFERROR(VLOOKUP($AQ480,Mapping!$E$208:$K$236,7,0),"ENDirect")</f>
        <v>ENDirect</v>
      </c>
      <c r="AX480" s="7" t="str">
        <f>IFERROR(HLOOKUP(AV480,'Calc|Weightings'!$U$5:$W$5,1,0),"Excl")</f>
        <v>Labour</v>
      </c>
      <c r="AY480" s="7" t="str">
        <f>VLOOKUP(AO480,Mapping!$E$11:$I$204,5,0)</f>
        <v>SCS</v>
      </c>
    </row>
    <row r="481" spans="1:51" x14ac:dyDescent="0.3">
      <c r="A481" s="7"/>
      <c r="B481" s="7"/>
      <c r="C481" s="7"/>
      <c r="D481" s="7"/>
      <c r="E481" s="32" t="s">
        <v>137</v>
      </c>
      <c r="F481" s="32"/>
      <c r="G481" s="32">
        <v>71030</v>
      </c>
      <c r="H481" s="32" t="s">
        <v>464</v>
      </c>
      <c r="I481" s="33">
        <v>-0.121</v>
      </c>
      <c r="J481" s="170"/>
      <c r="K481" s="7" t="str">
        <f>VLOOKUP($E481,Mapping!$E$11:$I$204,3,0)</f>
        <v>ACS</v>
      </c>
      <c r="L481" s="7" t="str">
        <f>IFERROR(VLOOKUP($G481,Mapping!$E$208:$K$236,5,0),"Contracts")</f>
        <v>Contracts</v>
      </c>
      <c r="M481" s="7" t="str">
        <f>IFERROR(VLOOKUP($G481,Mapping!$E$208:$K$236,7,0),"ENDirect")</f>
        <v>ENDirect</v>
      </c>
      <c r="N481" s="7" t="str">
        <f>IFERROR(HLOOKUP(L481,'Calc|Weightings'!$U$5:$W$5,1,0),"Excl")</f>
        <v>Contracts</v>
      </c>
      <c r="O481" s="7" t="str">
        <f>VLOOKUP(E481,Mapping!$E$11:$I$204,5,0)</f>
        <v>ACS</v>
      </c>
      <c r="Q481" s="32" t="s">
        <v>166</v>
      </c>
      <c r="R481" s="32"/>
      <c r="S481" s="32">
        <v>71000</v>
      </c>
      <c r="T481" s="32" t="s">
        <v>457</v>
      </c>
      <c r="U481" s="33">
        <v>441.67200000000003</v>
      </c>
      <c r="V481" s="7"/>
      <c r="W481" s="7" t="str">
        <f>VLOOKUP($Q481,Mapping!$E$11:$I$204,3,0)</f>
        <v>Replacement</v>
      </c>
      <c r="X481" s="7" t="str">
        <f>IFERROR(VLOOKUP($S481,Mapping!$E$208:$K$236,5,0),"Contracts")</f>
        <v>Labour</v>
      </c>
      <c r="Y481" s="7" t="str">
        <f>IFERROR(VLOOKUP($S481,Mapping!$E$208:$K$236,7,0),"ENDirect")</f>
        <v>ENDirect</v>
      </c>
      <c r="Z481" s="7" t="str">
        <f>IFERROR(HLOOKUP(X481,'Calc|Weightings'!$U$5:$W$5,1,0),"Excl")</f>
        <v>Labour</v>
      </c>
      <c r="AA481" s="7" t="str">
        <f>VLOOKUP(Q481,Mapping!$E$11:$I$204,5,0)</f>
        <v>SCS</v>
      </c>
      <c r="AC481" s="35" t="s">
        <v>155</v>
      </c>
      <c r="AD481" s="35"/>
      <c r="AE481" s="35">
        <v>89999</v>
      </c>
      <c r="AF481" s="35" t="s">
        <v>471</v>
      </c>
      <c r="AG481" s="36">
        <v>0</v>
      </c>
      <c r="AI481" s="7" t="str">
        <f>VLOOKUP($AC481,Mapping!$E$11:$I$204,3,0)</f>
        <v>Replacement</v>
      </c>
      <c r="AJ481" s="7" t="str">
        <f>IFERROR(VLOOKUP($AE481,Mapping!$E$208:$K$236,5,0),"Contracts")</f>
        <v>Contracts</v>
      </c>
      <c r="AK481" s="7" t="str">
        <f>IFERROR(VLOOKUP($AE481,Mapping!$E$208:$K$236,7,0),"ENDirect")</f>
        <v>ENDirect</v>
      </c>
      <c r="AL481" s="7" t="str">
        <f>IFERROR(HLOOKUP(AJ481,'Calc|Weightings'!$U$5:$W$5,1,0),"Excl")</f>
        <v>Contracts</v>
      </c>
      <c r="AM481" s="7" t="str">
        <f>VLOOKUP(AC481,Mapping!$E$11:$I$204,5,0)</f>
        <v>SCS</v>
      </c>
      <c r="AO481" s="35" t="s">
        <v>167</v>
      </c>
      <c r="AP481" s="35"/>
      <c r="AQ481" s="35">
        <v>71005</v>
      </c>
      <c r="AR481" s="35" t="s">
        <v>461</v>
      </c>
      <c r="AS481" s="121">
        <v>10.11539</v>
      </c>
      <c r="AU481" s="7" t="str">
        <f>VLOOKUP($AO481,Mapping!$E$11:$I$204,3,0)</f>
        <v>Replacement</v>
      </c>
      <c r="AV481" s="7" t="str">
        <f>IFERROR(VLOOKUP($AQ481,Mapping!$E$208:$K$236,5,0),"Contracts")</f>
        <v>Materials</v>
      </c>
      <c r="AW481" s="7" t="str">
        <f>IFERROR(VLOOKUP($AQ481,Mapping!$E$208:$K$236,7,0),"ENDirect")</f>
        <v>ENDirect</v>
      </c>
      <c r="AX481" s="7" t="str">
        <f>IFERROR(HLOOKUP(AV481,'Calc|Weightings'!$U$5:$W$5,1,0),"Excl")</f>
        <v>Materials</v>
      </c>
      <c r="AY481" s="7" t="str">
        <f>VLOOKUP(AO481,Mapping!$E$11:$I$204,5,0)</f>
        <v>SCS</v>
      </c>
    </row>
    <row r="482" spans="1:51" x14ac:dyDescent="0.3">
      <c r="A482" s="7"/>
      <c r="B482" s="7"/>
      <c r="C482" s="7"/>
      <c r="D482" s="7"/>
      <c r="E482" s="32" t="s">
        <v>137</v>
      </c>
      <c r="F482" s="32"/>
      <c r="G482" s="32">
        <v>80000</v>
      </c>
      <c r="H482" s="32" t="s">
        <v>453</v>
      </c>
      <c r="I482" s="33">
        <v>-0.17399999999999999</v>
      </c>
      <c r="J482" s="170"/>
      <c r="K482" s="7" t="str">
        <f>VLOOKUP($E482,Mapping!$E$11:$I$204,3,0)</f>
        <v>ACS</v>
      </c>
      <c r="L482" s="7" t="str">
        <f>IFERROR(VLOOKUP($G482,Mapping!$E$208:$K$236,5,0),"Contracts")</f>
        <v>Overhead</v>
      </c>
      <c r="M482" s="7" t="str">
        <f>IFERROR(VLOOKUP($G482,Mapping!$E$208:$K$236,7,0),"ENDirect")</f>
        <v>OH</v>
      </c>
      <c r="N482" s="7" t="str">
        <f>IFERROR(HLOOKUP(L482,'Calc|Weightings'!$U$5:$W$5,1,0),"Excl")</f>
        <v>Excl</v>
      </c>
      <c r="O482" s="7" t="str">
        <f>VLOOKUP(E482,Mapping!$E$11:$I$204,5,0)</f>
        <v>ACS</v>
      </c>
      <c r="Q482" s="32" t="s">
        <v>166</v>
      </c>
      <c r="R482" s="32"/>
      <c r="S482" s="32">
        <v>71005</v>
      </c>
      <c r="T482" s="32" t="s">
        <v>461</v>
      </c>
      <c r="U482" s="33">
        <v>364.12799999999999</v>
      </c>
      <c r="V482" s="7"/>
      <c r="W482" s="7" t="str">
        <f>VLOOKUP($Q482,Mapping!$E$11:$I$204,3,0)</f>
        <v>Replacement</v>
      </c>
      <c r="X482" s="7" t="str">
        <f>IFERROR(VLOOKUP($S482,Mapping!$E$208:$K$236,5,0),"Contracts")</f>
        <v>Materials</v>
      </c>
      <c r="Y482" s="7" t="str">
        <f>IFERROR(VLOOKUP($S482,Mapping!$E$208:$K$236,7,0),"ENDirect")</f>
        <v>ENDirect</v>
      </c>
      <c r="Z482" s="7" t="str">
        <f>IFERROR(HLOOKUP(X482,'Calc|Weightings'!$U$5:$W$5,1,0),"Excl")</f>
        <v>Materials</v>
      </c>
      <c r="AA482" s="7" t="str">
        <f>VLOOKUP(Q482,Mapping!$E$11:$I$204,5,0)</f>
        <v>SCS</v>
      </c>
      <c r="AC482" s="35" t="s">
        <v>163</v>
      </c>
      <c r="AD482" s="35"/>
      <c r="AE482" s="35">
        <v>71000</v>
      </c>
      <c r="AF482" s="35" t="s">
        <v>457</v>
      </c>
      <c r="AG482" s="36">
        <v>66.225999999999999</v>
      </c>
      <c r="AI482" s="7" t="str">
        <f>VLOOKUP($AC482,Mapping!$E$11:$I$204,3,0)</f>
        <v>Replacement</v>
      </c>
      <c r="AJ482" s="7" t="str">
        <f>IFERROR(VLOOKUP($AE482,Mapping!$E$208:$K$236,5,0),"Contracts")</f>
        <v>Labour</v>
      </c>
      <c r="AK482" s="7" t="str">
        <f>IFERROR(VLOOKUP($AE482,Mapping!$E$208:$K$236,7,0),"ENDirect")</f>
        <v>ENDirect</v>
      </c>
      <c r="AL482" s="7" t="str">
        <f>IFERROR(HLOOKUP(AJ482,'Calc|Weightings'!$U$5:$W$5,1,0),"Excl")</f>
        <v>Labour</v>
      </c>
      <c r="AM482" s="7" t="str">
        <f>VLOOKUP(AC482,Mapping!$E$11:$I$204,5,0)</f>
        <v>SCS</v>
      </c>
      <c r="AO482" s="35" t="s">
        <v>167</v>
      </c>
      <c r="AP482" s="35"/>
      <c r="AQ482" s="35">
        <v>71010</v>
      </c>
      <c r="AR482" s="35" t="s">
        <v>487</v>
      </c>
      <c r="AS482" s="121">
        <v>20.250829999999997</v>
      </c>
      <c r="AU482" s="7" t="str">
        <f>VLOOKUP($AO482,Mapping!$E$11:$I$204,3,0)</f>
        <v>Replacement</v>
      </c>
      <c r="AV482" s="7" t="str">
        <f>IFERROR(VLOOKUP($AQ482,Mapping!$E$208:$K$236,5,0),"Contracts")</f>
        <v>Labour</v>
      </c>
      <c r="AW482" s="7" t="str">
        <f>IFERROR(VLOOKUP($AQ482,Mapping!$E$208:$K$236,7,0),"ENDirect")</f>
        <v>ENDirect</v>
      </c>
      <c r="AX482" s="7" t="str">
        <f>IFERROR(HLOOKUP(AV482,'Calc|Weightings'!$U$5:$W$5,1,0),"Excl")</f>
        <v>Labour</v>
      </c>
      <c r="AY482" s="7" t="str">
        <f>VLOOKUP(AO482,Mapping!$E$11:$I$204,5,0)</f>
        <v>SCS</v>
      </c>
    </row>
    <row r="483" spans="1:51" x14ac:dyDescent="0.3">
      <c r="A483" s="7"/>
      <c r="B483" s="7"/>
      <c r="C483" s="7"/>
      <c r="D483" s="7"/>
      <c r="E483" s="32" t="s">
        <v>149</v>
      </c>
      <c r="F483" s="32"/>
      <c r="G483" s="32">
        <v>71000</v>
      </c>
      <c r="H483" s="32" t="s">
        <v>457</v>
      </c>
      <c r="I483" s="33">
        <v>93.049000000000007</v>
      </c>
      <c r="J483" s="170"/>
      <c r="K483" s="7" t="str">
        <f>VLOOKUP($E483,Mapping!$E$11:$I$204,3,0)</f>
        <v>VBRC</v>
      </c>
      <c r="L483" s="7" t="str">
        <f>IFERROR(VLOOKUP($G483,Mapping!$E$208:$K$236,5,0),"Contracts")</f>
        <v>Labour</v>
      </c>
      <c r="M483" s="7" t="str">
        <f>IFERROR(VLOOKUP($G483,Mapping!$E$208:$K$236,7,0),"ENDirect")</f>
        <v>ENDirect</v>
      </c>
      <c r="N483" s="7" t="str">
        <f>IFERROR(HLOOKUP(L483,'Calc|Weightings'!$U$5:$W$5,1,0),"Excl")</f>
        <v>Labour</v>
      </c>
      <c r="O483" s="7" t="str">
        <f>VLOOKUP(E483,Mapping!$E$11:$I$204,5,0)</f>
        <v>SCS</v>
      </c>
      <c r="Q483" s="32" t="s">
        <v>166</v>
      </c>
      <c r="R483" s="32"/>
      <c r="S483" s="32">
        <v>71010</v>
      </c>
      <c r="T483" s="32" t="s">
        <v>462</v>
      </c>
      <c r="U483" s="33">
        <v>68.77</v>
      </c>
      <c r="V483" s="7"/>
      <c r="W483" s="7" t="str">
        <f>VLOOKUP($Q483,Mapping!$E$11:$I$204,3,0)</f>
        <v>Replacement</v>
      </c>
      <c r="X483" s="7" t="str">
        <f>IFERROR(VLOOKUP($S483,Mapping!$E$208:$K$236,5,0),"Contracts")</f>
        <v>Labour</v>
      </c>
      <c r="Y483" s="7" t="str">
        <f>IFERROR(VLOOKUP($S483,Mapping!$E$208:$K$236,7,0),"ENDirect")</f>
        <v>ENDirect</v>
      </c>
      <c r="Z483" s="7" t="str">
        <f>IFERROR(HLOOKUP(X483,'Calc|Weightings'!$U$5:$W$5,1,0),"Excl")</f>
        <v>Labour</v>
      </c>
      <c r="AA483" s="7" t="str">
        <f>VLOOKUP(Q483,Mapping!$E$11:$I$204,5,0)</f>
        <v>SCS</v>
      </c>
      <c r="AC483" s="35" t="s">
        <v>163</v>
      </c>
      <c r="AD483" s="35"/>
      <c r="AE483" s="35">
        <v>71005</v>
      </c>
      <c r="AF483" s="35" t="s">
        <v>461</v>
      </c>
      <c r="AG483" s="36">
        <v>36.808</v>
      </c>
      <c r="AI483" s="7" t="str">
        <f>VLOOKUP($AC483,Mapping!$E$11:$I$204,3,0)</f>
        <v>Replacement</v>
      </c>
      <c r="AJ483" s="7" t="str">
        <f>IFERROR(VLOOKUP($AE483,Mapping!$E$208:$K$236,5,0),"Contracts")</f>
        <v>Materials</v>
      </c>
      <c r="AK483" s="7" t="str">
        <f>IFERROR(VLOOKUP($AE483,Mapping!$E$208:$K$236,7,0),"ENDirect")</f>
        <v>ENDirect</v>
      </c>
      <c r="AL483" s="7" t="str">
        <f>IFERROR(HLOOKUP(AJ483,'Calc|Weightings'!$U$5:$W$5,1,0),"Excl")</f>
        <v>Materials</v>
      </c>
      <c r="AM483" s="7" t="str">
        <f>VLOOKUP(AC483,Mapping!$E$11:$I$204,5,0)</f>
        <v>SCS</v>
      </c>
      <c r="AO483" s="35" t="s">
        <v>167</v>
      </c>
      <c r="AP483" s="35"/>
      <c r="AQ483" s="35">
        <v>71015</v>
      </c>
      <c r="AR483" s="35" t="s">
        <v>585</v>
      </c>
      <c r="AS483" s="121">
        <v>14.656749999999999</v>
      </c>
      <c r="AU483" s="7" t="str">
        <f>VLOOKUP($AO483,Mapping!$E$11:$I$204,3,0)</f>
        <v>Replacement</v>
      </c>
      <c r="AV483" s="7" t="str">
        <f>IFERROR(VLOOKUP($AQ483,Mapping!$E$208:$K$236,5,0),"Contracts")</f>
        <v>Materials</v>
      </c>
      <c r="AW483" s="7" t="str">
        <f>IFERROR(VLOOKUP($AQ483,Mapping!$E$208:$K$236,7,0),"ENDirect")</f>
        <v>ENDirect</v>
      </c>
      <c r="AX483" s="7" t="str">
        <f>IFERROR(HLOOKUP(AV483,'Calc|Weightings'!$U$5:$W$5,1,0),"Excl")</f>
        <v>Materials</v>
      </c>
      <c r="AY483" s="7" t="str">
        <f>VLOOKUP(AO483,Mapping!$E$11:$I$204,5,0)</f>
        <v>SCS</v>
      </c>
    </row>
    <row r="484" spans="1:51" x14ac:dyDescent="0.3">
      <c r="A484" s="7"/>
      <c r="B484" s="7"/>
      <c r="C484" s="7"/>
      <c r="D484" s="7"/>
      <c r="E484" s="32" t="s">
        <v>149</v>
      </c>
      <c r="F484" s="32"/>
      <c r="G484" s="32">
        <v>71005</v>
      </c>
      <c r="H484" s="32" t="s">
        <v>461</v>
      </c>
      <c r="I484" s="33">
        <v>3.996</v>
      </c>
      <c r="J484" s="170"/>
      <c r="K484" s="7" t="str">
        <f>VLOOKUP($E484,Mapping!$E$11:$I$204,3,0)</f>
        <v>VBRC</v>
      </c>
      <c r="L484" s="7" t="str">
        <f>IFERROR(VLOOKUP($G484,Mapping!$E$208:$K$236,5,0),"Contracts")</f>
        <v>Materials</v>
      </c>
      <c r="M484" s="7" t="str">
        <f>IFERROR(VLOOKUP($G484,Mapping!$E$208:$K$236,7,0),"ENDirect")</f>
        <v>ENDirect</v>
      </c>
      <c r="N484" s="7" t="str">
        <f>IFERROR(HLOOKUP(L484,'Calc|Weightings'!$U$5:$W$5,1,0),"Excl")</f>
        <v>Materials</v>
      </c>
      <c r="O484" s="7" t="str">
        <f>VLOOKUP(E484,Mapping!$E$11:$I$204,5,0)</f>
        <v>SCS</v>
      </c>
      <c r="Q484" s="32" t="s">
        <v>166</v>
      </c>
      <c r="R484" s="32"/>
      <c r="S484" s="32">
        <v>71015</v>
      </c>
      <c r="T484" s="32" t="s">
        <v>463</v>
      </c>
      <c r="U484" s="33">
        <v>154.76599999999999</v>
      </c>
      <c r="V484" s="7"/>
      <c r="W484" s="7" t="str">
        <f>VLOOKUP($Q484,Mapping!$E$11:$I$204,3,0)</f>
        <v>Replacement</v>
      </c>
      <c r="X484" s="7" t="str">
        <f>IFERROR(VLOOKUP($S484,Mapping!$E$208:$K$236,5,0),"Contracts")</f>
        <v>Materials</v>
      </c>
      <c r="Y484" s="7" t="str">
        <f>IFERROR(VLOOKUP($S484,Mapping!$E$208:$K$236,7,0),"ENDirect")</f>
        <v>ENDirect</v>
      </c>
      <c r="Z484" s="7" t="str">
        <f>IFERROR(HLOOKUP(X484,'Calc|Weightings'!$U$5:$W$5,1,0),"Excl")</f>
        <v>Materials</v>
      </c>
      <c r="AA484" s="7" t="str">
        <f>VLOOKUP(Q484,Mapping!$E$11:$I$204,5,0)</f>
        <v>SCS</v>
      </c>
      <c r="AC484" s="35" t="s">
        <v>163</v>
      </c>
      <c r="AD484" s="35"/>
      <c r="AE484" s="35">
        <v>71006</v>
      </c>
      <c r="AF484" s="35" t="s">
        <v>468</v>
      </c>
      <c r="AG484" s="36">
        <v>203.76300000000001</v>
      </c>
      <c r="AI484" s="7" t="str">
        <f>VLOOKUP($AC484,Mapping!$E$11:$I$204,3,0)</f>
        <v>Replacement</v>
      </c>
      <c r="AJ484" s="7" t="str">
        <f>IFERROR(VLOOKUP($AE484,Mapping!$E$208:$K$236,5,0),"Contracts")</f>
        <v>Materials</v>
      </c>
      <c r="AK484" s="7" t="str">
        <f>IFERROR(VLOOKUP($AE484,Mapping!$E$208:$K$236,7,0),"ENDirect")</f>
        <v>ENDirect</v>
      </c>
      <c r="AL484" s="7" t="str">
        <f>IFERROR(HLOOKUP(AJ484,'Calc|Weightings'!$U$5:$W$5,1,0),"Excl")</f>
        <v>Materials</v>
      </c>
      <c r="AM484" s="7" t="str">
        <f>VLOOKUP(AC484,Mapping!$E$11:$I$204,5,0)</f>
        <v>SCS</v>
      </c>
      <c r="AO484" s="35" t="s">
        <v>167</v>
      </c>
      <c r="AP484" s="35"/>
      <c r="AQ484" s="35">
        <v>71030</v>
      </c>
      <c r="AR484" s="35" t="s">
        <v>464</v>
      </c>
      <c r="AS484" s="121">
        <v>5.5543899999999997</v>
      </c>
      <c r="AU484" s="7" t="str">
        <f>VLOOKUP($AO484,Mapping!$E$11:$I$204,3,0)</f>
        <v>Replacement</v>
      </c>
      <c r="AV484" s="7" t="str">
        <f>IFERROR(VLOOKUP($AQ484,Mapping!$E$208:$K$236,5,0),"Contracts")</f>
        <v>Contracts</v>
      </c>
      <c r="AW484" s="7" t="str">
        <f>IFERROR(VLOOKUP($AQ484,Mapping!$E$208:$K$236,7,0),"ENDirect")</f>
        <v>ENDirect</v>
      </c>
      <c r="AX484" s="7" t="str">
        <f>IFERROR(HLOOKUP(AV484,'Calc|Weightings'!$U$5:$W$5,1,0),"Excl")</f>
        <v>Contracts</v>
      </c>
      <c r="AY484" s="7" t="str">
        <f>VLOOKUP(AO484,Mapping!$E$11:$I$204,5,0)</f>
        <v>SCS</v>
      </c>
    </row>
    <row r="485" spans="1:51" x14ac:dyDescent="0.3">
      <c r="A485" s="7"/>
      <c r="B485" s="7"/>
      <c r="C485" s="7"/>
      <c r="D485" s="7"/>
      <c r="E485" s="32" t="s">
        <v>149</v>
      </c>
      <c r="F485" s="32"/>
      <c r="G485" s="32">
        <v>71010</v>
      </c>
      <c r="H485" s="32" t="s">
        <v>462</v>
      </c>
      <c r="I485" s="33">
        <v>13.144</v>
      </c>
      <c r="J485" s="170"/>
      <c r="K485" s="7" t="str">
        <f>VLOOKUP($E485,Mapping!$E$11:$I$204,3,0)</f>
        <v>VBRC</v>
      </c>
      <c r="L485" s="7" t="str">
        <f>IFERROR(VLOOKUP($G485,Mapping!$E$208:$K$236,5,0),"Contracts")</f>
        <v>Labour</v>
      </c>
      <c r="M485" s="7" t="str">
        <f>IFERROR(VLOOKUP($G485,Mapping!$E$208:$K$236,7,0),"ENDirect")</f>
        <v>ENDirect</v>
      </c>
      <c r="N485" s="7" t="str">
        <f>IFERROR(HLOOKUP(L485,'Calc|Weightings'!$U$5:$W$5,1,0),"Excl")</f>
        <v>Labour</v>
      </c>
      <c r="O485" s="7" t="str">
        <f>VLOOKUP(E485,Mapping!$E$11:$I$204,5,0)</f>
        <v>SCS</v>
      </c>
      <c r="Q485" s="32" t="s">
        <v>166</v>
      </c>
      <c r="R485" s="32"/>
      <c r="S485" s="32">
        <v>71020</v>
      </c>
      <c r="T485" s="32" t="s">
        <v>459</v>
      </c>
      <c r="U485" s="33">
        <v>-6.6989999999999998</v>
      </c>
      <c r="V485" s="7"/>
      <c r="W485" s="7" t="str">
        <f>VLOOKUP($Q485,Mapping!$E$11:$I$204,3,0)</f>
        <v>Replacement</v>
      </c>
      <c r="X485" s="7" t="str">
        <f>IFERROR(VLOOKUP($S485,Mapping!$E$208:$K$236,5,0),"Contracts")</f>
        <v>Contracts</v>
      </c>
      <c r="Y485" s="7" t="str">
        <f>IFERROR(VLOOKUP($S485,Mapping!$E$208:$K$236,7,0),"ENDirect")</f>
        <v>ENDirect</v>
      </c>
      <c r="Z485" s="7" t="str">
        <f>IFERROR(HLOOKUP(X485,'Calc|Weightings'!$U$5:$W$5,1,0),"Excl")</f>
        <v>Contracts</v>
      </c>
      <c r="AA485" s="7" t="str">
        <f>VLOOKUP(Q485,Mapping!$E$11:$I$204,5,0)</f>
        <v>SCS</v>
      </c>
      <c r="AC485" s="35" t="s">
        <v>163</v>
      </c>
      <c r="AD485" s="35"/>
      <c r="AE485" s="35">
        <v>71010</v>
      </c>
      <c r="AF485" s="35" t="s">
        <v>462</v>
      </c>
      <c r="AG485" s="36">
        <v>9.4939999999999998</v>
      </c>
      <c r="AI485" s="7" t="str">
        <f>VLOOKUP($AC485,Mapping!$E$11:$I$204,3,0)</f>
        <v>Replacement</v>
      </c>
      <c r="AJ485" s="7" t="str">
        <f>IFERROR(VLOOKUP($AE485,Mapping!$E$208:$K$236,5,0),"Contracts")</f>
        <v>Labour</v>
      </c>
      <c r="AK485" s="7" t="str">
        <f>IFERROR(VLOOKUP($AE485,Mapping!$E$208:$K$236,7,0),"ENDirect")</f>
        <v>ENDirect</v>
      </c>
      <c r="AL485" s="7" t="str">
        <f>IFERROR(HLOOKUP(AJ485,'Calc|Weightings'!$U$5:$W$5,1,0),"Excl")</f>
        <v>Labour</v>
      </c>
      <c r="AM485" s="7" t="str">
        <f>VLOOKUP(AC485,Mapping!$E$11:$I$204,5,0)</f>
        <v>SCS</v>
      </c>
      <c r="AO485" s="35" t="s">
        <v>167</v>
      </c>
      <c r="AP485" s="35"/>
      <c r="AQ485" s="35">
        <v>71055</v>
      </c>
      <c r="AR485" s="35" t="s">
        <v>465</v>
      </c>
      <c r="AS485" s="121">
        <v>13.045200000000001</v>
      </c>
      <c r="AU485" s="7" t="str">
        <f>VLOOKUP($AO485,Mapping!$E$11:$I$204,3,0)</f>
        <v>Replacement</v>
      </c>
      <c r="AV485" s="7" t="str">
        <f>IFERROR(VLOOKUP($AQ485,Mapping!$E$208:$K$236,5,0),"Contracts")</f>
        <v>Contracts</v>
      </c>
      <c r="AW485" s="7" t="str">
        <f>IFERROR(VLOOKUP($AQ485,Mapping!$E$208:$K$236,7,0),"ENDirect")</f>
        <v>ENDirect</v>
      </c>
      <c r="AX485" s="7" t="str">
        <f>IFERROR(HLOOKUP(AV485,'Calc|Weightings'!$U$5:$W$5,1,0),"Excl")</f>
        <v>Contracts</v>
      </c>
      <c r="AY485" s="7" t="str">
        <f>VLOOKUP(AO485,Mapping!$E$11:$I$204,5,0)</f>
        <v>SCS</v>
      </c>
    </row>
    <row r="486" spans="1:51" x14ac:dyDescent="0.3">
      <c r="A486" s="7"/>
      <c r="B486" s="7"/>
      <c r="C486" s="7"/>
      <c r="D486" s="7"/>
      <c r="E486" s="32" t="s">
        <v>149</v>
      </c>
      <c r="F486" s="32"/>
      <c r="G486" s="32">
        <v>71015</v>
      </c>
      <c r="H486" s="32" t="s">
        <v>463</v>
      </c>
      <c r="I486" s="33">
        <v>21.974</v>
      </c>
      <c r="J486" s="170"/>
      <c r="K486" s="7" t="str">
        <f>VLOOKUP($E486,Mapping!$E$11:$I$204,3,0)</f>
        <v>VBRC</v>
      </c>
      <c r="L486" s="7" t="str">
        <f>IFERROR(VLOOKUP($G486,Mapping!$E$208:$K$236,5,0),"Contracts")</f>
        <v>Materials</v>
      </c>
      <c r="M486" s="7" t="str">
        <f>IFERROR(VLOOKUP($G486,Mapping!$E$208:$K$236,7,0),"ENDirect")</f>
        <v>ENDirect</v>
      </c>
      <c r="N486" s="7" t="str">
        <f>IFERROR(HLOOKUP(L486,'Calc|Weightings'!$U$5:$W$5,1,0),"Excl")</f>
        <v>Materials</v>
      </c>
      <c r="O486" s="7" t="str">
        <f>VLOOKUP(E486,Mapping!$E$11:$I$204,5,0)</f>
        <v>SCS</v>
      </c>
      <c r="Q486" s="32" t="s">
        <v>166</v>
      </c>
      <c r="R486" s="32"/>
      <c r="S486" s="32">
        <v>71030</v>
      </c>
      <c r="T486" s="32" t="s">
        <v>464</v>
      </c>
      <c r="U486" s="33">
        <v>82.83</v>
      </c>
      <c r="V486" s="7"/>
      <c r="W486" s="7" t="str">
        <f>VLOOKUP($Q486,Mapping!$E$11:$I$204,3,0)</f>
        <v>Replacement</v>
      </c>
      <c r="X486" s="7" t="str">
        <f>IFERROR(VLOOKUP($S486,Mapping!$E$208:$K$236,5,0),"Contracts")</f>
        <v>Contracts</v>
      </c>
      <c r="Y486" s="7" t="str">
        <f>IFERROR(VLOOKUP($S486,Mapping!$E$208:$K$236,7,0),"ENDirect")</f>
        <v>ENDirect</v>
      </c>
      <c r="Z486" s="7" t="str">
        <f>IFERROR(HLOOKUP(X486,'Calc|Weightings'!$U$5:$W$5,1,0),"Excl")</f>
        <v>Contracts</v>
      </c>
      <c r="AA486" s="7" t="str">
        <f>VLOOKUP(Q486,Mapping!$E$11:$I$204,5,0)</f>
        <v>SCS</v>
      </c>
      <c r="AC486" s="35" t="s">
        <v>163</v>
      </c>
      <c r="AD486" s="35"/>
      <c r="AE486" s="35">
        <v>71015</v>
      </c>
      <c r="AF486" s="35" t="s">
        <v>463</v>
      </c>
      <c r="AG486" s="36">
        <v>16.434999999999999</v>
      </c>
      <c r="AI486" s="7" t="str">
        <f>VLOOKUP($AC486,Mapping!$E$11:$I$204,3,0)</f>
        <v>Replacement</v>
      </c>
      <c r="AJ486" s="7" t="str">
        <f>IFERROR(VLOOKUP($AE486,Mapping!$E$208:$K$236,5,0),"Contracts")</f>
        <v>Materials</v>
      </c>
      <c r="AK486" s="7" t="str">
        <f>IFERROR(VLOOKUP($AE486,Mapping!$E$208:$K$236,7,0),"ENDirect")</f>
        <v>ENDirect</v>
      </c>
      <c r="AL486" s="7" t="str">
        <f>IFERROR(HLOOKUP(AJ486,'Calc|Weightings'!$U$5:$W$5,1,0),"Excl")</f>
        <v>Materials</v>
      </c>
      <c r="AM486" s="7" t="str">
        <f>VLOOKUP(AC486,Mapping!$E$11:$I$204,5,0)</f>
        <v>SCS</v>
      </c>
      <c r="AO486" s="35" t="s">
        <v>167</v>
      </c>
      <c r="AP486" s="35"/>
      <c r="AQ486" s="35">
        <v>71070</v>
      </c>
      <c r="AR486" s="35" t="s">
        <v>586</v>
      </c>
      <c r="AS486" s="121">
        <v>22.605300000000003</v>
      </c>
      <c r="AU486" s="7" t="str">
        <f>VLOOKUP($AO486,Mapping!$E$11:$I$204,3,0)</f>
        <v>Replacement</v>
      </c>
      <c r="AV486" s="7" t="str">
        <f>IFERROR(VLOOKUP($AQ486,Mapping!$E$208:$K$236,5,0),"Contracts")</f>
        <v>Contracts</v>
      </c>
      <c r="AW486" s="7" t="str">
        <f>IFERROR(VLOOKUP($AQ486,Mapping!$E$208:$K$236,7,0),"ENDirect")</f>
        <v>ENDirect</v>
      </c>
      <c r="AX486" s="7" t="str">
        <f>IFERROR(HLOOKUP(AV486,'Calc|Weightings'!$U$5:$W$5,1,0),"Excl")</f>
        <v>Contracts</v>
      </c>
      <c r="AY486" s="7" t="str">
        <f>VLOOKUP(AO486,Mapping!$E$11:$I$204,5,0)</f>
        <v>SCS</v>
      </c>
    </row>
    <row r="487" spans="1:51" x14ac:dyDescent="0.3">
      <c r="A487" s="7"/>
      <c r="B487" s="7"/>
      <c r="C487" s="7"/>
      <c r="D487" s="7"/>
      <c r="E487" s="32" t="s">
        <v>149</v>
      </c>
      <c r="F487" s="32"/>
      <c r="G487" s="32">
        <v>71020</v>
      </c>
      <c r="H487" s="32" t="s">
        <v>459</v>
      </c>
      <c r="I487" s="33">
        <v>-0.623</v>
      </c>
      <c r="J487" s="170"/>
      <c r="K487" s="7" t="str">
        <f>VLOOKUP($E487,Mapping!$E$11:$I$204,3,0)</f>
        <v>VBRC</v>
      </c>
      <c r="L487" s="7" t="str">
        <f>IFERROR(VLOOKUP($G487,Mapping!$E$208:$K$236,5,0),"Contracts")</f>
        <v>Contracts</v>
      </c>
      <c r="M487" s="7" t="str">
        <f>IFERROR(VLOOKUP($G487,Mapping!$E$208:$K$236,7,0),"ENDirect")</f>
        <v>ENDirect</v>
      </c>
      <c r="N487" s="7" t="str">
        <f>IFERROR(HLOOKUP(L487,'Calc|Weightings'!$U$5:$W$5,1,0),"Excl")</f>
        <v>Contracts</v>
      </c>
      <c r="O487" s="7" t="str">
        <f>VLOOKUP(E487,Mapping!$E$11:$I$204,5,0)</f>
        <v>SCS</v>
      </c>
      <c r="Q487" s="32" t="s">
        <v>166</v>
      </c>
      <c r="R487" s="32"/>
      <c r="S487" s="32">
        <v>71055</v>
      </c>
      <c r="T487" s="32" t="s">
        <v>465</v>
      </c>
      <c r="U487" s="33">
        <v>160.655</v>
      </c>
      <c r="V487" s="7"/>
      <c r="W487" s="7" t="str">
        <f>VLOOKUP($Q487,Mapping!$E$11:$I$204,3,0)</f>
        <v>Replacement</v>
      </c>
      <c r="X487" s="7" t="str">
        <f>IFERROR(VLOOKUP($S487,Mapping!$E$208:$K$236,5,0),"Contracts")</f>
        <v>Contracts</v>
      </c>
      <c r="Y487" s="7" t="str">
        <f>IFERROR(VLOOKUP($S487,Mapping!$E$208:$K$236,7,0),"ENDirect")</f>
        <v>ENDirect</v>
      </c>
      <c r="Z487" s="7" t="str">
        <f>IFERROR(HLOOKUP(X487,'Calc|Weightings'!$U$5:$W$5,1,0),"Excl")</f>
        <v>Contracts</v>
      </c>
      <c r="AA487" s="7" t="str">
        <f>VLOOKUP(Q487,Mapping!$E$11:$I$204,5,0)</f>
        <v>SCS</v>
      </c>
      <c r="AC487" s="35" t="s">
        <v>163</v>
      </c>
      <c r="AD487" s="35"/>
      <c r="AE487" s="35">
        <v>71030</v>
      </c>
      <c r="AF487" s="35" t="s">
        <v>464</v>
      </c>
      <c r="AG487" s="36">
        <v>10.679</v>
      </c>
      <c r="AI487" s="7" t="str">
        <f>VLOOKUP($AC487,Mapping!$E$11:$I$204,3,0)</f>
        <v>Replacement</v>
      </c>
      <c r="AJ487" s="7" t="str">
        <f>IFERROR(VLOOKUP($AE487,Mapping!$E$208:$K$236,5,0),"Contracts")</f>
        <v>Contracts</v>
      </c>
      <c r="AK487" s="7" t="str">
        <f>IFERROR(VLOOKUP($AE487,Mapping!$E$208:$K$236,7,0),"ENDirect")</f>
        <v>ENDirect</v>
      </c>
      <c r="AL487" s="7" t="str">
        <f>IFERROR(HLOOKUP(AJ487,'Calc|Weightings'!$U$5:$W$5,1,0),"Excl")</f>
        <v>Contracts</v>
      </c>
      <c r="AM487" s="7" t="str">
        <f>VLOOKUP(AC487,Mapping!$E$11:$I$204,5,0)</f>
        <v>SCS</v>
      </c>
      <c r="AO487" s="35" t="s">
        <v>167</v>
      </c>
      <c r="AP487" s="35"/>
      <c r="AQ487" s="35">
        <v>71075</v>
      </c>
      <c r="AR487" s="35" t="s">
        <v>587</v>
      </c>
      <c r="AS487" s="121">
        <v>41.945829999999972</v>
      </c>
      <c r="AU487" s="7" t="str">
        <f>VLOOKUP($AO487,Mapping!$E$11:$I$204,3,0)</f>
        <v>Replacement</v>
      </c>
      <c r="AV487" s="7" t="str">
        <f>IFERROR(VLOOKUP($AQ487,Mapping!$E$208:$K$236,5,0),"Contracts")</f>
        <v>Contracts</v>
      </c>
      <c r="AW487" s="7" t="str">
        <f>IFERROR(VLOOKUP($AQ487,Mapping!$E$208:$K$236,7,0),"ENDirect")</f>
        <v>ENDirect</v>
      </c>
      <c r="AX487" s="7" t="str">
        <f>IFERROR(HLOOKUP(AV487,'Calc|Weightings'!$U$5:$W$5,1,0),"Excl")</f>
        <v>Contracts</v>
      </c>
      <c r="AY487" s="7" t="str">
        <f>VLOOKUP(AO487,Mapping!$E$11:$I$204,5,0)</f>
        <v>SCS</v>
      </c>
    </row>
    <row r="488" spans="1:51" x14ac:dyDescent="0.3">
      <c r="A488" s="7"/>
      <c r="B488" s="7"/>
      <c r="C488" s="7"/>
      <c r="D488" s="7"/>
      <c r="E488" s="32" t="s">
        <v>149</v>
      </c>
      <c r="F488" s="32"/>
      <c r="G488" s="32">
        <v>71030</v>
      </c>
      <c r="H488" s="32" t="s">
        <v>464</v>
      </c>
      <c r="I488" s="33">
        <v>10.801</v>
      </c>
      <c r="J488" s="170"/>
      <c r="K488" s="7" t="str">
        <f>VLOOKUP($E488,Mapping!$E$11:$I$204,3,0)</f>
        <v>VBRC</v>
      </c>
      <c r="L488" s="7" t="str">
        <f>IFERROR(VLOOKUP($G488,Mapping!$E$208:$K$236,5,0),"Contracts")</f>
        <v>Contracts</v>
      </c>
      <c r="M488" s="7" t="str">
        <f>IFERROR(VLOOKUP($G488,Mapping!$E$208:$K$236,7,0),"ENDirect")</f>
        <v>ENDirect</v>
      </c>
      <c r="N488" s="7" t="str">
        <f>IFERROR(HLOOKUP(L488,'Calc|Weightings'!$U$5:$W$5,1,0),"Excl")</f>
        <v>Contracts</v>
      </c>
      <c r="O488" s="7" t="str">
        <f>VLOOKUP(E488,Mapping!$E$11:$I$204,5,0)</f>
        <v>SCS</v>
      </c>
      <c r="Q488" s="32" t="s">
        <v>166</v>
      </c>
      <c r="R488" s="32"/>
      <c r="S488" s="32">
        <v>80000</v>
      </c>
      <c r="T488" s="32" t="s">
        <v>453</v>
      </c>
      <c r="U488" s="33">
        <v>174.56899999999999</v>
      </c>
      <c r="V488" s="7"/>
      <c r="W488" s="7" t="str">
        <f>VLOOKUP($Q488,Mapping!$E$11:$I$204,3,0)</f>
        <v>Replacement</v>
      </c>
      <c r="X488" s="7" t="str">
        <f>IFERROR(VLOOKUP($S488,Mapping!$E$208:$K$236,5,0),"Contracts")</f>
        <v>Overhead</v>
      </c>
      <c r="Y488" s="7" t="str">
        <f>IFERROR(VLOOKUP($S488,Mapping!$E$208:$K$236,7,0),"ENDirect")</f>
        <v>OH</v>
      </c>
      <c r="Z488" s="7" t="str">
        <f>IFERROR(HLOOKUP(X488,'Calc|Weightings'!$U$5:$W$5,1,0),"Excl")</f>
        <v>Excl</v>
      </c>
      <c r="AA488" s="7" t="str">
        <f>VLOOKUP(Q488,Mapping!$E$11:$I$204,5,0)</f>
        <v>SCS</v>
      </c>
      <c r="AC488" s="35" t="s">
        <v>163</v>
      </c>
      <c r="AD488" s="35"/>
      <c r="AE488" s="35">
        <v>71055</v>
      </c>
      <c r="AF488" s="35" t="s">
        <v>465</v>
      </c>
      <c r="AG488" s="36">
        <v>27.96</v>
      </c>
      <c r="AI488" s="7" t="str">
        <f>VLOOKUP($AC488,Mapping!$E$11:$I$204,3,0)</f>
        <v>Replacement</v>
      </c>
      <c r="AJ488" s="7" t="str">
        <f>IFERROR(VLOOKUP($AE488,Mapping!$E$208:$K$236,5,0),"Contracts")</f>
        <v>Contracts</v>
      </c>
      <c r="AK488" s="7" t="str">
        <f>IFERROR(VLOOKUP($AE488,Mapping!$E$208:$K$236,7,0),"ENDirect")</f>
        <v>ENDirect</v>
      </c>
      <c r="AL488" s="7" t="str">
        <f>IFERROR(HLOOKUP(AJ488,'Calc|Weightings'!$U$5:$W$5,1,0),"Excl")</f>
        <v>Contracts</v>
      </c>
      <c r="AM488" s="7" t="str">
        <f>VLOOKUP(AC488,Mapping!$E$11:$I$204,5,0)</f>
        <v>SCS</v>
      </c>
      <c r="AO488" s="35" t="s">
        <v>167</v>
      </c>
      <c r="AP488" s="35"/>
      <c r="AQ488" s="35">
        <v>80000</v>
      </c>
      <c r="AR488" s="35" t="s">
        <v>589</v>
      </c>
      <c r="AS488" s="121">
        <v>91.752310000000008</v>
      </c>
      <c r="AU488" s="7" t="str">
        <f>VLOOKUP($AO488,Mapping!$E$11:$I$204,3,0)</f>
        <v>Replacement</v>
      </c>
      <c r="AV488" s="7" t="str">
        <f>IFERROR(VLOOKUP($AQ488,Mapping!$E$208:$K$236,5,0),"Contracts")</f>
        <v>Overhead</v>
      </c>
      <c r="AW488" s="7" t="str">
        <f>IFERROR(VLOOKUP($AQ488,Mapping!$E$208:$K$236,7,0),"ENDirect")</f>
        <v>OH</v>
      </c>
      <c r="AX488" s="7" t="str">
        <f>IFERROR(HLOOKUP(AV488,'Calc|Weightings'!$U$5:$W$5,1,0),"Excl")</f>
        <v>Excl</v>
      </c>
      <c r="AY488" s="7" t="str">
        <f>VLOOKUP(AO488,Mapping!$E$11:$I$204,5,0)</f>
        <v>SCS</v>
      </c>
    </row>
    <row r="489" spans="1:51" x14ac:dyDescent="0.3">
      <c r="A489" s="7"/>
      <c r="B489" s="7"/>
      <c r="C489" s="7"/>
      <c r="D489" s="7"/>
      <c r="E489" s="32" t="s">
        <v>149</v>
      </c>
      <c r="F489" s="32"/>
      <c r="G489" s="32">
        <v>71055</v>
      </c>
      <c r="H489" s="32" t="s">
        <v>465</v>
      </c>
      <c r="I489" s="33">
        <v>22.754000000000001</v>
      </c>
      <c r="J489" s="170"/>
      <c r="K489" s="7" t="str">
        <f>VLOOKUP($E489,Mapping!$E$11:$I$204,3,0)</f>
        <v>VBRC</v>
      </c>
      <c r="L489" s="7" t="str">
        <f>IFERROR(VLOOKUP($G489,Mapping!$E$208:$K$236,5,0),"Contracts")</f>
        <v>Contracts</v>
      </c>
      <c r="M489" s="7" t="str">
        <f>IFERROR(VLOOKUP($G489,Mapping!$E$208:$K$236,7,0),"ENDirect")</f>
        <v>ENDirect</v>
      </c>
      <c r="N489" s="7" t="str">
        <f>IFERROR(HLOOKUP(L489,'Calc|Weightings'!$U$5:$W$5,1,0),"Excl")</f>
        <v>Contracts</v>
      </c>
      <c r="O489" s="7" t="str">
        <f>VLOOKUP(E489,Mapping!$E$11:$I$204,5,0)</f>
        <v>SCS</v>
      </c>
      <c r="Q489" s="32" t="s">
        <v>167</v>
      </c>
      <c r="R489" s="32"/>
      <c r="S489" s="32">
        <v>71000</v>
      </c>
      <c r="T489" s="32" t="s">
        <v>457</v>
      </c>
      <c r="U489" s="33">
        <v>126.10899999999999</v>
      </c>
      <c r="V489" s="7"/>
      <c r="W489" s="7" t="str">
        <f>VLOOKUP($Q489,Mapping!$E$11:$I$204,3,0)</f>
        <v>Replacement</v>
      </c>
      <c r="X489" s="7" t="str">
        <f>IFERROR(VLOOKUP($S489,Mapping!$E$208:$K$236,5,0),"Contracts")</f>
        <v>Labour</v>
      </c>
      <c r="Y489" s="7" t="str">
        <f>IFERROR(VLOOKUP($S489,Mapping!$E$208:$K$236,7,0),"ENDirect")</f>
        <v>ENDirect</v>
      </c>
      <c r="Z489" s="7" t="str">
        <f>IFERROR(HLOOKUP(X489,'Calc|Weightings'!$U$5:$W$5,1,0),"Excl")</f>
        <v>Labour</v>
      </c>
      <c r="AA489" s="7" t="str">
        <f>VLOOKUP(Q489,Mapping!$E$11:$I$204,5,0)</f>
        <v>SCS</v>
      </c>
      <c r="AC489" s="35" t="s">
        <v>163</v>
      </c>
      <c r="AD489" s="35"/>
      <c r="AE489" s="35">
        <v>80000</v>
      </c>
      <c r="AF489" s="35" t="s">
        <v>453</v>
      </c>
      <c r="AG489" s="36">
        <v>24.4</v>
      </c>
      <c r="AI489" s="7" t="str">
        <f>VLOOKUP($AC489,Mapping!$E$11:$I$204,3,0)</f>
        <v>Replacement</v>
      </c>
      <c r="AJ489" s="7" t="str">
        <f>IFERROR(VLOOKUP($AE489,Mapping!$E$208:$K$236,5,0),"Contracts")</f>
        <v>Overhead</v>
      </c>
      <c r="AK489" s="7" t="str">
        <f>IFERROR(VLOOKUP($AE489,Mapping!$E$208:$K$236,7,0),"ENDirect")</f>
        <v>OH</v>
      </c>
      <c r="AL489" s="7" t="str">
        <f>IFERROR(HLOOKUP(AJ489,'Calc|Weightings'!$U$5:$W$5,1,0),"Excl")</f>
        <v>Excl</v>
      </c>
      <c r="AM489" s="7" t="str">
        <f>VLOOKUP(AC489,Mapping!$E$11:$I$204,5,0)</f>
        <v>SCS</v>
      </c>
      <c r="AO489" s="35" t="s">
        <v>167</v>
      </c>
      <c r="AP489" s="35"/>
      <c r="AQ489" s="35">
        <v>83010</v>
      </c>
      <c r="AR489" s="35" t="s">
        <v>591</v>
      </c>
      <c r="AS489" s="121">
        <v>384.28839999999991</v>
      </c>
      <c r="AU489" s="7" t="str">
        <f>VLOOKUP($AO489,Mapping!$E$11:$I$204,3,0)</f>
        <v>Replacement</v>
      </c>
      <c r="AV489" s="7" t="str">
        <f>IFERROR(VLOOKUP($AQ489,Mapping!$E$208:$K$236,5,0),"Contracts")</f>
        <v>Contracts</v>
      </c>
      <c r="AW489" s="7" t="str">
        <f>IFERROR(VLOOKUP($AQ489,Mapping!$E$208:$K$236,7,0),"ENDirect")</f>
        <v>ENDirect</v>
      </c>
      <c r="AX489" s="7" t="str">
        <f>IFERROR(HLOOKUP(AV489,'Calc|Weightings'!$U$5:$W$5,1,0),"Excl")</f>
        <v>Contracts</v>
      </c>
      <c r="AY489" s="7" t="str">
        <f>VLOOKUP(AO489,Mapping!$E$11:$I$204,5,0)</f>
        <v>SCS</v>
      </c>
    </row>
    <row r="490" spans="1:51" x14ac:dyDescent="0.3">
      <c r="A490" s="7"/>
      <c r="B490" s="7"/>
      <c r="C490" s="7"/>
      <c r="D490" s="7"/>
      <c r="E490" s="32" t="s">
        <v>149</v>
      </c>
      <c r="F490" s="32"/>
      <c r="G490" s="32">
        <v>80000</v>
      </c>
      <c r="H490" s="32" t="s">
        <v>453</v>
      </c>
      <c r="I490" s="33">
        <v>15.756</v>
      </c>
      <c r="J490" s="170"/>
      <c r="K490" s="7" t="str">
        <f>VLOOKUP($E490,Mapping!$E$11:$I$204,3,0)</f>
        <v>VBRC</v>
      </c>
      <c r="L490" s="7" t="str">
        <f>IFERROR(VLOOKUP($G490,Mapping!$E$208:$K$236,5,0),"Contracts")</f>
        <v>Overhead</v>
      </c>
      <c r="M490" s="7" t="str">
        <f>IFERROR(VLOOKUP($G490,Mapping!$E$208:$K$236,7,0),"ENDirect")</f>
        <v>OH</v>
      </c>
      <c r="N490" s="7" t="str">
        <f>IFERROR(HLOOKUP(L490,'Calc|Weightings'!$U$5:$W$5,1,0),"Excl")</f>
        <v>Excl</v>
      </c>
      <c r="O490" s="7" t="str">
        <f>VLOOKUP(E490,Mapping!$E$11:$I$204,5,0)</f>
        <v>SCS</v>
      </c>
      <c r="Q490" s="32" t="s">
        <v>167</v>
      </c>
      <c r="R490" s="32"/>
      <c r="S490" s="32">
        <v>71005</v>
      </c>
      <c r="T490" s="32" t="s">
        <v>461</v>
      </c>
      <c r="U490" s="33">
        <v>71.905000000000001</v>
      </c>
      <c r="V490" s="7"/>
      <c r="W490" s="7" t="str">
        <f>VLOOKUP($Q490,Mapping!$E$11:$I$204,3,0)</f>
        <v>Replacement</v>
      </c>
      <c r="X490" s="7" t="str">
        <f>IFERROR(VLOOKUP($S490,Mapping!$E$208:$K$236,5,0),"Contracts")</f>
        <v>Materials</v>
      </c>
      <c r="Y490" s="7" t="str">
        <f>IFERROR(VLOOKUP($S490,Mapping!$E$208:$K$236,7,0),"ENDirect")</f>
        <v>ENDirect</v>
      </c>
      <c r="Z490" s="7" t="str">
        <f>IFERROR(HLOOKUP(X490,'Calc|Weightings'!$U$5:$W$5,1,0),"Excl")</f>
        <v>Materials</v>
      </c>
      <c r="AA490" s="7" t="str">
        <f>VLOOKUP(Q490,Mapping!$E$11:$I$204,5,0)</f>
        <v>SCS</v>
      </c>
      <c r="AC490" s="35" t="s">
        <v>163</v>
      </c>
      <c r="AD490" s="35"/>
      <c r="AE490" s="35">
        <v>89999</v>
      </c>
      <c r="AF490" s="35" t="s">
        <v>471</v>
      </c>
      <c r="AG490" s="36">
        <v>0</v>
      </c>
      <c r="AI490" s="7" t="str">
        <f>VLOOKUP($AC490,Mapping!$E$11:$I$204,3,0)</f>
        <v>Replacement</v>
      </c>
      <c r="AJ490" s="7" t="str">
        <f>IFERROR(VLOOKUP($AE490,Mapping!$E$208:$K$236,5,0),"Contracts")</f>
        <v>Contracts</v>
      </c>
      <c r="AK490" s="7" t="str">
        <f>IFERROR(VLOOKUP($AE490,Mapping!$E$208:$K$236,7,0),"ENDirect")</f>
        <v>ENDirect</v>
      </c>
      <c r="AL490" s="7" t="str">
        <f>IFERROR(HLOOKUP(AJ490,'Calc|Weightings'!$U$5:$W$5,1,0),"Excl")</f>
        <v>Contracts</v>
      </c>
      <c r="AM490" s="7" t="str">
        <f>VLOOKUP(AC490,Mapping!$E$11:$I$204,5,0)</f>
        <v>SCS</v>
      </c>
      <c r="AO490" s="35" t="s">
        <v>168</v>
      </c>
      <c r="AP490" s="35"/>
      <c r="AQ490" s="35">
        <v>70815</v>
      </c>
      <c r="AR490" s="35" t="s">
        <v>594</v>
      </c>
      <c r="AS490" s="121">
        <v>-85.6</v>
      </c>
      <c r="AU490" s="7" t="str">
        <f>VLOOKUP($AO490,Mapping!$E$11:$I$204,3,0)</f>
        <v>Replacement</v>
      </c>
      <c r="AV490" s="7" t="str">
        <f>IFERROR(VLOOKUP($AQ490,Mapping!$E$208:$K$236,5,0),"Contracts")</f>
        <v>Materials</v>
      </c>
      <c r="AW490" s="7" t="str">
        <f>IFERROR(VLOOKUP($AQ490,Mapping!$E$208:$K$236,7,0),"ENDirect")</f>
        <v>ENDirect</v>
      </c>
      <c r="AX490" s="7" t="str">
        <f>IFERROR(HLOOKUP(AV490,'Calc|Weightings'!$U$5:$W$5,1,0),"Excl")</f>
        <v>Materials</v>
      </c>
      <c r="AY490" s="7" t="str">
        <f>VLOOKUP(AO490,Mapping!$E$11:$I$204,5,0)</f>
        <v>SCS</v>
      </c>
    </row>
    <row r="491" spans="1:51" x14ac:dyDescent="0.3">
      <c r="A491" s="7"/>
      <c r="B491" s="7"/>
      <c r="C491" s="7"/>
      <c r="D491" s="7"/>
      <c r="E491" s="32" t="s">
        <v>172</v>
      </c>
      <c r="F491" s="32"/>
      <c r="G491" s="32">
        <v>71000</v>
      </c>
      <c r="H491" s="32" t="s">
        <v>457</v>
      </c>
      <c r="I491" s="33">
        <v>500.22399999999999</v>
      </c>
      <c r="J491" s="170"/>
      <c r="K491" s="7" t="str">
        <f>VLOOKUP($E491,Mapping!$E$11:$I$204,3,0)</f>
        <v>Replacement</v>
      </c>
      <c r="L491" s="7" t="str">
        <f>IFERROR(VLOOKUP($G491,Mapping!$E$208:$K$236,5,0),"Contracts")</f>
        <v>Labour</v>
      </c>
      <c r="M491" s="7" t="str">
        <f>IFERROR(VLOOKUP($G491,Mapping!$E$208:$K$236,7,0),"ENDirect")</f>
        <v>ENDirect</v>
      </c>
      <c r="N491" s="7" t="str">
        <f>IFERROR(HLOOKUP(L491,'Calc|Weightings'!$U$5:$W$5,1,0),"Excl")</f>
        <v>Labour</v>
      </c>
      <c r="O491" s="7" t="str">
        <f>VLOOKUP(E491,Mapping!$E$11:$I$204,5,0)</f>
        <v>SCS</v>
      </c>
      <c r="Q491" s="32" t="s">
        <v>167</v>
      </c>
      <c r="R491" s="32"/>
      <c r="S491" s="32">
        <v>71010</v>
      </c>
      <c r="T491" s="32" t="s">
        <v>462</v>
      </c>
      <c r="U491" s="33">
        <v>25.553999999999998</v>
      </c>
      <c r="V491" s="7"/>
      <c r="W491" s="7" t="str">
        <f>VLOOKUP($Q491,Mapping!$E$11:$I$204,3,0)</f>
        <v>Replacement</v>
      </c>
      <c r="X491" s="7" t="str">
        <f>IFERROR(VLOOKUP($S491,Mapping!$E$208:$K$236,5,0),"Contracts")</f>
        <v>Labour</v>
      </c>
      <c r="Y491" s="7" t="str">
        <f>IFERROR(VLOOKUP($S491,Mapping!$E$208:$K$236,7,0),"ENDirect")</f>
        <v>ENDirect</v>
      </c>
      <c r="Z491" s="7" t="str">
        <f>IFERROR(HLOOKUP(X491,'Calc|Weightings'!$U$5:$W$5,1,0),"Excl")</f>
        <v>Labour</v>
      </c>
      <c r="AA491" s="7" t="str">
        <f>VLOOKUP(Q491,Mapping!$E$11:$I$204,5,0)</f>
        <v>SCS</v>
      </c>
      <c r="AC491" s="35" t="s">
        <v>165</v>
      </c>
      <c r="AD491" s="35"/>
      <c r="AE491" s="35">
        <v>71000</v>
      </c>
      <c r="AF491" s="35" t="s">
        <v>457</v>
      </c>
      <c r="AG491" s="36">
        <v>135.697</v>
      </c>
      <c r="AI491" s="7" t="str">
        <f>VLOOKUP($AC491,Mapping!$E$11:$I$204,3,0)</f>
        <v>Replacement</v>
      </c>
      <c r="AJ491" s="7" t="str">
        <f>IFERROR(VLOOKUP($AE491,Mapping!$E$208:$K$236,5,0),"Contracts")</f>
        <v>Labour</v>
      </c>
      <c r="AK491" s="7" t="str">
        <f>IFERROR(VLOOKUP($AE491,Mapping!$E$208:$K$236,7,0),"ENDirect")</f>
        <v>ENDirect</v>
      </c>
      <c r="AL491" s="7" t="str">
        <f>IFERROR(HLOOKUP(AJ491,'Calc|Weightings'!$U$5:$W$5,1,0),"Excl")</f>
        <v>Labour</v>
      </c>
      <c r="AM491" s="7" t="str">
        <f>VLOOKUP(AC491,Mapping!$E$11:$I$204,5,0)</f>
        <v>SCS</v>
      </c>
      <c r="AO491" s="35" t="s">
        <v>168</v>
      </c>
      <c r="AP491" s="35"/>
      <c r="AQ491" s="35">
        <v>71000</v>
      </c>
      <c r="AR491" s="35" t="s">
        <v>457</v>
      </c>
      <c r="AS491" s="121">
        <v>50.665800000000011</v>
      </c>
      <c r="AU491" s="7" t="str">
        <f>VLOOKUP($AO491,Mapping!$E$11:$I$204,3,0)</f>
        <v>Replacement</v>
      </c>
      <c r="AV491" s="7" t="str">
        <f>IFERROR(VLOOKUP($AQ491,Mapping!$E$208:$K$236,5,0),"Contracts")</f>
        <v>Labour</v>
      </c>
      <c r="AW491" s="7" t="str">
        <f>IFERROR(VLOOKUP($AQ491,Mapping!$E$208:$K$236,7,0),"ENDirect")</f>
        <v>ENDirect</v>
      </c>
      <c r="AX491" s="7" t="str">
        <f>IFERROR(HLOOKUP(AV491,'Calc|Weightings'!$U$5:$W$5,1,0),"Excl")</f>
        <v>Labour</v>
      </c>
      <c r="AY491" s="7" t="str">
        <f>VLOOKUP(AO491,Mapping!$E$11:$I$204,5,0)</f>
        <v>SCS</v>
      </c>
    </row>
    <row r="492" spans="1:51" x14ac:dyDescent="0.3">
      <c r="A492" s="7"/>
      <c r="B492" s="7"/>
      <c r="C492" s="7"/>
      <c r="D492" s="7"/>
      <c r="E492" s="32" t="s">
        <v>172</v>
      </c>
      <c r="F492" s="32"/>
      <c r="G492" s="32">
        <v>71005</v>
      </c>
      <c r="H492" s="32" t="s">
        <v>461</v>
      </c>
      <c r="I492" s="33">
        <v>411.49799999999999</v>
      </c>
      <c r="J492" s="170"/>
      <c r="K492" s="7" t="str">
        <f>VLOOKUP($E492,Mapping!$E$11:$I$204,3,0)</f>
        <v>Replacement</v>
      </c>
      <c r="L492" s="7" t="str">
        <f>IFERROR(VLOOKUP($G492,Mapping!$E$208:$K$236,5,0),"Contracts")</f>
        <v>Materials</v>
      </c>
      <c r="M492" s="7" t="str">
        <f>IFERROR(VLOOKUP($G492,Mapping!$E$208:$K$236,7,0),"ENDirect")</f>
        <v>ENDirect</v>
      </c>
      <c r="N492" s="7" t="str">
        <f>IFERROR(HLOOKUP(L492,'Calc|Weightings'!$U$5:$W$5,1,0),"Excl")</f>
        <v>Materials</v>
      </c>
      <c r="O492" s="7" t="str">
        <f>VLOOKUP(E492,Mapping!$E$11:$I$204,5,0)</f>
        <v>SCS</v>
      </c>
      <c r="Q492" s="32" t="s">
        <v>167</v>
      </c>
      <c r="R492" s="32"/>
      <c r="S492" s="32">
        <v>71015</v>
      </c>
      <c r="T492" s="32" t="s">
        <v>463</v>
      </c>
      <c r="U492" s="33">
        <v>25.263000000000002</v>
      </c>
      <c r="V492" s="7"/>
      <c r="W492" s="7" t="str">
        <f>VLOOKUP($Q492,Mapping!$E$11:$I$204,3,0)</f>
        <v>Replacement</v>
      </c>
      <c r="X492" s="7" t="str">
        <f>IFERROR(VLOOKUP($S492,Mapping!$E$208:$K$236,5,0),"Contracts")</f>
        <v>Materials</v>
      </c>
      <c r="Y492" s="7" t="str">
        <f>IFERROR(VLOOKUP($S492,Mapping!$E$208:$K$236,7,0),"ENDirect")</f>
        <v>ENDirect</v>
      </c>
      <c r="Z492" s="7" t="str">
        <f>IFERROR(HLOOKUP(X492,'Calc|Weightings'!$U$5:$W$5,1,0),"Excl")</f>
        <v>Materials</v>
      </c>
      <c r="AA492" s="7" t="str">
        <f>VLOOKUP(Q492,Mapping!$E$11:$I$204,5,0)</f>
        <v>SCS</v>
      </c>
      <c r="AC492" s="35" t="s">
        <v>165</v>
      </c>
      <c r="AD492" s="35"/>
      <c r="AE492" s="35">
        <v>71005</v>
      </c>
      <c r="AF492" s="35" t="s">
        <v>461</v>
      </c>
      <c r="AG492" s="36">
        <v>22.582000000000001</v>
      </c>
      <c r="AI492" s="7" t="str">
        <f>VLOOKUP($AC492,Mapping!$E$11:$I$204,3,0)</f>
        <v>Replacement</v>
      </c>
      <c r="AJ492" s="7" t="str">
        <f>IFERROR(VLOOKUP($AE492,Mapping!$E$208:$K$236,5,0),"Contracts")</f>
        <v>Materials</v>
      </c>
      <c r="AK492" s="7" t="str">
        <f>IFERROR(VLOOKUP($AE492,Mapping!$E$208:$K$236,7,0),"ENDirect")</f>
        <v>ENDirect</v>
      </c>
      <c r="AL492" s="7" t="str">
        <f>IFERROR(HLOOKUP(AJ492,'Calc|Weightings'!$U$5:$W$5,1,0),"Excl")</f>
        <v>Materials</v>
      </c>
      <c r="AM492" s="7" t="str">
        <f>VLOOKUP(AC492,Mapping!$E$11:$I$204,5,0)</f>
        <v>SCS</v>
      </c>
      <c r="AO492" s="35" t="s">
        <v>168</v>
      </c>
      <c r="AP492" s="35"/>
      <c r="AQ492" s="35">
        <v>71005</v>
      </c>
      <c r="AR492" s="35" t="s">
        <v>461</v>
      </c>
      <c r="AS492" s="121">
        <v>33.056989999999992</v>
      </c>
      <c r="AU492" s="7" t="str">
        <f>VLOOKUP($AO492,Mapping!$E$11:$I$204,3,0)</f>
        <v>Replacement</v>
      </c>
      <c r="AV492" s="7" t="str">
        <f>IFERROR(VLOOKUP($AQ492,Mapping!$E$208:$K$236,5,0),"Contracts")</f>
        <v>Materials</v>
      </c>
      <c r="AW492" s="7" t="str">
        <f>IFERROR(VLOOKUP($AQ492,Mapping!$E$208:$K$236,7,0),"ENDirect")</f>
        <v>ENDirect</v>
      </c>
      <c r="AX492" s="7" t="str">
        <f>IFERROR(HLOOKUP(AV492,'Calc|Weightings'!$U$5:$W$5,1,0),"Excl")</f>
        <v>Materials</v>
      </c>
      <c r="AY492" s="7" t="str">
        <f>VLOOKUP(AO492,Mapping!$E$11:$I$204,5,0)</f>
        <v>SCS</v>
      </c>
    </row>
    <row r="493" spans="1:51" x14ac:dyDescent="0.3">
      <c r="A493" s="7"/>
      <c r="B493" s="7"/>
      <c r="C493" s="7"/>
      <c r="D493" s="7"/>
      <c r="E493" s="32" t="s">
        <v>172</v>
      </c>
      <c r="F493" s="32"/>
      <c r="G493" s="32">
        <v>71010</v>
      </c>
      <c r="H493" s="32" t="s">
        <v>462</v>
      </c>
      <c r="I493" s="33">
        <v>517.96299999999997</v>
      </c>
      <c r="J493" s="170"/>
      <c r="K493" s="7" t="str">
        <f>VLOOKUP($E493,Mapping!$E$11:$I$204,3,0)</f>
        <v>Replacement</v>
      </c>
      <c r="L493" s="7" t="str">
        <f>IFERROR(VLOOKUP($G493,Mapping!$E$208:$K$236,5,0),"Contracts")</f>
        <v>Labour</v>
      </c>
      <c r="M493" s="7" t="str">
        <f>IFERROR(VLOOKUP($G493,Mapping!$E$208:$K$236,7,0),"ENDirect")</f>
        <v>ENDirect</v>
      </c>
      <c r="N493" s="7" t="str">
        <f>IFERROR(HLOOKUP(L493,'Calc|Weightings'!$U$5:$W$5,1,0),"Excl")</f>
        <v>Labour</v>
      </c>
      <c r="O493" s="7" t="str">
        <f>VLOOKUP(E493,Mapping!$E$11:$I$204,5,0)</f>
        <v>SCS</v>
      </c>
      <c r="Q493" s="32" t="s">
        <v>167</v>
      </c>
      <c r="R493" s="32"/>
      <c r="S493" s="32">
        <v>71020</v>
      </c>
      <c r="T493" s="32" t="s">
        <v>459</v>
      </c>
      <c r="U493" s="33">
        <v>6.6989999999999998</v>
      </c>
      <c r="V493" s="7"/>
      <c r="W493" s="7" t="str">
        <f>VLOOKUP($Q493,Mapping!$E$11:$I$204,3,0)</f>
        <v>Replacement</v>
      </c>
      <c r="X493" s="7" t="str">
        <f>IFERROR(VLOOKUP($S493,Mapping!$E$208:$K$236,5,0),"Contracts")</f>
        <v>Contracts</v>
      </c>
      <c r="Y493" s="7" t="str">
        <f>IFERROR(VLOOKUP($S493,Mapping!$E$208:$K$236,7,0),"ENDirect")</f>
        <v>ENDirect</v>
      </c>
      <c r="Z493" s="7" t="str">
        <f>IFERROR(HLOOKUP(X493,'Calc|Weightings'!$U$5:$W$5,1,0),"Excl")</f>
        <v>Contracts</v>
      </c>
      <c r="AA493" s="7" t="str">
        <f>VLOOKUP(Q493,Mapping!$E$11:$I$204,5,0)</f>
        <v>SCS</v>
      </c>
      <c r="AC493" s="35" t="s">
        <v>165</v>
      </c>
      <c r="AD493" s="35"/>
      <c r="AE493" s="35">
        <v>71006</v>
      </c>
      <c r="AF493" s="35" t="s">
        <v>468</v>
      </c>
      <c r="AG493" s="36">
        <v>202.78200000000001</v>
      </c>
      <c r="AI493" s="7" t="str">
        <f>VLOOKUP($AC493,Mapping!$E$11:$I$204,3,0)</f>
        <v>Replacement</v>
      </c>
      <c r="AJ493" s="7" t="str">
        <f>IFERROR(VLOOKUP($AE493,Mapping!$E$208:$K$236,5,0),"Contracts")</f>
        <v>Materials</v>
      </c>
      <c r="AK493" s="7" t="str">
        <f>IFERROR(VLOOKUP($AE493,Mapping!$E$208:$K$236,7,0),"ENDirect")</f>
        <v>ENDirect</v>
      </c>
      <c r="AL493" s="7" t="str">
        <f>IFERROR(HLOOKUP(AJ493,'Calc|Weightings'!$U$5:$W$5,1,0),"Excl")</f>
        <v>Materials</v>
      </c>
      <c r="AM493" s="7" t="str">
        <f>VLOOKUP(AC493,Mapping!$E$11:$I$204,5,0)</f>
        <v>SCS</v>
      </c>
      <c r="AO493" s="35" t="s">
        <v>168</v>
      </c>
      <c r="AP493" s="35"/>
      <c r="AQ493" s="35">
        <v>71010</v>
      </c>
      <c r="AR493" s="35" t="s">
        <v>487</v>
      </c>
      <c r="AS493" s="121">
        <v>80.75827000000001</v>
      </c>
      <c r="AU493" s="7" t="str">
        <f>VLOOKUP($AO493,Mapping!$E$11:$I$204,3,0)</f>
        <v>Replacement</v>
      </c>
      <c r="AV493" s="7" t="str">
        <f>IFERROR(VLOOKUP($AQ493,Mapping!$E$208:$K$236,5,0),"Contracts")</f>
        <v>Labour</v>
      </c>
      <c r="AW493" s="7" t="str">
        <f>IFERROR(VLOOKUP($AQ493,Mapping!$E$208:$K$236,7,0),"ENDirect")</f>
        <v>ENDirect</v>
      </c>
      <c r="AX493" s="7" t="str">
        <f>IFERROR(HLOOKUP(AV493,'Calc|Weightings'!$U$5:$W$5,1,0),"Excl")</f>
        <v>Labour</v>
      </c>
      <c r="AY493" s="7" t="str">
        <f>VLOOKUP(AO493,Mapping!$E$11:$I$204,5,0)</f>
        <v>SCS</v>
      </c>
    </row>
    <row r="494" spans="1:51" x14ac:dyDescent="0.3">
      <c r="A494" s="7"/>
      <c r="B494" s="7"/>
      <c r="C494" s="7"/>
      <c r="D494" s="7"/>
      <c r="E494" s="32" t="s">
        <v>172</v>
      </c>
      <c r="F494" s="32"/>
      <c r="G494" s="32">
        <v>71015</v>
      </c>
      <c r="H494" s="32" t="s">
        <v>463</v>
      </c>
      <c r="I494" s="33">
        <v>128.619</v>
      </c>
      <c r="J494" s="170"/>
      <c r="K494" s="7" t="str">
        <f>VLOOKUP($E494,Mapping!$E$11:$I$204,3,0)</f>
        <v>Replacement</v>
      </c>
      <c r="L494" s="7" t="str">
        <f>IFERROR(VLOOKUP($G494,Mapping!$E$208:$K$236,5,0),"Contracts")</f>
        <v>Materials</v>
      </c>
      <c r="M494" s="7" t="str">
        <f>IFERROR(VLOOKUP($G494,Mapping!$E$208:$K$236,7,0),"ENDirect")</f>
        <v>ENDirect</v>
      </c>
      <c r="N494" s="7" t="str">
        <f>IFERROR(HLOOKUP(L494,'Calc|Weightings'!$U$5:$W$5,1,0),"Excl")</f>
        <v>Materials</v>
      </c>
      <c r="O494" s="7" t="str">
        <f>VLOOKUP(E494,Mapping!$E$11:$I$204,5,0)</f>
        <v>SCS</v>
      </c>
      <c r="Q494" s="32" t="s">
        <v>167</v>
      </c>
      <c r="R494" s="32"/>
      <c r="S494" s="32">
        <v>71030</v>
      </c>
      <c r="T494" s="32" t="s">
        <v>464</v>
      </c>
      <c r="U494" s="33">
        <v>20.824000000000002</v>
      </c>
      <c r="V494" s="7"/>
      <c r="W494" s="7" t="str">
        <f>VLOOKUP($Q494,Mapping!$E$11:$I$204,3,0)</f>
        <v>Replacement</v>
      </c>
      <c r="X494" s="7" t="str">
        <f>IFERROR(VLOOKUP($S494,Mapping!$E$208:$K$236,5,0),"Contracts")</f>
        <v>Contracts</v>
      </c>
      <c r="Y494" s="7" t="str">
        <f>IFERROR(VLOOKUP($S494,Mapping!$E$208:$K$236,7,0),"ENDirect")</f>
        <v>ENDirect</v>
      </c>
      <c r="Z494" s="7" t="str">
        <f>IFERROR(HLOOKUP(X494,'Calc|Weightings'!$U$5:$W$5,1,0),"Excl")</f>
        <v>Contracts</v>
      </c>
      <c r="AA494" s="7" t="str">
        <f>VLOOKUP(Q494,Mapping!$E$11:$I$204,5,0)</f>
        <v>SCS</v>
      </c>
      <c r="AC494" s="35" t="s">
        <v>165</v>
      </c>
      <c r="AD494" s="35"/>
      <c r="AE494" s="35">
        <v>71010</v>
      </c>
      <c r="AF494" s="35" t="s">
        <v>462</v>
      </c>
      <c r="AG494" s="36">
        <v>20.75</v>
      </c>
      <c r="AI494" s="7" t="str">
        <f>VLOOKUP($AC494,Mapping!$E$11:$I$204,3,0)</f>
        <v>Replacement</v>
      </c>
      <c r="AJ494" s="7" t="str">
        <f>IFERROR(VLOOKUP($AE494,Mapping!$E$208:$K$236,5,0),"Contracts")</f>
        <v>Labour</v>
      </c>
      <c r="AK494" s="7" t="str">
        <f>IFERROR(VLOOKUP($AE494,Mapping!$E$208:$K$236,7,0),"ENDirect")</f>
        <v>ENDirect</v>
      </c>
      <c r="AL494" s="7" t="str">
        <f>IFERROR(HLOOKUP(AJ494,'Calc|Weightings'!$U$5:$W$5,1,0),"Excl")</f>
        <v>Labour</v>
      </c>
      <c r="AM494" s="7" t="str">
        <f>VLOOKUP(AC494,Mapping!$E$11:$I$204,5,0)</f>
        <v>SCS</v>
      </c>
      <c r="AO494" s="35" t="s">
        <v>168</v>
      </c>
      <c r="AP494" s="35"/>
      <c r="AQ494" s="35">
        <v>71015</v>
      </c>
      <c r="AR494" s="35" t="s">
        <v>585</v>
      </c>
      <c r="AS494" s="121">
        <v>5.2464900000000005</v>
      </c>
      <c r="AU494" s="7" t="str">
        <f>VLOOKUP($AO494,Mapping!$E$11:$I$204,3,0)</f>
        <v>Replacement</v>
      </c>
      <c r="AV494" s="7" t="str">
        <f>IFERROR(VLOOKUP($AQ494,Mapping!$E$208:$K$236,5,0),"Contracts")</f>
        <v>Materials</v>
      </c>
      <c r="AW494" s="7" t="str">
        <f>IFERROR(VLOOKUP($AQ494,Mapping!$E$208:$K$236,7,0),"ENDirect")</f>
        <v>ENDirect</v>
      </c>
      <c r="AX494" s="7" t="str">
        <f>IFERROR(HLOOKUP(AV494,'Calc|Weightings'!$U$5:$W$5,1,0),"Excl")</f>
        <v>Materials</v>
      </c>
      <c r="AY494" s="7" t="str">
        <f>VLOOKUP(AO494,Mapping!$E$11:$I$204,5,0)</f>
        <v>SCS</v>
      </c>
    </row>
    <row r="495" spans="1:51" x14ac:dyDescent="0.3">
      <c r="A495" s="7"/>
      <c r="B495" s="7"/>
      <c r="C495" s="7"/>
      <c r="D495" s="7"/>
      <c r="E495" s="32" t="s">
        <v>172</v>
      </c>
      <c r="F495" s="32"/>
      <c r="G495" s="32">
        <v>71020</v>
      </c>
      <c r="H495" s="32" t="s">
        <v>459</v>
      </c>
      <c r="I495" s="33">
        <v>-1.0509999999999999</v>
      </c>
      <c r="J495" s="170"/>
      <c r="K495" s="7" t="str">
        <f>VLOOKUP($E495,Mapping!$E$11:$I$204,3,0)</f>
        <v>Replacement</v>
      </c>
      <c r="L495" s="7" t="str">
        <f>IFERROR(VLOOKUP($G495,Mapping!$E$208:$K$236,5,0),"Contracts")</f>
        <v>Contracts</v>
      </c>
      <c r="M495" s="7" t="str">
        <f>IFERROR(VLOOKUP($G495,Mapping!$E$208:$K$236,7,0),"ENDirect")</f>
        <v>ENDirect</v>
      </c>
      <c r="N495" s="7" t="str">
        <f>IFERROR(HLOOKUP(L495,'Calc|Weightings'!$U$5:$W$5,1,0),"Excl")</f>
        <v>Contracts</v>
      </c>
      <c r="O495" s="7" t="str">
        <f>VLOOKUP(E495,Mapping!$E$11:$I$204,5,0)</f>
        <v>SCS</v>
      </c>
      <c r="Q495" s="32" t="s">
        <v>167</v>
      </c>
      <c r="R495" s="32"/>
      <c r="S495" s="32">
        <v>71055</v>
      </c>
      <c r="T495" s="32" t="s">
        <v>465</v>
      </c>
      <c r="U495" s="33">
        <v>41.957999999999998</v>
      </c>
      <c r="V495" s="7"/>
      <c r="W495" s="7" t="str">
        <f>VLOOKUP($Q495,Mapping!$E$11:$I$204,3,0)</f>
        <v>Replacement</v>
      </c>
      <c r="X495" s="7" t="str">
        <f>IFERROR(VLOOKUP($S495,Mapping!$E$208:$K$236,5,0),"Contracts")</f>
        <v>Contracts</v>
      </c>
      <c r="Y495" s="7" t="str">
        <f>IFERROR(VLOOKUP($S495,Mapping!$E$208:$K$236,7,0),"ENDirect")</f>
        <v>ENDirect</v>
      </c>
      <c r="Z495" s="7" t="str">
        <f>IFERROR(HLOOKUP(X495,'Calc|Weightings'!$U$5:$W$5,1,0),"Excl")</f>
        <v>Contracts</v>
      </c>
      <c r="AA495" s="7" t="str">
        <f>VLOOKUP(Q495,Mapping!$E$11:$I$204,5,0)</f>
        <v>SCS</v>
      </c>
      <c r="AC495" s="35" t="s">
        <v>165</v>
      </c>
      <c r="AD495" s="35"/>
      <c r="AE495" s="35">
        <v>71015</v>
      </c>
      <c r="AF495" s="35" t="s">
        <v>463</v>
      </c>
      <c r="AG495" s="36">
        <v>23.66</v>
      </c>
      <c r="AI495" s="7" t="str">
        <f>VLOOKUP($AC495,Mapping!$E$11:$I$204,3,0)</f>
        <v>Replacement</v>
      </c>
      <c r="AJ495" s="7" t="str">
        <f>IFERROR(VLOOKUP($AE495,Mapping!$E$208:$K$236,5,0),"Contracts")</f>
        <v>Materials</v>
      </c>
      <c r="AK495" s="7" t="str">
        <f>IFERROR(VLOOKUP($AE495,Mapping!$E$208:$K$236,7,0),"ENDirect")</f>
        <v>ENDirect</v>
      </c>
      <c r="AL495" s="7" t="str">
        <f>IFERROR(HLOOKUP(AJ495,'Calc|Weightings'!$U$5:$W$5,1,0),"Excl")</f>
        <v>Materials</v>
      </c>
      <c r="AM495" s="7" t="str">
        <f>VLOOKUP(AC495,Mapping!$E$11:$I$204,5,0)</f>
        <v>SCS</v>
      </c>
      <c r="AO495" s="35" t="s">
        <v>168</v>
      </c>
      <c r="AP495" s="35"/>
      <c r="AQ495" s="35">
        <v>71030</v>
      </c>
      <c r="AR495" s="35" t="s">
        <v>464</v>
      </c>
      <c r="AS495" s="121">
        <v>13.455539999999997</v>
      </c>
      <c r="AU495" s="7" t="str">
        <f>VLOOKUP($AO495,Mapping!$E$11:$I$204,3,0)</f>
        <v>Replacement</v>
      </c>
      <c r="AV495" s="7" t="str">
        <f>IFERROR(VLOOKUP($AQ495,Mapping!$E$208:$K$236,5,0),"Contracts")</f>
        <v>Contracts</v>
      </c>
      <c r="AW495" s="7" t="str">
        <f>IFERROR(VLOOKUP($AQ495,Mapping!$E$208:$K$236,7,0),"ENDirect")</f>
        <v>ENDirect</v>
      </c>
      <c r="AX495" s="7" t="str">
        <f>IFERROR(HLOOKUP(AV495,'Calc|Weightings'!$U$5:$W$5,1,0),"Excl")</f>
        <v>Contracts</v>
      </c>
      <c r="AY495" s="7" t="str">
        <f>VLOOKUP(AO495,Mapping!$E$11:$I$204,5,0)</f>
        <v>SCS</v>
      </c>
    </row>
    <row r="496" spans="1:51" x14ac:dyDescent="0.3">
      <c r="A496" s="7"/>
      <c r="B496" s="7"/>
      <c r="C496" s="7"/>
      <c r="D496" s="7"/>
      <c r="E496" s="32" t="s">
        <v>172</v>
      </c>
      <c r="F496" s="32"/>
      <c r="G496" s="32">
        <v>71030</v>
      </c>
      <c r="H496" s="32" t="s">
        <v>464</v>
      </c>
      <c r="I496" s="33">
        <v>139.64699999999999</v>
      </c>
      <c r="J496" s="170"/>
      <c r="K496" s="7" t="str">
        <f>VLOOKUP($E496,Mapping!$E$11:$I$204,3,0)</f>
        <v>Replacement</v>
      </c>
      <c r="L496" s="7" t="str">
        <f>IFERROR(VLOOKUP($G496,Mapping!$E$208:$K$236,5,0),"Contracts")</f>
        <v>Contracts</v>
      </c>
      <c r="M496" s="7" t="str">
        <f>IFERROR(VLOOKUP($G496,Mapping!$E$208:$K$236,7,0),"ENDirect")</f>
        <v>ENDirect</v>
      </c>
      <c r="N496" s="7" t="str">
        <f>IFERROR(HLOOKUP(L496,'Calc|Weightings'!$U$5:$W$5,1,0),"Excl")</f>
        <v>Contracts</v>
      </c>
      <c r="O496" s="7" t="str">
        <f>VLOOKUP(E496,Mapping!$E$11:$I$204,5,0)</f>
        <v>SCS</v>
      </c>
      <c r="Q496" s="32" t="s">
        <v>167</v>
      </c>
      <c r="R496" s="32"/>
      <c r="S496" s="32">
        <v>80000</v>
      </c>
      <c r="T496" s="32" t="s">
        <v>453</v>
      </c>
      <c r="U496" s="33">
        <v>40.878</v>
      </c>
      <c r="V496" s="7"/>
      <c r="W496" s="7" t="str">
        <f>VLOOKUP($Q496,Mapping!$E$11:$I$204,3,0)</f>
        <v>Replacement</v>
      </c>
      <c r="X496" s="7" t="str">
        <f>IFERROR(VLOOKUP($S496,Mapping!$E$208:$K$236,5,0),"Contracts")</f>
        <v>Overhead</v>
      </c>
      <c r="Y496" s="7" t="str">
        <f>IFERROR(VLOOKUP($S496,Mapping!$E$208:$K$236,7,0),"ENDirect")</f>
        <v>OH</v>
      </c>
      <c r="Z496" s="7" t="str">
        <f>IFERROR(HLOOKUP(X496,'Calc|Weightings'!$U$5:$W$5,1,0),"Excl")</f>
        <v>Excl</v>
      </c>
      <c r="AA496" s="7" t="str">
        <f>VLOOKUP(Q496,Mapping!$E$11:$I$204,5,0)</f>
        <v>SCS</v>
      </c>
      <c r="AC496" s="35" t="s">
        <v>165</v>
      </c>
      <c r="AD496" s="35"/>
      <c r="AE496" s="35">
        <v>71030</v>
      </c>
      <c r="AF496" s="35" t="s">
        <v>464</v>
      </c>
      <c r="AG496" s="36">
        <v>15.776</v>
      </c>
      <c r="AI496" s="7" t="str">
        <f>VLOOKUP($AC496,Mapping!$E$11:$I$204,3,0)</f>
        <v>Replacement</v>
      </c>
      <c r="AJ496" s="7" t="str">
        <f>IFERROR(VLOOKUP($AE496,Mapping!$E$208:$K$236,5,0),"Contracts")</f>
        <v>Contracts</v>
      </c>
      <c r="AK496" s="7" t="str">
        <f>IFERROR(VLOOKUP($AE496,Mapping!$E$208:$K$236,7,0),"ENDirect")</f>
        <v>ENDirect</v>
      </c>
      <c r="AL496" s="7" t="str">
        <f>IFERROR(HLOOKUP(AJ496,'Calc|Weightings'!$U$5:$W$5,1,0),"Excl")</f>
        <v>Contracts</v>
      </c>
      <c r="AM496" s="7" t="str">
        <f>VLOOKUP(AC496,Mapping!$E$11:$I$204,5,0)</f>
        <v>SCS</v>
      </c>
      <c r="AO496" s="35" t="s">
        <v>168</v>
      </c>
      <c r="AP496" s="35"/>
      <c r="AQ496" s="35">
        <v>71055</v>
      </c>
      <c r="AR496" s="35" t="s">
        <v>465</v>
      </c>
      <c r="AS496" s="121">
        <v>22.49334</v>
      </c>
      <c r="AU496" s="7" t="str">
        <f>VLOOKUP($AO496,Mapping!$E$11:$I$204,3,0)</f>
        <v>Replacement</v>
      </c>
      <c r="AV496" s="7" t="str">
        <f>IFERROR(VLOOKUP($AQ496,Mapping!$E$208:$K$236,5,0),"Contracts")</f>
        <v>Contracts</v>
      </c>
      <c r="AW496" s="7" t="str">
        <f>IFERROR(VLOOKUP($AQ496,Mapping!$E$208:$K$236,7,0),"ENDirect")</f>
        <v>ENDirect</v>
      </c>
      <c r="AX496" s="7" t="str">
        <f>IFERROR(HLOOKUP(AV496,'Calc|Weightings'!$U$5:$W$5,1,0),"Excl")</f>
        <v>Contracts</v>
      </c>
      <c r="AY496" s="7" t="str">
        <f>VLOOKUP(AO496,Mapping!$E$11:$I$204,5,0)</f>
        <v>SCS</v>
      </c>
    </row>
    <row r="497" spans="1:51" x14ac:dyDescent="0.3">
      <c r="A497" s="7"/>
      <c r="B497" s="7"/>
      <c r="C497" s="7"/>
      <c r="D497" s="7"/>
      <c r="E497" s="32" t="s">
        <v>172</v>
      </c>
      <c r="F497" s="32"/>
      <c r="G497" s="32">
        <v>71055</v>
      </c>
      <c r="H497" s="32" t="s">
        <v>465</v>
      </c>
      <c r="I497" s="33">
        <v>391.78500000000003</v>
      </c>
      <c r="J497" s="170"/>
      <c r="K497" s="7" t="str">
        <f>VLOOKUP($E497,Mapping!$E$11:$I$204,3,0)</f>
        <v>Replacement</v>
      </c>
      <c r="L497" s="7" t="str">
        <f>IFERROR(VLOOKUP($G497,Mapping!$E$208:$K$236,5,0),"Contracts")</f>
        <v>Contracts</v>
      </c>
      <c r="M497" s="7" t="str">
        <f>IFERROR(VLOOKUP($G497,Mapping!$E$208:$K$236,7,0),"ENDirect")</f>
        <v>ENDirect</v>
      </c>
      <c r="N497" s="7" t="str">
        <f>IFERROR(HLOOKUP(L497,'Calc|Weightings'!$U$5:$W$5,1,0),"Excl")</f>
        <v>Contracts</v>
      </c>
      <c r="O497" s="7" t="str">
        <f>VLOOKUP(E497,Mapping!$E$11:$I$204,5,0)</f>
        <v>SCS</v>
      </c>
      <c r="Q497" s="32" t="s">
        <v>168</v>
      </c>
      <c r="R497" s="32"/>
      <c r="S497" s="32">
        <v>71000</v>
      </c>
      <c r="T497" s="32" t="s">
        <v>457</v>
      </c>
      <c r="U497" s="33">
        <v>373.68299999999999</v>
      </c>
      <c r="V497" s="7"/>
      <c r="W497" s="7" t="str">
        <f>VLOOKUP($Q497,Mapping!$E$11:$I$204,3,0)</f>
        <v>Replacement</v>
      </c>
      <c r="X497" s="7" t="str">
        <f>IFERROR(VLOOKUP($S497,Mapping!$E$208:$K$236,5,0),"Contracts")</f>
        <v>Labour</v>
      </c>
      <c r="Y497" s="7" t="str">
        <f>IFERROR(VLOOKUP($S497,Mapping!$E$208:$K$236,7,0),"ENDirect")</f>
        <v>ENDirect</v>
      </c>
      <c r="Z497" s="7" t="str">
        <f>IFERROR(HLOOKUP(X497,'Calc|Weightings'!$U$5:$W$5,1,0),"Excl")</f>
        <v>Labour</v>
      </c>
      <c r="AA497" s="7" t="str">
        <f>VLOOKUP(Q497,Mapping!$E$11:$I$204,5,0)</f>
        <v>SCS</v>
      </c>
      <c r="AC497" s="35" t="s">
        <v>165</v>
      </c>
      <c r="AD497" s="35"/>
      <c r="AE497" s="35">
        <v>71055</v>
      </c>
      <c r="AF497" s="35" t="s">
        <v>465</v>
      </c>
      <c r="AG497" s="36">
        <v>28.611999999999998</v>
      </c>
      <c r="AI497" s="7" t="str">
        <f>VLOOKUP($AC497,Mapping!$E$11:$I$204,3,0)</f>
        <v>Replacement</v>
      </c>
      <c r="AJ497" s="7" t="str">
        <f>IFERROR(VLOOKUP($AE497,Mapping!$E$208:$K$236,5,0),"Contracts")</f>
        <v>Contracts</v>
      </c>
      <c r="AK497" s="7" t="str">
        <f>IFERROR(VLOOKUP($AE497,Mapping!$E$208:$K$236,7,0),"ENDirect")</f>
        <v>ENDirect</v>
      </c>
      <c r="AL497" s="7" t="str">
        <f>IFERROR(HLOOKUP(AJ497,'Calc|Weightings'!$U$5:$W$5,1,0),"Excl")</f>
        <v>Contracts</v>
      </c>
      <c r="AM497" s="7" t="str">
        <f>VLOOKUP(AC497,Mapping!$E$11:$I$204,5,0)</f>
        <v>SCS</v>
      </c>
      <c r="AO497" s="35" t="s">
        <v>168</v>
      </c>
      <c r="AP497" s="35"/>
      <c r="AQ497" s="35">
        <v>71070</v>
      </c>
      <c r="AR497" s="35" t="s">
        <v>586</v>
      </c>
      <c r="AS497" s="121">
        <v>11.06758</v>
      </c>
      <c r="AU497" s="7" t="str">
        <f>VLOOKUP($AO497,Mapping!$E$11:$I$204,3,0)</f>
        <v>Replacement</v>
      </c>
      <c r="AV497" s="7" t="str">
        <f>IFERROR(VLOOKUP($AQ497,Mapping!$E$208:$K$236,5,0),"Contracts")</f>
        <v>Contracts</v>
      </c>
      <c r="AW497" s="7" t="str">
        <f>IFERROR(VLOOKUP($AQ497,Mapping!$E$208:$K$236,7,0),"ENDirect")</f>
        <v>ENDirect</v>
      </c>
      <c r="AX497" s="7" t="str">
        <f>IFERROR(HLOOKUP(AV497,'Calc|Weightings'!$U$5:$W$5,1,0),"Excl")</f>
        <v>Contracts</v>
      </c>
      <c r="AY497" s="7" t="str">
        <f>VLOOKUP(AO497,Mapping!$E$11:$I$204,5,0)</f>
        <v>SCS</v>
      </c>
    </row>
    <row r="498" spans="1:51" x14ac:dyDescent="0.3">
      <c r="A498" s="7"/>
      <c r="B498" s="7"/>
      <c r="C498" s="7"/>
      <c r="D498" s="7"/>
      <c r="E498" s="32" t="s">
        <v>172</v>
      </c>
      <c r="F498" s="32"/>
      <c r="G498" s="32">
        <v>80000</v>
      </c>
      <c r="H498" s="32" t="s">
        <v>453</v>
      </c>
      <c r="I498" s="33">
        <v>207.95599999999999</v>
      </c>
      <c r="J498" s="170"/>
      <c r="K498" s="7" t="str">
        <f>VLOOKUP($E498,Mapping!$E$11:$I$204,3,0)</f>
        <v>Replacement</v>
      </c>
      <c r="L498" s="7" t="str">
        <f>IFERROR(VLOOKUP($G498,Mapping!$E$208:$K$236,5,0),"Contracts")</f>
        <v>Overhead</v>
      </c>
      <c r="M498" s="7" t="str">
        <f>IFERROR(VLOOKUP($G498,Mapping!$E$208:$K$236,7,0),"ENDirect")</f>
        <v>OH</v>
      </c>
      <c r="N498" s="7" t="str">
        <f>IFERROR(HLOOKUP(L498,'Calc|Weightings'!$U$5:$W$5,1,0),"Excl")</f>
        <v>Excl</v>
      </c>
      <c r="O498" s="7" t="str">
        <f>VLOOKUP(E498,Mapping!$E$11:$I$204,5,0)</f>
        <v>SCS</v>
      </c>
      <c r="Q498" s="32" t="s">
        <v>168</v>
      </c>
      <c r="R498" s="32"/>
      <c r="S498" s="32">
        <v>71005</v>
      </c>
      <c r="T498" s="32" t="s">
        <v>461</v>
      </c>
      <c r="U498" s="33">
        <v>591.14400000000001</v>
      </c>
      <c r="V498" s="7"/>
      <c r="W498" s="7" t="str">
        <f>VLOOKUP($Q498,Mapping!$E$11:$I$204,3,0)</f>
        <v>Replacement</v>
      </c>
      <c r="X498" s="7" t="str">
        <f>IFERROR(VLOOKUP($S498,Mapping!$E$208:$K$236,5,0),"Contracts")</f>
        <v>Materials</v>
      </c>
      <c r="Y498" s="7" t="str">
        <f>IFERROR(VLOOKUP($S498,Mapping!$E$208:$K$236,7,0),"ENDirect")</f>
        <v>ENDirect</v>
      </c>
      <c r="Z498" s="7" t="str">
        <f>IFERROR(HLOOKUP(X498,'Calc|Weightings'!$U$5:$W$5,1,0),"Excl")</f>
        <v>Materials</v>
      </c>
      <c r="AA498" s="7" t="str">
        <f>VLOOKUP(Q498,Mapping!$E$11:$I$204,5,0)</f>
        <v>SCS</v>
      </c>
      <c r="AC498" s="35" t="s">
        <v>165</v>
      </c>
      <c r="AD498" s="35"/>
      <c r="AE498" s="35">
        <v>80000</v>
      </c>
      <c r="AF498" s="35" t="s">
        <v>453</v>
      </c>
      <c r="AG498" s="36">
        <v>52.171999999999997</v>
      </c>
      <c r="AI498" s="7" t="str">
        <f>VLOOKUP($AC498,Mapping!$E$11:$I$204,3,0)</f>
        <v>Replacement</v>
      </c>
      <c r="AJ498" s="7" t="str">
        <f>IFERROR(VLOOKUP($AE498,Mapping!$E$208:$K$236,5,0),"Contracts")</f>
        <v>Overhead</v>
      </c>
      <c r="AK498" s="7" t="str">
        <f>IFERROR(VLOOKUP($AE498,Mapping!$E$208:$K$236,7,0),"ENDirect")</f>
        <v>OH</v>
      </c>
      <c r="AL498" s="7" t="str">
        <f>IFERROR(HLOOKUP(AJ498,'Calc|Weightings'!$U$5:$W$5,1,0),"Excl")</f>
        <v>Excl</v>
      </c>
      <c r="AM498" s="7" t="str">
        <f>VLOOKUP(AC498,Mapping!$E$11:$I$204,5,0)</f>
        <v>SCS</v>
      </c>
      <c r="AO498" s="35" t="s">
        <v>168</v>
      </c>
      <c r="AP498" s="35"/>
      <c r="AQ498" s="35">
        <v>71075</v>
      </c>
      <c r="AR498" s="35" t="s">
        <v>587</v>
      </c>
      <c r="AS498" s="121">
        <v>105.03341999999998</v>
      </c>
      <c r="AU498" s="7" t="str">
        <f>VLOOKUP($AO498,Mapping!$E$11:$I$204,3,0)</f>
        <v>Replacement</v>
      </c>
      <c r="AV498" s="7" t="str">
        <f>IFERROR(VLOOKUP($AQ498,Mapping!$E$208:$K$236,5,0),"Contracts")</f>
        <v>Contracts</v>
      </c>
      <c r="AW498" s="7" t="str">
        <f>IFERROR(VLOOKUP($AQ498,Mapping!$E$208:$K$236,7,0),"ENDirect")</f>
        <v>ENDirect</v>
      </c>
      <c r="AX498" s="7" t="str">
        <f>IFERROR(HLOOKUP(AV498,'Calc|Weightings'!$U$5:$W$5,1,0),"Excl")</f>
        <v>Contracts</v>
      </c>
      <c r="AY498" s="7" t="str">
        <f>VLOOKUP(AO498,Mapping!$E$11:$I$204,5,0)</f>
        <v>SCS</v>
      </c>
    </row>
    <row r="499" spans="1:51" x14ac:dyDescent="0.3">
      <c r="A499" s="7"/>
      <c r="B499" s="7"/>
      <c r="C499" s="7"/>
      <c r="D499" s="7"/>
      <c r="E499" s="32" t="s">
        <v>184</v>
      </c>
      <c r="F499" s="32"/>
      <c r="G499" s="32">
        <v>71000</v>
      </c>
      <c r="H499" s="32" t="s">
        <v>457</v>
      </c>
      <c r="I499" s="33">
        <v>-6.4009999999999998</v>
      </c>
      <c r="J499" s="170"/>
      <c r="K499" s="7" t="str">
        <f>VLOOKUP($E499,Mapping!$E$11:$I$204,3,0)</f>
        <v>Public Lighting</v>
      </c>
      <c r="L499" s="7" t="str">
        <f>IFERROR(VLOOKUP($G499,Mapping!$E$208:$K$236,5,0),"Contracts")</f>
        <v>Labour</v>
      </c>
      <c r="M499" s="7" t="str">
        <f>IFERROR(VLOOKUP($G499,Mapping!$E$208:$K$236,7,0),"ENDirect")</f>
        <v>ENDirect</v>
      </c>
      <c r="N499" s="7" t="str">
        <f>IFERROR(HLOOKUP(L499,'Calc|Weightings'!$U$5:$W$5,1,0),"Excl")</f>
        <v>Labour</v>
      </c>
      <c r="O499" s="7" t="str">
        <f>VLOOKUP(E499,Mapping!$E$11:$I$204,5,0)</f>
        <v>Public Lighting</v>
      </c>
      <c r="Q499" s="32" t="s">
        <v>168</v>
      </c>
      <c r="R499" s="32"/>
      <c r="S499" s="32">
        <v>71010</v>
      </c>
      <c r="T499" s="32" t="s">
        <v>462</v>
      </c>
      <c r="U499" s="33">
        <v>246.09800000000001</v>
      </c>
      <c r="V499" s="7"/>
      <c r="W499" s="7" t="str">
        <f>VLOOKUP($Q499,Mapping!$E$11:$I$204,3,0)</f>
        <v>Replacement</v>
      </c>
      <c r="X499" s="7" t="str">
        <f>IFERROR(VLOOKUP($S499,Mapping!$E$208:$K$236,5,0),"Contracts")</f>
        <v>Labour</v>
      </c>
      <c r="Y499" s="7" t="str">
        <f>IFERROR(VLOOKUP($S499,Mapping!$E$208:$K$236,7,0),"ENDirect")</f>
        <v>ENDirect</v>
      </c>
      <c r="Z499" s="7" t="str">
        <f>IFERROR(HLOOKUP(X499,'Calc|Weightings'!$U$5:$W$5,1,0),"Excl")</f>
        <v>Labour</v>
      </c>
      <c r="AA499" s="7" t="str">
        <f>VLOOKUP(Q499,Mapping!$E$11:$I$204,5,0)</f>
        <v>SCS</v>
      </c>
      <c r="AC499" s="35" t="s">
        <v>165</v>
      </c>
      <c r="AD499" s="35"/>
      <c r="AE499" s="35">
        <v>89999</v>
      </c>
      <c r="AF499" s="35" t="s">
        <v>471</v>
      </c>
      <c r="AG499" s="36">
        <v>0</v>
      </c>
      <c r="AI499" s="7" t="str">
        <f>VLOOKUP($AC499,Mapping!$E$11:$I$204,3,0)</f>
        <v>Replacement</v>
      </c>
      <c r="AJ499" s="7" t="str">
        <f>IFERROR(VLOOKUP($AE499,Mapping!$E$208:$K$236,5,0),"Contracts")</f>
        <v>Contracts</v>
      </c>
      <c r="AK499" s="7" t="str">
        <f>IFERROR(VLOOKUP($AE499,Mapping!$E$208:$K$236,7,0),"ENDirect")</f>
        <v>ENDirect</v>
      </c>
      <c r="AL499" s="7" t="str">
        <f>IFERROR(HLOOKUP(AJ499,'Calc|Weightings'!$U$5:$W$5,1,0),"Excl")</f>
        <v>Contracts</v>
      </c>
      <c r="AM499" s="7" t="str">
        <f>VLOOKUP(AC499,Mapping!$E$11:$I$204,5,0)</f>
        <v>SCS</v>
      </c>
      <c r="AO499" s="35" t="s">
        <v>168</v>
      </c>
      <c r="AP499" s="35"/>
      <c r="AQ499" s="35">
        <v>80000</v>
      </c>
      <c r="AR499" s="35" t="s">
        <v>589</v>
      </c>
      <c r="AS499" s="121">
        <v>166.51017999999999</v>
      </c>
      <c r="AU499" s="7" t="str">
        <f>VLOOKUP($AO499,Mapping!$E$11:$I$204,3,0)</f>
        <v>Replacement</v>
      </c>
      <c r="AV499" s="7" t="str">
        <f>IFERROR(VLOOKUP($AQ499,Mapping!$E$208:$K$236,5,0),"Contracts")</f>
        <v>Overhead</v>
      </c>
      <c r="AW499" s="7" t="str">
        <f>IFERROR(VLOOKUP($AQ499,Mapping!$E$208:$K$236,7,0),"ENDirect")</f>
        <v>OH</v>
      </c>
      <c r="AX499" s="7" t="str">
        <f>IFERROR(HLOOKUP(AV499,'Calc|Weightings'!$U$5:$W$5,1,0),"Excl")</f>
        <v>Excl</v>
      </c>
      <c r="AY499" s="7" t="str">
        <f>VLOOKUP(AO499,Mapping!$E$11:$I$204,5,0)</f>
        <v>SCS</v>
      </c>
    </row>
    <row r="500" spans="1:51" x14ac:dyDescent="0.3">
      <c r="A500" s="7"/>
      <c r="B500" s="7"/>
      <c r="C500" s="7"/>
      <c r="D500" s="7"/>
      <c r="E500" s="32" t="s">
        <v>184</v>
      </c>
      <c r="F500" s="32"/>
      <c r="G500" s="32">
        <v>71005</v>
      </c>
      <c r="H500" s="32" t="s">
        <v>461</v>
      </c>
      <c r="I500" s="33">
        <v>122.16500000000001</v>
      </c>
      <c r="J500" s="170"/>
      <c r="K500" s="7" t="str">
        <f>VLOOKUP($E500,Mapping!$E$11:$I$204,3,0)</f>
        <v>Public Lighting</v>
      </c>
      <c r="L500" s="7" t="str">
        <f>IFERROR(VLOOKUP($G500,Mapping!$E$208:$K$236,5,0),"Contracts")</f>
        <v>Materials</v>
      </c>
      <c r="M500" s="7" t="str">
        <f>IFERROR(VLOOKUP($G500,Mapping!$E$208:$K$236,7,0),"ENDirect")</f>
        <v>ENDirect</v>
      </c>
      <c r="N500" s="7" t="str">
        <f>IFERROR(HLOOKUP(L500,'Calc|Weightings'!$U$5:$W$5,1,0),"Excl")</f>
        <v>Materials</v>
      </c>
      <c r="O500" s="7" t="str">
        <f>VLOOKUP(E500,Mapping!$E$11:$I$204,5,0)</f>
        <v>Public Lighting</v>
      </c>
      <c r="Q500" s="32" t="s">
        <v>168</v>
      </c>
      <c r="R500" s="32"/>
      <c r="S500" s="32">
        <v>71015</v>
      </c>
      <c r="T500" s="32" t="s">
        <v>463</v>
      </c>
      <c r="U500" s="33">
        <v>81.691000000000003</v>
      </c>
      <c r="V500" s="7"/>
      <c r="W500" s="7" t="str">
        <f>VLOOKUP($Q500,Mapping!$E$11:$I$204,3,0)</f>
        <v>Replacement</v>
      </c>
      <c r="X500" s="7" t="str">
        <f>IFERROR(VLOOKUP($S500,Mapping!$E$208:$K$236,5,0),"Contracts")</f>
        <v>Materials</v>
      </c>
      <c r="Y500" s="7" t="str">
        <f>IFERROR(VLOOKUP($S500,Mapping!$E$208:$K$236,7,0),"ENDirect")</f>
        <v>ENDirect</v>
      </c>
      <c r="Z500" s="7" t="str">
        <f>IFERROR(HLOOKUP(X500,'Calc|Weightings'!$U$5:$W$5,1,0),"Excl")</f>
        <v>Materials</v>
      </c>
      <c r="AA500" s="7" t="str">
        <f>VLOOKUP(Q500,Mapping!$E$11:$I$204,5,0)</f>
        <v>SCS</v>
      </c>
      <c r="AC500" s="35" t="s">
        <v>166</v>
      </c>
      <c r="AD500" s="35"/>
      <c r="AE500" s="35">
        <v>71000</v>
      </c>
      <c r="AF500" s="35" t="s">
        <v>457</v>
      </c>
      <c r="AG500" s="36">
        <v>446.67899999999997</v>
      </c>
      <c r="AI500" s="7" t="str">
        <f>VLOOKUP($AC500,Mapping!$E$11:$I$204,3,0)</f>
        <v>Replacement</v>
      </c>
      <c r="AJ500" s="7" t="str">
        <f>IFERROR(VLOOKUP($AE500,Mapping!$E$208:$K$236,5,0),"Contracts")</f>
        <v>Labour</v>
      </c>
      <c r="AK500" s="7" t="str">
        <f>IFERROR(VLOOKUP($AE500,Mapping!$E$208:$K$236,7,0),"ENDirect")</f>
        <v>ENDirect</v>
      </c>
      <c r="AL500" s="7" t="str">
        <f>IFERROR(HLOOKUP(AJ500,'Calc|Weightings'!$U$5:$W$5,1,0),"Excl")</f>
        <v>Labour</v>
      </c>
      <c r="AM500" s="7" t="str">
        <f>VLOOKUP(AC500,Mapping!$E$11:$I$204,5,0)</f>
        <v>SCS</v>
      </c>
      <c r="AO500" s="35" t="s">
        <v>168</v>
      </c>
      <c r="AP500" s="35"/>
      <c r="AQ500" s="35">
        <v>83010</v>
      </c>
      <c r="AR500" s="35" t="s">
        <v>591</v>
      </c>
      <c r="AS500" s="121">
        <v>841.13</v>
      </c>
      <c r="AU500" s="7" t="str">
        <f>VLOOKUP($AO500,Mapping!$E$11:$I$204,3,0)</f>
        <v>Replacement</v>
      </c>
      <c r="AV500" s="7" t="str">
        <f>IFERROR(VLOOKUP($AQ500,Mapping!$E$208:$K$236,5,0),"Contracts")</f>
        <v>Contracts</v>
      </c>
      <c r="AW500" s="7" t="str">
        <f>IFERROR(VLOOKUP($AQ500,Mapping!$E$208:$K$236,7,0),"ENDirect")</f>
        <v>ENDirect</v>
      </c>
      <c r="AX500" s="7" t="str">
        <f>IFERROR(HLOOKUP(AV500,'Calc|Weightings'!$U$5:$W$5,1,0),"Excl")</f>
        <v>Contracts</v>
      </c>
      <c r="AY500" s="7" t="str">
        <f>VLOOKUP(AO500,Mapping!$E$11:$I$204,5,0)</f>
        <v>SCS</v>
      </c>
    </row>
    <row r="501" spans="1:51" x14ac:dyDescent="0.3">
      <c r="A501" s="7"/>
      <c r="B501" s="7"/>
      <c r="C501" s="7"/>
      <c r="D501" s="7"/>
      <c r="E501" s="32" t="s">
        <v>184</v>
      </c>
      <c r="F501" s="32"/>
      <c r="G501" s="32">
        <v>71010</v>
      </c>
      <c r="H501" s="32" t="s">
        <v>462</v>
      </c>
      <c r="I501" s="33">
        <v>133.33699999999999</v>
      </c>
      <c r="J501" s="170"/>
      <c r="K501" s="7" t="str">
        <f>VLOOKUP($E501,Mapping!$E$11:$I$204,3,0)</f>
        <v>Public Lighting</v>
      </c>
      <c r="L501" s="7" t="str">
        <f>IFERROR(VLOOKUP($G501,Mapping!$E$208:$K$236,5,0),"Contracts")</f>
        <v>Labour</v>
      </c>
      <c r="M501" s="7" t="str">
        <f>IFERROR(VLOOKUP($G501,Mapping!$E$208:$K$236,7,0),"ENDirect")</f>
        <v>ENDirect</v>
      </c>
      <c r="N501" s="7" t="str">
        <f>IFERROR(HLOOKUP(L501,'Calc|Weightings'!$U$5:$W$5,1,0),"Excl")</f>
        <v>Labour</v>
      </c>
      <c r="O501" s="7" t="str">
        <f>VLOOKUP(E501,Mapping!$E$11:$I$204,5,0)</f>
        <v>Public Lighting</v>
      </c>
      <c r="Q501" s="32" t="s">
        <v>168</v>
      </c>
      <c r="R501" s="32"/>
      <c r="S501" s="32">
        <v>71020</v>
      </c>
      <c r="T501" s="32" t="s">
        <v>459</v>
      </c>
      <c r="U501" s="33">
        <v>1.627</v>
      </c>
      <c r="V501" s="7"/>
      <c r="W501" s="7" t="str">
        <f>VLOOKUP($Q501,Mapping!$E$11:$I$204,3,0)</f>
        <v>Replacement</v>
      </c>
      <c r="X501" s="7" t="str">
        <f>IFERROR(VLOOKUP($S501,Mapping!$E$208:$K$236,5,0),"Contracts")</f>
        <v>Contracts</v>
      </c>
      <c r="Y501" s="7" t="str">
        <f>IFERROR(VLOOKUP($S501,Mapping!$E$208:$K$236,7,0),"ENDirect")</f>
        <v>ENDirect</v>
      </c>
      <c r="Z501" s="7" t="str">
        <f>IFERROR(HLOOKUP(X501,'Calc|Weightings'!$U$5:$W$5,1,0),"Excl")</f>
        <v>Contracts</v>
      </c>
      <c r="AA501" s="7" t="str">
        <f>VLOOKUP(Q501,Mapping!$E$11:$I$204,5,0)</f>
        <v>SCS</v>
      </c>
      <c r="AC501" s="35" t="s">
        <v>166</v>
      </c>
      <c r="AD501" s="35"/>
      <c r="AE501" s="35">
        <v>71005</v>
      </c>
      <c r="AF501" s="35" t="s">
        <v>461</v>
      </c>
      <c r="AG501" s="36">
        <v>313.00900000000001</v>
      </c>
      <c r="AI501" s="7" t="str">
        <f>VLOOKUP($AC501,Mapping!$E$11:$I$204,3,0)</f>
        <v>Replacement</v>
      </c>
      <c r="AJ501" s="7" t="str">
        <f>IFERROR(VLOOKUP($AE501,Mapping!$E$208:$K$236,5,0),"Contracts")</f>
        <v>Materials</v>
      </c>
      <c r="AK501" s="7" t="str">
        <f>IFERROR(VLOOKUP($AE501,Mapping!$E$208:$K$236,7,0),"ENDirect")</f>
        <v>ENDirect</v>
      </c>
      <c r="AL501" s="7" t="str">
        <f>IFERROR(HLOOKUP(AJ501,'Calc|Weightings'!$U$5:$W$5,1,0),"Excl")</f>
        <v>Materials</v>
      </c>
      <c r="AM501" s="7" t="str">
        <f>VLOOKUP(AC501,Mapping!$E$11:$I$204,5,0)</f>
        <v>SCS</v>
      </c>
      <c r="AO501" s="35" t="s">
        <v>169</v>
      </c>
      <c r="AP501" s="35"/>
      <c r="AQ501" s="35">
        <v>71000</v>
      </c>
      <c r="AR501" s="35" t="s">
        <v>457</v>
      </c>
      <c r="AS501" s="121">
        <v>11.592150000000002</v>
      </c>
      <c r="AU501" s="7" t="str">
        <f>VLOOKUP($AO501,Mapping!$E$11:$I$204,3,0)</f>
        <v>Replacement</v>
      </c>
      <c r="AV501" s="7" t="str">
        <f>IFERROR(VLOOKUP($AQ501,Mapping!$E$208:$K$236,5,0),"Contracts")</f>
        <v>Labour</v>
      </c>
      <c r="AW501" s="7" t="str">
        <f>IFERROR(VLOOKUP($AQ501,Mapping!$E$208:$K$236,7,0),"ENDirect")</f>
        <v>ENDirect</v>
      </c>
      <c r="AX501" s="7" t="str">
        <f>IFERROR(HLOOKUP(AV501,'Calc|Weightings'!$U$5:$W$5,1,0),"Excl")</f>
        <v>Labour</v>
      </c>
      <c r="AY501" s="7" t="str">
        <f>VLOOKUP(AO501,Mapping!$E$11:$I$204,5,0)</f>
        <v>SCS</v>
      </c>
    </row>
    <row r="502" spans="1:51" x14ac:dyDescent="0.3">
      <c r="A502" s="7"/>
      <c r="B502" s="7"/>
      <c r="C502" s="7"/>
      <c r="D502" s="7"/>
      <c r="E502" s="32" t="s">
        <v>184</v>
      </c>
      <c r="F502" s="32"/>
      <c r="G502" s="32">
        <v>71015</v>
      </c>
      <c r="H502" s="32" t="s">
        <v>463</v>
      </c>
      <c r="I502" s="33">
        <v>1.571</v>
      </c>
      <c r="J502" s="170"/>
      <c r="K502" s="7" t="str">
        <f>VLOOKUP($E502,Mapping!$E$11:$I$204,3,0)</f>
        <v>Public Lighting</v>
      </c>
      <c r="L502" s="7" t="str">
        <f>IFERROR(VLOOKUP($G502,Mapping!$E$208:$K$236,5,0),"Contracts")</f>
        <v>Materials</v>
      </c>
      <c r="M502" s="7" t="str">
        <f>IFERROR(VLOOKUP($G502,Mapping!$E$208:$K$236,7,0),"ENDirect")</f>
        <v>ENDirect</v>
      </c>
      <c r="N502" s="7" t="str">
        <f>IFERROR(HLOOKUP(L502,'Calc|Weightings'!$U$5:$W$5,1,0),"Excl")</f>
        <v>Materials</v>
      </c>
      <c r="O502" s="7" t="str">
        <f>VLOOKUP(E502,Mapping!$E$11:$I$204,5,0)</f>
        <v>Public Lighting</v>
      </c>
      <c r="Q502" s="32" t="s">
        <v>168</v>
      </c>
      <c r="R502" s="32"/>
      <c r="S502" s="32">
        <v>71030</v>
      </c>
      <c r="T502" s="32" t="s">
        <v>464</v>
      </c>
      <c r="U502" s="33">
        <v>104.355</v>
      </c>
      <c r="V502" s="7"/>
      <c r="W502" s="7" t="str">
        <f>VLOOKUP($Q502,Mapping!$E$11:$I$204,3,0)</f>
        <v>Replacement</v>
      </c>
      <c r="X502" s="7" t="str">
        <f>IFERROR(VLOOKUP($S502,Mapping!$E$208:$K$236,5,0),"Contracts")</f>
        <v>Contracts</v>
      </c>
      <c r="Y502" s="7" t="str">
        <f>IFERROR(VLOOKUP($S502,Mapping!$E$208:$K$236,7,0),"ENDirect")</f>
        <v>ENDirect</v>
      </c>
      <c r="Z502" s="7" t="str">
        <f>IFERROR(HLOOKUP(X502,'Calc|Weightings'!$U$5:$W$5,1,0),"Excl")</f>
        <v>Contracts</v>
      </c>
      <c r="AA502" s="7" t="str">
        <f>VLOOKUP(Q502,Mapping!$E$11:$I$204,5,0)</f>
        <v>SCS</v>
      </c>
      <c r="AC502" s="35" t="s">
        <v>166</v>
      </c>
      <c r="AD502" s="35"/>
      <c r="AE502" s="35">
        <v>71010</v>
      </c>
      <c r="AF502" s="35" t="s">
        <v>462</v>
      </c>
      <c r="AG502" s="36">
        <v>55.01</v>
      </c>
      <c r="AI502" s="7" t="str">
        <f>VLOOKUP($AC502,Mapping!$E$11:$I$204,3,0)</f>
        <v>Replacement</v>
      </c>
      <c r="AJ502" s="7" t="str">
        <f>IFERROR(VLOOKUP($AE502,Mapping!$E$208:$K$236,5,0),"Contracts")</f>
        <v>Labour</v>
      </c>
      <c r="AK502" s="7" t="str">
        <f>IFERROR(VLOOKUP($AE502,Mapping!$E$208:$K$236,7,0),"ENDirect")</f>
        <v>ENDirect</v>
      </c>
      <c r="AL502" s="7" t="str">
        <f>IFERROR(HLOOKUP(AJ502,'Calc|Weightings'!$U$5:$W$5,1,0),"Excl")</f>
        <v>Labour</v>
      </c>
      <c r="AM502" s="7" t="str">
        <f>VLOOKUP(AC502,Mapping!$E$11:$I$204,5,0)</f>
        <v>SCS</v>
      </c>
      <c r="AO502" s="35" t="s">
        <v>169</v>
      </c>
      <c r="AP502" s="35"/>
      <c r="AQ502" s="35">
        <v>71005</v>
      </c>
      <c r="AR502" s="35" t="s">
        <v>461</v>
      </c>
      <c r="AS502" s="121">
        <v>1.56501</v>
      </c>
      <c r="AU502" s="7" t="str">
        <f>VLOOKUP($AO502,Mapping!$E$11:$I$204,3,0)</f>
        <v>Replacement</v>
      </c>
      <c r="AV502" s="7" t="str">
        <f>IFERROR(VLOOKUP($AQ502,Mapping!$E$208:$K$236,5,0),"Contracts")</f>
        <v>Materials</v>
      </c>
      <c r="AW502" s="7" t="str">
        <f>IFERROR(VLOOKUP($AQ502,Mapping!$E$208:$K$236,7,0),"ENDirect")</f>
        <v>ENDirect</v>
      </c>
      <c r="AX502" s="7" t="str">
        <f>IFERROR(HLOOKUP(AV502,'Calc|Weightings'!$U$5:$W$5,1,0),"Excl")</f>
        <v>Materials</v>
      </c>
      <c r="AY502" s="7" t="str">
        <f>VLOOKUP(AO502,Mapping!$E$11:$I$204,5,0)</f>
        <v>SCS</v>
      </c>
    </row>
    <row r="503" spans="1:51" x14ac:dyDescent="0.3">
      <c r="A503" s="7"/>
      <c r="B503" s="7"/>
      <c r="C503" s="7"/>
      <c r="D503" s="7"/>
      <c r="E503" s="32" t="s">
        <v>184</v>
      </c>
      <c r="F503" s="32"/>
      <c r="G503" s="32">
        <v>71020</v>
      </c>
      <c r="H503" s="32" t="s">
        <v>459</v>
      </c>
      <c r="I503" s="33">
        <v>0</v>
      </c>
      <c r="J503" s="170"/>
      <c r="K503" s="7" t="str">
        <f>VLOOKUP($E503,Mapping!$E$11:$I$204,3,0)</f>
        <v>Public Lighting</v>
      </c>
      <c r="L503" s="7" t="str">
        <f>IFERROR(VLOOKUP($G503,Mapping!$E$208:$K$236,5,0),"Contracts")</f>
        <v>Contracts</v>
      </c>
      <c r="M503" s="7" t="str">
        <f>IFERROR(VLOOKUP($G503,Mapping!$E$208:$K$236,7,0),"ENDirect")</f>
        <v>ENDirect</v>
      </c>
      <c r="N503" s="7" t="str">
        <f>IFERROR(HLOOKUP(L503,'Calc|Weightings'!$U$5:$W$5,1,0),"Excl")</f>
        <v>Contracts</v>
      </c>
      <c r="O503" s="7" t="str">
        <f>VLOOKUP(E503,Mapping!$E$11:$I$204,5,0)</f>
        <v>Public Lighting</v>
      </c>
      <c r="Q503" s="32" t="s">
        <v>168</v>
      </c>
      <c r="R503" s="32"/>
      <c r="S503" s="32">
        <v>71055</v>
      </c>
      <c r="T503" s="32" t="s">
        <v>465</v>
      </c>
      <c r="U503" s="33">
        <v>196.55099999999999</v>
      </c>
      <c r="V503" s="7"/>
      <c r="W503" s="7" t="str">
        <f>VLOOKUP($Q503,Mapping!$E$11:$I$204,3,0)</f>
        <v>Replacement</v>
      </c>
      <c r="X503" s="7" t="str">
        <f>IFERROR(VLOOKUP($S503,Mapping!$E$208:$K$236,5,0),"Contracts")</f>
        <v>Contracts</v>
      </c>
      <c r="Y503" s="7" t="str">
        <f>IFERROR(VLOOKUP($S503,Mapping!$E$208:$K$236,7,0),"ENDirect")</f>
        <v>ENDirect</v>
      </c>
      <c r="Z503" s="7" t="str">
        <f>IFERROR(HLOOKUP(X503,'Calc|Weightings'!$U$5:$W$5,1,0),"Excl")</f>
        <v>Contracts</v>
      </c>
      <c r="AA503" s="7" t="str">
        <f>VLOOKUP(Q503,Mapping!$E$11:$I$204,5,0)</f>
        <v>SCS</v>
      </c>
      <c r="AC503" s="35" t="s">
        <v>166</v>
      </c>
      <c r="AD503" s="35"/>
      <c r="AE503" s="35">
        <v>71015</v>
      </c>
      <c r="AF503" s="35" t="s">
        <v>463</v>
      </c>
      <c r="AG503" s="36">
        <v>116.03400000000001</v>
      </c>
      <c r="AI503" s="7" t="str">
        <f>VLOOKUP($AC503,Mapping!$E$11:$I$204,3,0)</f>
        <v>Replacement</v>
      </c>
      <c r="AJ503" s="7" t="str">
        <f>IFERROR(VLOOKUP($AE503,Mapping!$E$208:$K$236,5,0),"Contracts")</f>
        <v>Materials</v>
      </c>
      <c r="AK503" s="7" t="str">
        <f>IFERROR(VLOOKUP($AE503,Mapping!$E$208:$K$236,7,0),"ENDirect")</f>
        <v>ENDirect</v>
      </c>
      <c r="AL503" s="7" t="str">
        <f>IFERROR(HLOOKUP(AJ503,'Calc|Weightings'!$U$5:$W$5,1,0),"Excl")</f>
        <v>Materials</v>
      </c>
      <c r="AM503" s="7" t="str">
        <f>VLOOKUP(AC503,Mapping!$E$11:$I$204,5,0)</f>
        <v>SCS</v>
      </c>
      <c r="AO503" s="35" t="s">
        <v>169</v>
      </c>
      <c r="AP503" s="35"/>
      <c r="AQ503" s="35">
        <v>71010</v>
      </c>
      <c r="AR503" s="35" t="s">
        <v>487</v>
      </c>
      <c r="AS503" s="121">
        <v>1.3718699999999999</v>
      </c>
      <c r="AU503" s="7" t="str">
        <f>VLOOKUP($AO503,Mapping!$E$11:$I$204,3,0)</f>
        <v>Replacement</v>
      </c>
      <c r="AV503" s="7" t="str">
        <f>IFERROR(VLOOKUP($AQ503,Mapping!$E$208:$K$236,5,0),"Contracts")</f>
        <v>Labour</v>
      </c>
      <c r="AW503" s="7" t="str">
        <f>IFERROR(VLOOKUP($AQ503,Mapping!$E$208:$K$236,7,0),"ENDirect")</f>
        <v>ENDirect</v>
      </c>
      <c r="AX503" s="7" t="str">
        <f>IFERROR(HLOOKUP(AV503,'Calc|Weightings'!$U$5:$W$5,1,0),"Excl")</f>
        <v>Labour</v>
      </c>
      <c r="AY503" s="7" t="str">
        <f>VLOOKUP(AO503,Mapping!$E$11:$I$204,5,0)</f>
        <v>SCS</v>
      </c>
    </row>
    <row r="504" spans="1:51" x14ac:dyDescent="0.3">
      <c r="A504" s="7"/>
      <c r="B504" s="7"/>
      <c r="C504" s="7"/>
      <c r="D504" s="7"/>
      <c r="E504" s="32" t="s">
        <v>184</v>
      </c>
      <c r="F504" s="32"/>
      <c r="G504" s="32">
        <v>71030</v>
      </c>
      <c r="H504" s="32" t="s">
        <v>464</v>
      </c>
      <c r="I504" s="33">
        <v>23.893000000000001</v>
      </c>
      <c r="J504" s="170"/>
      <c r="K504" s="7" t="str">
        <f>VLOOKUP($E504,Mapping!$E$11:$I$204,3,0)</f>
        <v>Public Lighting</v>
      </c>
      <c r="L504" s="7" t="str">
        <f>IFERROR(VLOOKUP($G504,Mapping!$E$208:$K$236,5,0),"Contracts")</f>
        <v>Contracts</v>
      </c>
      <c r="M504" s="7" t="str">
        <f>IFERROR(VLOOKUP($G504,Mapping!$E$208:$K$236,7,0),"ENDirect")</f>
        <v>ENDirect</v>
      </c>
      <c r="N504" s="7" t="str">
        <f>IFERROR(HLOOKUP(L504,'Calc|Weightings'!$U$5:$W$5,1,0),"Excl")</f>
        <v>Contracts</v>
      </c>
      <c r="O504" s="7" t="str">
        <f>VLOOKUP(E504,Mapping!$E$11:$I$204,5,0)</f>
        <v>Public Lighting</v>
      </c>
      <c r="Q504" s="32" t="s">
        <v>168</v>
      </c>
      <c r="R504" s="32"/>
      <c r="S504" s="32">
        <v>80000</v>
      </c>
      <c r="T504" s="32" t="s">
        <v>453</v>
      </c>
      <c r="U504" s="33">
        <v>209.15600000000001</v>
      </c>
      <c r="V504" s="7"/>
      <c r="W504" s="7" t="str">
        <f>VLOOKUP($Q504,Mapping!$E$11:$I$204,3,0)</f>
        <v>Replacement</v>
      </c>
      <c r="X504" s="7" t="str">
        <f>IFERROR(VLOOKUP($S504,Mapping!$E$208:$K$236,5,0),"Contracts")</f>
        <v>Overhead</v>
      </c>
      <c r="Y504" s="7" t="str">
        <f>IFERROR(VLOOKUP($S504,Mapping!$E$208:$K$236,7,0),"ENDirect")</f>
        <v>OH</v>
      </c>
      <c r="Z504" s="7" t="str">
        <f>IFERROR(HLOOKUP(X504,'Calc|Weightings'!$U$5:$W$5,1,0),"Excl")</f>
        <v>Excl</v>
      </c>
      <c r="AA504" s="7" t="str">
        <f>VLOOKUP(Q504,Mapping!$E$11:$I$204,5,0)</f>
        <v>SCS</v>
      </c>
      <c r="AC504" s="35" t="s">
        <v>166</v>
      </c>
      <c r="AD504" s="35"/>
      <c r="AE504" s="35">
        <v>71030</v>
      </c>
      <c r="AF504" s="35" t="s">
        <v>464</v>
      </c>
      <c r="AG504" s="36">
        <v>75.162999999999997</v>
      </c>
      <c r="AI504" s="7" t="str">
        <f>VLOOKUP($AC504,Mapping!$E$11:$I$204,3,0)</f>
        <v>Replacement</v>
      </c>
      <c r="AJ504" s="7" t="str">
        <f>IFERROR(VLOOKUP($AE504,Mapping!$E$208:$K$236,5,0),"Contracts")</f>
        <v>Contracts</v>
      </c>
      <c r="AK504" s="7" t="str">
        <f>IFERROR(VLOOKUP($AE504,Mapping!$E$208:$K$236,7,0),"ENDirect")</f>
        <v>ENDirect</v>
      </c>
      <c r="AL504" s="7" t="str">
        <f>IFERROR(HLOOKUP(AJ504,'Calc|Weightings'!$U$5:$W$5,1,0),"Excl")</f>
        <v>Contracts</v>
      </c>
      <c r="AM504" s="7" t="str">
        <f>VLOOKUP(AC504,Mapping!$E$11:$I$204,5,0)</f>
        <v>SCS</v>
      </c>
      <c r="AO504" s="35" t="s">
        <v>169</v>
      </c>
      <c r="AP504" s="35"/>
      <c r="AQ504" s="35">
        <v>71015</v>
      </c>
      <c r="AR504" s="35" t="s">
        <v>585</v>
      </c>
      <c r="AS504" s="121">
        <v>1.5543699999999998</v>
      </c>
      <c r="AU504" s="7" t="str">
        <f>VLOOKUP($AO504,Mapping!$E$11:$I$204,3,0)</f>
        <v>Replacement</v>
      </c>
      <c r="AV504" s="7" t="str">
        <f>IFERROR(VLOOKUP($AQ504,Mapping!$E$208:$K$236,5,0),"Contracts")</f>
        <v>Materials</v>
      </c>
      <c r="AW504" s="7" t="str">
        <f>IFERROR(VLOOKUP($AQ504,Mapping!$E$208:$K$236,7,0),"ENDirect")</f>
        <v>ENDirect</v>
      </c>
      <c r="AX504" s="7" t="str">
        <f>IFERROR(HLOOKUP(AV504,'Calc|Weightings'!$U$5:$W$5,1,0),"Excl")</f>
        <v>Materials</v>
      </c>
      <c r="AY504" s="7" t="str">
        <f>VLOOKUP(AO504,Mapping!$E$11:$I$204,5,0)</f>
        <v>SCS</v>
      </c>
    </row>
    <row r="505" spans="1:51" x14ac:dyDescent="0.3">
      <c r="A505" s="7"/>
      <c r="B505" s="7"/>
      <c r="C505" s="7"/>
      <c r="D505" s="7"/>
      <c r="E505" s="32" t="s">
        <v>184</v>
      </c>
      <c r="F505" s="32"/>
      <c r="G505" s="32">
        <v>71055</v>
      </c>
      <c r="H505" s="32" t="s">
        <v>465</v>
      </c>
      <c r="I505" s="33">
        <v>77.409000000000006</v>
      </c>
      <c r="J505" s="170"/>
      <c r="K505" s="7" t="str">
        <f>VLOOKUP($E505,Mapping!$E$11:$I$204,3,0)</f>
        <v>Public Lighting</v>
      </c>
      <c r="L505" s="7" t="str">
        <f>IFERROR(VLOOKUP($G505,Mapping!$E$208:$K$236,5,0),"Contracts")</f>
        <v>Contracts</v>
      </c>
      <c r="M505" s="7" t="str">
        <f>IFERROR(VLOOKUP($G505,Mapping!$E$208:$K$236,7,0),"ENDirect")</f>
        <v>ENDirect</v>
      </c>
      <c r="N505" s="7" t="str">
        <f>IFERROR(HLOOKUP(L505,'Calc|Weightings'!$U$5:$W$5,1,0),"Excl")</f>
        <v>Contracts</v>
      </c>
      <c r="O505" s="7" t="str">
        <f>VLOOKUP(E505,Mapping!$E$11:$I$204,5,0)</f>
        <v>Public Lighting</v>
      </c>
      <c r="Q505" s="32" t="s">
        <v>168</v>
      </c>
      <c r="R505" s="32"/>
      <c r="S505" s="32">
        <v>89999</v>
      </c>
      <c r="T505" s="32" t="s">
        <v>471</v>
      </c>
      <c r="U505" s="33">
        <v>0</v>
      </c>
      <c r="V505" s="7"/>
      <c r="W505" s="7" t="str">
        <f>VLOOKUP($Q505,Mapping!$E$11:$I$204,3,0)</f>
        <v>Replacement</v>
      </c>
      <c r="X505" s="7" t="str">
        <f>IFERROR(VLOOKUP($S505,Mapping!$E$208:$K$236,5,0),"Contracts")</f>
        <v>Contracts</v>
      </c>
      <c r="Y505" s="7" t="str">
        <f>IFERROR(VLOOKUP($S505,Mapping!$E$208:$K$236,7,0),"ENDirect")</f>
        <v>ENDirect</v>
      </c>
      <c r="Z505" s="7" t="str">
        <f>IFERROR(HLOOKUP(X505,'Calc|Weightings'!$U$5:$W$5,1,0),"Excl")</f>
        <v>Contracts</v>
      </c>
      <c r="AA505" s="7" t="str">
        <f>VLOOKUP(Q505,Mapping!$E$11:$I$204,5,0)</f>
        <v>SCS</v>
      </c>
      <c r="AC505" s="35" t="s">
        <v>166</v>
      </c>
      <c r="AD505" s="35"/>
      <c r="AE505" s="35">
        <v>71055</v>
      </c>
      <c r="AF505" s="35" t="s">
        <v>465</v>
      </c>
      <c r="AG505" s="36">
        <v>164.19300000000001</v>
      </c>
      <c r="AI505" s="7" t="str">
        <f>VLOOKUP($AC505,Mapping!$E$11:$I$204,3,0)</f>
        <v>Replacement</v>
      </c>
      <c r="AJ505" s="7" t="str">
        <f>IFERROR(VLOOKUP($AE505,Mapping!$E$208:$K$236,5,0),"Contracts")</f>
        <v>Contracts</v>
      </c>
      <c r="AK505" s="7" t="str">
        <f>IFERROR(VLOOKUP($AE505,Mapping!$E$208:$K$236,7,0),"ENDirect")</f>
        <v>ENDirect</v>
      </c>
      <c r="AL505" s="7" t="str">
        <f>IFERROR(HLOOKUP(AJ505,'Calc|Weightings'!$U$5:$W$5,1,0),"Excl")</f>
        <v>Contracts</v>
      </c>
      <c r="AM505" s="7" t="str">
        <f>VLOOKUP(AC505,Mapping!$E$11:$I$204,5,0)</f>
        <v>SCS</v>
      </c>
      <c r="AO505" s="35" t="s">
        <v>169</v>
      </c>
      <c r="AP505" s="35"/>
      <c r="AQ505" s="35">
        <v>71030</v>
      </c>
      <c r="AR505" s="35" t="s">
        <v>464</v>
      </c>
      <c r="AS505" s="121">
        <v>1.47418</v>
      </c>
      <c r="AU505" s="7" t="str">
        <f>VLOOKUP($AO505,Mapping!$E$11:$I$204,3,0)</f>
        <v>Replacement</v>
      </c>
      <c r="AV505" s="7" t="str">
        <f>IFERROR(VLOOKUP($AQ505,Mapping!$E$208:$K$236,5,0),"Contracts")</f>
        <v>Contracts</v>
      </c>
      <c r="AW505" s="7" t="str">
        <f>IFERROR(VLOOKUP($AQ505,Mapping!$E$208:$K$236,7,0),"ENDirect")</f>
        <v>ENDirect</v>
      </c>
      <c r="AX505" s="7" t="str">
        <f>IFERROR(HLOOKUP(AV505,'Calc|Weightings'!$U$5:$W$5,1,0),"Excl")</f>
        <v>Contracts</v>
      </c>
      <c r="AY505" s="7" t="str">
        <f>VLOOKUP(AO505,Mapping!$E$11:$I$204,5,0)</f>
        <v>SCS</v>
      </c>
    </row>
    <row r="506" spans="1:51" x14ac:dyDescent="0.3">
      <c r="A506" s="7"/>
      <c r="B506" s="7"/>
      <c r="C506" s="7"/>
      <c r="D506" s="7"/>
      <c r="E506" s="32" t="s">
        <v>184</v>
      </c>
      <c r="F506" s="32"/>
      <c r="G506" s="32">
        <v>80000</v>
      </c>
      <c r="H506" s="32" t="s">
        <v>453</v>
      </c>
      <c r="I506" s="33">
        <v>34.323999999999998</v>
      </c>
      <c r="J506" s="170"/>
      <c r="K506" s="7" t="str">
        <f>VLOOKUP($E506,Mapping!$E$11:$I$204,3,0)</f>
        <v>Public Lighting</v>
      </c>
      <c r="L506" s="7" t="str">
        <f>IFERROR(VLOOKUP($G506,Mapping!$E$208:$K$236,5,0),"Contracts")</f>
        <v>Overhead</v>
      </c>
      <c r="M506" s="7" t="str">
        <f>IFERROR(VLOOKUP($G506,Mapping!$E$208:$K$236,7,0),"ENDirect")</f>
        <v>OH</v>
      </c>
      <c r="N506" s="7" t="str">
        <f>IFERROR(HLOOKUP(L506,'Calc|Weightings'!$U$5:$W$5,1,0),"Excl")</f>
        <v>Excl</v>
      </c>
      <c r="O506" s="7" t="str">
        <f>VLOOKUP(E506,Mapping!$E$11:$I$204,5,0)</f>
        <v>Public Lighting</v>
      </c>
      <c r="Q506" s="32" t="s">
        <v>169</v>
      </c>
      <c r="R506" s="32"/>
      <c r="S506" s="32">
        <v>71000</v>
      </c>
      <c r="T506" s="32" t="s">
        <v>457</v>
      </c>
      <c r="U506" s="33">
        <v>49.164000000000001</v>
      </c>
      <c r="V506" s="7"/>
      <c r="W506" s="7" t="str">
        <f>VLOOKUP($Q506,Mapping!$E$11:$I$204,3,0)</f>
        <v>Replacement</v>
      </c>
      <c r="X506" s="7" t="str">
        <f>IFERROR(VLOOKUP($S506,Mapping!$E$208:$K$236,5,0),"Contracts")</f>
        <v>Labour</v>
      </c>
      <c r="Y506" s="7" t="str">
        <f>IFERROR(VLOOKUP($S506,Mapping!$E$208:$K$236,7,0),"ENDirect")</f>
        <v>ENDirect</v>
      </c>
      <c r="Z506" s="7" t="str">
        <f>IFERROR(HLOOKUP(X506,'Calc|Weightings'!$U$5:$W$5,1,0),"Excl")</f>
        <v>Labour</v>
      </c>
      <c r="AA506" s="7" t="str">
        <f>VLOOKUP(Q506,Mapping!$E$11:$I$204,5,0)</f>
        <v>SCS</v>
      </c>
      <c r="AC506" s="35" t="s">
        <v>166</v>
      </c>
      <c r="AD506" s="35"/>
      <c r="AE506" s="35">
        <v>80000</v>
      </c>
      <c r="AF506" s="35" t="s">
        <v>453</v>
      </c>
      <c r="AG506" s="36">
        <v>145.57300000000001</v>
      </c>
      <c r="AI506" s="7" t="str">
        <f>VLOOKUP($AC506,Mapping!$E$11:$I$204,3,0)</f>
        <v>Replacement</v>
      </c>
      <c r="AJ506" s="7" t="str">
        <f>IFERROR(VLOOKUP($AE506,Mapping!$E$208:$K$236,5,0),"Contracts")</f>
        <v>Overhead</v>
      </c>
      <c r="AK506" s="7" t="str">
        <f>IFERROR(VLOOKUP($AE506,Mapping!$E$208:$K$236,7,0),"ENDirect")</f>
        <v>OH</v>
      </c>
      <c r="AL506" s="7" t="str">
        <f>IFERROR(HLOOKUP(AJ506,'Calc|Weightings'!$U$5:$W$5,1,0),"Excl")</f>
        <v>Excl</v>
      </c>
      <c r="AM506" s="7" t="str">
        <f>VLOOKUP(AC506,Mapping!$E$11:$I$204,5,0)</f>
        <v>SCS</v>
      </c>
      <c r="AO506" s="35" t="s">
        <v>169</v>
      </c>
      <c r="AP506" s="35"/>
      <c r="AQ506" s="35">
        <v>71055</v>
      </c>
      <c r="AR506" s="35" t="s">
        <v>465</v>
      </c>
      <c r="AS506" s="121">
        <v>4.9763199999999994</v>
      </c>
      <c r="AU506" s="7" t="str">
        <f>VLOOKUP($AO506,Mapping!$E$11:$I$204,3,0)</f>
        <v>Replacement</v>
      </c>
      <c r="AV506" s="7" t="str">
        <f>IFERROR(VLOOKUP($AQ506,Mapping!$E$208:$K$236,5,0),"Contracts")</f>
        <v>Contracts</v>
      </c>
      <c r="AW506" s="7" t="str">
        <f>IFERROR(VLOOKUP($AQ506,Mapping!$E$208:$K$236,7,0),"ENDirect")</f>
        <v>ENDirect</v>
      </c>
      <c r="AX506" s="7" t="str">
        <f>IFERROR(HLOOKUP(AV506,'Calc|Weightings'!$U$5:$W$5,1,0),"Excl")</f>
        <v>Contracts</v>
      </c>
      <c r="AY506" s="7" t="str">
        <f>VLOOKUP(AO506,Mapping!$E$11:$I$204,5,0)</f>
        <v>SCS</v>
      </c>
    </row>
    <row r="507" spans="1:51" x14ac:dyDescent="0.3">
      <c r="A507" s="7"/>
      <c r="B507" s="7"/>
      <c r="C507" s="7"/>
      <c r="D507" s="7"/>
      <c r="E507" s="32" t="s">
        <v>185</v>
      </c>
      <c r="F507" s="32"/>
      <c r="G507" s="32">
        <v>71000</v>
      </c>
      <c r="H507" s="32" t="s">
        <v>457</v>
      </c>
      <c r="I507" s="33">
        <v>15.959</v>
      </c>
      <c r="J507" s="170"/>
      <c r="K507" s="7" t="str">
        <f>VLOOKUP($E507,Mapping!$E$11:$I$204,3,0)</f>
        <v>Public Lighting</v>
      </c>
      <c r="L507" s="7" t="str">
        <f>IFERROR(VLOOKUP($G507,Mapping!$E$208:$K$236,5,0),"Contracts")</f>
        <v>Labour</v>
      </c>
      <c r="M507" s="7" t="str">
        <f>IFERROR(VLOOKUP($G507,Mapping!$E$208:$K$236,7,0),"ENDirect")</f>
        <v>ENDirect</v>
      </c>
      <c r="N507" s="7" t="str">
        <f>IFERROR(HLOOKUP(L507,'Calc|Weightings'!$U$5:$W$5,1,0),"Excl")</f>
        <v>Labour</v>
      </c>
      <c r="O507" s="7" t="str">
        <f>VLOOKUP(E507,Mapping!$E$11:$I$204,5,0)</f>
        <v>Public Lighting</v>
      </c>
      <c r="Q507" s="32" t="s">
        <v>169</v>
      </c>
      <c r="R507" s="32"/>
      <c r="S507" s="32">
        <v>71005</v>
      </c>
      <c r="T507" s="32" t="s">
        <v>461</v>
      </c>
      <c r="U507" s="33">
        <v>25.972000000000001</v>
      </c>
      <c r="V507" s="7"/>
      <c r="W507" s="7" t="str">
        <f>VLOOKUP($Q507,Mapping!$E$11:$I$204,3,0)</f>
        <v>Replacement</v>
      </c>
      <c r="X507" s="7" t="str">
        <f>IFERROR(VLOOKUP($S507,Mapping!$E$208:$K$236,5,0),"Contracts")</f>
        <v>Materials</v>
      </c>
      <c r="Y507" s="7" t="str">
        <f>IFERROR(VLOOKUP($S507,Mapping!$E$208:$K$236,7,0),"ENDirect")</f>
        <v>ENDirect</v>
      </c>
      <c r="Z507" s="7" t="str">
        <f>IFERROR(HLOOKUP(X507,'Calc|Weightings'!$U$5:$W$5,1,0),"Excl")</f>
        <v>Materials</v>
      </c>
      <c r="AA507" s="7" t="str">
        <f>VLOOKUP(Q507,Mapping!$E$11:$I$204,5,0)</f>
        <v>SCS</v>
      </c>
      <c r="AC507" s="35" t="s">
        <v>166</v>
      </c>
      <c r="AD507" s="35"/>
      <c r="AE507" s="35">
        <v>89999</v>
      </c>
      <c r="AF507" s="35" t="s">
        <v>471</v>
      </c>
      <c r="AG507" s="36">
        <v>0</v>
      </c>
      <c r="AI507" s="7" t="str">
        <f>VLOOKUP($AC507,Mapping!$E$11:$I$204,3,0)</f>
        <v>Replacement</v>
      </c>
      <c r="AJ507" s="7" t="str">
        <f>IFERROR(VLOOKUP($AE507,Mapping!$E$208:$K$236,5,0),"Contracts")</f>
        <v>Contracts</v>
      </c>
      <c r="AK507" s="7" t="str">
        <f>IFERROR(VLOOKUP($AE507,Mapping!$E$208:$K$236,7,0),"ENDirect")</f>
        <v>ENDirect</v>
      </c>
      <c r="AL507" s="7" t="str">
        <f>IFERROR(HLOOKUP(AJ507,'Calc|Weightings'!$U$5:$W$5,1,0),"Excl")</f>
        <v>Contracts</v>
      </c>
      <c r="AM507" s="7" t="str">
        <f>VLOOKUP(AC507,Mapping!$E$11:$I$204,5,0)</f>
        <v>SCS</v>
      </c>
      <c r="AO507" s="35" t="s">
        <v>169</v>
      </c>
      <c r="AP507" s="35"/>
      <c r="AQ507" s="35">
        <v>71075</v>
      </c>
      <c r="AR507" s="35" t="s">
        <v>587</v>
      </c>
      <c r="AS507" s="121">
        <v>10.797489999999998</v>
      </c>
      <c r="AU507" s="7" t="str">
        <f>VLOOKUP($AO507,Mapping!$E$11:$I$204,3,0)</f>
        <v>Replacement</v>
      </c>
      <c r="AV507" s="7" t="str">
        <f>IFERROR(VLOOKUP($AQ507,Mapping!$E$208:$K$236,5,0),"Contracts")</f>
        <v>Contracts</v>
      </c>
      <c r="AW507" s="7" t="str">
        <f>IFERROR(VLOOKUP($AQ507,Mapping!$E$208:$K$236,7,0),"ENDirect")</f>
        <v>ENDirect</v>
      </c>
      <c r="AX507" s="7" t="str">
        <f>IFERROR(HLOOKUP(AV507,'Calc|Weightings'!$U$5:$W$5,1,0),"Excl")</f>
        <v>Contracts</v>
      </c>
      <c r="AY507" s="7" t="str">
        <f>VLOOKUP(AO507,Mapping!$E$11:$I$204,5,0)</f>
        <v>SCS</v>
      </c>
    </row>
    <row r="508" spans="1:51" x14ac:dyDescent="0.3">
      <c r="A508" s="7"/>
      <c r="B508" s="7"/>
      <c r="C508" s="7"/>
      <c r="D508" s="7"/>
      <c r="E508" s="32" t="s">
        <v>185</v>
      </c>
      <c r="F508" s="32"/>
      <c r="G508" s="32">
        <v>71005</v>
      </c>
      <c r="H508" s="32" t="s">
        <v>461</v>
      </c>
      <c r="I508" s="33">
        <v>92.509</v>
      </c>
      <c r="J508" s="170"/>
      <c r="K508" s="7" t="str">
        <f>VLOOKUP($E508,Mapping!$E$11:$I$204,3,0)</f>
        <v>Public Lighting</v>
      </c>
      <c r="L508" s="7" t="str">
        <f>IFERROR(VLOOKUP($G508,Mapping!$E$208:$K$236,5,0),"Contracts")</f>
        <v>Materials</v>
      </c>
      <c r="M508" s="7" t="str">
        <f>IFERROR(VLOOKUP($G508,Mapping!$E$208:$K$236,7,0),"ENDirect")</f>
        <v>ENDirect</v>
      </c>
      <c r="N508" s="7" t="str">
        <f>IFERROR(HLOOKUP(L508,'Calc|Weightings'!$U$5:$W$5,1,0),"Excl")</f>
        <v>Materials</v>
      </c>
      <c r="O508" s="7" t="str">
        <f>VLOOKUP(E508,Mapping!$E$11:$I$204,5,0)</f>
        <v>Public Lighting</v>
      </c>
      <c r="Q508" s="32" t="s">
        <v>169</v>
      </c>
      <c r="R508" s="32"/>
      <c r="S508" s="32">
        <v>71010</v>
      </c>
      <c r="T508" s="32" t="s">
        <v>462</v>
      </c>
      <c r="U508" s="33">
        <v>30.722999999999999</v>
      </c>
      <c r="V508" s="7"/>
      <c r="W508" s="7" t="str">
        <f>VLOOKUP($Q508,Mapping!$E$11:$I$204,3,0)</f>
        <v>Replacement</v>
      </c>
      <c r="X508" s="7" t="str">
        <f>IFERROR(VLOOKUP($S508,Mapping!$E$208:$K$236,5,0),"Contracts")</f>
        <v>Labour</v>
      </c>
      <c r="Y508" s="7" t="str">
        <f>IFERROR(VLOOKUP($S508,Mapping!$E$208:$K$236,7,0),"ENDirect")</f>
        <v>ENDirect</v>
      </c>
      <c r="Z508" s="7" t="str">
        <f>IFERROR(HLOOKUP(X508,'Calc|Weightings'!$U$5:$W$5,1,0),"Excl")</f>
        <v>Labour</v>
      </c>
      <c r="AA508" s="7" t="str">
        <f>VLOOKUP(Q508,Mapping!$E$11:$I$204,5,0)</f>
        <v>SCS</v>
      </c>
      <c r="AC508" s="35" t="s">
        <v>167</v>
      </c>
      <c r="AD508" s="35"/>
      <c r="AE508" s="35">
        <v>71000</v>
      </c>
      <c r="AF508" s="35" t="s">
        <v>457</v>
      </c>
      <c r="AG508" s="36">
        <v>163.142</v>
      </c>
      <c r="AI508" s="7" t="str">
        <f>VLOOKUP($AC508,Mapping!$E$11:$I$204,3,0)</f>
        <v>Replacement</v>
      </c>
      <c r="AJ508" s="7" t="str">
        <f>IFERROR(VLOOKUP($AE508,Mapping!$E$208:$K$236,5,0),"Contracts")</f>
        <v>Labour</v>
      </c>
      <c r="AK508" s="7" t="str">
        <f>IFERROR(VLOOKUP($AE508,Mapping!$E$208:$K$236,7,0),"ENDirect")</f>
        <v>ENDirect</v>
      </c>
      <c r="AL508" s="7" t="str">
        <f>IFERROR(HLOOKUP(AJ508,'Calc|Weightings'!$U$5:$W$5,1,0),"Excl")</f>
        <v>Labour</v>
      </c>
      <c r="AM508" s="7" t="str">
        <f>VLOOKUP(AC508,Mapping!$E$11:$I$204,5,0)</f>
        <v>SCS</v>
      </c>
      <c r="AO508" s="35" t="s">
        <v>169</v>
      </c>
      <c r="AP508" s="35"/>
      <c r="AQ508" s="35">
        <v>80000</v>
      </c>
      <c r="AR508" s="35" t="s">
        <v>589</v>
      </c>
      <c r="AS508" s="121">
        <v>19.812769999999997</v>
      </c>
      <c r="AU508" s="7" t="str">
        <f>VLOOKUP($AO508,Mapping!$E$11:$I$204,3,0)</f>
        <v>Replacement</v>
      </c>
      <c r="AV508" s="7" t="str">
        <f>IFERROR(VLOOKUP($AQ508,Mapping!$E$208:$K$236,5,0),"Contracts")</f>
        <v>Overhead</v>
      </c>
      <c r="AW508" s="7" t="str">
        <f>IFERROR(VLOOKUP($AQ508,Mapping!$E$208:$K$236,7,0),"ENDirect")</f>
        <v>OH</v>
      </c>
      <c r="AX508" s="7" t="str">
        <f>IFERROR(HLOOKUP(AV508,'Calc|Weightings'!$U$5:$W$5,1,0),"Excl")</f>
        <v>Excl</v>
      </c>
      <c r="AY508" s="7" t="str">
        <f>VLOOKUP(AO508,Mapping!$E$11:$I$204,5,0)</f>
        <v>SCS</v>
      </c>
    </row>
    <row r="509" spans="1:51" x14ac:dyDescent="0.3">
      <c r="A509" s="7"/>
      <c r="B509" s="7"/>
      <c r="C509" s="7"/>
      <c r="D509" s="7"/>
      <c r="E509" s="32" t="s">
        <v>185</v>
      </c>
      <c r="F509" s="32"/>
      <c r="G509" s="32">
        <v>71010</v>
      </c>
      <c r="H509" s="32" t="s">
        <v>462</v>
      </c>
      <c r="I509" s="33">
        <v>110.622</v>
      </c>
      <c r="J509" s="170"/>
      <c r="K509" s="7" t="str">
        <f>VLOOKUP($E509,Mapping!$E$11:$I$204,3,0)</f>
        <v>Public Lighting</v>
      </c>
      <c r="L509" s="7" t="str">
        <f>IFERROR(VLOOKUP($G509,Mapping!$E$208:$K$236,5,0),"Contracts")</f>
        <v>Labour</v>
      </c>
      <c r="M509" s="7" t="str">
        <f>IFERROR(VLOOKUP($G509,Mapping!$E$208:$K$236,7,0),"ENDirect")</f>
        <v>ENDirect</v>
      </c>
      <c r="N509" s="7" t="str">
        <f>IFERROR(HLOOKUP(L509,'Calc|Weightings'!$U$5:$W$5,1,0),"Excl")</f>
        <v>Labour</v>
      </c>
      <c r="O509" s="7" t="str">
        <f>VLOOKUP(E509,Mapping!$E$11:$I$204,5,0)</f>
        <v>Public Lighting</v>
      </c>
      <c r="Q509" s="32" t="s">
        <v>169</v>
      </c>
      <c r="R509" s="32"/>
      <c r="S509" s="32">
        <v>71015</v>
      </c>
      <c r="T509" s="32" t="s">
        <v>463</v>
      </c>
      <c r="U509" s="33">
        <v>12.592000000000001</v>
      </c>
      <c r="V509" s="7"/>
      <c r="W509" s="7" t="str">
        <f>VLOOKUP($Q509,Mapping!$E$11:$I$204,3,0)</f>
        <v>Replacement</v>
      </c>
      <c r="X509" s="7" t="str">
        <f>IFERROR(VLOOKUP($S509,Mapping!$E$208:$K$236,5,0),"Contracts")</f>
        <v>Materials</v>
      </c>
      <c r="Y509" s="7" t="str">
        <f>IFERROR(VLOOKUP($S509,Mapping!$E$208:$K$236,7,0),"ENDirect")</f>
        <v>ENDirect</v>
      </c>
      <c r="Z509" s="7" t="str">
        <f>IFERROR(HLOOKUP(X509,'Calc|Weightings'!$U$5:$W$5,1,0),"Excl")</f>
        <v>Materials</v>
      </c>
      <c r="AA509" s="7" t="str">
        <f>VLOOKUP(Q509,Mapping!$E$11:$I$204,5,0)</f>
        <v>SCS</v>
      </c>
      <c r="AC509" s="35" t="s">
        <v>167</v>
      </c>
      <c r="AD509" s="35"/>
      <c r="AE509" s="35">
        <v>71005</v>
      </c>
      <c r="AF509" s="35" t="s">
        <v>461</v>
      </c>
      <c r="AG509" s="36">
        <v>75.893000000000001</v>
      </c>
      <c r="AI509" s="7" t="str">
        <f>VLOOKUP($AC509,Mapping!$E$11:$I$204,3,0)</f>
        <v>Replacement</v>
      </c>
      <c r="AJ509" s="7" t="str">
        <f>IFERROR(VLOOKUP($AE509,Mapping!$E$208:$K$236,5,0),"Contracts")</f>
        <v>Materials</v>
      </c>
      <c r="AK509" s="7" t="str">
        <f>IFERROR(VLOOKUP($AE509,Mapping!$E$208:$K$236,7,0),"ENDirect")</f>
        <v>ENDirect</v>
      </c>
      <c r="AL509" s="7" t="str">
        <f>IFERROR(HLOOKUP(AJ509,'Calc|Weightings'!$U$5:$W$5,1,0),"Excl")</f>
        <v>Materials</v>
      </c>
      <c r="AM509" s="7" t="str">
        <f>VLOOKUP(AC509,Mapping!$E$11:$I$204,5,0)</f>
        <v>SCS</v>
      </c>
      <c r="AO509" s="35" t="s">
        <v>169</v>
      </c>
      <c r="AP509" s="35"/>
      <c r="AQ509" s="35">
        <v>83010</v>
      </c>
      <c r="AR509" s="35" t="s">
        <v>591</v>
      </c>
      <c r="AS509" s="121">
        <v>79.399059999999977</v>
      </c>
      <c r="AU509" s="7" t="str">
        <f>VLOOKUP($AO509,Mapping!$E$11:$I$204,3,0)</f>
        <v>Replacement</v>
      </c>
      <c r="AV509" s="7" t="str">
        <f>IFERROR(VLOOKUP($AQ509,Mapping!$E$208:$K$236,5,0),"Contracts")</f>
        <v>Contracts</v>
      </c>
      <c r="AW509" s="7" t="str">
        <f>IFERROR(VLOOKUP($AQ509,Mapping!$E$208:$K$236,7,0),"ENDirect")</f>
        <v>ENDirect</v>
      </c>
      <c r="AX509" s="7" t="str">
        <f>IFERROR(HLOOKUP(AV509,'Calc|Weightings'!$U$5:$W$5,1,0),"Excl")</f>
        <v>Contracts</v>
      </c>
      <c r="AY509" s="7" t="str">
        <f>VLOOKUP(AO509,Mapping!$E$11:$I$204,5,0)</f>
        <v>SCS</v>
      </c>
    </row>
    <row r="510" spans="1:51" x14ac:dyDescent="0.3">
      <c r="A510" s="7"/>
      <c r="B510" s="7"/>
      <c r="C510" s="7"/>
      <c r="D510" s="7"/>
      <c r="E510" s="32" t="s">
        <v>185</v>
      </c>
      <c r="F510" s="32"/>
      <c r="G510" s="32">
        <v>71015</v>
      </c>
      <c r="H510" s="32" t="s">
        <v>463</v>
      </c>
      <c r="I510" s="33">
        <v>4.9329999999999998</v>
      </c>
      <c r="J510" s="170"/>
      <c r="K510" s="7" t="str">
        <f>VLOOKUP($E510,Mapping!$E$11:$I$204,3,0)</f>
        <v>Public Lighting</v>
      </c>
      <c r="L510" s="7" t="str">
        <f>IFERROR(VLOOKUP($G510,Mapping!$E$208:$K$236,5,0),"Contracts")</f>
        <v>Materials</v>
      </c>
      <c r="M510" s="7" t="str">
        <f>IFERROR(VLOOKUP($G510,Mapping!$E$208:$K$236,7,0),"ENDirect")</f>
        <v>ENDirect</v>
      </c>
      <c r="N510" s="7" t="str">
        <f>IFERROR(HLOOKUP(L510,'Calc|Weightings'!$U$5:$W$5,1,0),"Excl")</f>
        <v>Materials</v>
      </c>
      <c r="O510" s="7" t="str">
        <f>VLOOKUP(E510,Mapping!$E$11:$I$204,5,0)</f>
        <v>Public Lighting</v>
      </c>
      <c r="Q510" s="32" t="s">
        <v>169</v>
      </c>
      <c r="R510" s="32"/>
      <c r="S510" s="32">
        <v>71030</v>
      </c>
      <c r="T510" s="32" t="s">
        <v>464</v>
      </c>
      <c r="U510" s="33">
        <v>9.8290000000000006</v>
      </c>
      <c r="V510" s="7"/>
      <c r="W510" s="7" t="str">
        <f>VLOOKUP($Q510,Mapping!$E$11:$I$204,3,0)</f>
        <v>Replacement</v>
      </c>
      <c r="X510" s="7" t="str">
        <f>IFERROR(VLOOKUP($S510,Mapping!$E$208:$K$236,5,0),"Contracts")</f>
        <v>Contracts</v>
      </c>
      <c r="Y510" s="7" t="str">
        <f>IFERROR(VLOOKUP($S510,Mapping!$E$208:$K$236,7,0),"ENDirect")</f>
        <v>ENDirect</v>
      </c>
      <c r="Z510" s="7" t="str">
        <f>IFERROR(HLOOKUP(X510,'Calc|Weightings'!$U$5:$W$5,1,0),"Excl")</f>
        <v>Contracts</v>
      </c>
      <c r="AA510" s="7" t="str">
        <f>VLOOKUP(Q510,Mapping!$E$11:$I$204,5,0)</f>
        <v>SCS</v>
      </c>
      <c r="AC510" s="35" t="s">
        <v>167</v>
      </c>
      <c r="AD510" s="35"/>
      <c r="AE510" s="35">
        <v>71010</v>
      </c>
      <c r="AF510" s="35" t="s">
        <v>462</v>
      </c>
      <c r="AG510" s="36">
        <v>10.254</v>
      </c>
      <c r="AI510" s="7" t="str">
        <f>VLOOKUP($AC510,Mapping!$E$11:$I$204,3,0)</f>
        <v>Replacement</v>
      </c>
      <c r="AJ510" s="7" t="str">
        <f>IFERROR(VLOOKUP($AE510,Mapping!$E$208:$K$236,5,0),"Contracts")</f>
        <v>Labour</v>
      </c>
      <c r="AK510" s="7" t="str">
        <f>IFERROR(VLOOKUP($AE510,Mapping!$E$208:$K$236,7,0),"ENDirect")</f>
        <v>ENDirect</v>
      </c>
      <c r="AL510" s="7" t="str">
        <f>IFERROR(HLOOKUP(AJ510,'Calc|Weightings'!$U$5:$W$5,1,0),"Excl")</f>
        <v>Labour</v>
      </c>
      <c r="AM510" s="7" t="str">
        <f>VLOOKUP(AC510,Mapping!$E$11:$I$204,5,0)</f>
        <v>SCS</v>
      </c>
      <c r="AO510" s="35" t="s">
        <v>171</v>
      </c>
      <c r="AP510" s="35"/>
      <c r="AQ510" s="35">
        <v>71000</v>
      </c>
      <c r="AR510" s="35" t="s">
        <v>457</v>
      </c>
      <c r="AS510" s="121">
        <v>56.441720000000011</v>
      </c>
      <c r="AU510" s="7" t="str">
        <f>VLOOKUP($AO510,Mapping!$E$11:$I$204,3,0)</f>
        <v>Replacement</v>
      </c>
      <c r="AV510" s="7" t="str">
        <f>IFERROR(VLOOKUP($AQ510,Mapping!$E$208:$K$236,5,0),"Contracts")</f>
        <v>Labour</v>
      </c>
      <c r="AW510" s="7" t="str">
        <f>IFERROR(VLOOKUP($AQ510,Mapping!$E$208:$K$236,7,0),"ENDirect")</f>
        <v>ENDirect</v>
      </c>
      <c r="AX510" s="7" t="str">
        <f>IFERROR(HLOOKUP(AV510,'Calc|Weightings'!$U$5:$W$5,1,0),"Excl")</f>
        <v>Labour</v>
      </c>
      <c r="AY510" s="7" t="str">
        <f>VLOOKUP(AO510,Mapping!$E$11:$I$204,5,0)</f>
        <v>SCS</v>
      </c>
    </row>
    <row r="511" spans="1:51" x14ac:dyDescent="0.3">
      <c r="A511" s="7"/>
      <c r="B511" s="7"/>
      <c r="C511" s="7"/>
      <c r="D511" s="7"/>
      <c r="E511" s="32" t="s">
        <v>185</v>
      </c>
      <c r="F511" s="32"/>
      <c r="G511" s="32">
        <v>71020</v>
      </c>
      <c r="H511" s="32" t="s">
        <v>459</v>
      </c>
      <c r="I511" s="33">
        <v>0</v>
      </c>
      <c r="J511" s="170"/>
      <c r="K511" s="7" t="str">
        <f>VLOOKUP($E511,Mapping!$E$11:$I$204,3,0)</f>
        <v>Public Lighting</v>
      </c>
      <c r="L511" s="7" t="str">
        <f>IFERROR(VLOOKUP($G511,Mapping!$E$208:$K$236,5,0),"Contracts")</f>
        <v>Contracts</v>
      </c>
      <c r="M511" s="7" t="str">
        <f>IFERROR(VLOOKUP($G511,Mapping!$E$208:$K$236,7,0),"ENDirect")</f>
        <v>ENDirect</v>
      </c>
      <c r="N511" s="7" t="str">
        <f>IFERROR(HLOOKUP(L511,'Calc|Weightings'!$U$5:$W$5,1,0),"Excl")</f>
        <v>Contracts</v>
      </c>
      <c r="O511" s="7" t="str">
        <f>VLOOKUP(E511,Mapping!$E$11:$I$204,5,0)</f>
        <v>Public Lighting</v>
      </c>
      <c r="Q511" s="32" t="s">
        <v>169</v>
      </c>
      <c r="R511" s="32"/>
      <c r="S511" s="32">
        <v>71055</v>
      </c>
      <c r="T511" s="32" t="s">
        <v>465</v>
      </c>
      <c r="U511" s="33">
        <v>21.96</v>
      </c>
      <c r="V511" s="7"/>
      <c r="W511" s="7" t="str">
        <f>VLOOKUP($Q511,Mapping!$E$11:$I$204,3,0)</f>
        <v>Replacement</v>
      </c>
      <c r="X511" s="7" t="str">
        <f>IFERROR(VLOOKUP($S511,Mapping!$E$208:$K$236,5,0),"Contracts")</f>
        <v>Contracts</v>
      </c>
      <c r="Y511" s="7" t="str">
        <f>IFERROR(VLOOKUP($S511,Mapping!$E$208:$K$236,7,0),"ENDirect")</f>
        <v>ENDirect</v>
      </c>
      <c r="Z511" s="7" t="str">
        <f>IFERROR(HLOOKUP(X511,'Calc|Weightings'!$U$5:$W$5,1,0),"Excl")</f>
        <v>Contracts</v>
      </c>
      <c r="AA511" s="7" t="str">
        <f>VLOOKUP(Q511,Mapping!$E$11:$I$204,5,0)</f>
        <v>SCS</v>
      </c>
      <c r="AC511" s="35" t="s">
        <v>167</v>
      </c>
      <c r="AD511" s="35"/>
      <c r="AE511" s="35">
        <v>71015</v>
      </c>
      <c r="AF511" s="35" t="s">
        <v>463</v>
      </c>
      <c r="AG511" s="36">
        <v>25.062000000000001</v>
      </c>
      <c r="AI511" s="7" t="str">
        <f>VLOOKUP($AC511,Mapping!$E$11:$I$204,3,0)</f>
        <v>Replacement</v>
      </c>
      <c r="AJ511" s="7" t="str">
        <f>IFERROR(VLOOKUP($AE511,Mapping!$E$208:$K$236,5,0),"Contracts")</f>
        <v>Materials</v>
      </c>
      <c r="AK511" s="7" t="str">
        <f>IFERROR(VLOOKUP($AE511,Mapping!$E$208:$K$236,7,0),"ENDirect")</f>
        <v>ENDirect</v>
      </c>
      <c r="AL511" s="7" t="str">
        <f>IFERROR(HLOOKUP(AJ511,'Calc|Weightings'!$U$5:$W$5,1,0),"Excl")</f>
        <v>Materials</v>
      </c>
      <c r="AM511" s="7" t="str">
        <f>VLOOKUP(AC511,Mapping!$E$11:$I$204,5,0)</f>
        <v>SCS</v>
      </c>
      <c r="AO511" s="35" t="s">
        <v>171</v>
      </c>
      <c r="AP511" s="35"/>
      <c r="AQ511" s="35">
        <v>71005</v>
      </c>
      <c r="AR511" s="35" t="s">
        <v>461</v>
      </c>
      <c r="AS511" s="121">
        <v>1.5713600000000001</v>
      </c>
      <c r="AU511" s="7" t="str">
        <f>VLOOKUP($AO511,Mapping!$E$11:$I$204,3,0)</f>
        <v>Replacement</v>
      </c>
      <c r="AV511" s="7" t="str">
        <f>IFERROR(VLOOKUP($AQ511,Mapping!$E$208:$K$236,5,0),"Contracts")</f>
        <v>Materials</v>
      </c>
      <c r="AW511" s="7" t="str">
        <f>IFERROR(VLOOKUP($AQ511,Mapping!$E$208:$K$236,7,0),"ENDirect")</f>
        <v>ENDirect</v>
      </c>
      <c r="AX511" s="7" t="str">
        <f>IFERROR(HLOOKUP(AV511,'Calc|Weightings'!$U$5:$W$5,1,0),"Excl")</f>
        <v>Materials</v>
      </c>
      <c r="AY511" s="7" t="str">
        <f>VLOOKUP(AO511,Mapping!$E$11:$I$204,5,0)</f>
        <v>SCS</v>
      </c>
    </row>
    <row r="512" spans="1:51" x14ac:dyDescent="0.3">
      <c r="A512" s="7"/>
      <c r="B512" s="7"/>
      <c r="C512" s="7"/>
      <c r="D512" s="7"/>
      <c r="E512" s="32" t="s">
        <v>185</v>
      </c>
      <c r="F512" s="32"/>
      <c r="G512" s="32">
        <v>71030</v>
      </c>
      <c r="H512" s="32" t="s">
        <v>464</v>
      </c>
      <c r="I512" s="33">
        <v>19.547999999999998</v>
      </c>
      <c r="J512" s="170"/>
      <c r="K512" s="7" t="str">
        <f>VLOOKUP($E512,Mapping!$E$11:$I$204,3,0)</f>
        <v>Public Lighting</v>
      </c>
      <c r="L512" s="7" t="str">
        <f>IFERROR(VLOOKUP($G512,Mapping!$E$208:$K$236,5,0),"Contracts")</f>
        <v>Contracts</v>
      </c>
      <c r="M512" s="7" t="str">
        <f>IFERROR(VLOOKUP($G512,Mapping!$E$208:$K$236,7,0),"ENDirect")</f>
        <v>ENDirect</v>
      </c>
      <c r="N512" s="7" t="str">
        <f>IFERROR(HLOOKUP(L512,'Calc|Weightings'!$U$5:$W$5,1,0),"Excl")</f>
        <v>Contracts</v>
      </c>
      <c r="O512" s="7" t="str">
        <f>VLOOKUP(E512,Mapping!$E$11:$I$204,5,0)</f>
        <v>Public Lighting</v>
      </c>
      <c r="Q512" s="32" t="s">
        <v>169</v>
      </c>
      <c r="R512" s="32"/>
      <c r="S512" s="32">
        <v>80000</v>
      </c>
      <c r="T512" s="32" t="s">
        <v>453</v>
      </c>
      <c r="U512" s="33">
        <v>21.030999999999999</v>
      </c>
      <c r="V512" s="7"/>
      <c r="W512" s="7" t="str">
        <f>VLOOKUP($Q512,Mapping!$E$11:$I$204,3,0)</f>
        <v>Replacement</v>
      </c>
      <c r="X512" s="7" t="str">
        <f>IFERROR(VLOOKUP($S512,Mapping!$E$208:$K$236,5,0),"Contracts")</f>
        <v>Overhead</v>
      </c>
      <c r="Y512" s="7" t="str">
        <f>IFERROR(VLOOKUP($S512,Mapping!$E$208:$K$236,7,0),"ENDirect")</f>
        <v>OH</v>
      </c>
      <c r="Z512" s="7" t="str">
        <f>IFERROR(HLOOKUP(X512,'Calc|Weightings'!$U$5:$W$5,1,0),"Excl")</f>
        <v>Excl</v>
      </c>
      <c r="AA512" s="7" t="str">
        <f>VLOOKUP(Q512,Mapping!$E$11:$I$204,5,0)</f>
        <v>SCS</v>
      </c>
      <c r="AC512" s="35" t="s">
        <v>167</v>
      </c>
      <c r="AD512" s="35"/>
      <c r="AE512" s="35">
        <v>71030</v>
      </c>
      <c r="AF512" s="35" t="s">
        <v>464</v>
      </c>
      <c r="AG512" s="36">
        <v>22.65</v>
      </c>
      <c r="AI512" s="7" t="str">
        <f>VLOOKUP($AC512,Mapping!$E$11:$I$204,3,0)</f>
        <v>Replacement</v>
      </c>
      <c r="AJ512" s="7" t="str">
        <f>IFERROR(VLOOKUP($AE512,Mapping!$E$208:$K$236,5,0),"Contracts")</f>
        <v>Contracts</v>
      </c>
      <c r="AK512" s="7" t="str">
        <f>IFERROR(VLOOKUP($AE512,Mapping!$E$208:$K$236,7,0),"ENDirect")</f>
        <v>ENDirect</v>
      </c>
      <c r="AL512" s="7" t="str">
        <f>IFERROR(HLOOKUP(AJ512,'Calc|Weightings'!$U$5:$W$5,1,0),"Excl")</f>
        <v>Contracts</v>
      </c>
      <c r="AM512" s="7" t="str">
        <f>VLOOKUP(AC512,Mapping!$E$11:$I$204,5,0)</f>
        <v>SCS</v>
      </c>
      <c r="AO512" s="35" t="s">
        <v>171</v>
      </c>
      <c r="AP512" s="35"/>
      <c r="AQ512" s="35">
        <v>71006</v>
      </c>
      <c r="AR512" s="35" t="s">
        <v>468</v>
      </c>
      <c r="AS512" s="121">
        <v>807.20600000000002</v>
      </c>
      <c r="AU512" s="7" t="str">
        <f>VLOOKUP($AO512,Mapping!$E$11:$I$204,3,0)</f>
        <v>Replacement</v>
      </c>
      <c r="AV512" s="7" t="str">
        <f>IFERROR(VLOOKUP($AQ512,Mapping!$E$208:$K$236,5,0),"Contracts")</f>
        <v>Materials</v>
      </c>
      <c r="AW512" s="7" t="str">
        <f>IFERROR(VLOOKUP($AQ512,Mapping!$E$208:$K$236,7,0),"ENDirect")</f>
        <v>ENDirect</v>
      </c>
      <c r="AX512" s="7" t="str">
        <f>IFERROR(HLOOKUP(AV512,'Calc|Weightings'!$U$5:$W$5,1,0),"Excl")</f>
        <v>Materials</v>
      </c>
      <c r="AY512" s="7" t="str">
        <f>VLOOKUP(AO512,Mapping!$E$11:$I$204,5,0)</f>
        <v>SCS</v>
      </c>
    </row>
    <row r="513" spans="1:51" x14ac:dyDescent="0.3">
      <c r="A513" s="7"/>
      <c r="B513" s="7"/>
      <c r="C513" s="7"/>
      <c r="D513" s="7"/>
      <c r="E513" s="32" t="s">
        <v>185</v>
      </c>
      <c r="F513" s="32"/>
      <c r="G513" s="32">
        <v>71055</v>
      </c>
      <c r="H513" s="32" t="s">
        <v>465</v>
      </c>
      <c r="I513" s="33">
        <v>51.445</v>
      </c>
      <c r="J513" s="170"/>
      <c r="K513" s="7" t="str">
        <f>VLOOKUP($E513,Mapping!$E$11:$I$204,3,0)</f>
        <v>Public Lighting</v>
      </c>
      <c r="L513" s="7" t="str">
        <f>IFERROR(VLOOKUP($G513,Mapping!$E$208:$K$236,5,0),"Contracts")</f>
        <v>Contracts</v>
      </c>
      <c r="M513" s="7" t="str">
        <f>IFERROR(VLOOKUP($G513,Mapping!$E$208:$K$236,7,0),"ENDirect")</f>
        <v>ENDirect</v>
      </c>
      <c r="N513" s="7" t="str">
        <f>IFERROR(HLOOKUP(L513,'Calc|Weightings'!$U$5:$W$5,1,0),"Excl")</f>
        <v>Contracts</v>
      </c>
      <c r="O513" s="7" t="str">
        <f>VLOOKUP(E513,Mapping!$E$11:$I$204,5,0)</f>
        <v>Public Lighting</v>
      </c>
      <c r="Q513" s="32" t="s">
        <v>169</v>
      </c>
      <c r="R513" s="32"/>
      <c r="S513" s="32">
        <v>89999</v>
      </c>
      <c r="T513" s="32" t="s">
        <v>471</v>
      </c>
      <c r="U513" s="33">
        <v>0</v>
      </c>
      <c r="V513" s="7"/>
      <c r="W513" s="7" t="str">
        <f>VLOOKUP($Q513,Mapping!$E$11:$I$204,3,0)</f>
        <v>Replacement</v>
      </c>
      <c r="X513" s="7" t="str">
        <f>IFERROR(VLOOKUP($S513,Mapping!$E$208:$K$236,5,0),"Contracts")</f>
        <v>Contracts</v>
      </c>
      <c r="Y513" s="7" t="str">
        <f>IFERROR(VLOOKUP($S513,Mapping!$E$208:$K$236,7,0),"ENDirect")</f>
        <v>ENDirect</v>
      </c>
      <c r="Z513" s="7" t="str">
        <f>IFERROR(HLOOKUP(X513,'Calc|Weightings'!$U$5:$W$5,1,0),"Excl")</f>
        <v>Contracts</v>
      </c>
      <c r="AA513" s="7" t="str">
        <f>VLOOKUP(Q513,Mapping!$E$11:$I$204,5,0)</f>
        <v>SCS</v>
      </c>
      <c r="AC513" s="35" t="s">
        <v>167</v>
      </c>
      <c r="AD513" s="35"/>
      <c r="AE513" s="35">
        <v>71055</v>
      </c>
      <c r="AF513" s="35" t="s">
        <v>465</v>
      </c>
      <c r="AG513" s="36">
        <v>54.634</v>
      </c>
      <c r="AI513" s="7" t="str">
        <f>VLOOKUP($AC513,Mapping!$E$11:$I$204,3,0)</f>
        <v>Replacement</v>
      </c>
      <c r="AJ513" s="7" t="str">
        <f>IFERROR(VLOOKUP($AE513,Mapping!$E$208:$K$236,5,0),"Contracts")</f>
        <v>Contracts</v>
      </c>
      <c r="AK513" s="7" t="str">
        <f>IFERROR(VLOOKUP($AE513,Mapping!$E$208:$K$236,7,0),"ENDirect")</f>
        <v>ENDirect</v>
      </c>
      <c r="AL513" s="7" t="str">
        <f>IFERROR(HLOOKUP(AJ513,'Calc|Weightings'!$U$5:$W$5,1,0),"Excl")</f>
        <v>Contracts</v>
      </c>
      <c r="AM513" s="7" t="str">
        <f>VLOOKUP(AC513,Mapping!$E$11:$I$204,5,0)</f>
        <v>SCS</v>
      </c>
      <c r="AO513" s="35" t="s">
        <v>171</v>
      </c>
      <c r="AP513" s="35"/>
      <c r="AQ513" s="35">
        <v>71010</v>
      </c>
      <c r="AR513" s="35" t="s">
        <v>487</v>
      </c>
      <c r="AS513" s="121">
        <v>22.498379999999997</v>
      </c>
      <c r="AU513" s="7" t="str">
        <f>VLOOKUP($AO513,Mapping!$E$11:$I$204,3,0)</f>
        <v>Replacement</v>
      </c>
      <c r="AV513" s="7" t="str">
        <f>IFERROR(VLOOKUP($AQ513,Mapping!$E$208:$K$236,5,0),"Contracts")</f>
        <v>Labour</v>
      </c>
      <c r="AW513" s="7" t="str">
        <f>IFERROR(VLOOKUP($AQ513,Mapping!$E$208:$K$236,7,0),"ENDirect")</f>
        <v>ENDirect</v>
      </c>
      <c r="AX513" s="7" t="str">
        <f>IFERROR(HLOOKUP(AV513,'Calc|Weightings'!$U$5:$W$5,1,0),"Excl")</f>
        <v>Labour</v>
      </c>
      <c r="AY513" s="7" t="str">
        <f>VLOOKUP(AO513,Mapping!$E$11:$I$204,5,0)</f>
        <v>SCS</v>
      </c>
    </row>
    <row r="514" spans="1:51" x14ac:dyDescent="0.3">
      <c r="A514" s="7"/>
      <c r="B514" s="7"/>
      <c r="C514" s="7"/>
      <c r="D514" s="7"/>
      <c r="E514" s="32" t="s">
        <v>185</v>
      </c>
      <c r="F514" s="32"/>
      <c r="G514" s="32">
        <v>80000</v>
      </c>
      <c r="H514" s="32" t="s">
        <v>453</v>
      </c>
      <c r="I514" s="33">
        <v>27.992999999999999</v>
      </c>
      <c r="J514" s="170"/>
      <c r="K514" s="7" t="str">
        <f>VLOOKUP($E514,Mapping!$E$11:$I$204,3,0)</f>
        <v>Public Lighting</v>
      </c>
      <c r="L514" s="7" t="str">
        <f>IFERROR(VLOOKUP($G514,Mapping!$E$208:$K$236,5,0),"Contracts")</f>
        <v>Overhead</v>
      </c>
      <c r="M514" s="7" t="str">
        <f>IFERROR(VLOOKUP($G514,Mapping!$E$208:$K$236,7,0),"ENDirect")</f>
        <v>OH</v>
      </c>
      <c r="N514" s="7" t="str">
        <f>IFERROR(HLOOKUP(L514,'Calc|Weightings'!$U$5:$W$5,1,0),"Excl")</f>
        <v>Excl</v>
      </c>
      <c r="O514" s="7" t="str">
        <f>VLOOKUP(E514,Mapping!$E$11:$I$204,5,0)</f>
        <v>Public Lighting</v>
      </c>
      <c r="Q514" s="32" t="s">
        <v>171</v>
      </c>
      <c r="R514" s="32"/>
      <c r="S514" s="32">
        <v>71000</v>
      </c>
      <c r="T514" s="32" t="s">
        <v>457</v>
      </c>
      <c r="U514" s="33">
        <v>142.703</v>
      </c>
      <c r="V514" s="7"/>
      <c r="W514" s="7" t="str">
        <f>VLOOKUP($Q514,Mapping!$E$11:$I$204,3,0)</f>
        <v>Replacement</v>
      </c>
      <c r="X514" s="7" t="str">
        <f>IFERROR(VLOOKUP($S514,Mapping!$E$208:$K$236,5,0),"Contracts")</f>
        <v>Labour</v>
      </c>
      <c r="Y514" s="7" t="str">
        <f>IFERROR(VLOOKUP($S514,Mapping!$E$208:$K$236,7,0),"ENDirect")</f>
        <v>ENDirect</v>
      </c>
      <c r="Z514" s="7" t="str">
        <f>IFERROR(HLOOKUP(X514,'Calc|Weightings'!$U$5:$W$5,1,0),"Excl")</f>
        <v>Labour</v>
      </c>
      <c r="AA514" s="7" t="str">
        <f>VLOOKUP(Q514,Mapping!$E$11:$I$204,5,0)</f>
        <v>SCS</v>
      </c>
      <c r="AC514" s="35" t="s">
        <v>167</v>
      </c>
      <c r="AD514" s="35"/>
      <c r="AE514" s="35">
        <v>80000</v>
      </c>
      <c r="AF514" s="35" t="s">
        <v>453</v>
      </c>
      <c r="AG514" s="36">
        <v>24.789000000000001</v>
      </c>
      <c r="AI514" s="7" t="str">
        <f>VLOOKUP($AC514,Mapping!$E$11:$I$204,3,0)</f>
        <v>Replacement</v>
      </c>
      <c r="AJ514" s="7" t="str">
        <f>IFERROR(VLOOKUP($AE514,Mapping!$E$208:$K$236,5,0),"Contracts")</f>
        <v>Overhead</v>
      </c>
      <c r="AK514" s="7" t="str">
        <f>IFERROR(VLOOKUP($AE514,Mapping!$E$208:$K$236,7,0),"ENDirect")</f>
        <v>OH</v>
      </c>
      <c r="AL514" s="7" t="str">
        <f>IFERROR(HLOOKUP(AJ514,'Calc|Weightings'!$U$5:$W$5,1,0),"Excl")</f>
        <v>Excl</v>
      </c>
      <c r="AM514" s="7" t="str">
        <f>VLOOKUP(AC514,Mapping!$E$11:$I$204,5,0)</f>
        <v>SCS</v>
      </c>
      <c r="AO514" s="35" t="s">
        <v>171</v>
      </c>
      <c r="AP514" s="35"/>
      <c r="AQ514" s="35">
        <v>71015</v>
      </c>
      <c r="AR514" s="35" t="s">
        <v>585</v>
      </c>
      <c r="AS514" s="121">
        <v>5.7487999999999992</v>
      </c>
      <c r="AU514" s="7" t="str">
        <f>VLOOKUP($AO514,Mapping!$E$11:$I$204,3,0)</f>
        <v>Replacement</v>
      </c>
      <c r="AV514" s="7" t="str">
        <f>IFERROR(VLOOKUP($AQ514,Mapping!$E$208:$K$236,5,0),"Contracts")</f>
        <v>Materials</v>
      </c>
      <c r="AW514" s="7" t="str">
        <f>IFERROR(VLOOKUP($AQ514,Mapping!$E$208:$K$236,7,0),"ENDirect")</f>
        <v>ENDirect</v>
      </c>
      <c r="AX514" s="7" t="str">
        <f>IFERROR(HLOOKUP(AV514,'Calc|Weightings'!$U$5:$W$5,1,0),"Excl")</f>
        <v>Materials</v>
      </c>
      <c r="AY514" s="7" t="str">
        <f>VLOOKUP(AO514,Mapping!$E$11:$I$204,5,0)</f>
        <v>SCS</v>
      </c>
    </row>
    <row r="515" spans="1:51" x14ac:dyDescent="0.3">
      <c r="A515" s="7"/>
      <c r="B515" s="7"/>
      <c r="C515" s="7"/>
      <c r="D515" s="7"/>
      <c r="E515" s="32" t="s">
        <v>186</v>
      </c>
      <c r="F515" s="32"/>
      <c r="G515" s="32">
        <v>71000</v>
      </c>
      <c r="H515" s="32" t="s">
        <v>457</v>
      </c>
      <c r="I515" s="33">
        <v>598.59400000000005</v>
      </c>
      <c r="J515" s="170"/>
      <c r="K515" s="7" t="str">
        <f>VLOOKUP($E515,Mapping!$E$11:$I$204,3,0)</f>
        <v>Replacement</v>
      </c>
      <c r="L515" s="7" t="str">
        <f>IFERROR(VLOOKUP($G515,Mapping!$E$208:$K$236,5,0),"Contracts")</f>
        <v>Labour</v>
      </c>
      <c r="M515" s="7" t="str">
        <f>IFERROR(VLOOKUP($G515,Mapping!$E$208:$K$236,7,0),"ENDirect")</f>
        <v>ENDirect</v>
      </c>
      <c r="N515" s="7" t="str">
        <f>IFERROR(HLOOKUP(L515,'Calc|Weightings'!$U$5:$W$5,1,0),"Excl")</f>
        <v>Labour</v>
      </c>
      <c r="O515" s="7" t="str">
        <f>VLOOKUP(E515,Mapping!$E$11:$I$204,5,0)</f>
        <v>SCS</v>
      </c>
      <c r="Q515" s="32" t="s">
        <v>171</v>
      </c>
      <c r="R515" s="32"/>
      <c r="S515" s="32">
        <v>71005</v>
      </c>
      <c r="T515" s="32" t="s">
        <v>461</v>
      </c>
      <c r="U515" s="33">
        <v>17.422000000000001</v>
      </c>
      <c r="V515" s="7"/>
      <c r="W515" s="7" t="str">
        <f>VLOOKUP($Q515,Mapping!$E$11:$I$204,3,0)</f>
        <v>Replacement</v>
      </c>
      <c r="X515" s="7" t="str">
        <f>IFERROR(VLOOKUP($S515,Mapping!$E$208:$K$236,5,0),"Contracts")</f>
        <v>Materials</v>
      </c>
      <c r="Y515" s="7" t="str">
        <f>IFERROR(VLOOKUP($S515,Mapping!$E$208:$K$236,7,0),"ENDirect")</f>
        <v>ENDirect</v>
      </c>
      <c r="Z515" s="7" t="str">
        <f>IFERROR(HLOOKUP(X515,'Calc|Weightings'!$U$5:$W$5,1,0),"Excl")</f>
        <v>Materials</v>
      </c>
      <c r="AA515" s="7" t="str">
        <f>VLOOKUP(Q515,Mapping!$E$11:$I$204,5,0)</f>
        <v>SCS</v>
      </c>
      <c r="AC515" s="35" t="s">
        <v>167</v>
      </c>
      <c r="AD515" s="35"/>
      <c r="AE515" s="35">
        <v>89999</v>
      </c>
      <c r="AF515" s="35" t="s">
        <v>471</v>
      </c>
      <c r="AG515" s="36">
        <v>0</v>
      </c>
      <c r="AI515" s="7" t="str">
        <f>VLOOKUP($AC515,Mapping!$E$11:$I$204,3,0)</f>
        <v>Replacement</v>
      </c>
      <c r="AJ515" s="7" t="str">
        <f>IFERROR(VLOOKUP($AE515,Mapping!$E$208:$K$236,5,0),"Contracts")</f>
        <v>Contracts</v>
      </c>
      <c r="AK515" s="7" t="str">
        <f>IFERROR(VLOOKUP($AE515,Mapping!$E$208:$K$236,7,0),"ENDirect")</f>
        <v>ENDirect</v>
      </c>
      <c r="AL515" s="7" t="str">
        <f>IFERROR(HLOOKUP(AJ515,'Calc|Weightings'!$U$5:$W$5,1,0),"Excl")</f>
        <v>Contracts</v>
      </c>
      <c r="AM515" s="7" t="str">
        <f>VLOOKUP(AC515,Mapping!$E$11:$I$204,5,0)</f>
        <v>SCS</v>
      </c>
      <c r="AO515" s="35" t="s">
        <v>171</v>
      </c>
      <c r="AP515" s="35"/>
      <c r="AQ515" s="35">
        <v>71030</v>
      </c>
      <c r="AR515" s="35" t="s">
        <v>464</v>
      </c>
      <c r="AS515" s="121">
        <v>7.1532900000000001</v>
      </c>
      <c r="AU515" s="7" t="str">
        <f>VLOOKUP($AO515,Mapping!$E$11:$I$204,3,0)</f>
        <v>Replacement</v>
      </c>
      <c r="AV515" s="7" t="str">
        <f>IFERROR(VLOOKUP($AQ515,Mapping!$E$208:$K$236,5,0),"Contracts")</f>
        <v>Contracts</v>
      </c>
      <c r="AW515" s="7" t="str">
        <f>IFERROR(VLOOKUP($AQ515,Mapping!$E$208:$K$236,7,0),"ENDirect")</f>
        <v>ENDirect</v>
      </c>
      <c r="AX515" s="7" t="str">
        <f>IFERROR(HLOOKUP(AV515,'Calc|Weightings'!$U$5:$W$5,1,0),"Excl")</f>
        <v>Contracts</v>
      </c>
      <c r="AY515" s="7" t="str">
        <f>VLOOKUP(AO515,Mapping!$E$11:$I$204,5,0)</f>
        <v>SCS</v>
      </c>
    </row>
    <row r="516" spans="1:51" x14ac:dyDescent="0.3">
      <c r="A516" s="7"/>
      <c r="B516" s="7"/>
      <c r="C516" s="7"/>
      <c r="D516" s="7"/>
      <c r="E516" s="32" t="s">
        <v>186</v>
      </c>
      <c r="F516" s="32"/>
      <c r="G516" s="32">
        <v>71005</v>
      </c>
      <c r="H516" s="32" t="s">
        <v>461</v>
      </c>
      <c r="I516" s="33">
        <v>129.87200000000001</v>
      </c>
      <c r="J516" s="170"/>
      <c r="K516" s="7" t="str">
        <f>VLOOKUP($E516,Mapping!$E$11:$I$204,3,0)</f>
        <v>Replacement</v>
      </c>
      <c r="L516" s="7" t="str">
        <f>IFERROR(VLOOKUP($G516,Mapping!$E$208:$K$236,5,0),"Contracts")</f>
        <v>Materials</v>
      </c>
      <c r="M516" s="7" t="str">
        <f>IFERROR(VLOOKUP($G516,Mapping!$E$208:$K$236,7,0),"ENDirect")</f>
        <v>ENDirect</v>
      </c>
      <c r="N516" s="7" t="str">
        <f>IFERROR(HLOOKUP(L516,'Calc|Weightings'!$U$5:$W$5,1,0),"Excl")</f>
        <v>Materials</v>
      </c>
      <c r="O516" s="7" t="str">
        <f>VLOOKUP(E516,Mapping!$E$11:$I$204,5,0)</f>
        <v>SCS</v>
      </c>
      <c r="Q516" s="32" t="s">
        <v>171</v>
      </c>
      <c r="R516" s="32"/>
      <c r="S516" s="32">
        <v>71006</v>
      </c>
      <c r="T516" s="32" t="s">
        <v>468</v>
      </c>
      <c r="U516" s="33">
        <v>653.10699999999997</v>
      </c>
      <c r="V516" s="7"/>
      <c r="W516" s="7" t="str">
        <f>VLOOKUP($Q516,Mapping!$E$11:$I$204,3,0)</f>
        <v>Replacement</v>
      </c>
      <c r="X516" s="7" t="str">
        <f>IFERROR(VLOOKUP($S516,Mapping!$E$208:$K$236,5,0),"Contracts")</f>
        <v>Materials</v>
      </c>
      <c r="Y516" s="7" t="str">
        <f>IFERROR(VLOOKUP($S516,Mapping!$E$208:$K$236,7,0),"ENDirect")</f>
        <v>ENDirect</v>
      </c>
      <c r="Z516" s="7" t="str">
        <f>IFERROR(HLOOKUP(X516,'Calc|Weightings'!$U$5:$W$5,1,0),"Excl")</f>
        <v>Materials</v>
      </c>
      <c r="AA516" s="7" t="str">
        <f>VLOOKUP(Q516,Mapping!$E$11:$I$204,5,0)</f>
        <v>SCS</v>
      </c>
      <c r="AC516" s="35" t="s">
        <v>168</v>
      </c>
      <c r="AD516" s="35"/>
      <c r="AE516" s="35">
        <v>71000</v>
      </c>
      <c r="AF516" s="35" t="s">
        <v>457</v>
      </c>
      <c r="AG516" s="36">
        <v>419.75799999999998</v>
      </c>
      <c r="AI516" s="7" t="str">
        <f>VLOOKUP($AC516,Mapping!$E$11:$I$204,3,0)</f>
        <v>Replacement</v>
      </c>
      <c r="AJ516" s="7" t="str">
        <f>IFERROR(VLOOKUP($AE516,Mapping!$E$208:$K$236,5,0),"Contracts")</f>
        <v>Labour</v>
      </c>
      <c r="AK516" s="7" t="str">
        <f>IFERROR(VLOOKUP($AE516,Mapping!$E$208:$K$236,7,0),"ENDirect")</f>
        <v>ENDirect</v>
      </c>
      <c r="AL516" s="7" t="str">
        <f>IFERROR(HLOOKUP(AJ516,'Calc|Weightings'!$U$5:$W$5,1,0),"Excl")</f>
        <v>Labour</v>
      </c>
      <c r="AM516" s="7" t="str">
        <f>VLOOKUP(AC516,Mapping!$E$11:$I$204,5,0)</f>
        <v>SCS</v>
      </c>
      <c r="AO516" s="35" t="s">
        <v>171</v>
      </c>
      <c r="AP516" s="35"/>
      <c r="AQ516" s="35">
        <v>71055</v>
      </c>
      <c r="AR516" s="35" t="s">
        <v>465</v>
      </c>
      <c r="AS516" s="121">
        <v>15.929390000000001</v>
      </c>
      <c r="AU516" s="7" t="str">
        <f>VLOOKUP($AO516,Mapping!$E$11:$I$204,3,0)</f>
        <v>Replacement</v>
      </c>
      <c r="AV516" s="7" t="str">
        <f>IFERROR(VLOOKUP($AQ516,Mapping!$E$208:$K$236,5,0),"Contracts")</f>
        <v>Contracts</v>
      </c>
      <c r="AW516" s="7" t="str">
        <f>IFERROR(VLOOKUP($AQ516,Mapping!$E$208:$K$236,7,0),"ENDirect")</f>
        <v>ENDirect</v>
      </c>
      <c r="AX516" s="7" t="str">
        <f>IFERROR(HLOOKUP(AV516,'Calc|Weightings'!$U$5:$W$5,1,0),"Excl")</f>
        <v>Contracts</v>
      </c>
      <c r="AY516" s="7" t="str">
        <f>VLOOKUP(AO516,Mapping!$E$11:$I$204,5,0)</f>
        <v>SCS</v>
      </c>
    </row>
    <row r="517" spans="1:51" x14ac:dyDescent="0.3">
      <c r="A517" s="7"/>
      <c r="B517" s="7"/>
      <c r="C517" s="7"/>
      <c r="D517" s="7"/>
      <c r="E517" s="32" t="s">
        <v>186</v>
      </c>
      <c r="F517" s="32"/>
      <c r="G517" s="32">
        <v>71010</v>
      </c>
      <c r="H517" s="32" t="s">
        <v>462</v>
      </c>
      <c r="I517" s="33">
        <v>49.978999999999999</v>
      </c>
      <c r="J517" s="170"/>
      <c r="K517" s="7" t="str">
        <f>VLOOKUP($E517,Mapping!$E$11:$I$204,3,0)</f>
        <v>Replacement</v>
      </c>
      <c r="L517" s="7" t="str">
        <f>IFERROR(VLOOKUP($G517,Mapping!$E$208:$K$236,5,0),"Contracts")</f>
        <v>Labour</v>
      </c>
      <c r="M517" s="7" t="str">
        <f>IFERROR(VLOOKUP($G517,Mapping!$E$208:$K$236,7,0),"ENDirect")</f>
        <v>ENDirect</v>
      </c>
      <c r="N517" s="7" t="str">
        <f>IFERROR(HLOOKUP(L517,'Calc|Weightings'!$U$5:$W$5,1,0),"Excl")</f>
        <v>Labour</v>
      </c>
      <c r="O517" s="7" t="str">
        <f>VLOOKUP(E517,Mapping!$E$11:$I$204,5,0)</f>
        <v>SCS</v>
      </c>
      <c r="Q517" s="32" t="s">
        <v>171</v>
      </c>
      <c r="R517" s="32"/>
      <c r="S517" s="32">
        <v>71010</v>
      </c>
      <c r="T517" s="32" t="s">
        <v>462</v>
      </c>
      <c r="U517" s="33">
        <v>67.284000000000006</v>
      </c>
      <c r="V517" s="7"/>
      <c r="W517" s="7" t="str">
        <f>VLOOKUP($Q517,Mapping!$E$11:$I$204,3,0)</f>
        <v>Replacement</v>
      </c>
      <c r="X517" s="7" t="str">
        <f>IFERROR(VLOOKUP($S517,Mapping!$E$208:$K$236,5,0),"Contracts")</f>
        <v>Labour</v>
      </c>
      <c r="Y517" s="7" t="str">
        <f>IFERROR(VLOOKUP($S517,Mapping!$E$208:$K$236,7,0),"ENDirect")</f>
        <v>ENDirect</v>
      </c>
      <c r="Z517" s="7" t="str">
        <f>IFERROR(HLOOKUP(X517,'Calc|Weightings'!$U$5:$W$5,1,0),"Excl")</f>
        <v>Labour</v>
      </c>
      <c r="AA517" s="7" t="str">
        <f>VLOOKUP(Q517,Mapping!$E$11:$I$204,5,0)</f>
        <v>SCS</v>
      </c>
      <c r="AC517" s="35" t="s">
        <v>168</v>
      </c>
      <c r="AD517" s="35"/>
      <c r="AE517" s="35">
        <v>71005</v>
      </c>
      <c r="AF517" s="35" t="s">
        <v>461</v>
      </c>
      <c r="AG517" s="36">
        <v>526.39800000000002</v>
      </c>
      <c r="AI517" s="7" t="str">
        <f>VLOOKUP($AC517,Mapping!$E$11:$I$204,3,0)</f>
        <v>Replacement</v>
      </c>
      <c r="AJ517" s="7" t="str">
        <f>IFERROR(VLOOKUP($AE517,Mapping!$E$208:$K$236,5,0),"Contracts")</f>
        <v>Materials</v>
      </c>
      <c r="AK517" s="7" t="str">
        <f>IFERROR(VLOOKUP($AE517,Mapping!$E$208:$K$236,7,0),"ENDirect")</f>
        <v>ENDirect</v>
      </c>
      <c r="AL517" s="7" t="str">
        <f>IFERROR(HLOOKUP(AJ517,'Calc|Weightings'!$U$5:$W$5,1,0),"Excl")</f>
        <v>Materials</v>
      </c>
      <c r="AM517" s="7" t="str">
        <f>VLOOKUP(AC517,Mapping!$E$11:$I$204,5,0)</f>
        <v>SCS</v>
      </c>
      <c r="AO517" s="35" t="s">
        <v>171</v>
      </c>
      <c r="AP517" s="35"/>
      <c r="AQ517" s="35">
        <v>71070</v>
      </c>
      <c r="AR517" s="35" t="s">
        <v>586</v>
      </c>
      <c r="AS517" s="121">
        <v>39.690839999999994</v>
      </c>
      <c r="AU517" s="7" t="str">
        <f>VLOOKUP($AO517,Mapping!$E$11:$I$204,3,0)</f>
        <v>Replacement</v>
      </c>
      <c r="AV517" s="7" t="str">
        <f>IFERROR(VLOOKUP($AQ517,Mapping!$E$208:$K$236,5,0),"Contracts")</f>
        <v>Contracts</v>
      </c>
      <c r="AW517" s="7" t="str">
        <f>IFERROR(VLOOKUP($AQ517,Mapping!$E$208:$K$236,7,0),"ENDirect")</f>
        <v>ENDirect</v>
      </c>
      <c r="AX517" s="7" t="str">
        <f>IFERROR(HLOOKUP(AV517,'Calc|Weightings'!$U$5:$W$5,1,0),"Excl")</f>
        <v>Contracts</v>
      </c>
      <c r="AY517" s="7" t="str">
        <f>VLOOKUP(AO517,Mapping!$E$11:$I$204,5,0)</f>
        <v>SCS</v>
      </c>
    </row>
    <row r="518" spans="1:51" x14ac:dyDescent="0.3">
      <c r="A518" s="7"/>
      <c r="B518" s="7"/>
      <c r="C518" s="7"/>
      <c r="D518" s="7"/>
      <c r="E518" s="32" t="s">
        <v>186</v>
      </c>
      <c r="F518" s="32"/>
      <c r="G518" s="32">
        <v>71015</v>
      </c>
      <c r="H518" s="32" t="s">
        <v>463</v>
      </c>
      <c r="I518" s="33">
        <v>130.01900000000001</v>
      </c>
      <c r="J518" s="170"/>
      <c r="K518" s="7" t="str">
        <f>VLOOKUP($E518,Mapping!$E$11:$I$204,3,0)</f>
        <v>Replacement</v>
      </c>
      <c r="L518" s="7" t="str">
        <f>IFERROR(VLOOKUP($G518,Mapping!$E$208:$K$236,5,0),"Contracts")</f>
        <v>Materials</v>
      </c>
      <c r="M518" s="7" t="str">
        <f>IFERROR(VLOOKUP($G518,Mapping!$E$208:$K$236,7,0),"ENDirect")</f>
        <v>ENDirect</v>
      </c>
      <c r="N518" s="7" t="str">
        <f>IFERROR(HLOOKUP(L518,'Calc|Weightings'!$U$5:$W$5,1,0),"Excl")</f>
        <v>Materials</v>
      </c>
      <c r="O518" s="7" t="str">
        <f>VLOOKUP(E518,Mapping!$E$11:$I$204,5,0)</f>
        <v>SCS</v>
      </c>
      <c r="Q518" s="32" t="s">
        <v>171</v>
      </c>
      <c r="R518" s="32"/>
      <c r="S518" s="32">
        <v>71015</v>
      </c>
      <c r="T518" s="32" t="s">
        <v>463</v>
      </c>
      <c r="U518" s="33">
        <v>36.746000000000002</v>
      </c>
      <c r="V518" s="7"/>
      <c r="W518" s="7" t="str">
        <f>VLOOKUP($Q518,Mapping!$E$11:$I$204,3,0)</f>
        <v>Replacement</v>
      </c>
      <c r="X518" s="7" t="str">
        <f>IFERROR(VLOOKUP($S518,Mapping!$E$208:$K$236,5,0),"Contracts")</f>
        <v>Materials</v>
      </c>
      <c r="Y518" s="7" t="str">
        <f>IFERROR(VLOOKUP($S518,Mapping!$E$208:$K$236,7,0),"ENDirect")</f>
        <v>ENDirect</v>
      </c>
      <c r="Z518" s="7" t="str">
        <f>IFERROR(HLOOKUP(X518,'Calc|Weightings'!$U$5:$W$5,1,0),"Excl")</f>
        <v>Materials</v>
      </c>
      <c r="AA518" s="7" t="str">
        <f>VLOOKUP(Q518,Mapping!$E$11:$I$204,5,0)</f>
        <v>SCS</v>
      </c>
      <c r="AC518" s="35" t="s">
        <v>168</v>
      </c>
      <c r="AD518" s="35"/>
      <c r="AE518" s="35">
        <v>71010</v>
      </c>
      <c r="AF518" s="35" t="s">
        <v>462</v>
      </c>
      <c r="AG518" s="36">
        <v>115.246</v>
      </c>
      <c r="AI518" s="7" t="str">
        <f>VLOOKUP($AC518,Mapping!$E$11:$I$204,3,0)</f>
        <v>Replacement</v>
      </c>
      <c r="AJ518" s="7" t="str">
        <f>IFERROR(VLOOKUP($AE518,Mapping!$E$208:$K$236,5,0),"Contracts")</f>
        <v>Labour</v>
      </c>
      <c r="AK518" s="7" t="str">
        <f>IFERROR(VLOOKUP($AE518,Mapping!$E$208:$K$236,7,0),"ENDirect")</f>
        <v>ENDirect</v>
      </c>
      <c r="AL518" s="7" t="str">
        <f>IFERROR(HLOOKUP(AJ518,'Calc|Weightings'!$U$5:$W$5,1,0),"Excl")</f>
        <v>Labour</v>
      </c>
      <c r="AM518" s="7" t="str">
        <f>VLOOKUP(AC518,Mapping!$E$11:$I$204,5,0)</f>
        <v>SCS</v>
      </c>
      <c r="AO518" s="35" t="s">
        <v>171</v>
      </c>
      <c r="AP518" s="35"/>
      <c r="AQ518" s="35">
        <v>71075</v>
      </c>
      <c r="AR518" s="35" t="s">
        <v>587</v>
      </c>
      <c r="AS518" s="121">
        <v>45.788040000000009</v>
      </c>
      <c r="AU518" s="7" t="str">
        <f>VLOOKUP($AO518,Mapping!$E$11:$I$204,3,0)</f>
        <v>Replacement</v>
      </c>
      <c r="AV518" s="7" t="str">
        <f>IFERROR(VLOOKUP($AQ518,Mapping!$E$208:$K$236,5,0),"Contracts")</f>
        <v>Contracts</v>
      </c>
      <c r="AW518" s="7" t="str">
        <f>IFERROR(VLOOKUP($AQ518,Mapping!$E$208:$K$236,7,0),"ENDirect")</f>
        <v>ENDirect</v>
      </c>
      <c r="AX518" s="7" t="str">
        <f>IFERROR(HLOOKUP(AV518,'Calc|Weightings'!$U$5:$W$5,1,0),"Excl")</f>
        <v>Contracts</v>
      </c>
      <c r="AY518" s="7" t="str">
        <f>VLOOKUP(AO518,Mapping!$E$11:$I$204,5,0)</f>
        <v>SCS</v>
      </c>
    </row>
    <row r="519" spans="1:51" x14ac:dyDescent="0.3">
      <c r="A519" s="7"/>
      <c r="B519" s="7"/>
      <c r="C519" s="7"/>
      <c r="D519" s="7"/>
      <c r="E519" s="32" t="s">
        <v>186</v>
      </c>
      <c r="F519" s="32"/>
      <c r="G519" s="32">
        <v>71020</v>
      </c>
      <c r="H519" s="32" t="s">
        <v>459</v>
      </c>
      <c r="I519" s="33">
        <v>14.465999999999999</v>
      </c>
      <c r="J519" s="170"/>
      <c r="K519" s="7" t="str">
        <f>VLOOKUP($E519,Mapping!$E$11:$I$204,3,0)</f>
        <v>Replacement</v>
      </c>
      <c r="L519" s="7" t="str">
        <f>IFERROR(VLOOKUP($G519,Mapping!$E$208:$K$236,5,0),"Contracts")</f>
        <v>Contracts</v>
      </c>
      <c r="M519" s="7" t="str">
        <f>IFERROR(VLOOKUP($G519,Mapping!$E$208:$K$236,7,0),"ENDirect")</f>
        <v>ENDirect</v>
      </c>
      <c r="N519" s="7" t="str">
        <f>IFERROR(HLOOKUP(L519,'Calc|Weightings'!$U$5:$W$5,1,0),"Excl")</f>
        <v>Contracts</v>
      </c>
      <c r="O519" s="7" t="str">
        <f>VLOOKUP(E519,Mapping!$E$11:$I$204,5,0)</f>
        <v>SCS</v>
      </c>
      <c r="Q519" s="32" t="s">
        <v>171</v>
      </c>
      <c r="R519" s="32"/>
      <c r="S519" s="32">
        <v>71030</v>
      </c>
      <c r="T519" s="32" t="s">
        <v>464</v>
      </c>
      <c r="U519" s="33">
        <v>22.100999999999999</v>
      </c>
      <c r="V519" s="7"/>
      <c r="W519" s="7" t="str">
        <f>VLOOKUP($Q519,Mapping!$E$11:$I$204,3,0)</f>
        <v>Replacement</v>
      </c>
      <c r="X519" s="7" t="str">
        <f>IFERROR(VLOOKUP($S519,Mapping!$E$208:$K$236,5,0),"Contracts")</f>
        <v>Contracts</v>
      </c>
      <c r="Y519" s="7" t="str">
        <f>IFERROR(VLOOKUP($S519,Mapping!$E$208:$K$236,7,0),"ENDirect")</f>
        <v>ENDirect</v>
      </c>
      <c r="Z519" s="7" t="str">
        <f>IFERROR(HLOOKUP(X519,'Calc|Weightings'!$U$5:$W$5,1,0),"Excl")</f>
        <v>Contracts</v>
      </c>
      <c r="AA519" s="7" t="str">
        <f>VLOOKUP(Q519,Mapping!$E$11:$I$204,5,0)</f>
        <v>SCS</v>
      </c>
      <c r="AC519" s="35" t="s">
        <v>168</v>
      </c>
      <c r="AD519" s="35"/>
      <c r="AE519" s="35">
        <v>71015</v>
      </c>
      <c r="AF519" s="35" t="s">
        <v>463</v>
      </c>
      <c r="AG519" s="36">
        <v>95.713999999999999</v>
      </c>
      <c r="AI519" s="7" t="str">
        <f>VLOOKUP($AC519,Mapping!$E$11:$I$204,3,0)</f>
        <v>Replacement</v>
      </c>
      <c r="AJ519" s="7" t="str">
        <f>IFERROR(VLOOKUP($AE519,Mapping!$E$208:$K$236,5,0),"Contracts")</f>
        <v>Materials</v>
      </c>
      <c r="AK519" s="7" t="str">
        <f>IFERROR(VLOOKUP($AE519,Mapping!$E$208:$K$236,7,0),"ENDirect")</f>
        <v>ENDirect</v>
      </c>
      <c r="AL519" s="7" t="str">
        <f>IFERROR(HLOOKUP(AJ519,'Calc|Weightings'!$U$5:$W$5,1,0),"Excl")</f>
        <v>Materials</v>
      </c>
      <c r="AM519" s="7" t="str">
        <f>VLOOKUP(AC519,Mapping!$E$11:$I$204,5,0)</f>
        <v>SCS</v>
      </c>
      <c r="AO519" s="35" t="s">
        <v>171</v>
      </c>
      <c r="AP519" s="35"/>
      <c r="AQ519" s="35">
        <v>80000</v>
      </c>
      <c r="AR519" s="35" t="s">
        <v>589</v>
      </c>
      <c r="AS519" s="121">
        <v>221.06129999999999</v>
      </c>
      <c r="AU519" s="7" t="str">
        <f>VLOOKUP($AO519,Mapping!$E$11:$I$204,3,0)</f>
        <v>Replacement</v>
      </c>
      <c r="AV519" s="7" t="str">
        <f>IFERROR(VLOOKUP($AQ519,Mapping!$E$208:$K$236,5,0),"Contracts")</f>
        <v>Overhead</v>
      </c>
      <c r="AW519" s="7" t="str">
        <f>IFERROR(VLOOKUP($AQ519,Mapping!$E$208:$K$236,7,0),"ENDirect")</f>
        <v>OH</v>
      </c>
      <c r="AX519" s="7" t="str">
        <f>IFERROR(HLOOKUP(AV519,'Calc|Weightings'!$U$5:$W$5,1,0),"Excl")</f>
        <v>Excl</v>
      </c>
      <c r="AY519" s="7" t="str">
        <f>VLOOKUP(AO519,Mapping!$E$11:$I$204,5,0)</f>
        <v>SCS</v>
      </c>
    </row>
    <row r="520" spans="1:51" x14ac:dyDescent="0.3">
      <c r="A520" s="7"/>
      <c r="B520" s="7"/>
      <c r="C520" s="7"/>
      <c r="D520" s="7"/>
      <c r="E520" s="32" t="s">
        <v>186</v>
      </c>
      <c r="F520" s="32"/>
      <c r="G520" s="32">
        <v>71030</v>
      </c>
      <c r="H520" s="32" t="s">
        <v>464</v>
      </c>
      <c r="I520" s="33">
        <v>80.387</v>
      </c>
      <c r="J520" s="170"/>
      <c r="K520" s="7" t="str">
        <f>VLOOKUP($E520,Mapping!$E$11:$I$204,3,0)</f>
        <v>Replacement</v>
      </c>
      <c r="L520" s="7" t="str">
        <f>IFERROR(VLOOKUP($G520,Mapping!$E$208:$K$236,5,0),"Contracts")</f>
        <v>Contracts</v>
      </c>
      <c r="M520" s="7" t="str">
        <f>IFERROR(VLOOKUP($G520,Mapping!$E$208:$K$236,7,0),"ENDirect")</f>
        <v>ENDirect</v>
      </c>
      <c r="N520" s="7" t="str">
        <f>IFERROR(HLOOKUP(L520,'Calc|Weightings'!$U$5:$W$5,1,0),"Excl")</f>
        <v>Contracts</v>
      </c>
      <c r="O520" s="7" t="str">
        <f>VLOOKUP(E520,Mapping!$E$11:$I$204,5,0)</f>
        <v>SCS</v>
      </c>
      <c r="Q520" s="32" t="s">
        <v>171</v>
      </c>
      <c r="R520" s="32"/>
      <c r="S520" s="32">
        <v>71055</v>
      </c>
      <c r="T520" s="32" t="s">
        <v>465</v>
      </c>
      <c r="U520" s="33">
        <v>39.703000000000003</v>
      </c>
      <c r="V520" s="7"/>
      <c r="W520" s="7" t="str">
        <f>VLOOKUP($Q520,Mapping!$E$11:$I$204,3,0)</f>
        <v>Replacement</v>
      </c>
      <c r="X520" s="7" t="str">
        <f>IFERROR(VLOOKUP($S520,Mapping!$E$208:$K$236,5,0),"Contracts")</f>
        <v>Contracts</v>
      </c>
      <c r="Y520" s="7" t="str">
        <f>IFERROR(VLOOKUP($S520,Mapping!$E$208:$K$236,7,0),"ENDirect")</f>
        <v>ENDirect</v>
      </c>
      <c r="Z520" s="7" t="str">
        <f>IFERROR(HLOOKUP(X520,'Calc|Weightings'!$U$5:$W$5,1,0),"Excl")</f>
        <v>Contracts</v>
      </c>
      <c r="AA520" s="7" t="str">
        <f>VLOOKUP(Q520,Mapping!$E$11:$I$204,5,0)</f>
        <v>SCS</v>
      </c>
      <c r="AC520" s="35" t="s">
        <v>168</v>
      </c>
      <c r="AD520" s="35"/>
      <c r="AE520" s="35">
        <v>71030</v>
      </c>
      <c r="AF520" s="35" t="s">
        <v>464</v>
      </c>
      <c r="AG520" s="36">
        <v>93.337999999999994</v>
      </c>
      <c r="AI520" s="7" t="str">
        <f>VLOOKUP($AC520,Mapping!$E$11:$I$204,3,0)</f>
        <v>Replacement</v>
      </c>
      <c r="AJ520" s="7" t="str">
        <f>IFERROR(VLOOKUP($AE520,Mapping!$E$208:$K$236,5,0),"Contracts")</f>
        <v>Contracts</v>
      </c>
      <c r="AK520" s="7" t="str">
        <f>IFERROR(VLOOKUP($AE520,Mapping!$E$208:$K$236,7,0),"ENDirect")</f>
        <v>ENDirect</v>
      </c>
      <c r="AL520" s="7" t="str">
        <f>IFERROR(HLOOKUP(AJ520,'Calc|Weightings'!$U$5:$W$5,1,0),"Excl")</f>
        <v>Contracts</v>
      </c>
      <c r="AM520" s="7" t="str">
        <f>VLOOKUP(AC520,Mapping!$E$11:$I$204,5,0)</f>
        <v>SCS</v>
      </c>
      <c r="AO520" s="35" t="s">
        <v>171</v>
      </c>
      <c r="AP520" s="35"/>
      <c r="AQ520" s="35">
        <v>83010</v>
      </c>
      <c r="AR520" s="35" t="s">
        <v>591</v>
      </c>
      <c r="AS520" s="121">
        <v>357.2172000000001</v>
      </c>
      <c r="AU520" s="7" t="str">
        <f>VLOOKUP($AO520,Mapping!$E$11:$I$204,3,0)</f>
        <v>Replacement</v>
      </c>
      <c r="AV520" s="7" t="str">
        <f>IFERROR(VLOOKUP($AQ520,Mapping!$E$208:$K$236,5,0),"Contracts")</f>
        <v>Contracts</v>
      </c>
      <c r="AW520" s="7" t="str">
        <f>IFERROR(VLOOKUP($AQ520,Mapping!$E$208:$K$236,7,0),"ENDirect")</f>
        <v>ENDirect</v>
      </c>
      <c r="AX520" s="7" t="str">
        <f>IFERROR(HLOOKUP(AV520,'Calc|Weightings'!$U$5:$W$5,1,0),"Excl")</f>
        <v>Contracts</v>
      </c>
      <c r="AY520" s="7" t="str">
        <f>VLOOKUP(AO520,Mapping!$E$11:$I$204,5,0)</f>
        <v>SCS</v>
      </c>
    </row>
    <row r="521" spans="1:51" x14ac:dyDescent="0.3">
      <c r="A521" s="7"/>
      <c r="B521" s="7"/>
      <c r="C521" s="7"/>
      <c r="D521" s="7"/>
      <c r="E521" s="32" t="s">
        <v>186</v>
      </c>
      <c r="F521" s="32"/>
      <c r="G521" s="32">
        <v>71055</v>
      </c>
      <c r="H521" s="32" t="s">
        <v>465</v>
      </c>
      <c r="I521" s="33">
        <v>225.85499999999999</v>
      </c>
      <c r="J521" s="170"/>
      <c r="K521" s="7" t="str">
        <f>VLOOKUP($E521,Mapping!$E$11:$I$204,3,0)</f>
        <v>Replacement</v>
      </c>
      <c r="L521" s="7" t="str">
        <f>IFERROR(VLOOKUP($G521,Mapping!$E$208:$K$236,5,0),"Contracts")</f>
        <v>Contracts</v>
      </c>
      <c r="M521" s="7" t="str">
        <f>IFERROR(VLOOKUP($G521,Mapping!$E$208:$K$236,7,0),"ENDirect")</f>
        <v>ENDirect</v>
      </c>
      <c r="N521" s="7" t="str">
        <f>IFERROR(HLOOKUP(L521,'Calc|Weightings'!$U$5:$W$5,1,0),"Excl")</f>
        <v>Contracts</v>
      </c>
      <c r="O521" s="7" t="str">
        <f>VLOOKUP(E521,Mapping!$E$11:$I$204,5,0)</f>
        <v>SCS</v>
      </c>
      <c r="Q521" s="32" t="s">
        <v>171</v>
      </c>
      <c r="R521" s="32"/>
      <c r="S521" s="32">
        <v>80000</v>
      </c>
      <c r="T521" s="32" t="s">
        <v>453</v>
      </c>
      <c r="U521" s="33">
        <v>111.04900000000001</v>
      </c>
      <c r="V521" s="7"/>
      <c r="W521" s="7" t="str">
        <f>VLOOKUP($Q521,Mapping!$E$11:$I$204,3,0)</f>
        <v>Replacement</v>
      </c>
      <c r="X521" s="7" t="str">
        <f>IFERROR(VLOOKUP($S521,Mapping!$E$208:$K$236,5,0),"Contracts")</f>
        <v>Overhead</v>
      </c>
      <c r="Y521" s="7" t="str">
        <f>IFERROR(VLOOKUP($S521,Mapping!$E$208:$K$236,7,0),"ENDirect")</f>
        <v>OH</v>
      </c>
      <c r="Z521" s="7" t="str">
        <f>IFERROR(HLOOKUP(X521,'Calc|Weightings'!$U$5:$W$5,1,0),"Excl")</f>
        <v>Excl</v>
      </c>
      <c r="AA521" s="7" t="str">
        <f>VLOOKUP(Q521,Mapping!$E$11:$I$204,5,0)</f>
        <v>SCS</v>
      </c>
      <c r="AC521" s="35" t="s">
        <v>168</v>
      </c>
      <c r="AD521" s="35"/>
      <c r="AE521" s="35">
        <v>71055</v>
      </c>
      <c r="AF521" s="35" t="s">
        <v>465</v>
      </c>
      <c r="AG521" s="36">
        <v>196.92</v>
      </c>
      <c r="AI521" s="7" t="str">
        <f>VLOOKUP($AC521,Mapping!$E$11:$I$204,3,0)</f>
        <v>Replacement</v>
      </c>
      <c r="AJ521" s="7" t="str">
        <f>IFERROR(VLOOKUP($AE521,Mapping!$E$208:$K$236,5,0),"Contracts")</f>
        <v>Contracts</v>
      </c>
      <c r="AK521" s="7" t="str">
        <f>IFERROR(VLOOKUP($AE521,Mapping!$E$208:$K$236,7,0),"ENDirect")</f>
        <v>ENDirect</v>
      </c>
      <c r="AL521" s="7" t="str">
        <f>IFERROR(HLOOKUP(AJ521,'Calc|Weightings'!$U$5:$W$5,1,0),"Excl")</f>
        <v>Contracts</v>
      </c>
      <c r="AM521" s="7" t="str">
        <f>VLOOKUP(AC521,Mapping!$E$11:$I$204,5,0)</f>
        <v>SCS</v>
      </c>
      <c r="AO521" s="35" t="s">
        <v>172</v>
      </c>
      <c r="AP521" s="35"/>
      <c r="AQ521" s="35">
        <v>70815</v>
      </c>
      <c r="AR521" s="35" t="s">
        <v>594</v>
      </c>
      <c r="AS521" s="121">
        <v>284.5</v>
      </c>
      <c r="AU521" s="7" t="str">
        <f>VLOOKUP($AO521,Mapping!$E$11:$I$204,3,0)</f>
        <v>Replacement</v>
      </c>
      <c r="AV521" s="7" t="str">
        <f>IFERROR(VLOOKUP($AQ521,Mapping!$E$208:$K$236,5,0),"Contracts")</f>
        <v>Materials</v>
      </c>
      <c r="AW521" s="7" t="str">
        <f>IFERROR(VLOOKUP($AQ521,Mapping!$E$208:$K$236,7,0),"ENDirect")</f>
        <v>ENDirect</v>
      </c>
      <c r="AX521" s="7" t="str">
        <f>IFERROR(HLOOKUP(AV521,'Calc|Weightings'!$U$5:$W$5,1,0),"Excl")</f>
        <v>Materials</v>
      </c>
      <c r="AY521" s="7" t="str">
        <f>VLOOKUP(AO521,Mapping!$E$11:$I$204,5,0)</f>
        <v>SCS</v>
      </c>
    </row>
    <row r="522" spans="1:51" x14ac:dyDescent="0.3">
      <c r="A522" s="7"/>
      <c r="B522" s="7"/>
      <c r="C522" s="7"/>
      <c r="D522" s="7"/>
      <c r="E522" s="32" t="s">
        <v>186</v>
      </c>
      <c r="F522" s="32"/>
      <c r="G522" s="32">
        <v>80000</v>
      </c>
      <c r="H522" s="32" t="s">
        <v>453</v>
      </c>
      <c r="I522" s="33">
        <v>117.496</v>
      </c>
      <c r="J522" s="170"/>
      <c r="K522" s="7" t="str">
        <f>VLOOKUP($E522,Mapping!$E$11:$I$204,3,0)</f>
        <v>Replacement</v>
      </c>
      <c r="L522" s="7" t="str">
        <f>IFERROR(VLOOKUP($G522,Mapping!$E$208:$K$236,5,0),"Contracts")</f>
        <v>Overhead</v>
      </c>
      <c r="M522" s="7" t="str">
        <f>IFERROR(VLOOKUP($G522,Mapping!$E$208:$K$236,7,0),"ENDirect")</f>
        <v>OH</v>
      </c>
      <c r="N522" s="7" t="str">
        <f>IFERROR(HLOOKUP(L522,'Calc|Weightings'!$U$5:$W$5,1,0),"Excl")</f>
        <v>Excl</v>
      </c>
      <c r="O522" s="7" t="str">
        <f>VLOOKUP(E522,Mapping!$E$11:$I$204,5,0)</f>
        <v>SCS</v>
      </c>
      <c r="Q522" s="32" t="s">
        <v>172</v>
      </c>
      <c r="R522" s="32"/>
      <c r="S522" s="32">
        <v>71000</v>
      </c>
      <c r="T522" s="32" t="s">
        <v>457</v>
      </c>
      <c r="U522" s="33">
        <v>440.31200000000001</v>
      </c>
      <c r="V522" s="7"/>
      <c r="W522" s="7" t="str">
        <f>VLOOKUP($Q522,Mapping!$E$11:$I$204,3,0)</f>
        <v>Replacement</v>
      </c>
      <c r="X522" s="7" t="str">
        <f>IFERROR(VLOOKUP($S522,Mapping!$E$208:$K$236,5,0),"Contracts")</f>
        <v>Labour</v>
      </c>
      <c r="Y522" s="7" t="str">
        <f>IFERROR(VLOOKUP($S522,Mapping!$E$208:$K$236,7,0),"ENDirect")</f>
        <v>ENDirect</v>
      </c>
      <c r="Z522" s="7" t="str">
        <f>IFERROR(HLOOKUP(X522,'Calc|Weightings'!$U$5:$W$5,1,0),"Excl")</f>
        <v>Labour</v>
      </c>
      <c r="AA522" s="7" t="str">
        <f>VLOOKUP(Q522,Mapping!$E$11:$I$204,5,0)</f>
        <v>SCS</v>
      </c>
      <c r="AC522" s="35" t="s">
        <v>168</v>
      </c>
      <c r="AD522" s="35"/>
      <c r="AE522" s="35">
        <v>80000</v>
      </c>
      <c r="AF522" s="35" t="s">
        <v>453</v>
      </c>
      <c r="AG522" s="36">
        <v>154.79300000000001</v>
      </c>
      <c r="AI522" s="7" t="str">
        <f>VLOOKUP($AC522,Mapping!$E$11:$I$204,3,0)</f>
        <v>Replacement</v>
      </c>
      <c r="AJ522" s="7" t="str">
        <f>IFERROR(VLOOKUP($AE522,Mapping!$E$208:$K$236,5,0),"Contracts")</f>
        <v>Overhead</v>
      </c>
      <c r="AK522" s="7" t="str">
        <f>IFERROR(VLOOKUP($AE522,Mapping!$E$208:$K$236,7,0),"ENDirect")</f>
        <v>OH</v>
      </c>
      <c r="AL522" s="7" t="str">
        <f>IFERROR(HLOOKUP(AJ522,'Calc|Weightings'!$U$5:$W$5,1,0),"Excl")</f>
        <v>Excl</v>
      </c>
      <c r="AM522" s="7" t="str">
        <f>VLOOKUP(AC522,Mapping!$E$11:$I$204,5,0)</f>
        <v>SCS</v>
      </c>
      <c r="AO522" s="35" t="s">
        <v>172</v>
      </c>
      <c r="AP522" s="35"/>
      <c r="AQ522" s="35">
        <v>71000</v>
      </c>
      <c r="AR522" s="35" t="s">
        <v>457</v>
      </c>
      <c r="AS522" s="121">
        <v>42.151889999999995</v>
      </c>
      <c r="AU522" s="7" t="str">
        <f>VLOOKUP($AO522,Mapping!$E$11:$I$204,3,0)</f>
        <v>Replacement</v>
      </c>
      <c r="AV522" s="7" t="str">
        <f>IFERROR(VLOOKUP($AQ522,Mapping!$E$208:$K$236,5,0),"Contracts")</f>
        <v>Labour</v>
      </c>
      <c r="AW522" s="7" t="str">
        <f>IFERROR(VLOOKUP($AQ522,Mapping!$E$208:$K$236,7,0),"ENDirect")</f>
        <v>ENDirect</v>
      </c>
      <c r="AX522" s="7" t="str">
        <f>IFERROR(HLOOKUP(AV522,'Calc|Weightings'!$U$5:$W$5,1,0),"Excl")</f>
        <v>Labour</v>
      </c>
      <c r="AY522" s="7" t="str">
        <f>VLOOKUP(AO522,Mapping!$E$11:$I$204,5,0)</f>
        <v>SCS</v>
      </c>
    </row>
    <row r="523" spans="1:51" x14ac:dyDescent="0.3">
      <c r="A523" s="7"/>
      <c r="B523" s="7"/>
      <c r="C523" s="7"/>
      <c r="D523" s="7"/>
      <c r="E523" s="32" t="s">
        <v>189</v>
      </c>
      <c r="F523" s="32"/>
      <c r="G523" s="32">
        <v>71000</v>
      </c>
      <c r="H523" s="32" t="s">
        <v>457</v>
      </c>
      <c r="I523" s="33">
        <v>41.744</v>
      </c>
      <c r="J523" s="170"/>
      <c r="K523" s="7" t="str">
        <f>VLOOKUP($E523,Mapping!$E$11:$I$204,3,0)</f>
        <v>Replacement</v>
      </c>
      <c r="L523" s="7" t="str">
        <f>IFERROR(VLOOKUP($G523,Mapping!$E$208:$K$236,5,0),"Contracts")</f>
        <v>Labour</v>
      </c>
      <c r="M523" s="7" t="str">
        <f>IFERROR(VLOOKUP($G523,Mapping!$E$208:$K$236,7,0),"ENDirect")</f>
        <v>ENDirect</v>
      </c>
      <c r="N523" s="7" t="str">
        <f>IFERROR(HLOOKUP(L523,'Calc|Weightings'!$U$5:$W$5,1,0),"Excl")</f>
        <v>Labour</v>
      </c>
      <c r="O523" s="7" t="str">
        <f>VLOOKUP(E523,Mapping!$E$11:$I$204,5,0)</f>
        <v>SCS</v>
      </c>
      <c r="Q523" s="32" t="s">
        <v>172</v>
      </c>
      <c r="R523" s="32"/>
      <c r="S523" s="32">
        <v>71005</v>
      </c>
      <c r="T523" s="32" t="s">
        <v>461</v>
      </c>
      <c r="U523" s="33">
        <v>264.45699999999999</v>
      </c>
      <c r="V523" s="7"/>
      <c r="W523" s="7" t="str">
        <f>VLOOKUP($Q523,Mapping!$E$11:$I$204,3,0)</f>
        <v>Replacement</v>
      </c>
      <c r="X523" s="7" t="str">
        <f>IFERROR(VLOOKUP($S523,Mapping!$E$208:$K$236,5,0),"Contracts")</f>
        <v>Materials</v>
      </c>
      <c r="Y523" s="7" t="str">
        <f>IFERROR(VLOOKUP($S523,Mapping!$E$208:$K$236,7,0),"ENDirect")</f>
        <v>ENDirect</v>
      </c>
      <c r="Z523" s="7" t="str">
        <f>IFERROR(HLOOKUP(X523,'Calc|Weightings'!$U$5:$W$5,1,0),"Excl")</f>
        <v>Materials</v>
      </c>
      <c r="AA523" s="7" t="str">
        <f>VLOOKUP(Q523,Mapping!$E$11:$I$204,5,0)</f>
        <v>SCS</v>
      </c>
      <c r="AC523" s="35" t="s">
        <v>168</v>
      </c>
      <c r="AD523" s="35"/>
      <c r="AE523" s="35">
        <v>89999</v>
      </c>
      <c r="AF523" s="35" t="s">
        <v>471</v>
      </c>
      <c r="AG523" s="36">
        <v>0</v>
      </c>
      <c r="AI523" s="7" t="str">
        <f>VLOOKUP($AC523,Mapping!$E$11:$I$204,3,0)</f>
        <v>Replacement</v>
      </c>
      <c r="AJ523" s="7" t="str">
        <f>IFERROR(VLOOKUP($AE523,Mapping!$E$208:$K$236,5,0),"Contracts")</f>
        <v>Contracts</v>
      </c>
      <c r="AK523" s="7" t="str">
        <f>IFERROR(VLOOKUP($AE523,Mapping!$E$208:$K$236,7,0),"ENDirect")</f>
        <v>ENDirect</v>
      </c>
      <c r="AL523" s="7" t="str">
        <f>IFERROR(HLOOKUP(AJ523,'Calc|Weightings'!$U$5:$W$5,1,0),"Excl")</f>
        <v>Contracts</v>
      </c>
      <c r="AM523" s="7" t="str">
        <f>VLOOKUP(AC523,Mapping!$E$11:$I$204,5,0)</f>
        <v>SCS</v>
      </c>
      <c r="AO523" s="35" t="s">
        <v>172</v>
      </c>
      <c r="AP523" s="35"/>
      <c r="AQ523" s="35">
        <v>71005</v>
      </c>
      <c r="AR523" s="35" t="s">
        <v>461</v>
      </c>
      <c r="AS523" s="121">
        <v>11.282770000000001</v>
      </c>
      <c r="AU523" s="7" t="str">
        <f>VLOOKUP($AO523,Mapping!$E$11:$I$204,3,0)</f>
        <v>Replacement</v>
      </c>
      <c r="AV523" s="7" t="str">
        <f>IFERROR(VLOOKUP($AQ523,Mapping!$E$208:$K$236,5,0),"Contracts")</f>
        <v>Materials</v>
      </c>
      <c r="AW523" s="7" t="str">
        <f>IFERROR(VLOOKUP($AQ523,Mapping!$E$208:$K$236,7,0),"ENDirect")</f>
        <v>ENDirect</v>
      </c>
      <c r="AX523" s="7" t="str">
        <f>IFERROR(HLOOKUP(AV523,'Calc|Weightings'!$U$5:$W$5,1,0),"Excl")</f>
        <v>Materials</v>
      </c>
      <c r="AY523" s="7" t="str">
        <f>VLOOKUP(AO523,Mapping!$E$11:$I$204,5,0)</f>
        <v>SCS</v>
      </c>
    </row>
    <row r="524" spans="1:51" x14ac:dyDescent="0.3">
      <c r="A524" s="7"/>
      <c r="B524" s="7"/>
      <c r="C524" s="7"/>
      <c r="D524" s="7"/>
      <c r="E524" s="32" t="s">
        <v>189</v>
      </c>
      <c r="F524" s="32"/>
      <c r="G524" s="32">
        <v>71005</v>
      </c>
      <c r="H524" s="32" t="s">
        <v>461</v>
      </c>
      <c r="I524" s="33">
        <v>75.33</v>
      </c>
      <c r="J524" s="170"/>
      <c r="K524" s="7" t="str">
        <f>VLOOKUP($E524,Mapping!$E$11:$I$204,3,0)</f>
        <v>Replacement</v>
      </c>
      <c r="L524" s="7" t="str">
        <f>IFERROR(VLOOKUP($G524,Mapping!$E$208:$K$236,5,0),"Contracts")</f>
        <v>Materials</v>
      </c>
      <c r="M524" s="7" t="str">
        <f>IFERROR(VLOOKUP($G524,Mapping!$E$208:$K$236,7,0),"ENDirect")</f>
        <v>ENDirect</v>
      </c>
      <c r="N524" s="7" t="str">
        <f>IFERROR(HLOOKUP(L524,'Calc|Weightings'!$U$5:$W$5,1,0),"Excl")</f>
        <v>Materials</v>
      </c>
      <c r="O524" s="7" t="str">
        <f>VLOOKUP(E524,Mapping!$E$11:$I$204,5,0)</f>
        <v>SCS</v>
      </c>
      <c r="Q524" s="32" t="s">
        <v>172</v>
      </c>
      <c r="R524" s="32"/>
      <c r="S524" s="32">
        <v>71010</v>
      </c>
      <c r="T524" s="32" t="s">
        <v>462</v>
      </c>
      <c r="U524" s="33">
        <v>213.90799999999999</v>
      </c>
      <c r="V524" s="7"/>
      <c r="W524" s="7" t="str">
        <f>VLOOKUP($Q524,Mapping!$E$11:$I$204,3,0)</f>
        <v>Replacement</v>
      </c>
      <c r="X524" s="7" t="str">
        <f>IFERROR(VLOOKUP($S524,Mapping!$E$208:$K$236,5,0),"Contracts")</f>
        <v>Labour</v>
      </c>
      <c r="Y524" s="7" t="str">
        <f>IFERROR(VLOOKUP($S524,Mapping!$E$208:$K$236,7,0),"ENDirect")</f>
        <v>ENDirect</v>
      </c>
      <c r="Z524" s="7" t="str">
        <f>IFERROR(HLOOKUP(X524,'Calc|Weightings'!$U$5:$W$5,1,0),"Excl")</f>
        <v>Labour</v>
      </c>
      <c r="AA524" s="7" t="str">
        <f>VLOOKUP(Q524,Mapping!$E$11:$I$204,5,0)</f>
        <v>SCS</v>
      </c>
      <c r="AC524" s="35" t="s">
        <v>169</v>
      </c>
      <c r="AD524" s="35"/>
      <c r="AE524" s="35">
        <v>71000</v>
      </c>
      <c r="AF524" s="35" t="s">
        <v>457</v>
      </c>
      <c r="AG524" s="36">
        <v>32.271999999999998</v>
      </c>
      <c r="AI524" s="7" t="str">
        <f>VLOOKUP($AC524,Mapping!$E$11:$I$204,3,0)</f>
        <v>Replacement</v>
      </c>
      <c r="AJ524" s="7" t="str">
        <f>IFERROR(VLOOKUP($AE524,Mapping!$E$208:$K$236,5,0),"Contracts")</f>
        <v>Labour</v>
      </c>
      <c r="AK524" s="7" t="str">
        <f>IFERROR(VLOOKUP($AE524,Mapping!$E$208:$K$236,7,0),"ENDirect")</f>
        <v>ENDirect</v>
      </c>
      <c r="AL524" s="7" t="str">
        <f>IFERROR(HLOOKUP(AJ524,'Calc|Weightings'!$U$5:$W$5,1,0),"Excl")</f>
        <v>Labour</v>
      </c>
      <c r="AM524" s="7" t="str">
        <f>VLOOKUP(AC524,Mapping!$E$11:$I$204,5,0)</f>
        <v>SCS</v>
      </c>
      <c r="AO524" s="35" t="s">
        <v>172</v>
      </c>
      <c r="AP524" s="35"/>
      <c r="AQ524" s="35">
        <v>71010</v>
      </c>
      <c r="AR524" s="35" t="s">
        <v>487</v>
      </c>
      <c r="AS524" s="121">
        <v>3.1478100000000002</v>
      </c>
      <c r="AU524" s="7" t="str">
        <f>VLOOKUP($AO524,Mapping!$E$11:$I$204,3,0)</f>
        <v>Replacement</v>
      </c>
      <c r="AV524" s="7" t="str">
        <f>IFERROR(VLOOKUP($AQ524,Mapping!$E$208:$K$236,5,0),"Contracts")</f>
        <v>Labour</v>
      </c>
      <c r="AW524" s="7" t="str">
        <f>IFERROR(VLOOKUP($AQ524,Mapping!$E$208:$K$236,7,0),"ENDirect")</f>
        <v>ENDirect</v>
      </c>
      <c r="AX524" s="7" t="str">
        <f>IFERROR(HLOOKUP(AV524,'Calc|Weightings'!$U$5:$W$5,1,0),"Excl")</f>
        <v>Labour</v>
      </c>
      <c r="AY524" s="7" t="str">
        <f>VLOOKUP(AO524,Mapping!$E$11:$I$204,5,0)</f>
        <v>SCS</v>
      </c>
    </row>
    <row r="525" spans="1:51" x14ac:dyDescent="0.3">
      <c r="A525" s="7"/>
      <c r="B525" s="7"/>
      <c r="C525" s="7"/>
      <c r="D525" s="7"/>
      <c r="E525" s="32" t="s">
        <v>189</v>
      </c>
      <c r="F525" s="32"/>
      <c r="G525" s="32">
        <v>71010</v>
      </c>
      <c r="H525" s="32" t="s">
        <v>462</v>
      </c>
      <c r="I525" s="33">
        <v>91.28</v>
      </c>
      <c r="J525" s="170"/>
      <c r="K525" s="7" t="str">
        <f>VLOOKUP($E525,Mapping!$E$11:$I$204,3,0)</f>
        <v>Replacement</v>
      </c>
      <c r="L525" s="7" t="str">
        <f>IFERROR(VLOOKUP($G525,Mapping!$E$208:$K$236,5,0),"Contracts")</f>
        <v>Labour</v>
      </c>
      <c r="M525" s="7" t="str">
        <f>IFERROR(VLOOKUP($G525,Mapping!$E$208:$K$236,7,0),"ENDirect")</f>
        <v>ENDirect</v>
      </c>
      <c r="N525" s="7" t="str">
        <f>IFERROR(HLOOKUP(L525,'Calc|Weightings'!$U$5:$W$5,1,0),"Excl")</f>
        <v>Labour</v>
      </c>
      <c r="O525" s="7" t="str">
        <f>VLOOKUP(E525,Mapping!$E$11:$I$204,5,0)</f>
        <v>SCS</v>
      </c>
      <c r="Q525" s="32" t="s">
        <v>172</v>
      </c>
      <c r="R525" s="32"/>
      <c r="S525" s="32">
        <v>71015</v>
      </c>
      <c r="T525" s="32" t="s">
        <v>463</v>
      </c>
      <c r="U525" s="33">
        <v>116.04900000000001</v>
      </c>
      <c r="V525" s="7"/>
      <c r="W525" s="7" t="str">
        <f>VLOOKUP($Q525,Mapping!$E$11:$I$204,3,0)</f>
        <v>Replacement</v>
      </c>
      <c r="X525" s="7" t="str">
        <f>IFERROR(VLOOKUP($S525,Mapping!$E$208:$K$236,5,0),"Contracts")</f>
        <v>Materials</v>
      </c>
      <c r="Y525" s="7" t="str">
        <f>IFERROR(VLOOKUP($S525,Mapping!$E$208:$K$236,7,0),"ENDirect")</f>
        <v>ENDirect</v>
      </c>
      <c r="Z525" s="7" t="str">
        <f>IFERROR(HLOOKUP(X525,'Calc|Weightings'!$U$5:$W$5,1,0),"Excl")</f>
        <v>Materials</v>
      </c>
      <c r="AA525" s="7" t="str">
        <f>VLOOKUP(Q525,Mapping!$E$11:$I$204,5,0)</f>
        <v>SCS</v>
      </c>
      <c r="AC525" s="35" t="s">
        <v>169</v>
      </c>
      <c r="AD525" s="35"/>
      <c r="AE525" s="35">
        <v>71005</v>
      </c>
      <c r="AF525" s="35" t="s">
        <v>461</v>
      </c>
      <c r="AG525" s="36">
        <v>5.24</v>
      </c>
      <c r="AI525" s="7" t="str">
        <f>VLOOKUP($AC525,Mapping!$E$11:$I$204,3,0)</f>
        <v>Replacement</v>
      </c>
      <c r="AJ525" s="7" t="str">
        <f>IFERROR(VLOOKUP($AE525,Mapping!$E$208:$K$236,5,0),"Contracts")</f>
        <v>Materials</v>
      </c>
      <c r="AK525" s="7" t="str">
        <f>IFERROR(VLOOKUP($AE525,Mapping!$E$208:$K$236,7,0),"ENDirect")</f>
        <v>ENDirect</v>
      </c>
      <c r="AL525" s="7" t="str">
        <f>IFERROR(HLOOKUP(AJ525,'Calc|Weightings'!$U$5:$W$5,1,0),"Excl")</f>
        <v>Materials</v>
      </c>
      <c r="AM525" s="7" t="str">
        <f>VLOOKUP(AC525,Mapping!$E$11:$I$204,5,0)</f>
        <v>SCS</v>
      </c>
      <c r="AO525" s="35" t="s">
        <v>172</v>
      </c>
      <c r="AP525" s="35"/>
      <c r="AQ525" s="35">
        <v>71015</v>
      </c>
      <c r="AR525" s="35" t="s">
        <v>585</v>
      </c>
      <c r="AS525" s="121">
        <v>7.4777700000000005</v>
      </c>
      <c r="AU525" s="7" t="str">
        <f>VLOOKUP($AO525,Mapping!$E$11:$I$204,3,0)</f>
        <v>Replacement</v>
      </c>
      <c r="AV525" s="7" t="str">
        <f>IFERROR(VLOOKUP($AQ525,Mapping!$E$208:$K$236,5,0),"Contracts")</f>
        <v>Materials</v>
      </c>
      <c r="AW525" s="7" t="str">
        <f>IFERROR(VLOOKUP($AQ525,Mapping!$E$208:$K$236,7,0),"ENDirect")</f>
        <v>ENDirect</v>
      </c>
      <c r="AX525" s="7" t="str">
        <f>IFERROR(HLOOKUP(AV525,'Calc|Weightings'!$U$5:$W$5,1,0),"Excl")</f>
        <v>Materials</v>
      </c>
      <c r="AY525" s="7" t="str">
        <f>VLOOKUP(AO525,Mapping!$E$11:$I$204,5,0)</f>
        <v>SCS</v>
      </c>
    </row>
    <row r="526" spans="1:51" x14ac:dyDescent="0.3">
      <c r="A526" s="7"/>
      <c r="B526" s="7"/>
      <c r="C526" s="7"/>
      <c r="D526" s="7"/>
      <c r="E526" s="32" t="s">
        <v>189</v>
      </c>
      <c r="F526" s="32"/>
      <c r="G526" s="32">
        <v>71015</v>
      </c>
      <c r="H526" s="32" t="s">
        <v>463</v>
      </c>
      <c r="I526" s="33">
        <v>15.516</v>
      </c>
      <c r="J526" s="170"/>
      <c r="K526" s="7" t="str">
        <f>VLOOKUP($E526,Mapping!$E$11:$I$204,3,0)</f>
        <v>Replacement</v>
      </c>
      <c r="L526" s="7" t="str">
        <f>IFERROR(VLOOKUP($G526,Mapping!$E$208:$K$236,5,0),"Contracts")</f>
        <v>Materials</v>
      </c>
      <c r="M526" s="7" t="str">
        <f>IFERROR(VLOOKUP($G526,Mapping!$E$208:$K$236,7,0),"ENDirect")</f>
        <v>ENDirect</v>
      </c>
      <c r="N526" s="7" t="str">
        <f>IFERROR(HLOOKUP(L526,'Calc|Weightings'!$U$5:$W$5,1,0),"Excl")</f>
        <v>Materials</v>
      </c>
      <c r="O526" s="7" t="str">
        <f>VLOOKUP(E526,Mapping!$E$11:$I$204,5,0)</f>
        <v>SCS</v>
      </c>
      <c r="Q526" s="32" t="s">
        <v>172</v>
      </c>
      <c r="R526" s="32"/>
      <c r="S526" s="32">
        <v>71020</v>
      </c>
      <c r="T526" s="32" t="s">
        <v>459</v>
      </c>
      <c r="U526" s="33">
        <v>24.350999999999999</v>
      </c>
      <c r="V526" s="7"/>
      <c r="W526" s="7" t="str">
        <f>VLOOKUP($Q526,Mapping!$E$11:$I$204,3,0)</f>
        <v>Replacement</v>
      </c>
      <c r="X526" s="7" t="str">
        <f>IFERROR(VLOOKUP($S526,Mapping!$E$208:$K$236,5,0),"Contracts")</f>
        <v>Contracts</v>
      </c>
      <c r="Y526" s="7" t="str">
        <f>IFERROR(VLOOKUP($S526,Mapping!$E$208:$K$236,7,0),"ENDirect")</f>
        <v>ENDirect</v>
      </c>
      <c r="Z526" s="7" t="str">
        <f>IFERROR(HLOOKUP(X526,'Calc|Weightings'!$U$5:$W$5,1,0),"Excl")</f>
        <v>Contracts</v>
      </c>
      <c r="AA526" s="7" t="str">
        <f>VLOOKUP(Q526,Mapping!$E$11:$I$204,5,0)</f>
        <v>SCS</v>
      </c>
      <c r="AC526" s="35" t="s">
        <v>169</v>
      </c>
      <c r="AD526" s="35"/>
      <c r="AE526" s="35">
        <v>71010</v>
      </c>
      <c r="AF526" s="35" t="s">
        <v>462</v>
      </c>
      <c r="AG526" s="36">
        <v>5.7069999999999999</v>
      </c>
      <c r="AI526" s="7" t="str">
        <f>VLOOKUP($AC526,Mapping!$E$11:$I$204,3,0)</f>
        <v>Replacement</v>
      </c>
      <c r="AJ526" s="7" t="str">
        <f>IFERROR(VLOOKUP($AE526,Mapping!$E$208:$K$236,5,0),"Contracts")</f>
        <v>Labour</v>
      </c>
      <c r="AK526" s="7" t="str">
        <f>IFERROR(VLOOKUP($AE526,Mapping!$E$208:$K$236,7,0),"ENDirect")</f>
        <v>ENDirect</v>
      </c>
      <c r="AL526" s="7" t="str">
        <f>IFERROR(HLOOKUP(AJ526,'Calc|Weightings'!$U$5:$W$5,1,0),"Excl")</f>
        <v>Labour</v>
      </c>
      <c r="AM526" s="7" t="str">
        <f>VLOOKUP(AC526,Mapping!$E$11:$I$204,5,0)</f>
        <v>SCS</v>
      </c>
      <c r="AO526" s="35" t="s">
        <v>172</v>
      </c>
      <c r="AP526" s="35"/>
      <c r="AQ526" s="35">
        <v>71030</v>
      </c>
      <c r="AR526" s="35" t="s">
        <v>464</v>
      </c>
      <c r="AS526" s="121">
        <v>5.3300400000000003</v>
      </c>
      <c r="AU526" s="7" t="str">
        <f>VLOOKUP($AO526,Mapping!$E$11:$I$204,3,0)</f>
        <v>Replacement</v>
      </c>
      <c r="AV526" s="7" t="str">
        <f>IFERROR(VLOOKUP($AQ526,Mapping!$E$208:$K$236,5,0),"Contracts")</f>
        <v>Contracts</v>
      </c>
      <c r="AW526" s="7" t="str">
        <f>IFERROR(VLOOKUP($AQ526,Mapping!$E$208:$K$236,7,0),"ENDirect")</f>
        <v>ENDirect</v>
      </c>
      <c r="AX526" s="7" t="str">
        <f>IFERROR(HLOOKUP(AV526,'Calc|Weightings'!$U$5:$W$5,1,0),"Excl")</f>
        <v>Contracts</v>
      </c>
      <c r="AY526" s="7" t="str">
        <f>VLOOKUP(AO526,Mapping!$E$11:$I$204,5,0)</f>
        <v>SCS</v>
      </c>
    </row>
    <row r="527" spans="1:51" x14ac:dyDescent="0.3">
      <c r="A527" s="7"/>
      <c r="B527" s="7"/>
      <c r="C527" s="7"/>
      <c r="D527" s="7"/>
      <c r="E527" s="32" t="s">
        <v>189</v>
      </c>
      <c r="F527" s="32"/>
      <c r="G527" s="32">
        <v>71020</v>
      </c>
      <c r="H527" s="32" t="s">
        <v>459</v>
      </c>
      <c r="I527" s="33">
        <v>0.77400000000000002</v>
      </c>
      <c r="J527" s="170"/>
      <c r="K527" s="7" t="str">
        <f>VLOOKUP($E527,Mapping!$E$11:$I$204,3,0)</f>
        <v>Replacement</v>
      </c>
      <c r="L527" s="7" t="str">
        <f>IFERROR(VLOOKUP($G527,Mapping!$E$208:$K$236,5,0),"Contracts")</f>
        <v>Contracts</v>
      </c>
      <c r="M527" s="7" t="str">
        <f>IFERROR(VLOOKUP($G527,Mapping!$E$208:$K$236,7,0),"ENDirect")</f>
        <v>ENDirect</v>
      </c>
      <c r="N527" s="7" t="str">
        <f>IFERROR(HLOOKUP(L527,'Calc|Weightings'!$U$5:$W$5,1,0),"Excl")</f>
        <v>Contracts</v>
      </c>
      <c r="O527" s="7" t="str">
        <f>VLOOKUP(E527,Mapping!$E$11:$I$204,5,0)</f>
        <v>SCS</v>
      </c>
      <c r="Q527" s="32" t="s">
        <v>172</v>
      </c>
      <c r="R527" s="32"/>
      <c r="S527" s="32">
        <v>71030</v>
      </c>
      <c r="T527" s="32" t="s">
        <v>464</v>
      </c>
      <c r="U527" s="33">
        <v>85.344999999999999</v>
      </c>
      <c r="V527" s="7"/>
      <c r="W527" s="7" t="str">
        <f>VLOOKUP($Q527,Mapping!$E$11:$I$204,3,0)</f>
        <v>Replacement</v>
      </c>
      <c r="X527" s="7" t="str">
        <f>IFERROR(VLOOKUP($S527,Mapping!$E$208:$K$236,5,0),"Contracts")</f>
        <v>Contracts</v>
      </c>
      <c r="Y527" s="7" t="str">
        <f>IFERROR(VLOOKUP($S527,Mapping!$E$208:$K$236,7,0),"ENDirect")</f>
        <v>ENDirect</v>
      </c>
      <c r="Z527" s="7" t="str">
        <f>IFERROR(HLOOKUP(X527,'Calc|Weightings'!$U$5:$W$5,1,0),"Excl")</f>
        <v>Contracts</v>
      </c>
      <c r="AA527" s="7" t="str">
        <f>VLOOKUP(Q527,Mapping!$E$11:$I$204,5,0)</f>
        <v>SCS</v>
      </c>
      <c r="AC527" s="35" t="s">
        <v>169</v>
      </c>
      <c r="AD527" s="35"/>
      <c r="AE527" s="35">
        <v>71015</v>
      </c>
      <c r="AF527" s="35" t="s">
        <v>463</v>
      </c>
      <c r="AG527" s="36">
        <v>5.0469999999999997</v>
      </c>
      <c r="AI527" s="7" t="str">
        <f>VLOOKUP($AC527,Mapping!$E$11:$I$204,3,0)</f>
        <v>Replacement</v>
      </c>
      <c r="AJ527" s="7" t="str">
        <f>IFERROR(VLOOKUP($AE527,Mapping!$E$208:$K$236,5,0),"Contracts")</f>
        <v>Materials</v>
      </c>
      <c r="AK527" s="7" t="str">
        <f>IFERROR(VLOOKUP($AE527,Mapping!$E$208:$K$236,7,0),"ENDirect")</f>
        <v>ENDirect</v>
      </c>
      <c r="AL527" s="7" t="str">
        <f>IFERROR(HLOOKUP(AJ527,'Calc|Weightings'!$U$5:$W$5,1,0),"Excl")</f>
        <v>Materials</v>
      </c>
      <c r="AM527" s="7" t="str">
        <f>VLOOKUP(AC527,Mapping!$E$11:$I$204,5,0)</f>
        <v>SCS</v>
      </c>
      <c r="AO527" s="35" t="s">
        <v>172</v>
      </c>
      <c r="AP527" s="35"/>
      <c r="AQ527" s="35">
        <v>71055</v>
      </c>
      <c r="AR527" s="35" t="s">
        <v>465</v>
      </c>
      <c r="AS527" s="121">
        <v>12.081799999999999</v>
      </c>
      <c r="AU527" s="7" t="str">
        <f>VLOOKUP($AO527,Mapping!$E$11:$I$204,3,0)</f>
        <v>Replacement</v>
      </c>
      <c r="AV527" s="7" t="str">
        <f>IFERROR(VLOOKUP($AQ527,Mapping!$E$208:$K$236,5,0),"Contracts")</f>
        <v>Contracts</v>
      </c>
      <c r="AW527" s="7" t="str">
        <f>IFERROR(VLOOKUP($AQ527,Mapping!$E$208:$K$236,7,0),"ENDirect")</f>
        <v>ENDirect</v>
      </c>
      <c r="AX527" s="7" t="str">
        <f>IFERROR(HLOOKUP(AV527,'Calc|Weightings'!$U$5:$W$5,1,0),"Excl")</f>
        <v>Contracts</v>
      </c>
      <c r="AY527" s="7" t="str">
        <f>VLOOKUP(AO527,Mapping!$E$11:$I$204,5,0)</f>
        <v>SCS</v>
      </c>
    </row>
    <row r="528" spans="1:51" x14ac:dyDescent="0.3">
      <c r="A528" s="7"/>
      <c r="B528" s="7"/>
      <c r="C528" s="7"/>
      <c r="D528" s="7"/>
      <c r="E528" s="32" t="s">
        <v>189</v>
      </c>
      <c r="F528" s="32"/>
      <c r="G528" s="32">
        <v>71030</v>
      </c>
      <c r="H528" s="32" t="s">
        <v>464</v>
      </c>
      <c r="I528" s="33">
        <v>21.718</v>
      </c>
      <c r="J528" s="170"/>
      <c r="K528" s="7" t="str">
        <f>VLOOKUP($E528,Mapping!$E$11:$I$204,3,0)</f>
        <v>Replacement</v>
      </c>
      <c r="L528" s="7" t="str">
        <f>IFERROR(VLOOKUP($G528,Mapping!$E$208:$K$236,5,0),"Contracts")</f>
        <v>Contracts</v>
      </c>
      <c r="M528" s="7" t="str">
        <f>IFERROR(VLOOKUP($G528,Mapping!$E$208:$K$236,7,0),"ENDirect")</f>
        <v>ENDirect</v>
      </c>
      <c r="N528" s="7" t="str">
        <f>IFERROR(HLOOKUP(L528,'Calc|Weightings'!$U$5:$W$5,1,0),"Excl")</f>
        <v>Contracts</v>
      </c>
      <c r="O528" s="7" t="str">
        <f>VLOOKUP(E528,Mapping!$E$11:$I$204,5,0)</f>
        <v>SCS</v>
      </c>
      <c r="Q528" s="32" t="s">
        <v>172</v>
      </c>
      <c r="R528" s="32"/>
      <c r="S528" s="32">
        <v>71055</v>
      </c>
      <c r="T528" s="32" t="s">
        <v>465</v>
      </c>
      <c r="U528" s="33">
        <v>149.79</v>
      </c>
      <c r="V528" s="7"/>
      <c r="W528" s="7" t="str">
        <f>VLOOKUP($Q528,Mapping!$E$11:$I$204,3,0)</f>
        <v>Replacement</v>
      </c>
      <c r="X528" s="7" t="str">
        <f>IFERROR(VLOOKUP($S528,Mapping!$E$208:$K$236,5,0),"Contracts")</f>
        <v>Contracts</v>
      </c>
      <c r="Y528" s="7" t="str">
        <f>IFERROR(VLOOKUP($S528,Mapping!$E$208:$K$236,7,0),"ENDirect")</f>
        <v>ENDirect</v>
      </c>
      <c r="Z528" s="7" t="str">
        <f>IFERROR(HLOOKUP(X528,'Calc|Weightings'!$U$5:$W$5,1,0),"Excl")</f>
        <v>Contracts</v>
      </c>
      <c r="AA528" s="7" t="str">
        <f>VLOOKUP(Q528,Mapping!$E$11:$I$204,5,0)</f>
        <v>SCS</v>
      </c>
      <c r="AC528" s="35" t="s">
        <v>169</v>
      </c>
      <c r="AD528" s="35"/>
      <c r="AE528" s="35">
        <v>71030</v>
      </c>
      <c r="AF528" s="35" t="s">
        <v>464</v>
      </c>
      <c r="AG528" s="36">
        <v>3.92</v>
      </c>
      <c r="AI528" s="7" t="str">
        <f>VLOOKUP($AC528,Mapping!$E$11:$I$204,3,0)</f>
        <v>Replacement</v>
      </c>
      <c r="AJ528" s="7" t="str">
        <f>IFERROR(VLOOKUP($AE528,Mapping!$E$208:$K$236,5,0),"Contracts")</f>
        <v>Contracts</v>
      </c>
      <c r="AK528" s="7" t="str">
        <f>IFERROR(VLOOKUP($AE528,Mapping!$E$208:$K$236,7,0),"ENDirect")</f>
        <v>ENDirect</v>
      </c>
      <c r="AL528" s="7" t="str">
        <f>IFERROR(HLOOKUP(AJ528,'Calc|Weightings'!$U$5:$W$5,1,0),"Excl")</f>
        <v>Contracts</v>
      </c>
      <c r="AM528" s="7" t="str">
        <f>VLOOKUP(AC528,Mapping!$E$11:$I$204,5,0)</f>
        <v>SCS</v>
      </c>
      <c r="AO528" s="35" t="s">
        <v>172</v>
      </c>
      <c r="AP528" s="35"/>
      <c r="AQ528" s="35">
        <v>71070</v>
      </c>
      <c r="AR528" s="35" t="s">
        <v>586</v>
      </c>
      <c r="AS528" s="121">
        <v>10.321099999999999</v>
      </c>
      <c r="AU528" s="7" t="str">
        <f>VLOOKUP($AO528,Mapping!$E$11:$I$204,3,0)</f>
        <v>Replacement</v>
      </c>
      <c r="AV528" s="7" t="str">
        <f>IFERROR(VLOOKUP($AQ528,Mapping!$E$208:$K$236,5,0),"Contracts")</f>
        <v>Contracts</v>
      </c>
      <c r="AW528" s="7" t="str">
        <f>IFERROR(VLOOKUP($AQ528,Mapping!$E$208:$K$236,7,0),"ENDirect")</f>
        <v>ENDirect</v>
      </c>
      <c r="AX528" s="7" t="str">
        <f>IFERROR(HLOOKUP(AV528,'Calc|Weightings'!$U$5:$W$5,1,0),"Excl")</f>
        <v>Contracts</v>
      </c>
      <c r="AY528" s="7" t="str">
        <f>VLOOKUP(AO528,Mapping!$E$11:$I$204,5,0)</f>
        <v>SCS</v>
      </c>
    </row>
    <row r="529" spans="1:51" x14ac:dyDescent="0.3">
      <c r="A529" s="7"/>
      <c r="B529" s="7"/>
      <c r="C529" s="7"/>
      <c r="D529" s="7"/>
      <c r="E529" s="32" t="s">
        <v>189</v>
      </c>
      <c r="F529" s="32"/>
      <c r="G529" s="32">
        <v>71055</v>
      </c>
      <c r="H529" s="32" t="s">
        <v>465</v>
      </c>
      <c r="I529" s="33">
        <v>60.664999999999999</v>
      </c>
      <c r="J529" s="170"/>
      <c r="K529" s="7" t="str">
        <f>VLOOKUP($E529,Mapping!$E$11:$I$204,3,0)</f>
        <v>Replacement</v>
      </c>
      <c r="L529" s="7" t="str">
        <f>IFERROR(VLOOKUP($G529,Mapping!$E$208:$K$236,5,0),"Contracts")</f>
        <v>Contracts</v>
      </c>
      <c r="M529" s="7" t="str">
        <f>IFERROR(VLOOKUP($G529,Mapping!$E$208:$K$236,7,0),"ENDirect")</f>
        <v>ENDirect</v>
      </c>
      <c r="N529" s="7" t="str">
        <f>IFERROR(HLOOKUP(L529,'Calc|Weightings'!$U$5:$W$5,1,0),"Excl")</f>
        <v>Contracts</v>
      </c>
      <c r="O529" s="7" t="str">
        <f>VLOOKUP(E529,Mapping!$E$11:$I$204,5,0)</f>
        <v>SCS</v>
      </c>
      <c r="Q529" s="32" t="s">
        <v>172</v>
      </c>
      <c r="R529" s="32"/>
      <c r="S529" s="32">
        <v>80000</v>
      </c>
      <c r="T529" s="32" t="s">
        <v>453</v>
      </c>
      <c r="U529" s="33">
        <v>165.85300000000001</v>
      </c>
      <c r="V529" s="7"/>
      <c r="W529" s="7" t="str">
        <f>VLOOKUP($Q529,Mapping!$E$11:$I$204,3,0)</f>
        <v>Replacement</v>
      </c>
      <c r="X529" s="7" t="str">
        <f>IFERROR(VLOOKUP($S529,Mapping!$E$208:$K$236,5,0),"Contracts")</f>
        <v>Overhead</v>
      </c>
      <c r="Y529" s="7" t="str">
        <f>IFERROR(VLOOKUP($S529,Mapping!$E$208:$K$236,7,0),"ENDirect")</f>
        <v>OH</v>
      </c>
      <c r="Z529" s="7" t="str">
        <f>IFERROR(HLOOKUP(X529,'Calc|Weightings'!$U$5:$W$5,1,0),"Excl")</f>
        <v>Excl</v>
      </c>
      <c r="AA529" s="7" t="str">
        <f>VLOOKUP(Q529,Mapping!$E$11:$I$204,5,0)</f>
        <v>SCS</v>
      </c>
      <c r="AC529" s="35" t="s">
        <v>169</v>
      </c>
      <c r="AD529" s="35"/>
      <c r="AE529" s="35">
        <v>71055</v>
      </c>
      <c r="AF529" s="35" t="s">
        <v>465</v>
      </c>
      <c r="AG529" s="36">
        <v>9.5660000000000007</v>
      </c>
      <c r="AI529" s="7" t="str">
        <f>VLOOKUP($AC529,Mapping!$E$11:$I$204,3,0)</f>
        <v>Replacement</v>
      </c>
      <c r="AJ529" s="7" t="str">
        <f>IFERROR(VLOOKUP($AE529,Mapping!$E$208:$K$236,5,0),"Contracts")</f>
        <v>Contracts</v>
      </c>
      <c r="AK529" s="7" t="str">
        <f>IFERROR(VLOOKUP($AE529,Mapping!$E$208:$K$236,7,0),"ENDirect")</f>
        <v>ENDirect</v>
      </c>
      <c r="AL529" s="7" t="str">
        <f>IFERROR(HLOOKUP(AJ529,'Calc|Weightings'!$U$5:$W$5,1,0),"Excl")</f>
        <v>Contracts</v>
      </c>
      <c r="AM529" s="7" t="str">
        <f>VLOOKUP(AC529,Mapping!$E$11:$I$204,5,0)</f>
        <v>SCS</v>
      </c>
      <c r="AO529" s="35" t="s">
        <v>172</v>
      </c>
      <c r="AP529" s="35"/>
      <c r="AQ529" s="35">
        <v>71075</v>
      </c>
      <c r="AR529" s="35" t="s">
        <v>587</v>
      </c>
      <c r="AS529" s="121">
        <v>112.2804000000003</v>
      </c>
      <c r="AU529" s="7" t="str">
        <f>VLOOKUP($AO529,Mapping!$E$11:$I$204,3,0)</f>
        <v>Replacement</v>
      </c>
      <c r="AV529" s="7" t="str">
        <f>IFERROR(VLOOKUP($AQ529,Mapping!$E$208:$K$236,5,0),"Contracts")</f>
        <v>Contracts</v>
      </c>
      <c r="AW529" s="7" t="str">
        <f>IFERROR(VLOOKUP($AQ529,Mapping!$E$208:$K$236,7,0),"ENDirect")</f>
        <v>ENDirect</v>
      </c>
      <c r="AX529" s="7" t="str">
        <f>IFERROR(HLOOKUP(AV529,'Calc|Weightings'!$U$5:$W$5,1,0),"Excl")</f>
        <v>Contracts</v>
      </c>
      <c r="AY529" s="7" t="str">
        <f>VLOOKUP(AO529,Mapping!$E$11:$I$204,5,0)</f>
        <v>SCS</v>
      </c>
    </row>
    <row r="530" spans="1:51" x14ac:dyDescent="0.3">
      <c r="A530" s="7"/>
      <c r="B530" s="7"/>
      <c r="C530" s="7"/>
      <c r="D530" s="7"/>
      <c r="E530" s="32" t="s">
        <v>189</v>
      </c>
      <c r="F530" s="32"/>
      <c r="G530" s="32">
        <v>80000</v>
      </c>
      <c r="H530" s="32" t="s">
        <v>453</v>
      </c>
      <c r="I530" s="33">
        <v>32.576000000000001</v>
      </c>
      <c r="J530" s="170"/>
      <c r="K530" s="7" t="str">
        <f>VLOOKUP($E530,Mapping!$E$11:$I$204,3,0)</f>
        <v>Replacement</v>
      </c>
      <c r="L530" s="7" t="str">
        <f>IFERROR(VLOOKUP($G530,Mapping!$E$208:$K$236,5,0),"Contracts")</f>
        <v>Overhead</v>
      </c>
      <c r="M530" s="7" t="str">
        <f>IFERROR(VLOOKUP($G530,Mapping!$E$208:$K$236,7,0),"ENDirect")</f>
        <v>OH</v>
      </c>
      <c r="N530" s="7" t="str">
        <f>IFERROR(HLOOKUP(L530,'Calc|Weightings'!$U$5:$W$5,1,0),"Excl")</f>
        <v>Excl</v>
      </c>
      <c r="O530" s="7" t="str">
        <f>VLOOKUP(E530,Mapping!$E$11:$I$204,5,0)</f>
        <v>SCS</v>
      </c>
      <c r="Q530" s="32" t="s">
        <v>172</v>
      </c>
      <c r="R530" s="32"/>
      <c r="S530" s="32">
        <v>89999</v>
      </c>
      <c r="T530" s="32" t="s">
        <v>471</v>
      </c>
      <c r="U530" s="33">
        <v>0</v>
      </c>
      <c r="V530" s="7"/>
      <c r="W530" s="7" t="str">
        <f>VLOOKUP($Q530,Mapping!$E$11:$I$204,3,0)</f>
        <v>Replacement</v>
      </c>
      <c r="X530" s="7" t="str">
        <f>IFERROR(VLOOKUP($S530,Mapping!$E$208:$K$236,5,0),"Contracts")</f>
        <v>Contracts</v>
      </c>
      <c r="Y530" s="7" t="str">
        <f>IFERROR(VLOOKUP($S530,Mapping!$E$208:$K$236,7,0),"ENDirect")</f>
        <v>ENDirect</v>
      </c>
      <c r="Z530" s="7" t="str">
        <f>IFERROR(HLOOKUP(X530,'Calc|Weightings'!$U$5:$W$5,1,0),"Excl")</f>
        <v>Contracts</v>
      </c>
      <c r="AA530" s="7" t="str">
        <f>VLOOKUP(Q530,Mapping!$E$11:$I$204,5,0)</f>
        <v>SCS</v>
      </c>
      <c r="AC530" s="35" t="s">
        <v>169</v>
      </c>
      <c r="AD530" s="35"/>
      <c r="AE530" s="35">
        <v>80000</v>
      </c>
      <c r="AF530" s="35" t="s">
        <v>453</v>
      </c>
      <c r="AG530" s="36">
        <v>7.8620000000000001</v>
      </c>
      <c r="AI530" s="7" t="str">
        <f>VLOOKUP($AC530,Mapping!$E$11:$I$204,3,0)</f>
        <v>Replacement</v>
      </c>
      <c r="AJ530" s="7" t="str">
        <f>IFERROR(VLOOKUP($AE530,Mapping!$E$208:$K$236,5,0),"Contracts")</f>
        <v>Overhead</v>
      </c>
      <c r="AK530" s="7" t="str">
        <f>IFERROR(VLOOKUP($AE530,Mapping!$E$208:$K$236,7,0),"ENDirect")</f>
        <v>OH</v>
      </c>
      <c r="AL530" s="7" t="str">
        <f>IFERROR(HLOOKUP(AJ530,'Calc|Weightings'!$U$5:$W$5,1,0),"Excl")</f>
        <v>Excl</v>
      </c>
      <c r="AM530" s="7" t="str">
        <f>VLOOKUP(AC530,Mapping!$E$11:$I$204,5,0)</f>
        <v>SCS</v>
      </c>
      <c r="AO530" s="35" t="s">
        <v>172</v>
      </c>
      <c r="AP530" s="35"/>
      <c r="AQ530" s="35">
        <v>80000</v>
      </c>
      <c r="AR530" s="35" t="s">
        <v>589</v>
      </c>
      <c r="AS530" s="121">
        <v>197.56698</v>
      </c>
      <c r="AU530" s="7" t="str">
        <f>VLOOKUP($AO530,Mapping!$E$11:$I$204,3,0)</f>
        <v>Replacement</v>
      </c>
      <c r="AV530" s="7" t="str">
        <f>IFERROR(VLOOKUP($AQ530,Mapping!$E$208:$K$236,5,0),"Contracts")</f>
        <v>Overhead</v>
      </c>
      <c r="AW530" s="7" t="str">
        <f>IFERROR(VLOOKUP($AQ530,Mapping!$E$208:$K$236,7,0),"ENDirect")</f>
        <v>OH</v>
      </c>
      <c r="AX530" s="7" t="str">
        <f>IFERROR(HLOOKUP(AV530,'Calc|Weightings'!$U$5:$W$5,1,0),"Excl")</f>
        <v>Excl</v>
      </c>
      <c r="AY530" s="7" t="str">
        <f>VLOOKUP(AO530,Mapping!$E$11:$I$204,5,0)</f>
        <v>SCS</v>
      </c>
    </row>
    <row r="531" spans="1:51" x14ac:dyDescent="0.3">
      <c r="A531" s="7"/>
      <c r="B531" s="7"/>
      <c r="C531" s="7"/>
      <c r="D531" s="7"/>
      <c r="E531" s="32" t="s">
        <v>190</v>
      </c>
      <c r="F531" s="32"/>
      <c r="G531" s="32">
        <v>71020</v>
      </c>
      <c r="H531" s="32" t="s">
        <v>459</v>
      </c>
      <c r="I531" s="33">
        <v>13.603</v>
      </c>
      <c r="J531" s="170"/>
      <c r="K531" s="7" t="str">
        <f>VLOOKUP($E531,Mapping!$E$11:$I$204,3,0)</f>
        <v>Replacement</v>
      </c>
      <c r="L531" s="7" t="str">
        <f>IFERROR(VLOOKUP($G531,Mapping!$E$208:$K$236,5,0),"Contracts")</f>
        <v>Contracts</v>
      </c>
      <c r="M531" s="7" t="str">
        <f>IFERROR(VLOOKUP($G531,Mapping!$E$208:$K$236,7,0),"ENDirect")</f>
        <v>ENDirect</v>
      </c>
      <c r="N531" s="7" t="str">
        <f>IFERROR(HLOOKUP(L531,'Calc|Weightings'!$U$5:$W$5,1,0),"Excl")</f>
        <v>Contracts</v>
      </c>
      <c r="O531" s="7" t="str">
        <f>VLOOKUP(E531,Mapping!$E$11:$I$204,5,0)</f>
        <v>SCS</v>
      </c>
      <c r="Q531" s="32" t="s">
        <v>180</v>
      </c>
      <c r="R531" s="32"/>
      <c r="S531" s="32">
        <v>71000</v>
      </c>
      <c r="T531" s="32" t="s">
        <v>457</v>
      </c>
      <c r="U531" s="33">
        <v>234.23099999999999</v>
      </c>
      <c r="V531" s="7"/>
      <c r="W531" s="7" t="str">
        <f>VLOOKUP($Q531,Mapping!$E$11:$I$204,3,0)</f>
        <v>Replacement</v>
      </c>
      <c r="X531" s="7" t="str">
        <f>IFERROR(VLOOKUP($S531,Mapping!$E$208:$K$236,5,0),"Contracts")</f>
        <v>Labour</v>
      </c>
      <c r="Y531" s="7" t="str">
        <f>IFERROR(VLOOKUP($S531,Mapping!$E$208:$K$236,7,0),"ENDirect")</f>
        <v>ENDirect</v>
      </c>
      <c r="Z531" s="7" t="str">
        <f>IFERROR(HLOOKUP(X531,'Calc|Weightings'!$U$5:$W$5,1,0),"Excl")</f>
        <v>Labour</v>
      </c>
      <c r="AA531" s="7" t="str">
        <f>VLOOKUP(Q531,Mapping!$E$11:$I$204,5,0)</f>
        <v>SCS</v>
      </c>
      <c r="AC531" s="35" t="s">
        <v>169</v>
      </c>
      <c r="AD531" s="35"/>
      <c r="AE531" s="35">
        <v>89999</v>
      </c>
      <c r="AF531" s="35" t="s">
        <v>471</v>
      </c>
      <c r="AG531" s="36">
        <v>0</v>
      </c>
      <c r="AI531" s="7" t="str">
        <f>VLOOKUP($AC531,Mapping!$E$11:$I$204,3,0)</f>
        <v>Replacement</v>
      </c>
      <c r="AJ531" s="7" t="str">
        <f>IFERROR(VLOOKUP($AE531,Mapping!$E$208:$K$236,5,0),"Contracts")</f>
        <v>Contracts</v>
      </c>
      <c r="AK531" s="7" t="str">
        <f>IFERROR(VLOOKUP($AE531,Mapping!$E$208:$K$236,7,0),"ENDirect")</f>
        <v>ENDirect</v>
      </c>
      <c r="AL531" s="7" t="str">
        <f>IFERROR(HLOOKUP(AJ531,'Calc|Weightings'!$U$5:$W$5,1,0),"Excl")</f>
        <v>Contracts</v>
      </c>
      <c r="AM531" s="7" t="str">
        <f>VLOOKUP(AC531,Mapping!$E$11:$I$204,5,0)</f>
        <v>SCS</v>
      </c>
      <c r="AO531" s="35" t="s">
        <v>172</v>
      </c>
      <c r="AP531" s="35"/>
      <c r="AQ531" s="35">
        <v>83010</v>
      </c>
      <c r="AR531" s="35" t="s">
        <v>591</v>
      </c>
      <c r="AS531" s="121">
        <v>921.67422999999076</v>
      </c>
      <c r="AU531" s="7" t="str">
        <f>VLOOKUP($AO531,Mapping!$E$11:$I$204,3,0)</f>
        <v>Replacement</v>
      </c>
      <c r="AV531" s="7" t="str">
        <f>IFERROR(VLOOKUP($AQ531,Mapping!$E$208:$K$236,5,0),"Contracts")</f>
        <v>Contracts</v>
      </c>
      <c r="AW531" s="7" t="str">
        <f>IFERROR(VLOOKUP($AQ531,Mapping!$E$208:$K$236,7,0),"ENDirect")</f>
        <v>ENDirect</v>
      </c>
      <c r="AX531" s="7" t="str">
        <f>IFERROR(HLOOKUP(AV531,'Calc|Weightings'!$U$5:$W$5,1,0),"Excl")</f>
        <v>Contracts</v>
      </c>
      <c r="AY531" s="7" t="str">
        <f>VLOOKUP(AO531,Mapping!$E$11:$I$204,5,0)</f>
        <v>SCS</v>
      </c>
    </row>
    <row r="532" spans="1:51" x14ac:dyDescent="0.3">
      <c r="A532" s="7"/>
      <c r="B532" s="7"/>
      <c r="C532" s="7"/>
      <c r="D532" s="7"/>
      <c r="E532" s="32" t="s">
        <v>246</v>
      </c>
      <c r="F532" s="32"/>
      <c r="G532" s="32">
        <v>71000</v>
      </c>
      <c r="H532" s="32" t="s">
        <v>457</v>
      </c>
      <c r="I532" s="33">
        <v>2.73</v>
      </c>
      <c r="J532" s="170"/>
      <c r="K532" s="7" t="str">
        <f>VLOOKUP($E532,Mapping!$E$11:$I$204,3,0)</f>
        <v>ACS</v>
      </c>
      <c r="L532" s="7" t="str">
        <f>IFERROR(VLOOKUP($G532,Mapping!$E$208:$K$236,5,0),"Contracts")</f>
        <v>Labour</v>
      </c>
      <c r="M532" s="7" t="str">
        <f>IFERROR(VLOOKUP($G532,Mapping!$E$208:$K$236,7,0),"ENDirect")</f>
        <v>ENDirect</v>
      </c>
      <c r="N532" s="7" t="str">
        <f>IFERROR(HLOOKUP(L532,'Calc|Weightings'!$U$5:$W$5,1,0),"Excl")</f>
        <v>Labour</v>
      </c>
      <c r="O532" s="7" t="str">
        <f>VLOOKUP(E532,Mapping!$E$11:$I$204,5,0)</f>
        <v>ACS</v>
      </c>
      <c r="Q532" s="32" t="s">
        <v>180</v>
      </c>
      <c r="R532" s="32"/>
      <c r="S532" s="32">
        <v>71005</v>
      </c>
      <c r="T532" s="32" t="s">
        <v>461</v>
      </c>
      <c r="U532" s="33">
        <v>34.749000000000002</v>
      </c>
      <c r="V532" s="7"/>
      <c r="W532" s="7" t="str">
        <f>VLOOKUP($Q532,Mapping!$E$11:$I$204,3,0)</f>
        <v>Replacement</v>
      </c>
      <c r="X532" s="7" t="str">
        <f>IFERROR(VLOOKUP($S532,Mapping!$E$208:$K$236,5,0),"Contracts")</f>
        <v>Materials</v>
      </c>
      <c r="Y532" s="7" t="str">
        <f>IFERROR(VLOOKUP($S532,Mapping!$E$208:$K$236,7,0),"ENDirect")</f>
        <v>ENDirect</v>
      </c>
      <c r="Z532" s="7" t="str">
        <f>IFERROR(HLOOKUP(X532,'Calc|Weightings'!$U$5:$W$5,1,0),"Excl")</f>
        <v>Materials</v>
      </c>
      <c r="AA532" s="7" t="str">
        <f>VLOOKUP(Q532,Mapping!$E$11:$I$204,5,0)</f>
        <v>SCS</v>
      </c>
      <c r="AC532" s="35" t="s">
        <v>171</v>
      </c>
      <c r="AD532" s="35"/>
      <c r="AE532" s="35">
        <v>71000</v>
      </c>
      <c r="AF532" s="35" t="s">
        <v>457</v>
      </c>
      <c r="AG532" s="36">
        <v>137.916</v>
      </c>
      <c r="AI532" s="7" t="str">
        <f>VLOOKUP($AC532,Mapping!$E$11:$I$204,3,0)</f>
        <v>Replacement</v>
      </c>
      <c r="AJ532" s="7" t="str">
        <f>IFERROR(VLOOKUP($AE532,Mapping!$E$208:$K$236,5,0),"Contracts")</f>
        <v>Labour</v>
      </c>
      <c r="AK532" s="7" t="str">
        <f>IFERROR(VLOOKUP($AE532,Mapping!$E$208:$K$236,7,0),"ENDirect")</f>
        <v>ENDirect</v>
      </c>
      <c r="AL532" s="7" t="str">
        <f>IFERROR(HLOOKUP(AJ532,'Calc|Weightings'!$U$5:$W$5,1,0),"Excl")</f>
        <v>Labour</v>
      </c>
      <c r="AM532" s="7" t="str">
        <f>VLOOKUP(AC532,Mapping!$E$11:$I$204,5,0)</f>
        <v>SCS</v>
      </c>
      <c r="AO532" s="35" t="s">
        <v>176</v>
      </c>
      <c r="AP532" s="35"/>
      <c r="AQ532" s="35">
        <v>70815</v>
      </c>
      <c r="AR532" s="35" t="s">
        <v>594</v>
      </c>
      <c r="AS532" s="121">
        <v>-10.584159999999999</v>
      </c>
      <c r="AU532" s="7" t="str">
        <f>VLOOKUP($AO532,Mapping!$E$11:$I$204,3,0)</f>
        <v>Replacement</v>
      </c>
      <c r="AV532" s="7" t="str">
        <f>IFERROR(VLOOKUP($AQ532,Mapping!$E$208:$K$236,5,0),"Contracts")</f>
        <v>Materials</v>
      </c>
      <c r="AW532" s="7" t="str">
        <f>IFERROR(VLOOKUP($AQ532,Mapping!$E$208:$K$236,7,0),"ENDirect")</f>
        <v>ENDirect</v>
      </c>
      <c r="AX532" s="7" t="str">
        <f>IFERROR(HLOOKUP(AV532,'Calc|Weightings'!$U$5:$W$5,1,0),"Excl")</f>
        <v>Materials</v>
      </c>
      <c r="AY532" s="7" t="str">
        <f>VLOOKUP(AO532,Mapping!$E$11:$I$204,5,0)</f>
        <v>SCS</v>
      </c>
    </row>
    <row r="533" spans="1:51" x14ac:dyDescent="0.3">
      <c r="A533" s="7"/>
      <c r="B533" s="7"/>
      <c r="C533" s="7"/>
      <c r="D533" s="7"/>
      <c r="E533" s="32" t="s">
        <v>246</v>
      </c>
      <c r="F533" s="32"/>
      <c r="G533" s="32">
        <v>71010</v>
      </c>
      <c r="H533" s="32" t="s">
        <v>462</v>
      </c>
      <c r="I533" s="33">
        <v>0.39700000000000002</v>
      </c>
      <c r="J533" s="170"/>
      <c r="K533" s="7" t="str">
        <f>VLOOKUP($E533,Mapping!$E$11:$I$204,3,0)</f>
        <v>ACS</v>
      </c>
      <c r="L533" s="7" t="str">
        <f>IFERROR(VLOOKUP($G533,Mapping!$E$208:$K$236,5,0),"Contracts")</f>
        <v>Labour</v>
      </c>
      <c r="M533" s="7" t="str">
        <f>IFERROR(VLOOKUP($G533,Mapping!$E$208:$K$236,7,0),"ENDirect")</f>
        <v>ENDirect</v>
      </c>
      <c r="N533" s="7" t="str">
        <f>IFERROR(HLOOKUP(L533,'Calc|Weightings'!$U$5:$W$5,1,0),"Excl")</f>
        <v>Labour</v>
      </c>
      <c r="O533" s="7" t="str">
        <f>VLOOKUP(E533,Mapping!$E$11:$I$204,5,0)</f>
        <v>ACS</v>
      </c>
      <c r="Q533" s="32" t="s">
        <v>180</v>
      </c>
      <c r="R533" s="32"/>
      <c r="S533" s="32">
        <v>71010</v>
      </c>
      <c r="T533" s="32" t="s">
        <v>462</v>
      </c>
      <c r="U533" s="33">
        <v>18.431999999999999</v>
      </c>
      <c r="V533" s="7"/>
      <c r="W533" s="7" t="str">
        <f>VLOOKUP($Q533,Mapping!$E$11:$I$204,3,0)</f>
        <v>Replacement</v>
      </c>
      <c r="X533" s="7" t="str">
        <f>IFERROR(VLOOKUP($S533,Mapping!$E$208:$K$236,5,0),"Contracts")</f>
        <v>Labour</v>
      </c>
      <c r="Y533" s="7" t="str">
        <f>IFERROR(VLOOKUP($S533,Mapping!$E$208:$K$236,7,0),"ENDirect")</f>
        <v>ENDirect</v>
      </c>
      <c r="Z533" s="7" t="str">
        <f>IFERROR(HLOOKUP(X533,'Calc|Weightings'!$U$5:$W$5,1,0),"Excl")</f>
        <v>Labour</v>
      </c>
      <c r="AA533" s="7" t="str">
        <f>VLOOKUP(Q533,Mapping!$E$11:$I$204,5,0)</f>
        <v>SCS</v>
      </c>
      <c r="AC533" s="35" t="s">
        <v>171</v>
      </c>
      <c r="AD533" s="35"/>
      <c r="AE533" s="35">
        <v>71005</v>
      </c>
      <c r="AF533" s="35" t="s">
        <v>461</v>
      </c>
      <c r="AG533" s="36">
        <v>20.111999999999998</v>
      </c>
      <c r="AI533" s="7" t="str">
        <f>VLOOKUP($AC533,Mapping!$E$11:$I$204,3,0)</f>
        <v>Replacement</v>
      </c>
      <c r="AJ533" s="7" t="str">
        <f>IFERROR(VLOOKUP($AE533,Mapping!$E$208:$K$236,5,0),"Contracts")</f>
        <v>Materials</v>
      </c>
      <c r="AK533" s="7" t="str">
        <f>IFERROR(VLOOKUP($AE533,Mapping!$E$208:$K$236,7,0),"ENDirect")</f>
        <v>ENDirect</v>
      </c>
      <c r="AL533" s="7" t="str">
        <f>IFERROR(HLOOKUP(AJ533,'Calc|Weightings'!$U$5:$W$5,1,0),"Excl")</f>
        <v>Materials</v>
      </c>
      <c r="AM533" s="7" t="str">
        <f>VLOOKUP(AC533,Mapping!$E$11:$I$204,5,0)</f>
        <v>SCS</v>
      </c>
      <c r="AO533" s="35" t="s">
        <v>176</v>
      </c>
      <c r="AP533" s="35"/>
      <c r="AQ533" s="35">
        <v>71000</v>
      </c>
      <c r="AR533" s="35" t="s">
        <v>457</v>
      </c>
      <c r="AS533" s="121">
        <v>60.655350000000006</v>
      </c>
      <c r="AU533" s="7" t="str">
        <f>VLOOKUP($AO533,Mapping!$E$11:$I$204,3,0)</f>
        <v>Replacement</v>
      </c>
      <c r="AV533" s="7" t="str">
        <f>IFERROR(VLOOKUP($AQ533,Mapping!$E$208:$K$236,5,0),"Contracts")</f>
        <v>Labour</v>
      </c>
      <c r="AW533" s="7" t="str">
        <f>IFERROR(VLOOKUP($AQ533,Mapping!$E$208:$K$236,7,0),"ENDirect")</f>
        <v>ENDirect</v>
      </c>
      <c r="AX533" s="7" t="str">
        <f>IFERROR(HLOOKUP(AV533,'Calc|Weightings'!$U$5:$W$5,1,0),"Excl")</f>
        <v>Labour</v>
      </c>
      <c r="AY533" s="7" t="str">
        <f>VLOOKUP(AO533,Mapping!$E$11:$I$204,5,0)</f>
        <v>SCS</v>
      </c>
    </row>
    <row r="534" spans="1:51" x14ac:dyDescent="0.3">
      <c r="A534" s="7"/>
      <c r="B534" s="7"/>
      <c r="C534" s="7"/>
      <c r="D534" s="7"/>
      <c r="E534" s="32" t="s">
        <v>246</v>
      </c>
      <c r="F534" s="32"/>
      <c r="G534" s="32">
        <v>71030</v>
      </c>
      <c r="H534" s="32" t="s">
        <v>464</v>
      </c>
      <c r="I534" s="33">
        <v>0.122</v>
      </c>
      <c r="J534" s="170"/>
      <c r="K534" s="7" t="str">
        <f>VLOOKUP($E534,Mapping!$E$11:$I$204,3,0)</f>
        <v>ACS</v>
      </c>
      <c r="L534" s="7" t="str">
        <f>IFERROR(VLOOKUP($G534,Mapping!$E$208:$K$236,5,0),"Contracts")</f>
        <v>Contracts</v>
      </c>
      <c r="M534" s="7" t="str">
        <f>IFERROR(VLOOKUP($G534,Mapping!$E$208:$K$236,7,0),"ENDirect")</f>
        <v>ENDirect</v>
      </c>
      <c r="N534" s="7" t="str">
        <f>IFERROR(HLOOKUP(L534,'Calc|Weightings'!$U$5:$W$5,1,0),"Excl")</f>
        <v>Contracts</v>
      </c>
      <c r="O534" s="7" t="str">
        <f>VLOOKUP(E534,Mapping!$E$11:$I$204,5,0)</f>
        <v>ACS</v>
      </c>
      <c r="Q534" s="32" t="s">
        <v>180</v>
      </c>
      <c r="R534" s="32"/>
      <c r="S534" s="32">
        <v>71015</v>
      </c>
      <c r="T534" s="32" t="s">
        <v>463</v>
      </c>
      <c r="U534" s="33">
        <v>60.256</v>
      </c>
      <c r="V534" s="7"/>
      <c r="W534" s="7" t="str">
        <f>VLOOKUP($Q534,Mapping!$E$11:$I$204,3,0)</f>
        <v>Replacement</v>
      </c>
      <c r="X534" s="7" t="str">
        <f>IFERROR(VLOOKUP($S534,Mapping!$E$208:$K$236,5,0),"Contracts")</f>
        <v>Materials</v>
      </c>
      <c r="Y534" s="7" t="str">
        <f>IFERROR(VLOOKUP($S534,Mapping!$E$208:$K$236,7,0),"ENDirect")</f>
        <v>ENDirect</v>
      </c>
      <c r="Z534" s="7" t="str">
        <f>IFERROR(HLOOKUP(X534,'Calc|Weightings'!$U$5:$W$5,1,0),"Excl")</f>
        <v>Materials</v>
      </c>
      <c r="AA534" s="7" t="str">
        <f>VLOOKUP(Q534,Mapping!$E$11:$I$204,5,0)</f>
        <v>SCS</v>
      </c>
      <c r="AC534" s="35" t="s">
        <v>171</v>
      </c>
      <c r="AD534" s="35"/>
      <c r="AE534" s="35">
        <v>71006</v>
      </c>
      <c r="AF534" s="35" t="s">
        <v>468</v>
      </c>
      <c r="AG534" s="36">
        <v>442.00400000000002</v>
      </c>
      <c r="AI534" s="7" t="str">
        <f>VLOOKUP($AC534,Mapping!$E$11:$I$204,3,0)</f>
        <v>Replacement</v>
      </c>
      <c r="AJ534" s="7" t="str">
        <f>IFERROR(VLOOKUP($AE534,Mapping!$E$208:$K$236,5,0),"Contracts")</f>
        <v>Materials</v>
      </c>
      <c r="AK534" s="7" t="str">
        <f>IFERROR(VLOOKUP($AE534,Mapping!$E$208:$K$236,7,0),"ENDirect")</f>
        <v>ENDirect</v>
      </c>
      <c r="AL534" s="7" t="str">
        <f>IFERROR(HLOOKUP(AJ534,'Calc|Weightings'!$U$5:$W$5,1,0),"Excl")</f>
        <v>Materials</v>
      </c>
      <c r="AM534" s="7" t="str">
        <f>VLOOKUP(AC534,Mapping!$E$11:$I$204,5,0)</f>
        <v>SCS</v>
      </c>
      <c r="AO534" s="35" t="s">
        <v>176</v>
      </c>
      <c r="AP534" s="35"/>
      <c r="AQ534" s="35">
        <v>71005</v>
      </c>
      <c r="AR534" s="35" t="s">
        <v>461</v>
      </c>
      <c r="AS534" s="121">
        <v>3.6776499999999994</v>
      </c>
      <c r="AU534" s="7" t="str">
        <f>VLOOKUP($AO534,Mapping!$E$11:$I$204,3,0)</f>
        <v>Replacement</v>
      </c>
      <c r="AV534" s="7" t="str">
        <f>IFERROR(VLOOKUP($AQ534,Mapping!$E$208:$K$236,5,0),"Contracts")</f>
        <v>Materials</v>
      </c>
      <c r="AW534" s="7" t="str">
        <f>IFERROR(VLOOKUP($AQ534,Mapping!$E$208:$K$236,7,0),"ENDirect")</f>
        <v>ENDirect</v>
      </c>
      <c r="AX534" s="7" t="str">
        <f>IFERROR(HLOOKUP(AV534,'Calc|Weightings'!$U$5:$W$5,1,0),"Excl")</f>
        <v>Materials</v>
      </c>
      <c r="AY534" s="7" t="str">
        <f>VLOOKUP(AO534,Mapping!$E$11:$I$204,5,0)</f>
        <v>SCS</v>
      </c>
    </row>
    <row r="535" spans="1:51" x14ac:dyDescent="0.3">
      <c r="A535" s="7"/>
      <c r="B535" s="7"/>
      <c r="C535" s="7"/>
      <c r="D535" s="7"/>
      <c r="E535" s="32" t="s">
        <v>246</v>
      </c>
      <c r="F535" s="32"/>
      <c r="G535" s="32">
        <v>80000</v>
      </c>
      <c r="H535" s="32" t="s">
        <v>453</v>
      </c>
      <c r="I535" s="33">
        <v>0.18</v>
      </c>
      <c r="J535" s="170"/>
      <c r="K535" s="7" t="str">
        <f>VLOOKUP($E535,Mapping!$E$11:$I$204,3,0)</f>
        <v>ACS</v>
      </c>
      <c r="L535" s="7" t="str">
        <f>IFERROR(VLOOKUP($G535,Mapping!$E$208:$K$236,5,0),"Contracts")</f>
        <v>Overhead</v>
      </c>
      <c r="M535" s="7" t="str">
        <f>IFERROR(VLOOKUP($G535,Mapping!$E$208:$K$236,7,0),"ENDirect")</f>
        <v>OH</v>
      </c>
      <c r="N535" s="7" t="str">
        <f>IFERROR(HLOOKUP(L535,'Calc|Weightings'!$U$5:$W$5,1,0),"Excl")</f>
        <v>Excl</v>
      </c>
      <c r="O535" s="7" t="str">
        <f>VLOOKUP(E535,Mapping!$E$11:$I$204,5,0)</f>
        <v>ACS</v>
      </c>
      <c r="Q535" s="32" t="s">
        <v>180</v>
      </c>
      <c r="R535" s="32"/>
      <c r="S535" s="32">
        <v>71030</v>
      </c>
      <c r="T535" s="32" t="s">
        <v>464</v>
      </c>
      <c r="U535" s="33">
        <v>28.198</v>
      </c>
      <c r="V535" s="7"/>
      <c r="W535" s="7" t="str">
        <f>VLOOKUP($Q535,Mapping!$E$11:$I$204,3,0)</f>
        <v>Replacement</v>
      </c>
      <c r="X535" s="7" t="str">
        <f>IFERROR(VLOOKUP($S535,Mapping!$E$208:$K$236,5,0),"Contracts")</f>
        <v>Contracts</v>
      </c>
      <c r="Y535" s="7" t="str">
        <f>IFERROR(VLOOKUP($S535,Mapping!$E$208:$K$236,7,0),"ENDirect")</f>
        <v>ENDirect</v>
      </c>
      <c r="Z535" s="7" t="str">
        <f>IFERROR(HLOOKUP(X535,'Calc|Weightings'!$U$5:$W$5,1,0),"Excl")</f>
        <v>Contracts</v>
      </c>
      <c r="AA535" s="7" t="str">
        <f>VLOOKUP(Q535,Mapping!$E$11:$I$204,5,0)</f>
        <v>SCS</v>
      </c>
      <c r="AC535" s="35" t="s">
        <v>171</v>
      </c>
      <c r="AD535" s="35"/>
      <c r="AE535" s="35">
        <v>71010</v>
      </c>
      <c r="AF535" s="35" t="s">
        <v>462</v>
      </c>
      <c r="AG535" s="36">
        <v>53.621000000000002</v>
      </c>
      <c r="AI535" s="7" t="str">
        <f>VLOOKUP($AC535,Mapping!$E$11:$I$204,3,0)</f>
        <v>Replacement</v>
      </c>
      <c r="AJ535" s="7" t="str">
        <f>IFERROR(VLOOKUP($AE535,Mapping!$E$208:$K$236,5,0),"Contracts")</f>
        <v>Labour</v>
      </c>
      <c r="AK535" s="7" t="str">
        <f>IFERROR(VLOOKUP($AE535,Mapping!$E$208:$K$236,7,0),"ENDirect")</f>
        <v>ENDirect</v>
      </c>
      <c r="AL535" s="7" t="str">
        <f>IFERROR(HLOOKUP(AJ535,'Calc|Weightings'!$U$5:$W$5,1,0),"Excl")</f>
        <v>Labour</v>
      </c>
      <c r="AM535" s="7" t="str">
        <f>VLOOKUP(AC535,Mapping!$E$11:$I$204,5,0)</f>
        <v>SCS</v>
      </c>
      <c r="AO535" s="35" t="s">
        <v>176</v>
      </c>
      <c r="AP535" s="35"/>
      <c r="AQ535" s="35">
        <v>71010</v>
      </c>
      <c r="AR535" s="35" t="s">
        <v>487</v>
      </c>
      <c r="AS535" s="121">
        <v>58.37894</v>
      </c>
      <c r="AU535" s="7" t="str">
        <f>VLOOKUP($AO535,Mapping!$E$11:$I$204,3,0)</f>
        <v>Replacement</v>
      </c>
      <c r="AV535" s="7" t="str">
        <f>IFERROR(VLOOKUP($AQ535,Mapping!$E$208:$K$236,5,0),"Contracts")</f>
        <v>Labour</v>
      </c>
      <c r="AW535" s="7" t="str">
        <f>IFERROR(VLOOKUP($AQ535,Mapping!$E$208:$K$236,7,0),"ENDirect")</f>
        <v>ENDirect</v>
      </c>
      <c r="AX535" s="7" t="str">
        <f>IFERROR(HLOOKUP(AV535,'Calc|Weightings'!$U$5:$W$5,1,0),"Excl")</f>
        <v>Labour</v>
      </c>
      <c r="AY535" s="7" t="str">
        <f>VLOOKUP(AO535,Mapping!$E$11:$I$204,5,0)</f>
        <v>SCS</v>
      </c>
    </row>
    <row r="536" spans="1:51" x14ac:dyDescent="0.3">
      <c r="A536" s="7"/>
      <c r="B536" s="7"/>
      <c r="C536" s="7"/>
      <c r="D536" s="7"/>
      <c r="E536" s="32" t="s">
        <v>247</v>
      </c>
      <c r="F536" s="32"/>
      <c r="G536" s="32">
        <v>71000</v>
      </c>
      <c r="H536" s="32" t="s">
        <v>457</v>
      </c>
      <c r="I536" s="33">
        <v>-218.67099999999999</v>
      </c>
      <c r="J536" s="170"/>
      <c r="K536" s="7" t="str">
        <f>VLOOKUP($E536,Mapping!$E$11:$I$204,3,0)</f>
        <v>ACS</v>
      </c>
      <c r="L536" s="7" t="str">
        <f>IFERROR(VLOOKUP($G536,Mapping!$E$208:$K$236,5,0),"Contracts")</f>
        <v>Labour</v>
      </c>
      <c r="M536" s="7" t="str">
        <f>IFERROR(VLOOKUP($G536,Mapping!$E$208:$K$236,7,0),"ENDirect")</f>
        <v>ENDirect</v>
      </c>
      <c r="N536" s="7" t="str">
        <f>IFERROR(HLOOKUP(L536,'Calc|Weightings'!$U$5:$W$5,1,0),"Excl")</f>
        <v>Labour</v>
      </c>
      <c r="O536" s="7" t="str">
        <f>VLOOKUP(E536,Mapping!$E$11:$I$204,5,0)</f>
        <v>ACS</v>
      </c>
      <c r="Q536" s="32" t="s">
        <v>180</v>
      </c>
      <c r="R536" s="32"/>
      <c r="S536" s="32">
        <v>71055</v>
      </c>
      <c r="T536" s="32" t="s">
        <v>465</v>
      </c>
      <c r="U536" s="33">
        <v>55.16</v>
      </c>
      <c r="V536" s="7"/>
      <c r="W536" s="7" t="str">
        <f>VLOOKUP($Q536,Mapping!$E$11:$I$204,3,0)</f>
        <v>Replacement</v>
      </c>
      <c r="X536" s="7" t="str">
        <f>IFERROR(VLOOKUP($S536,Mapping!$E$208:$K$236,5,0),"Contracts")</f>
        <v>Contracts</v>
      </c>
      <c r="Y536" s="7" t="str">
        <f>IFERROR(VLOOKUP($S536,Mapping!$E$208:$K$236,7,0),"ENDirect")</f>
        <v>ENDirect</v>
      </c>
      <c r="Z536" s="7" t="str">
        <f>IFERROR(HLOOKUP(X536,'Calc|Weightings'!$U$5:$W$5,1,0),"Excl")</f>
        <v>Contracts</v>
      </c>
      <c r="AA536" s="7" t="str">
        <f>VLOOKUP(Q536,Mapping!$E$11:$I$204,5,0)</f>
        <v>SCS</v>
      </c>
      <c r="AC536" s="35" t="s">
        <v>171</v>
      </c>
      <c r="AD536" s="35"/>
      <c r="AE536" s="35">
        <v>71015</v>
      </c>
      <c r="AF536" s="35" t="s">
        <v>463</v>
      </c>
      <c r="AG536" s="36">
        <v>21.291</v>
      </c>
      <c r="AI536" s="7" t="str">
        <f>VLOOKUP($AC536,Mapping!$E$11:$I$204,3,0)</f>
        <v>Replacement</v>
      </c>
      <c r="AJ536" s="7" t="str">
        <f>IFERROR(VLOOKUP($AE536,Mapping!$E$208:$K$236,5,0),"Contracts")</f>
        <v>Materials</v>
      </c>
      <c r="AK536" s="7" t="str">
        <f>IFERROR(VLOOKUP($AE536,Mapping!$E$208:$K$236,7,0),"ENDirect")</f>
        <v>ENDirect</v>
      </c>
      <c r="AL536" s="7" t="str">
        <f>IFERROR(HLOOKUP(AJ536,'Calc|Weightings'!$U$5:$W$5,1,0),"Excl")</f>
        <v>Materials</v>
      </c>
      <c r="AM536" s="7" t="str">
        <f>VLOOKUP(AC536,Mapping!$E$11:$I$204,5,0)</f>
        <v>SCS</v>
      </c>
      <c r="AO536" s="35" t="s">
        <v>176</v>
      </c>
      <c r="AP536" s="35"/>
      <c r="AQ536" s="35">
        <v>71015</v>
      </c>
      <c r="AR536" s="35" t="s">
        <v>585</v>
      </c>
      <c r="AS536" s="121">
        <v>12.16465</v>
      </c>
      <c r="AU536" s="7" t="str">
        <f>VLOOKUP($AO536,Mapping!$E$11:$I$204,3,0)</f>
        <v>Replacement</v>
      </c>
      <c r="AV536" s="7" t="str">
        <f>IFERROR(VLOOKUP($AQ536,Mapping!$E$208:$K$236,5,0),"Contracts")</f>
        <v>Materials</v>
      </c>
      <c r="AW536" s="7" t="str">
        <f>IFERROR(VLOOKUP($AQ536,Mapping!$E$208:$K$236,7,0),"ENDirect")</f>
        <v>ENDirect</v>
      </c>
      <c r="AX536" s="7" t="str">
        <f>IFERROR(HLOOKUP(AV536,'Calc|Weightings'!$U$5:$W$5,1,0),"Excl")</f>
        <v>Materials</v>
      </c>
      <c r="AY536" s="7" t="str">
        <f>VLOOKUP(AO536,Mapping!$E$11:$I$204,5,0)</f>
        <v>SCS</v>
      </c>
    </row>
    <row r="537" spans="1:51" x14ac:dyDescent="0.3">
      <c r="A537" s="7"/>
      <c r="B537" s="7"/>
      <c r="C537" s="7"/>
      <c r="D537" s="7"/>
      <c r="E537" s="32" t="s">
        <v>247</v>
      </c>
      <c r="F537" s="32"/>
      <c r="G537" s="32">
        <v>71010</v>
      </c>
      <c r="H537" s="32" t="s">
        <v>462</v>
      </c>
      <c r="I537" s="33">
        <v>-3.2469999999999999</v>
      </c>
      <c r="J537" s="170"/>
      <c r="K537" s="7" t="str">
        <f>VLOOKUP($E537,Mapping!$E$11:$I$204,3,0)</f>
        <v>ACS</v>
      </c>
      <c r="L537" s="7" t="str">
        <f>IFERROR(VLOOKUP($G537,Mapping!$E$208:$K$236,5,0),"Contracts")</f>
        <v>Labour</v>
      </c>
      <c r="M537" s="7" t="str">
        <f>IFERROR(VLOOKUP($G537,Mapping!$E$208:$K$236,7,0),"ENDirect")</f>
        <v>ENDirect</v>
      </c>
      <c r="N537" s="7" t="str">
        <f>IFERROR(HLOOKUP(L537,'Calc|Weightings'!$U$5:$W$5,1,0),"Excl")</f>
        <v>Labour</v>
      </c>
      <c r="O537" s="7" t="str">
        <f>VLOOKUP(E537,Mapping!$E$11:$I$204,5,0)</f>
        <v>ACS</v>
      </c>
      <c r="Q537" s="32" t="s">
        <v>180</v>
      </c>
      <c r="R537" s="32"/>
      <c r="S537" s="32">
        <v>80000</v>
      </c>
      <c r="T537" s="32" t="s">
        <v>453</v>
      </c>
      <c r="U537" s="33">
        <v>57.616999999999997</v>
      </c>
      <c r="V537" s="7"/>
      <c r="W537" s="7" t="str">
        <f>VLOOKUP($Q537,Mapping!$E$11:$I$204,3,0)</f>
        <v>Replacement</v>
      </c>
      <c r="X537" s="7" t="str">
        <f>IFERROR(VLOOKUP($S537,Mapping!$E$208:$K$236,5,0),"Contracts")</f>
        <v>Overhead</v>
      </c>
      <c r="Y537" s="7" t="str">
        <f>IFERROR(VLOOKUP($S537,Mapping!$E$208:$K$236,7,0),"ENDirect")</f>
        <v>OH</v>
      </c>
      <c r="Z537" s="7" t="str">
        <f>IFERROR(HLOOKUP(X537,'Calc|Weightings'!$U$5:$W$5,1,0),"Excl")</f>
        <v>Excl</v>
      </c>
      <c r="AA537" s="7" t="str">
        <f>VLOOKUP(Q537,Mapping!$E$11:$I$204,5,0)</f>
        <v>SCS</v>
      </c>
      <c r="AC537" s="35" t="s">
        <v>171</v>
      </c>
      <c r="AD537" s="35"/>
      <c r="AE537" s="35">
        <v>71030</v>
      </c>
      <c r="AF537" s="35" t="s">
        <v>464</v>
      </c>
      <c r="AG537" s="36">
        <v>18.722000000000001</v>
      </c>
      <c r="AI537" s="7" t="str">
        <f>VLOOKUP($AC537,Mapping!$E$11:$I$204,3,0)</f>
        <v>Replacement</v>
      </c>
      <c r="AJ537" s="7" t="str">
        <f>IFERROR(VLOOKUP($AE537,Mapping!$E$208:$K$236,5,0),"Contracts")</f>
        <v>Contracts</v>
      </c>
      <c r="AK537" s="7" t="str">
        <f>IFERROR(VLOOKUP($AE537,Mapping!$E$208:$K$236,7,0),"ENDirect")</f>
        <v>ENDirect</v>
      </c>
      <c r="AL537" s="7" t="str">
        <f>IFERROR(HLOOKUP(AJ537,'Calc|Weightings'!$U$5:$W$5,1,0),"Excl")</f>
        <v>Contracts</v>
      </c>
      <c r="AM537" s="7" t="str">
        <f>VLOOKUP(AC537,Mapping!$E$11:$I$204,5,0)</f>
        <v>SCS</v>
      </c>
      <c r="AO537" s="35" t="s">
        <v>176</v>
      </c>
      <c r="AP537" s="35"/>
      <c r="AQ537" s="35">
        <v>71020</v>
      </c>
      <c r="AR537" s="35" t="s">
        <v>590</v>
      </c>
      <c r="AS537" s="121">
        <v>-7.6379999999999999</v>
      </c>
      <c r="AU537" s="7" t="str">
        <f>VLOOKUP($AO537,Mapping!$E$11:$I$204,3,0)</f>
        <v>Replacement</v>
      </c>
      <c r="AV537" s="7" t="str">
        <f>IFERROR(VLOOKUP($AQ537,Mapping!$E$208:$K$236,5,0),"Contracts")</f>
        <v>Contracts</v>
      </c>
      <c r="AW537" s="7" t="str">
        <f>IFERROR(VLOOKUP($AQ537,Mapping!$E$208:$K$236,7,0),"ENDirect")</f>
        <v>ENDirect</v>
      </c>
      <c r="AX537" s="7" t="str">
        <f>IFERROR(HLOOKUP(AV537,'Calc|Weightings'!$U$5:$W$5,1,0),"Excl")</f>
        <v>Contracts</v>
      </c>
      <c r="AY537" s="7" t="str">
        <f>VLOOKUP(AO537,Mapping!$E$11:$I$204,5,0)</f>
        <v>SCS</v>
      </c>
    </row>
    <row r="538" spans="1:51" x14ac:dyDescent="0.3">
      <c r="A538" s="7"/>
      <c r="B538" s="7"/>
      <c r="C538" s="7"/>
      <c r="D538" s="7"/>
      <c r="E538" s="32" t="s">
        <v>247</v>
      </c>
      <c r="F538" s="32"/>
      <c r="G538" s="32">
        <v>71030</v>
      </c>
      <c r="H538" s="32" t="s">
        <v>464</v>
      </c>
      <c r="I538" s="33">
        <v>2.2509999999999999</v>
      </c>
      <c r="J538" s="170"/>
      <c r="K538" s="7" t="str">
        <f>VLOOKUP($E538,Mapping!$E$11:$I$204,3,0)</f>
        <v>ACS</v>
      </c>
      <c r="L538" s="7" t="str">
        <f>IFERROR(VLOOKUP($G538,Mapping!$E$208:$K$236,5,0),"Contracts")</f>
        <v>Contracts</v>
      </c>
      <c r="M538" s="7" t="str">
        <f>IFERROR(VLOOKUP($G538,Mapping!$E$208:$K$236,7,0),"ENDirect")</f>
        <v>ENDirect</v>
      </c>
      <c r="N538" s="7" t="str">
        <f>IFERROR(HLOOKUP(L538,'Calc|Weightings'!$U$5:$W$5,1,0),"Excl")</f>
        <v>Contracts</v>
      </c>
      <c r="O538" s="7" t="str">
        <f>VLOOKUP(E538,Mapping!$E$11:$I$204,5,0)</f>
        <v>ACS</v>
      </c>
      <c r="Q538" s="32" t="s">
        <v>180</v>
      </c>
      <c r="R538" s="32"/>
      <c r="S538" s="32">
        <v>89999</v>
      </c>
      <c r="T538" s="32" t="s">
        <v>471</v>
      </c>
      <c r="U538" s="33">
        <v>0</v>
      </c>
      <c r="V538" s="7"/>
      <c r="W538" s="7" t="str">
        <f>VLOOKUP($Q538,Mapping!$E$11:$I$204,3,0)</f>
        <v>Replacement</v>
      </c>
      <c r="X538" s="7" t="str">
        <f>IFERROR(VLOOKUP($S538,Mapping!$E$208:$K$236,5,0),"Contracts")</f>
        <v>Contracts</v>
      </c>
      <c r="Y538" s="7" t="str">
        <f>IFERROR(VLOOKUP($S538,Mapping!$E$208:$K$236,7,0),"ENDirect")</f>
        <v>ENDirect</v>
      </c>
      <c r="Z538" s="7" t="str">
        <f>IFERROR(HLOOKUP(X538,'Calc|Weightings'!$U$5:$W$5,1,0),"Excl")</f>
        <v>Contracts</v>
      </c>
      <c r="AA538" s="7" t="str">
        <f>VLOOKUP(Q538,Mapping!$E$11:$I$204,5,0)</f>
        <v>SCS</v>
      </c>
      <c r="AC538" s="35" t="s">
        <v>171</v>
      </c>
      <c r="AD538" s="35"/>
      <c r="AE538" s="35">
        <v>71055</v>
      </c>
      <c r="AF538" s="35" t="s">
        <v>465</v>
      </c>
      <c r="AG538" s="36">
        <v>37.363999999999997</v>
      </c>
      <c r="AI538" s="7" t="str">
        <f>VLOOKUP($AC538,Mapping!$E$11:$I$204,3,0)</f>
        <v>Replacement</v>
      </c>
      <c r="AJ538" s="7" t="str">
        <f>IFERROR(VLOOKUP($AE538,Mapping!$E$208:$K$236,5,0),"Contracts")</f>
        <v>Contracts</v>
      </c>
      <c r="AK538" s="7" t="str">
        <f>IFERROR(VLOOKUP($AE538,Mapping!$E$208:$K$236,7,0),"ENDirect")</f>
        <v>ENDirect</v>
      </c>
      <c r="AL538" s="7" t="str">
        <f>IFERROR(HLOOKUP(AJ538,'Calc|Weightings'!$U$5:$W$5,1,0),"Excl")</f>
        <v>Contracts</v>
      </c>
      <c r="AM538" s="7" t="str">
        <f>VLOOKUP(AC538,Mapping!$E$11:$I$204,5,0)</f>
        <v>SCS</v>
      </c>
      <c r="AO538" s="35" t="s">
        <v>176</v>
      </c>
      <c r="AP538" s="35"/>
      <c r="AQ538" s="35">
        <v>71030</v>
      </c>
      <c r="AR538" s="35" t="s">
        <v>464</v>
      </c>
      <c r="AS538" s="121">
        <v>-0.69775999999999994</v>
      </c>
      <c r="AU538" s="7" t="str">
        <f>VLOOKUP($AO538,Mapping!$E$11:$I$204,3,0)</f>
        <v>Replacement</v>
      </c>
      <c r="AV538" s="7" t="str">
        <f>IFERROR(VLOOKUP($AQ538,Mapping!$E$208:$K$236,5,0),"Contracts")</f>
        <v>Contracts</v>
      </c>
      <c r="AW538" s="7" t="str">
        <f>IFERROR(VLOOKUP($AQ538,Mapping!$E$208:$K$236,7,0),"ENDirect")</f>
        <v>ENDirect</v>
      </c>
      <c r="AX538" s="7" t="str">
        <f>IFERROR(HLOOKUP(AV538,'Calc|Weightings'!$U$5:$W$5,1,0),"Excl")</f>
        <v>Contracts</v>
      </c>
      <c r="AY538" s="7" t="str">
        <f>VLOOKUP(AO538,Mapping!$E$11:$I$204,5,0)</f>
        <v>SCS</v>
      </c>
    </row>
    <row r="539" spans="1:51" x14ac:dyDescent="0.3">
      <c r="A539" s="7"/>
      <c r="B539" s="7"/>
      <c r="C539" s="7"/>
      <c r="D539" s="7"/>
      <c r="E539" s="32" t="s">
        <v>247</v>
      </c>
      <c r="F539" s="32"/>
      <c r="G539" s="32">
        <v>80000</v>
      </c>
      <c r="H539" s="32" t="s">
        <v>453</v>
      </c>
      <c r="I539" s="33">
        <v>3.1549999999999998</v>
      </c>
      <c r="J539" s="170"/>
      <c r="K539" s="7" t="str">
        <f>VLOOKUP($E539,Mapping!$E$11:$I$204,3,0)</f>
        <v>ACS</v>
      </c>
      <c r="L539" s="7" t="str">
        <f>IFERROR(VLOOKUP($G539,Mapping!$E$208:$K$236,5,0),"Contracts")</f>
        <v>Overhead</v>
      </c>
      <c r="M539" s="7" t="str">
        <f>IFERROR(VLOOKUP($G539,Mapping!$E$208:$K$236,7,0),"ENDirect")</f>
        <v>OH</v>
      </c>
      <c r="N539" s="7" t="str">
        <f>IFERROR(HLOOKUP(L539,'Calc|Weightings'!$U$5:$W$5,1,0),"Excl")</f>
        <v>Excl</v>
      </c>
      <c r="O539" s="7" t="str">
        <f>VLOOKUP(E539,Mapping!$E$11:$I$204,5,0)</f>
        <v>ACS</v>
      </c>
      <c r="Q539" s="32" t="s">
        <v>183</v>
      </c>
      <c r="R539" s="32"/>
      <c r="S539" s="32">
        <v>71005</v>
      </c>
      <c r="T539" s="32" t="s">
        <v>461</v>
      </c>
      <c r="U539" s="33">
        <v>46.033999999999999</v>
      </c>
      <c r="V539" s="7"/>
      <c r="W539" s="7" t="str">
        <f>VLOOKUP($Q539,Mapping!$E$11:$I$204,3,0)</f>
        <v>Public Lighting</v>
      </c>
      <c r="X539" s="7" t="str">
        <f>IFERROR(VLOOKUP($S539,Mapping!$E$208:$K$236,5,0),"Contracts")</f>
        <v>Materials</v>
      </c>
      <c r="Y539" s="7" t="str">
        <f>IFERROR(VLOOKUP($S539,Mapping!$E$208:$K$236,7,0),"ENDirect")</f>
        <v>ENDirect</v>
      </c>
      <c r="Z539" s="7" t="str">
        <f>IFERROR(HLOOKUP(X539,'Calc|Weightings'!$U$5:$W$5,1,0),"Excl")</f>
        <v>Materials</v>
      </c>
      <c r="AA539" s="7" t="str">
        <f>VLOOKUP(Q539,Mapping!$E$11:$I$204,5,0)</f>
        <v>Public Lighting</v>
      </c>
      <c r="AC539" s="35" t="s">
        <v>171</v>
      </c>
      <c r="AD539" s="35"/>
      <c r="AE539" s="35">
        <v>80000</v>
      </c>
      <c r="AF539" s="35" t="s">
        <v>453</v>
      </c>
      <c r="AG539" s="36">
        <v>77.248999999999995</v>
      </c>
      <c r="AI539" s="7" t="str">
        <f>VLOOKUP($AC539,Mapping!$E$11:$I$204,3,0)</f>
        <v>Replacement</v>
      </c>
      <c r="AJ539" s="7" t="str">
        <f>IFERROR(VLOOKUP($AE539,Mapping!$E$208:$K$236,5,0),"Contracts")</f>
        <v>Overhead</v>
      </c>
      <c r="AK539" s="7" t="str">
        <f>IFERROR(VLOOKUP($AE539,Mapping!$E$208:$K$236,7,0),"ENDirect")</f>
        <v>OH</v>
      </c>
      <c r="AL539" s="7" t="str">
        <f>IFERROR(HLOOKUP(AJ539,'Calc|Weightings'!$U$5:$W$5,1,0),"Excl")</f>
        <v>Excl</v>
      </c>
      <c r="AM539" s="7" t="str">
        <f>VLOOKUP(AC539,Mapping!$E$11:$I$204,5,0)</f>
        <v>SCS</v>
      </c>
      <c r="AO539" s="35" t="s">
        <v>176</v>
      </c>
      <c r="AP539" s="35"/>
      <c r="AQ539" s="35">
        <v>71055</v>
      </c>
      <c r="AR539" s="35" t="s">
        <v>465</v>
      </c>
      <c r="AS539" s="121">
        <v>-2.3300700000000001</v>
      </c>
      <c r="AU539" s="7" t="str">
        <f>VLOOKUP($AO539,Mapping!$E$11:$I$204,3,0)</f>
        <v>Replacement</v>
      </c>
      <c r="AV539" s="7" t="str">
        <f>IFERROR(VLOOKUP($AQ539,Mapping!$E$208:$K$236,5,0),"Contracts")</f>
        <v>Contracts</v>
      </c>
      <c r="AW539" s="7" t="str">
        <f>IFERROR(VLOOKUP($AQ539,Mapping!$E$208:$K$236,7,0),"ENDirect")</f>
        <v>ENDirect</v>
      </c>
      <c r="AX539" s="7" t="str">
        <f>IFERROR(HLOOKUP(AV539,'Calc|Weightings'!$U$5:$W$5,1,0),"Excl")</f>
        <v>Contracts</v>
      </c>
      <c r="AY539" s="7" t="str">
        <f>VLOOKUP(AO539,Mapping!$E$11:$I$204,5,0)</f>
        <v>SCS</v>
      </c>
    </row>
    <row r="540" spans="1:51" x14ac:dyDescent="0.3">
      <c r="A540" s="7"/>
      <c r="B540" s="7"/>
      <c r="C540" s="7"/>
      <c r="D540" s="7"/>
      <c r="E540" s="32" t="s">
        <v>248</v>
      </c>
      <c r="F540" s="32"/>
      <c r="G540" s="32">
        <v>71000</v>
      </c>
      <c r="H540" s="32" t="s">
        <v>457</v>
      </c>
      <c r="I540" s="33">
        <v>41.459000000000003</v>
      </c>
      <c r="J540" s="170"/>
      <c r="K540" s="7" t="str">
        <f>VLOOKUP($E540,Mapping!$E$11:$I$204,3,0)</f>
        <v>ACS</v>
      </c>
      <c r="L540" s="7" t="str">
        <f>IFERROR(VLOOKUP($G540,Mapping!$E$208:$K$236,5,0),"Contracts")</f>
        <v>Labour</v>
      </c>
      <c r="M540" s="7" t="str">
        <f>IFERROR(VLOOKUP($G540,Mapping!$E$208:$K$236,7,0),"ENDirect")</f>
        <v>ENDirect</v>
      </c>
      <c r="N540" s="7" t="str">
        <f>IFERROR(HLOOKUP(L540,'Calc|Weightings'!$U$5:$W$5,1,0),"Excl")</f>
        <v>Labour</v>
      </c>
      <c r="O540" s="7" t="str">
        <f>VLOOKUP(E540,Mapping!$E$11:$I$204,5,0)</f>
        <v>ACS</v>
      </c>
      <c r="Q540" s="32" t="s">
        <v>183</v>
      </c>
      <c r="R540" s="32"/>
      <c r="S540" s="32">
        <v>71010</v>
      </c>
      <c r="T540" s="32" t="s">
        <v>462</v>
      </c>
      <c r="U540" s="33">
        <v>51.328000000000003</v>
      </c>
      <c r="V540" s="7"/>
      <c r="W540" s="7" t="str">
        <f>VLOOKUP($Q540,Mapping!$E$11:$I$204,3,0)</f>
        <v>Public Lighting</v>
      </c>
      <c r="X540" s="7" t="str">
        <f>IFERROR(VLOOKUP($S540,Mapping!$E$208:$K$236,5,0),"Contracts")</f>
        <v>Labour</v>
      </c>
      <c r="Y540" s="7" t="str">
        <f>IFERROR(VLOOKUP($S540,Mapping!$E$208:$K$236,7,0),"ENDirect")</f>
        <v>ENDirect</v>
      </c>
      <c r="Z540" s="7" t="str">
        <f>IFERROR(HLOOKUP(X540,'Calc|Weightings'!$U$5:$W$5,1,0),"Excl")</f>
        <v>Labour</v>
      </c>
      <c r="AA540" s="7" t="str">
        <f>VLOOKUP(Q540,Mapping!$E$11:$I$204,5,0)</f>
        <v>Public Lighting</v>
      </c>
      <c r="AC540" s="35" t="s">
        <v>171</v>
      </c>
      <c r="AD540" s="35"/>
      <c r="AE540" s="35">
        <v>89999</v>
      </c>
      <c r="AF540" s="35" t="s">
        <v>471</v>
      </c>
      <c r="AG540" s="36">
        <v>0</v>
      </c>
      <c r="AI540" s="7" t="str">
        <f>VLOOKUP($AC540,Mapping!$E$11:$I$204,3,0)</f>
        <v>Replacement</v>
      </c>
      <c r="AJ540" s="7" t="str">
        <f>IFERROR(VLOOKUP($AE540,Mapping!$E$208:$K$236,5,0),"Contracts")</f>
        <v>Contracts</v>
      </c>
      <c r="AK540" s="7" t="str">
        <f>IFERROR(VLOOKUP($AE540,Mapping!$E$208:$K$236,7,0),"ENDirect")</f>
        <v>ENDirect</v>
      </c>
      <c r="AL540" s="7" t="str">
        <f>IFERROR(HLOOKUP(AJ540,'Calc|Weightings'!$U$5:$W$5,1,0),"Excl")</f>
        <v>Contracts</v>
      </c>
      <c r="AM540" s="7" t="str">
        <f>VLOOKUP(AC540,Mapping!$E$11:$I$204,5,0)</f>
        <v>SCS</v>
      </c>
      <c r="AO540" s="35" t="s">
        <v>176</v>
      </c>
      <c r="AP540" s="35"/>
      <c r="AQ540" s="35">
        <v>71130</v>
      </c>
      <c r="AR540" s="35" t="s">
        <v>592</v>
      </c>
      <c r="AS540" s="121">
        <v>17.231330000000003</v>
      </c>
      <c r="AU540" s="7" t="str">
        <f>VLOOKUP($AO540,Mapping!$E$11:$I$204,3,0)</f>
        <v>Replacement</v>
      </c>
      <c r="AV540" s="7" t="str">
        <f>IFERROR(VLOOKUP($AQ540,Mapping!$E$208:$K$236,5,0),"Contracts")</f>
        <v>Contracts</v>
      </c>
      <c r="AW540" s="7" t="str">
        <f>IFERROR(VLOOKUP($AQ540,Mapping!$E$208:$K$236,7,0),"ENDirect")</f>
        <v>ENDirect</v>
      </c>
      <c r="AX540" s="7" t="str">
        <f>IFERROR(HLOOKUP(AV540,'Calc|Weightings'!$U$5:$W$5,1,0),"Excl")</f>
        <v>Contracts</v>
      </c>
      <c r="AY540" s="7" t="str">
        <f>VLOOKUP(AO540,Mapping!$E$11:$I$204,5,0)</f>
        <v>SCS</v>
      </c>
    </row>
    <row r="541" spans="1:51" x14ac:dyDescent="0.3">
      <c r="A541" s="7"/>
      <c r="B541" s="7"/>
      <c r="C541" s="7"/>
      <c r="D541" s="7"/>
      <c r="E541" s="32" t="s">
        <v>248</v>
      </c>
      <c r="F541" s="32"/>
      <c r="G541" s="32">
        <v>71015</v>
      </c>
      <c r="H541" s="32" t="s">
        <v>463</v>
      </c>
      <c r="I541" s="33">
        <v>7.1779999999999999</v>
      </c>
      <c r="J541" s="170"/>
      <c r="K541" s="7" t="str">
        <f>VLOOKUP($E541,Mapping!$E$11:$I$204,3,0)</f>
        <v>ACS</v>
      </c>
      <c r="L541" s="7" t="str">
        <f>IFERROR(VLOOKUP($G541,Mapping!$E$208:$K$236,5,0),"Contracts")</f>
        <v>Materials</v>
      </c>
      <c r="M541" s="7" t="str">
        <f>IFERROR(VLOOKUP($G541,Mapping!$E$208:$K$236,7,0),"ENDirect")</f>
        <v>ENDirect</v>
      </c>
      <c r="N541" s="7" t="str">
        <f>IFERROR(HLOOKUP(L541,'Calc|Weightings'!$U$5:$W$5,1,0),"Excl")</f>
        <v>Materials</v>
      </c>
      <c r="O541" s="7" t="str">
        <f>VLOOKUP(E541,Mapping!$E$11:$I$204,5,0)</f>
        <v>ACS</v>
      </c>
      <c r="Q541" s="32" t="s">
        <v>183</v>
      </c>
      <c r="R541" s="32"/>
      <c r="S541" s="32">
        <v>71030</v>
      </c>
      <c r="T541" s="32" t="s">
        <v>464</v>
      </c>
      <c r="U541" s="33">
        <v>10.17</v>
      </c>
      <c r="V541" s="7"/>
      <c r="W541" s="7" t="str">
        <f>VLOOKUP($Q541,Mapping!$E$11:$I$204,3,0)</f>
        <v>Public Lighting</v>
      </c>
      <c r="X541" s="7" t="str">
        <f>IFERROR(VLOOKUP($S541,Mapping!$E$208:$K$236,5,0),"Contracts")</f>
        <v>Contracts</v>
      </c>
      <c r="Y541" s="7" t="str">
        <f>IFERROR(VLOOKUP($S541,Mapping!$E$208:$K$236,7,0),"ENDirect")</f>
        <v>ENDirect</v>
      </c>
      <c r="Z541" s="7" t="str">
        <f>IFERROR(HLOOKUP(X541,'Calc|Weightings'!$U$5:$W$5,1,0),"Excl")</f>
        <v>Contracts</v>
      </c>
      <c r="AA541" s="7" t="str">
        <f>VLOOKUP(Q541,Mapping!$E$11:$I$204,5,0)</f>
        <v>Public Lighting</v>
      </c>
      <c r="AC541" s="35" t="s">
        <v>172</v>
      </c>
      <c r="AD541" s="35"/>
      <c r="AE541" s="35">
        <v>71000</v>
      </c>
      <c r="AF541" s="35" t="s">
        <v>457</v>
      </c>
      <c r="AG541" s="36">
        <v>431.17599999999999</v>
      </c>
      <c r="AI541" s="7" t="str">
        <f>VLOOKUP($AC541,Mapping!$E$11:$I$204,3,0)</f>
        <v>Replacement</v>
      </c>
      <c r="AJ541" s="7" t="str">
        <f>IFERROR(VLOOKUP($AE541,Mapping!$E$208:$K$236,5,0),"Contracts")</f>
        <v>Labour</v>
      </c>
      <c r="AK541" s="7" t="str">
        <f>IFERROR(VLOOKUP($AE541,Mapping!$E$208:$K$236,7,0),"ENDirect")</f>
        <v>ENDirect</v>
      </c>
      <c r="AL541" s="7" t="str">
        <f>IFERROR(HLOOKUP(AJ541,'Calc|Weightings'!$U$5:$W$5,1,0),"Excl")</f>
        <v>Labour</v>
      </c>
      <c r="AM541" s="7" t="str">
        <f>VLOOKUP(AC541,Mapping!$E$11:$I$204,5,0)</f>
        <v>SCS</v>
      </c>
      <c r="AO541" s="35" t="s">
        <v>176</v>
      </c>
      <c r="AP541" s="35"/>
      <c r="AQ541" s="35">
        <v>71140</v>
      </c>
      <c r="AR541" s="35" t="s">
        <v>593</v>
      </c>
      <c r="AS541" s="121">
        <v>5.0491400000000004</v>
      </c>
      <c r="AU541" s="7" t="str">
        <f>VLOOKUP($AO541,Mapping!$E$11:$I$204,3,0)</f>
        <v>Replacement</v>
      </c>
      <c r="AV541" s="7" t="str">
        <f>IFERROR(VLOOKUP($AQ541,Mapping!$E$208:$K$236,5,0),"Contracts")</f>
        <v>Contracts</v>
      </c>
      <c r="AW541" s="7" t="str">
        <f>IFERROR(VLOOKUP($AQ541,Mapping!$E$208:$K$236,7,0),"ENDirect")</f>
        <v>ENDirect</v>
      </c>
      <c r="AX541" s="7" t="str">
        <f>IFERROR(HLOOKUP(AV541,'Calc|Weightings'!$U$5:$W$5,1,0),"Excl")</f>
        <v>Contracts</v>
      </c>
      <c r="AY541" s="7" t="str">
        <f>VLOOKUP(AO541,Mapping!$E$11:$I$204,5,0)</f>
        <v>SCS</v>
      </c>
    </row>
    <row r="542" spans="1:51" x14ac:dyDescent="0.3">
      <c r="A542" s="7"/>
      <c r="B542" s="7"/>
      <c r="C542" s="7"/>
      <c r="D542" s="7"/>
      <c r="E542" s="32" t="s">
        <v>248</v>
      </c>
      <c r="F542" s="32"/>
      <c r="G542" s="32">
        <v>71020</v>
      </c>
      <c r="H542" s="32" t="s">
        <v>459</v>
      </c>
      <c r="I542" s="33">
        <v>0.38700000000000001</v>
      </c>
      <c r="J542" s="170"/>
      <c r="K542" s="7" t="str">
        <f>VLOOKUP($E542,Mapping!$E$11:$I$204,3,0)</f>
        <v>ACS</v>
      </c>
      <c r="L542" s="7" t="str">
        <f>IFERROR(VLOOKUP($G542,Mapping!$E$208:$K$236,5,0),"Contracts")</f>
        <v>Contracts</v>
      </c>
      <c r="M542" s="7" t="str">
        <f>IFERROR(VLOOKUP($G542,Mapping!$E$208:$K$236,7,0),"ENDirect")</f>
        <v>ENDirect</v>
      </c>
      <c r="N542" s="7" t="str">
        <f>IFERROR(HLOOKUP(L542,'Calc|Weightings'!$U$5:$W$5,1,0),"Excl")</f>
        <v>Contracts</v>
      </c>
      <c r="O542" s="7" t="str">
        <f>VLOOKUP(E542,Mapping!$E$11:$I$204,5,0)</f>
        <v>ACS</v>
      </c>
      <c r="Q542" s="32" t="s">
        <v>183</v>
      </c>
      <c r="R542" s="32"/>
      <c r="S542" s="32">
        <v>71055</v>
      </c>
      <c r="T542" s="32" t="s">
        <v>465</v>
      </c>
      <c r="U542" s="33">
        <v>18.788</v>
      </c>
      <c r="V542" s="7"/>
      <c r="W542" s="7" t="str">
        <f>VLOOKUP($Q542,Mapping!$E$11:$I$204,3,0)</f>
        <v>Public Lighting</v>
      </c>
      <c r="X542" s="7" t="str">
        <f>IFERROR(VLOOKUP($S542,Mapping!$E$208:$K$236,5,0),"Contracts")</f>
        <v>Contracts</v>
      </c>
      <c r="Y542" s="7" t="str">
        <f>IFERROR(VLOOKUP($S542,Mapping!$E$208:$K$236,7,0),"ENDirect")</f>
        <v>ENDirect</v>
      </c>
      <c r="Z542" s="7" t="str">
        <f>IFERROR(HLOOKUP(X542,'Calc|Weightings'!$U$5:$W$5,1,0),"Excl")</f>
        <v>Contracts</v>
      </c>
      <c r="AA542" s="7" t="str">
        <f>VLOOKUP(Q542,Mapping!$E$11:$I$204,5,0)</f>
        <v>Public Lighting</v>
      </c>
      <c r="AC542" s="35" t="s">
        <v>172</v>
      </c>
      <c r="AD542" s="35"/>
      <c r="AE542" s="35">
        <v>71005</v>
      </c>
      <c r="AF542" s="35" t="s">
        <v>461</v>
      </c>
      <c r="AG542" s="36">
        <v>121.741</v>
      </c>
      <c r="AI542" s="7" t="str">
        <f>VLOOKUP($AC542,Mapping!$E$11:$I$204,3,0)</f>
        <v>Replacement</v>
      </c>
      <c r="AJ542" s="7" t="str">
        <f>IFERROR(VLOOKUP($AE542,Mapping!$E$208:$K$236,5,0),"Contracts")</f>
        <v>Materials</v>
      </c>
      <c r="AK542" s="7" t="str">
        <f>IFERROR(VLOOKUP($AE542,Mapping!$E$208:$K$236,7,0),"ENDirect")</f>
        <v>ENDirect</v>
      </c>
      <c r="AL542" s="7" t="str">
        <f>IFERROR(HLOOKUP(AJ542,'Calc|Weightings'!$U$5:$W$5,1,0),"Excl")</f>
        <v>Materials</v>
      </c>
      <c r="AM542" s="7" t="str">
        <f>VLOOKUP(AC542,Mapping!$E$11:$I$204,5,0)</f>
        <v>SCS</v>
      </c>
      <c r="AO542" s="35" t="s">
        <v>176</v>
      </c>
      <c r="AP542" s="35"/>
      <c r="AQ542" s="35">
        <v>80000</v>
      </c>
      <c r="AR542" s="35" t="s">
        <v>589</v>
      </c>
      <c r="AS542" s="121">
        <v>24.522520000000004</v>
      </c>
      <c r="AU542" s="7" t="str">
        <f>VLOOKUP($AO542,Mapping!$E$11:$I$204,3,0)</f>
        <v>Replacement</v>
      </c>
      <c r="AV542" s="7" t="str">
        <f>IFERROR(VLOOKUP($AQ542,Mapping!$E$208:$K$236,5,0),"Contracts")</f>
        <v>Overhead</v>
      </c>
      <c r="AW542" s="7" t="str">
        <f>IFERROR(VLOOKUP($AQ542,Mapping!$E$208:$K$236,7,0),"ENDirect")</f>
        <v>OH</v>
      </c>
      <c r="AX542" s="7" t="str">
        <f>IFERROR(HLOOKUP(AV542,'Calc|Weightings'!$U$5:$W$5,1,0),"Excl")</f>
        <v>Excl</v>
      </c>
      <c r="AY542" s="7" t="str">
        <f>VLOOKUP(AO542,Mapping!$E$11:$I$204,5,0)</f>
        <v>SCS</v>
      </c>
    </row>
    <row r="543" spans="1:51" x14ac:dyDescent="0.3">
      <c r="A543" s="7"/>
      <c r="B543" s="7"/>
      <c r="C543" s="7"/>
      <c r="D543" s="7"/>
      <c r="E543" s="32" t="s">
        <v>248</v>
      </c>
      <c r="F543" s="32"/>
      <c r="G543" s="32">
        <v>71030</v>
      </c>
      <c r="H543" s="32" t="s">
        <v>464</v>
      </c>
      <c r="I543" s="33">
        <v>4.7960000000000003</v>
      </c>
      <c r="J543" s="170"/>
      <c r="K543" s="7" t="str">
        <f>VLOOKUP($E543,Mapping!$E$11:$I$204,3,0)</f>
        <v>ACS</v>
      </c>
      <c r="L543" s="7" t="str">
        <f>IFERROR(VLOOKUP($G543,Mapping!$E$208:$K$236,5,0),"Contracts")</f>
        <v>Contracts</v>
      </c>
      <c r="M543" s="7" t="str">
        <f>IFERROR(VLOOKUP($G543,Mapping!$E$208:$K$236,7,0),"ENDirect")</f>
        <v>ENDirect</v>
      </c>
      <c r="N543" s="7" t="str">
        <f>IFERROR(HLOOKUP(L543,'Calc|Weightings'!$U$5:$W$5,1,0),"Excl")</f>
        <v>Contracts</v>
      </c>
      <c r="O543" s="7" t="str">
        <f>VLOOKUP(E543,Mapping!$E$11:$I$204,5,0)</f>
        <v>ACS</v>
      </c>
      <c r="Q543" s="32" t="s">
        <v>183</v>
      </c>
      <c r="R543" s="32"/>
      <c r="S543" s="32">
        <v>80000</v>
      </c>
      <c r="T543" s="32" t="s">
        <v>453</v>
      </c>
      <c r="U543" s="33">
        <v>22.959</v>
      </c>
      <c r="V543" s="7"/>
      <c r="W543" s="7" t="str">
        <f>VLOOKUP($Q543,Mapping!$E$11:$I$204,3,0)</f>
        <v>Public Lighting</v>
      </c>
      <c r="X543" s="7" t="str">
        <f>IFERROR(VLOOKUP($S543,Mapping!$E$208:$K$236,5,0),"Contracts")</f>
        <v>Overhead</v>
      </c>
      <c r="Y543" s="7" t="str">
        <f>IFERROR(VLOOKUP($S543,Mapping!$E$208:$K$236,7,0),"ENDirect")</f>
        <v>OH</v>
      </c>
      <c r="Z543" s="7" t="str">
        <f>IFERROR(HLOOKUP(X543,'Calc|Weightings'!$U$5:$W$5,1,0),"Excl")</f>
        <v>Excl</v>
      </c>
      <c r="AA543" s="7" t="str">
        <f>VLOOKUP(Q543,Mapping!$E$11:$I$204,5,0)</f>
        <v>Public Lighting</v>
      </c>
      <c r="AC543" s="35" t="s">
        <v>172</v>
      </c>
      <c r="AD543" s="35"/>
      <c r="AE543" s="35">
        <v>71010</v>
      </c>
      <c r="AF543" s="35" t="s">
        <v>462</v>
      </c>
      <c r="AG543" s="36">
        <v>74.256</v>
      </c>
      <c r="AI543" s="7" t="str">
        <f>VLOOKUP($AC543,Mapping!$E$11:$I$204,3,0)</f>
        <v>Replacement</v>
      </c>
      <c r="AJ543" s="7" t="str">
        <f>IFERROR(VLOOKUP($AE543,Mapping!$E$208:$K$236,5,0),"Contracts")</f>
        <v>Labour</v>
      </c>
      <c r="AK543" s="7" t="str">
        <f>IFERROR(VLOOKUP($AE543,Mapping!$E$208:$K$236,7,0),"ENDirect")</f>
        <v>ENDirect</v>
      </c>
      <c r="AL543" s="7" t="str">
        <f>IFERROR(HLOOKUP(AJ543,'Calc|Weightings'!$U$5:$W$5,1,0),"Excl")</f>
        <v>Labour</v>
      </c>
      <c r="AM543" s="7" t="str">
        <f>VLOOKUP(AC543,Mapping!$E$11:$I$204,5,0)</f>
        <v>SCS</v>
      </c>
      <c r="AO543" s="35" t="s">
        <v>177</v>
      </c>
      <c r="AP543" s="35"/>
      <c r="AQ543" s="35">
        <v>71000</v>
      </c>
      <c r="AR543" s="35" t="s">
        <v>457</v>
      </c>
      <c r="AS543" s="121">
        <v>12.82128</v>
      </c>
      <c r="AU543" s="7" t="str">
        <f>VLOOKUP($AO543,Mapping!$E$11:$I$204,3,0)</f>
        <v>Replacement</v>
      </c>
      <c r="AV543" s="7" t="str">
        <f>IFERROR(VLOOKUP($AQ543,Mapping!$E$208:$K$236,5,0),"Contracts")</f>
        <v>Labour</v>
      </c>
      <c r="AW543" s="7" t="str">
        <f>IFERROR(VLOOKUP($AQ543,Mapping!$E$208:$K$236,7,0),"ENDirect")</f>
        <v>ENDirect</v>
      </c>
      <c r="AX543" s="7" t="str">
        <f>IFERROR(HLOOKUP(AV543,'Calc|Weightings'!$U$5:$W$5,1,0),"Excl")</f>
        <v>Labour</v>
      </c>
      <c r="AY543" s="7" t="str">
        <f>VLOOKUP(AO543,Mapping!$E$11:$I$204,5,0)</f>
        <v>SCS</v>
      </c>
    </row>
    <row r="544" spans="1:51" x14ac:dyDescent="0.3">
      <c r="A544" s="7"/>
      <c r="B544" s="7"/>
      <c r="C544" s="7"/>
      <c r="D544" s="7"/>
      <c r="E544" s="32" t="s">
        <v>248</v>
      </c>
      <c r="F544" s="32"/>
      <c r="G544" s="32">
        <v>71055</v>
      </c>
      <c r="H544" s="32" t="s">
        <v>465</v>
      </c>
      <c r="I544" s="33">
        <v>15.507999999999999</v>
      </c>
      <c r="J544" s="170"/>
      <c r="K544" s="7" t="str">
        <f>VLOOKUP($E544,Mapping!$E$11:$I$204,3,0)</f>
        <v>ACS</v>
      </c>
      <c r="L544" s="7" t="str">
        <f>IFERROR(VLOOKUP($G544,Mapping!$E$208:$K$236,5,0),"Contracts")</f>
        <v>Contracts</v>
      </c>
      <c r="M544" s="7" t="str">
        <f>IFERROR(VLOOKUP($G544,Mapping!$E$208:$K$236,7,0),"ENDirect")</f>
        <v>ENDirect</v>
      </c>
      <c r="N544" s="7" t="str">
        <f>IFERROR(HLOOKUP(L544,'Calc|Weightings'!$U$5:$W$5,1,0),"Excl")</f>
        <v>Contracts</v>
      </c>
      <c r="O544" s="7" t="str">
        <f>VLOOKUP(E544,Mapping!$E$11:$I$204,5,0)</f>
        <v>ACS</v>
      </c>
      <c r="Q544" s="32" t="s">
        <v>183</v>
      </c>
      <c r="R544" s="32"/>
      <c r="S544" s="32">
        <v>89999</v>
      </c>
      <c r="T544" s="32" t="s">
        <v>471</v>
      </c>
      <c r="U544" s="33">
        <v>0</v>
      </c>
      <c r="V544" s="7"/>
      <c r="W544" s="7" t="str">
        <f>VLOOKUP($Q544,Mapping!$E$11:$I$204,3,0)</f>
        <v>Public Lighting</v>
      </c>
      <c r="X544" s="7" t="str">
        <f>IFERROR(VLOOKUP($S544,Mapping!$E$208:$K$236,5,0),"Contracts")</f>
        <v>Contracts</v>
      </c>
      <c r="Y544" s="7" t="str">
        <f>IFERROR(VLOOKUP($S544,Mapping!$E$208:$K$236,7,0),"ENDirect")</f>
        <v>ENDirect</v>
      </c>
      <c r="Z544" s="7" t="str">
        <f>IFERROR(HLOOKUP(X544,'Calc|Weightings'!$U$5:$W$5,1,0),"Excl")</f>
        <v>Contracts</v>
      </c>
      <c r="AA544" s="7" t="str">
        <f>VLOOKUP(Q544,Mapping!$E$11:$I$204,5,0)</f>
        <v>Public Lighting</v>
      </c>
      <c r="AC544" s="35" t="s">
        <v>172</v>
      </c>
      <c r="AD544" s="35"/>
      <c r="AE544" s="35">
        <v>71015</v>
      </c>
      <c r="AF544" s="35" t="s">
        <v>463</v>
      </c>
      <c r="AG544" s="36">
        <v>100.078</v>
      </c>
      <c r="AI544" s="7" t="str">
        <f>VLOOKUP($AC544,Mapping!$E$11:$I$204,3,0)</f>
        <v>Replacement</v>
      </c>
      <c r="AJ544" s="7" t="str">
        <f>IFERROR(VLOOKUP($AE544,Mapping!$E$208:$K$236,5,0),"Contracts")</f>
        <v>Materials</v>
      </c>
      <c r="AK544" s="7" t="str">
        <f>IFERROR(VLOOKUP($AE544,Mapping!$E$208:$K$236,7,0),"ENDirect")</f>
        <v>ENDirect</v>
      </c>
      <c r="AL544" s="7" t="str">
        <f>IFERROR(HLOOKUP(AJ544,'Calc|Weightings'!$U$5:$W$5,1,0),"Excl")</f>
        <v>Materials</v>
      </c>
      <c r="AM544" s="7" t="str">
        <f>VLOOKUP(AC544,Mapping!$E$11:$I$204,5,0)</f>
        <v>SCS</v>
      </c>
      <c r="AO544" s="35" t="s">
        <v>177</v>
      </c>
      <c r="AP544" s="35"/>
      <c r="AQ544" s="35">
        <v>71010</v>
      </c>
      <c r="AR544" s="35" t="s">
        <v>487</v>
      </c>
      <c r="AS544" s="121">
        <v>2.1335000000000002</v>
      </c>
      <c r="AU544" s="7" t="str">
        <f>VLOOKUP($AO544,Mapping!$E$11:$I$204,3,0)</f>
        <v>Replacement</v>
      </c>
      <c r="AV544" s="7" t="str">
        <f>IFERROR(VLOOKUP($AQ544,Mapping!$E$208:$K$236,5,0),"Contracts")</f>
        <v>Labour</v>
      </c>
      <c r="AW544" s="7" t="str">
        <f>IFERROR(VLOOKUP($AQ544,Mapping!$E$208:$K$236,7,0),"ENDirect")</f>
        <v>ENDirect</v>
      </c>
      <c r="AX544" s="7" t="str">
        <f>IFERROR(HLOOKUP(AV544,'Calc|Weightings'!$U$5:$W$5,1,0),"Excl")</f>
        <v>Labour</v>
      </c>
      <c r="AY544" s="7" t="str">
        <f>VLOOKUP(AO544,Mapping!$E$11:$I$204,5,0)</f>
        <v>SCS</v>
      </c>
    </row>
    <row r="545" spans="1:51" x14ac:dyDescent="0.3">
      <c r="A545" s="7"/>
      <c r="B545" s="7"/>
      <c r="C545" s="7"/>
      <c r="D545" s="7"/>
      <c r="E545" s="32" t="s">
        <v>248</v>
      </c>
      <c r="F545" s="32"/>
      <c r="G545" s="32">
        <v>80000</v>
      </c>
      <c r="H545" s="32" t="s">
        <v>453</v>
      </c>
      <c r="I545" s="33">
        <v>7.2939999999999996</v>
      </c>
      <c r="J545" s="170"/>
      <c r="K545" s="7" t="str">
        <f>VLOOKUP($E545,Mapping!$E$11:$I$204,3,0)</f>
        <v>ACS</v>
      </c>
      <c r="L545" s="7" t="str">
        <f>IFERROR(VLOOKUP($G545,Mapping!$E$208:$K$236,5,0),"Contracts")</f>
        <v>Overhead</v>
      </c>
      <c r="M545" s="7" t="str">
        <f>IFERROR(VLOOKUP($G545,Mapping!$E$208:$K$236,7,0),"ENDirect")</f>
        <v>OH</v>
      </c>
      <c r="N545" s="7" t="str">
        <f>IFERROR(HLOOKUP(L545,'Calc|Weightings'!$U$5:$W$5,1,0),"Excl")</f>
        <v>Excl</v>
      </c>
      <c r="O545" s="7" t="str">
        <f>VLOOKUP(E545,Mapping!$E$11:$I$204,5,0)</f>
        <v>ACS</v>
      </c>
      <c r="Q545" s="32" t="s">
        <v>184</v>
      </c>
      <c r="R545" s="32"/>
      <c r="S545" s="32">
        <v>71005</v>
      </c>
      <c r="T545" s="32" t="s">
        <v>461</v>
      </c>
      <c r="U545" s="33">
        <v>151.61600000000001</v>
      </c>
      <c r="V545" s="7"/>
      <c r="W545" s="7" t="str">
        <f>VLOOKUP($Q545,Mapping!$E$11:$I$204,3,0)</f>
        <v>Public Lighting</v>
      </c>
      <c r="X545" s="7" t="str">
        <f>IFERROR(VLOOKUP($S545,Mapping!$E$208:$K$236,5,0),"Contracts")</f>
        <v>Materials</v>
      </c>
      <c r="Y545" s="7" t="str">
        <f>IFERROR(VLOOKUP($S545,Mapping!$E$208:$K$236,7,0),"ENDirect")</f>
        <v>ENDirect</v>
      </c>
      <c r="Z545" s="7" t="str">
        <f>IFERROR(HLOOKUP(X545,'Calc|Weightings'!$U$5:$W$5,1,0),"Excl")</f>
        <v>Materials</v>
      </c>
      <c r="AA545" s="7" t="str">
        <f>VLOOKUP(Q545,Mapping!$E$11:$I$204,5,0)</f>
        <v>Public Lighting</v>
      </c>
      <c r="AC545" s="35" t="s">
        <v>172</v>
      </c>
      <c r="AD545" s="35"/>
      <c r="AE545" s="35">
        <v>71020</v>
      </c>
      <c r="AF545" s="35" t="s">
        <v>459</v>
      </c>
      <c r="AG545" s="36">
        <v>0</v>
      </c>
      <c r="AI545" s="7" t="str">
        <f>VLOOKUP($AC545,Mapping!$E$11:$I$204,3,0)</f>
        <v>Replacement</v>
      </c>
      <c r="AJ545" s="7" t="str">
        <f>IFERROR(VLOOKUP($AE545,Mapping!$E$208:$K$236,5,0),"Contracts")</f>
        <v>Contracts</v>
      </c>
      <c r="AK545" s="7" t="str">
        <f>IFERROR(VLOOKUP($AE545,Mapping!$E$208:$K$236,7,0),"ENDirect")</f>
        <v>ENDirect</v>
      </c>
      <c r="AL545" s="7" t="str">
        <f>IFERROR(HLOOKUP(AJ545,'Calc|Weightings'!$U$5:$W$5,1,0),"Excl")</f>
        <v>Contracts</v>
      </c>
      <c r="AM545" s="7" t="str">
        <f>VLOOKUP(AC545,Mapping!$E$11:$I$204,5,0)</f>
        <v>SCS</v>
      </c>
      <c r="AO545" s="35" t="s">
        <v>177</v>
      </c>
      <c r="AP545" s="35"/>
      <c r="AQ545" s="35">
        <v>71015</v>
      </c>
      <c r="AR545" s="35" t="s">
        <v>585</v>
      </c>
      <c r="AS545" s="121">
        <v>2.6008299999999998</v>
      </c>
      <c r="AU545" s="7" t="str">
        <f>VLOOKUP($AO545,Mapping!$E$11:$I$204,3,0)</f>
        <v>Replacement</v>
      </c>
      <c r="AV545" s="7" t="str">
        <f>IFERROR(VLOOKUP($AQ545,Mapping!$E$208:$K$236,5,0),"Contracts")</f>
        <v>Materials</v>
      </c>
      <c r="AW545" s="7" t="str">
        <f>IFERROR(VLOOKUP($AQ545,Mapping!$E$208:$K$236,7,0),"ENDirect")</f>
        <v>ENDirect</v>
      </c>
      <c r="AX545" s="7" t="str">
        <f>IFERROR(HLOOKUP(AV545,'Calc|Weightings'!$U$5:$W$5,1,0),"Excl")</f>
        <v>Materials</v>
      </c>
      <c r="AY545" s="7" t="str">
        <f>VLOOKUP(AO545,Mapping!$E$11:$I$204,5,0)</f>
        <v>SCS</v>
      </c>
    </row>
    <row r="546" spans="1:51" x14ac:dyDescent="0.3">
      <c r="A546" s="7"/>
      <c r="B546" s="7"/>
      <c r="C546" s="7"/>
      <c r="D546" s="7"/>
      <c r="E546" s="32" t="s">
        <v>249</v>
      </c>
      <c r="F546" s="32"/>
      <c r="G546" s="32">
        <v>71000</v>
      </c>
      <c r="H546" s="32" t="s">
        <v>457</v>
      </c>
      <c r="I546" s="33">
        <v>28.012</v>
      </c>
      <c r="J546" s="170"/>
      <c r="K546" s="7" t="str">
        <f>VLOOKUP($E546,Mapping!$E$11:$I$204,3,0)</f>
        <v>ACS</v>
      </c>
      <c r="L546" s="7" t="str">
        <f>IFERROR(VLOOKUP($G546,Mapping!$E$208:$K$236,5,0),"Contracts")</f>
        <v>Labour</v>
      </c>
      <c r="M546" s="7" t="str">
        <f>IFERROR(VLOOKUP($G546,Mapping!$E$208:$K$236,7,0),"ENDirect")</f>
        <v>ENDirect</v>
      </c>
      <c r="N546" s="7" t="str">
        <f>IFERROR(HLOOKUP(L546,'Calc|Weightings'!$U$5:$W$5,1,0),"Excl")</f>
        <v>Labour</v>
      </c>
      <c r="O546" s="7" t="str">
        <f>VLOOKUP(E546,Mapping!$E$11:$I$204,5,0)</f>
        <v>ACS</v>
      </c>
      <c r="Q546" s="32" t="s">
        <v>184</v>
      </c>
      <c r="R546" s="32"/>
      <c r="S546" s="32">
        <v>71010</v>
      </c>
      <c r="T546" s="32" t="s">
        <v>462</v>
      </c>
      <c r="U546" s="33">
        <v>113.292</v>
      </c>
      <c r="V546" s="7"/>
      <c r="W546" s="7" t="str">
        <f>VLOOKUP($Q546,Mapping!$E$11:$I$204,3,0)</f>
        <v>Public Lighting</v>
      </c>
      <c r="X546" s="7" t="str">
        <f>IFERROR(VLOOKUP($S546,Mapping!$E$208:$K$236,5,0),"Contracts")</f>
        <v>Labour</v>
      </c>
      <c r="Y546" s="7" t="str">
        <f>IFERROR(VLOOKUP($S546,Mapping!$E$208:$K$236,7,0),"ENDirect")</f>
        <v>ENDirect</v>
      </c>
      <c r="Z546" s="7" t="str">
        <f>IFERROR(HLOOKUP(X546,'Calc|Weightings'!$U$5:$W$5,1,0),"Excl")</f>
        <v>Labour</v>
      </c>
      <c r="AA546" s="7" t="str">
        <f>VLOOKUP(Q546,Mapping!$E$11:$I$204,5,0)</f>
        <v>Public Lighting</v>
      </c>
      <c r="AC546" s="35" t="s">
        <v>172</v>
      </c>
      <c r="AD546" s="35"/>
      <c r="AE546" s="35">
        <v>71030</v>
      </c>
      <c r="AF546" s="35" t="s">
        <v>464</v>
      </c>
      <c r="AG546" s="36">
        <v>58.531999999999996</v>
      </c>
      <c r="AI546" s="7" t="str">
        <f>VLOOKUP($AC546,Mapping!$E$11:$I$204,3,0)</f>
        <v>Replacement</v>
      </c>
      <c r="AJ546" s="7" t="str">
        <f>IFERROR(VLOOKUP($AE546,Mapping!$E$208:$K$236,5,0),"Contracts")</f>
        <v>Contracts</v>
      </c>
      <c r="AK546" s="7" t="str">
        <f>IFERROR(VLOOKUP($AE546,Mapping!$E$208:$K$236,7,0),"ENDirect")</f>
        <v>ENDirect</v>
      </c>
      <c r="AL546" s="7" t="str">
        <f>IFERROR(HLOOKUP(AJ546,'Calc|Weightings'!$U$5:$W$5,1,0),"Excl")</f>
        <v>Contracts</v>
      </c>
      <c r="AM546" s="7" t="str">
        <f>VLOOKUP(AC546,Mapping!$E$11:$I$204,5,0)</f>
        <v>SCS</v>
      </c>
      <c r="AO546" s="35" t="s">
        <v>177</v>
      </c>
      <c r="AP546" s="35"/>
      <c r="AQ546" s="35">
        <v>71030</v>
      </c>
      <c r="AR546" s="35" t="s">
        <v>464</v>
      </c>
      <c r="AS546" s="121">
        <v>1.46513</v>
      </c>
      <c r="AU546" s="7" t="str">
        <f>VLOOKUP($AO546,Mapping!$E$11:$I$204,3,0)</f>
        <v>Replacement</v>
      </c>
      <c r="AV546" s="7" t="str">
        <f>IFERROR(VLOOKUP($AQ546,Mapping!$E$208:$K$236,5,0),"Contracts")</f>
        <v>Contracts</v>
      </c>
      <c r="AW546" s="7" t="str">
        <f>IFERROR(VLOOKUP($AQ546,Mapping!$E$208:$K$236,7,0),"ENDirect")</f>
        <v>ENDirect</v>
      </c>
      <c r="AX546" s="7" t="str">
        <f>IFERROR(HLOOKUP(AV546,'Calc|Weightings'!$U$5:$W$5,1,0),"Excl")</f>
        <v>Contracts</v>
      </c>
      <c r="AY546" s="7" t="str">
        <f>VLOOKUP(AO546,Mapping!$E$11:$I$204,5,0)</f>
        <v>SCS</v>
      </c>
    </row>
    <row r="547" spans="1:51" x14ac:dyDescent="0.3">
      <c r="A547" s="7"/>
      <c r="B547" s="7"/>
      <c r="C547" s="7"/>
      <c r="D547" s="7"/>
      <c r="E547" s="32" t="s">
        <v>249</v>
      </c>
      <c r="F547" s="32"/>
      <c r="G547" s="32">
        <v>71015</v>
      </c>
      <c r="H547" s="32" t="s">
        <v>463</v>
      </c>
      <c r="I547" s="33">
        <v>4.5199999999999996</v>
      </c>
      <c r="J547" s="170"/>
      <c r="K547" s="7" t="str">
        <f>VLOOKUP($E547,Mapping!$E$11:$I$204,3,0)</f>
        <v>ACS</v>
      </c>
      <c r="L547" s="7" t="str">
        <f>IFERROR(VLOOKUP($G547,Mapping!$E$208:$K$236,5,0),"Contracts")</f>
        <v>Materials</v>
      </c>
      <c r="M547" s="7" t="str">
        <f>IFERROR(VLOOKUP($G547,Mapping!$E$208:$K$236,7,0),"ENDirect")</f>
        <v>ENDirect</v>
      </c>
      <c r="N547" s="7" t="str">
        <f>IFERROR(HLOOKUP(L547,'Calc|Weightings'!$U$5:$W$5,1,0),"Excl")</f>
        <v>Materials</v>
      </c>
      <c r="O547" s="7" t="str">
        <f>VLOOKUP(E547,Mapping!$E$11:$I$204,5,0)</f>
        <v>ACS</v>
      </c>
      <c r="Q547" s="32" t="s">
        <v>184</v>
      </c>
      <c r="R547" s="32"/>
      <c r="S547" s="32">
        <v>71030</v>
      </c>
      <c r="T547" s="32" t="s">
        <v>464</v>
      </c>
      <c r="U547" s="33">
        <v>26.488</v>
      </c>
      <c r="V547" s="7"/>
      <c r="W547" s="7" t="str">
        <f>VLOOKUP($Q547,Mapping!$E$11:$I$204,3,0)</f>
        <v>Public Lighting</v>
      </c>
      <c r="X547" s="7" t="str">
        <f>IFERROR(VLOOKUP($S547,Mapping!$E$208:$K$236,5,0),"Contracts")</f>
        <v>Contracts</v>
      </c>
      <c r="Y547" s="7" t="str">
        <f>IFERROR(VLOOKUP($S547,Mapping!$E$208:$K$236,7,0),"ENDirect")</f>
        <v>ENDirect</v>
      </c>
      <c r="Z547" s="7" t="str">
        <f>IFERROR(HLOOKUP(X547,'Calc|Weightings'!$U$5:$W$5,1,0),"Excl")</f>
        <v>Contracts</v>
      </c>
      <c r="AA547" s="7" t="str">
        <f>VLOOKUP(Q547,Mapping!$E$11:$I$204,5,0)</f>
        <v>Public Lighting</v>
      </c>
      <c r="AC547" s="35" t="s">
        <v>172</v>
      </c>
      <c r="AD547" s="35"/>
      <c r="AE547" s="35">
        <v>71055</v>
      </c>
      <c r="AF547" s="35" t="s">
        <v>465</v>
      </c>
      <c r="AG547" s="36">
        <v>118.864</v>
      </c>
      <c r="AI547" s="7" t="str">
        <f>VLOOKUP($AC547,Mapping!$E$11:$I$204,3,0)</f>
        <v>Replacement</v>
      </c>
      <c r="AJ547" s="7" t="str">
        <f>IFERROR(VLOOKUP($AE547,Mapping!$E$208:$K$236,5,0),"Contracts")</f>
        <v>Contracts</v>
      </c>
      <c r="AK547" s="7" t="str">
        <f>IFERROR(VLOOKUP($AE547,Mapping!$E$208:$K$236,7,0),"ENDirect")</f>
        <v>ENDirect</v>
      </c>
      <c r="AL547" s="7" t="str">
        <f>IFERROR(HLOOKUP(AJ547,'Calc|Weightings'!$U$5:$W$5,1,0),"Excl")</f>
        <v>Contracts</v>
      </c>
      <c r="AM547" s="7" t="str">
        <f>VLOOKUP(AC547,Mapping!$E$11:$I$204,5,0)</f>
        <v>SCS</v>
      </c>
      <c r="AO547" s="35" t="s">
        <v>177</v>
      </c>
      <c r="AP547" s="35"/>
      <c r="AQ547" s="35">
        <v>71055</v>
      </c>
      <c r="AR547" s="35" t="s">
        <v>465</v>
      </c>
      <c r="AS547" s="121">
        <v>3.3748100000000001</v>
      </c>
      <c r="AU547" s="7" t="str">
        <f>VLOOKUP($AO547,Mapping!$E$11:$I$204,3,0)</f>
        <v>Replacement</v>
      </c>
      <c r="AV547" s="7" t="str">
        <f>IFERROR(VLOOKUP($AQ547,Mapping!$E$208:$K$236,5,0),"Contracts")</f>
        <v>Contracts</v>
      </c>
      <c r="AW547" s="7" t="str">
        <f>IFERROR(VLOOKUP($AQ547,Mapping!$E$208:$K$236,7,0),"ENDirect")</f>
        <v>ENDirect</v>
      </c>
      <c r="AX547" s="7" t="str">
        <f>IFERROR(HLOOKUP(AV547,'Calc|Weightings'!$U$5:$W$5,1,0),"Excl")</f>
        <v>Contracts</v>
      </c>
      <c r="AY547" s="7" t="str">
        <f>VLOOKUP(AO547,Mapping!$E$11:$I$204,5,0)</f>
        <v>SCS</v>
      </c>
    </row>
    <row r="548" spans="1:51" x14ac:dyDescent="0.3">
      <c r="A548" s="7"/>
      <c r="B548" s="7"/>
      <c r="C548" s="7"/>
      <c r="D548" s="7"/>
      <c r="E548" s="32" t="s">
        <v>249</v>
      </c>
      <c r="F548" s="32"/>
      <c r="G548" s="32">
        <v>71020</v>
      </c>
      <c r="H548" s="32" t="s">
        <v>459</v>
      </c>
      <c r="I548" s="33">
        <v>0.32200000000000001</v>
      </c>
      <c r="J548" s="170"/>
      <c r="K548" s="7" t="str">
        <f>VLOOKUP($E548,Mapping!$E$11:$I$204,3,0)</f>
        <v>ACS</v>
      </c>
      <c r="L548" s="7" t="str">
        <f>IFERROR(VLOOKUP($G548,Mapping!$E$208:$K$236,5,0),"Contracts")</f>
        <v>Contracts</v>
      </c>
      <c r="M548" s="7" t="str">
        <f>IFERROR(VLOOKUP($G548,Mapping!$E$208:$K$236,7,0),"ENDirect")</f>
        <v>ENDirect</v>
      </c>
      <c r="N548" s="7" t="str">
        <f>IFERROR(HLOOKUP(L548,'Calc|Weightings'!$U$5:$W$5,1,0),"Excl")</f>
        <v>Contracts</v>
      </c>
      <c r="O548" s="7" t="str">
        <f>VLOOKUP(E548,Mapping!$E$11:$I$204,5,0)</f>
        <v>ACS</v>
      </c>
      <c r="Q548" s="32" t="s">
        <v>184</v>
      </c>
      <c r="R548" s="32"/>
      <c r="S548" s="32">
        <v>71055</v>
      </c>
      <c r="T548" s="32" t="s">
        <v>465</v>
      </c>
      <c r="U548" s="33">
        <v>52.857999999999997</v>
      </c>
      <c r="V548" s="7"/>
      <c r="W548" s="7" t="str">
        <f>VLOOKUP($Q548,Mapping!$E$11:$I$204,3,0)</f>
        <v>Public Lighting</v>
      </c>
      <c r="X548" s="7" t="str">
        <f>IFERROR(VLOOKUP($S548,Mapping!$E$208:$K$236,5,0),"Contracts")</f>
        <v>Contracts</v>
      </c>
      <c r="Y548" s="7" t="str">
        <f>IFERROR(VLOOKUP($S548,Mapping!$E$208:$K$236,7,0),"ENDirect")</f>
        <v>ENDirect</v>
      </c>
      <c r="Z548" s="7" t="str">
        <f>IFERROR(HLOOKUP(X548,'Calc|Weightings'!$U$5:$W$5,1,0),"Excl")</f>
        <v>Contracts</v>
      </c>
      <c r="AA548" s="7" t="str">
        <f>VLOOKUP(Q548,Mapping!$E$11:$I$204,5,0)</f>
        <v>Public Lighting</v>
      </c>
      <c r="AC548" s="35" t="s">
        <v>172</v>
      </c>
      <c r="AD548" s="35"/>
      <c r="AE548" s="35">
        <v>80000</v>
      </c>
      <c r="AF548" s="35" t="s">
        <v>453</v>
      </c>
      <c r="AG548" s="36">
        <v>114.45399999999999</v>
      </c>
      <c r="AI548" s="7" t="str">
        <f>VLOOKUP($AC548,Mapping!$E$11:$I$204,3,0)</f>
        <v>Replacement</v>
      </c>
      <c r="AJ548" s="7" t="str">
        <f>IFERROR(VLOOKUP($AE548,Mapping!$E$208:$K$236,5,0),"Contracts")</f>
        <v>Overhead</v>
      </c>
      <c r="AK548" s="7" t="str">
        <f>IFERROR(VLOOKUP($AE548,Mapping!$E$208:$K$236,7,0),"ENDirect")</f>
        <v>OH</v>
      </c>
      <c r="AL548" s="7" t="str">
        <f>IFERROR(HLOOKUP(AJ548,'Calc|Weightings'!$U$5:$W$5,1,0),"Excl")</f>
        <v>Excl</v>
      </c>
      <c r="AM548" s="7" t="str">
        <f>VLOOKUP(AC548,Mapping!$E$11:$I$204,5,0)</f>
        <v>SCS</v>
      </c>
      <c r="AO548" s="35" t="s">
        <v>177</v>
      </c>
      <c r="AP548" s="35"/>
      <c r="AQ548" s="35">
        <v>71070</v>
      </c>
      <c r="AR548" s="35" t="s">
        <v>586</v>
      </c>
      <c r="AS548" s="121">
        <v>10.31598</v>
      </c>
      <c r="AU548" s="7" t="str">
        <f>VLOOKUP($AO548,Mapping!$E$11:$I$204,3,0)</f>
        <v>Replacement</v>
      </c>
      <c r="AV548" s="7" t="str">
        <f>IFERROR(VLOOKUP($AQ548,Mapping!$E$208:$K$236,5,0),"Contracts")</f>
        <v>Contracts</v>
      </c>
      <c r="AW548" s="7" t="str">
        <f>IFERROR(VLOOKUP($AQ548,Mapping!$E$208:$K$236,7,0),"ENDirect")</f>
        <v>ENDirect</v>
      </c>
      <c r="AX548" s="7" t="str">
        <f>IFERROR(HLOOKUP(AV548,'Calc|Weightings'!$U$5:$W$5,1,0),"Excl")</f>
        <v>Contracts</v>
      </c>
      <c r="AY548" s="7" t="str">
        <f>VLOOKUP(AO548,Mapping!$E$11:$I$204,5,0)</f>
        <v>SCS</v>
      </c>
    </row>
    <row r="549" spans="1:51" x14ac:dyDescent="0.3">
      <c r="A549" s="7"/>
      <c r="B549" s="7"/>
      <c r="C549" s="7"/>
      <c r="D549" s="7"/>
      <c r="E549" s="32" t="s">
        <v>249</v>
      </c>
      <c r="F549" s="32"/>
      <c r="G549" s="32">
        <v>71030</v>
      </c>
      <c r="H549" s="32" t="s">
        <v>464</v>
      </c>
      <c r="I549" s="33">
        <v>3.3039999999999998</v>
      </c>
      <c r="J549" s="170"/>
      <c r="K549" s="7" t="str">
        <f>VLOOKUP($E549,Mapping!$E$11:$I$204,3,0)</f>
        <v>ACS</v>
      </c>
      <c r="L549" s="7" t="str">
        <f>IFERROR(VLOOKUP($G549,Mapping!$E$208:$K$236,5,0),"Contracts")</f>
        <v>Contracts</v>
      </c>
      <c r="M549" s="7" t="str">
        <f>IFERROR(VLOOKUP($G549,Mapping!$E$208:$K$236,7,0),"ENDirect")</f>
        <v>ENDirect</v>
      </c>
      <c r="N549" s="7" t="str">
        <f>IFERROR(HLOOKUP(L549,'Calc|Weightings'!$U$5:$W$5,1,0),"Excl")</f>
        <v>Contracts</v>
      </c>
      <c r="O549" s="7" t="str">
        <f>VLOOKUP(E549,Mapping!$E$11:$I$204,5,0)</f>
        <v>ACS</v>
      </c>
      <c r="Q549" s="32" t="s">
        <v>184</v>
      </c>
      <c r="R549" s="32"/>
      <c r="S549" s="32">
        <v>80000</v>
      </c>
      <c r="T549" s="32" t="s">
        <v>453</v>
      </c>
      <c r="U549" s="33">
        <v>50.898000000000003</v>
      </c>
      <c r="V549" s="7"/>
      <c r="W549" s="7" t="str">
        <f>VLOOKUP($Q549,Mapping!$E$11:$I$204,3,0)</f>
        <v>Public Lighting</v>
      </c>
      <c r="X549" s="7" t="str">
        <f>IFERROR(VLOOKUP($S549,Mapping!$E$208:$K$236,5,0),"Contracts")</f>
        <v>Overhead</v>
      </c>
      <c r="Y549" s="7" t="str">
        <f>IFERROR(VLOOKUP($S549,Mapping!$E$208:$K$236,7,0),"ENDirect")</f>
        <v>OH</v>
      </c>
      <c r="Z549" s="7" t="str">
        <f>IFERROR(HLOOKUP(X549,'Calc|Weightings'!$U$5:$W$5,1,0),"Excl")</f>
        <v>Excl</v>
      </c>
      <c r="AA549" s="7" t="str">
        <f>VLOOKUP(Q549,Mapping!$E$11:$I$204,5,0)</f>
        <v>Public Lighting</v>
      </c>
      <c r="AC549" s="35" t="s">
        <v>172</v>
      </c>
      <c r="AD549" s="35"/>
      <c r="AE549" s="35">
        <v>89999</v>
      </c>
      <c r="AF549" s="35" t="s">
        <v>471</v>
      </c>
      <c r="AG549" s="36">
        <v>0</v>
      </c>
      <c r="AI549" s="7" t="str">
        <f>VLOOKUP($AC549,Mapping!$E$11:$I$204,3,0)</f>
        <v>Replacement</v>
      </c>
      <c r="AJ549" s="7" t="str">
        <f>IFERROR(VLOOKUP($AE549,Mapping!$E$208:$K$236,5,0),"Contracts")</f>
        <v>Contracts</v>
      </c>
      <c r="AK549" s="7" t="str">
        <f>IFERROR(VLOOKUP($AE549,Mapping!$E$208:$K$236,7,0),"ENDirect")</f>
        <v>ENDirect</v>
      </c>
      <c r="AL549" s="7" t="str">
        <f>IFERROR(HLOOKUP(AJ549,'Calc|Weightings'!$U$5:$W$5,1,0),"Excl")</f>
        <v>Contracts</v>
      </c>
      <c r="AM549" s="7" t="str">
        <f>VLOOKUP(AC549,Mapping!$E$11:$I$204,5,0)</f>
        <v>SCS</v>
      </c>
      <c r="AO549" s="35" t="s">
        <v>177</v>
      </c>
      <c r="AP549" s="35"/>
      <c r="AQ549" s="35">
        <v>71075</v>
      </c>
      <c r="AR549" s="35" t="s">
        <v>587</v>
      </c>
      <c r="AS549" s="121">
        <v>3.8615999999999997</v>
      </c>
      <c r="AU549" s="7" t="str">
        <f>VLOOKUP($AO549,Mapping!$E$11:$I$204,3,0)</f>
        <v>Replacement</v>
      </c>
      <c r="AV549" s="7" t="str">
        <f>IFERROR(VLOOKUP($AQ549,Mapping!$E$208:$K$236,5,0),"Contracts")</f>
        <v>Contracts</v>
      </c>
      <c r="AW549" s="7" t="str">
        <f>IFERROR(VLOOKUP($AQ549,Mapping!$E$208:$K$236,7,0),"ENDirect")</f>
        <v>ENDirect</v>
      </c>
      <c r="AX549" s="7" t="str">
        <f>IFERROR(HLOOKUP(AV549,'Calc|Weightings'!$U$5:$W$5,1,0),"Excl")</f>
        <v>Contracts</v>
      </c>
      <c r="AY549" s="7" t="str">
        <f>VLOOKUP(AO549,Mapping!$E$11:$I$204,5,0)</f>
        <v>SCS</v>
      </c>
    </row>
    <row r="550" spans="1:51" x14ac:dyDescent="0.3">
      <c r="A550" s="7"/>
      <c r="B550" s="7"/>
      <c r="C550" s="7"/>
      <c r="D550" s="7"/>
      <c r="E550" s="32" t="s">
        <v>249</v>
      </c>
      <c r="F550" s="32"/>
      <c r="G550" s="32">
        <v>71055</v>
      </c>
      <c r="H550" s="32" t="s">
        <v>465</v>
      </c>
      <c r="I550" s="33">
        <v>8.0039999999999996</v>
      </c>
      <c r="J550" s="170"/>
      <c r="K550" s="7" t="str">
        <f>VLOOKUP($E550,Mapping!$E$11:$I$204,3,0)</f>
        <v>ACS</v>
      </c>
      <c r="L550" s="7" t="str">
        <f>IFERROR(VLOOKUP($G550,Mapping!$E$208:$K$236,5,0),"Contracts")</f>
        <v>Contracts</v>
      </c>
      <c r="M550" s="7" t="str">
        <f>IFERROR(VLOOKUP($G550,Mapping!$E$208:$K$236,7,0),"ENDirect")</f>
        <v>ENDirect</v>
      </c>
      <c r="N550" s="7" t="str">
        <f>IFERROR(HLOOKUP(L550,'Calc|Weightings'!$U$5:$W$5,1,0),"Excl")</f>
        <v>Contracts</v>
      </c>
      <c r="O550" s="7" t="str">
        <f>VLOOKUP(E550,Mapping!$E$11:$I$204,5,0)</f>
        <v>ACS</v>
      </c>
      <c r="Q550" s="32" t="s">
        <v>184</v>
      </c>
      <c r="R550" s="32"/>
      <c r="S550" s="32">
        <v>89999</v>
      </c>
      <c r="T550" s="32" t="s">
        <v>471</v>
      </c>
      <c r="U550" s="33">
        <v>0</v>
      </c>
      <c r="V550" s="7"/>
      <c r="W550" s="7" t="str">
        <f>VLOOKUP($Q550,Mapping!$E$11:$I$204,3,0)</f>
        <v>Public Lighting</v>
      </c>
      <c r="X550" s="7" t="str">
        <f>IFERROR(VLOOKUP($S550,Mapping!$E$208:$K$236,5,0),"Contracts")</f>
        <v>Contracts</v>
      </c>
      <c r="Y550" s="7" t="str">
        <f>IFERROR(VLOOKUP($S550,Mapping!$E$208:$K$236,7,0),"ENDirect")</f>
        <v>ENDirect</v>
      </c>
      <c r="Z550" s="7" t="str">
        <f>IFERROR(HLOOKUP(X550,'Calc|Weightings'!$U$5:$W$5,1,0),"Excl")</f>
        <v>Contracts</v>
      </c>
      <c r="AA550" s="7" t="str">
        <f>VLOOKUP(Q550,Mapping!$E$11:$I$204,5,0)</f>
        <v>Public Lighting</v>
      </c>
      <c r="AC550" s="35" t="s">
        <v>180</v>
      </c>
      <c r="AD550" s="35"/>
      <c r="AE550" s="35">
        <v>71000</v>
      </c>
      <c r="AF550" s="35" t="s">
        <v>457</v>
      </c>
      <c r="AG550" s="36">
        <v>271.35899999999998</v>
      </c>
      <c r="AI550" s="7" t="str">
        <f>VLOOKUP($AC550,Mapping!$E$11:$I$204,3,0)</f>
        <v>Replacement</v>
      </c>
      <c r="AJ550" s="7" t="str">
        <f>IFERROR(VLOOKUP($AE550,Mapping!$E$208:$K$236,5,0),"Contracts")</f>
        <v>Labour</v>
      </c>
      <c r="AK550" s="7" t="str">
        <f>IFERROR(VLOOKUP($AE550,Mapping!$E$208:$K$236,7,0),"ENDirect")</f>
        <v>ENDirect</v>
      </c>
      <c r="AL550" s="7" t="str">
        <f>IFERROR(HLOOKUP(AJ550,'Calc|Weightings'!$U$5:$W$5,1,0),"Excl")</f>
        <v>Labour</v>
      </c>
      <c r="AM550" s="7" t="str">
        <f>VLOOKUP(AC550,Mapping!$E$11:$I$204,5,0)</f>
        <v>SCS</v>
      </c>
      <c r="AO550" s="35" t="s">
        <v>177</v>
      </c>
      <c r="AP550" s="35"/>
      <c r="AQ550" s="35">
        <v>80000</v>
      </c>
      <c r="AR550" s="35" t="s">
        <v>589</v>
      </c>
      <c r="AS550" s="121">
        <v>13.359719999999999</v>
      </c>
      <c r="AU550" s="7" t="str">
        <f>VLOOKUP($AO550,Mapping!$E$11:$I$204,3,0)</f>
        <v>Replacement</v>
      </c>
      <c r="AV550" s="7" t="str">
        <f>IFERROR(VLOOKUP($AQ550,Mapping!$E$208:$K$236,5,0),"Contracts")</f>
        <v>Overhead</v>
      </c>
      <c r="AW550" s="7" t="str">
        <f>IFERROR(VLOOKUP($AQ550,Mapping!$E$208:$K$236,7,0),"ENDirect")</f>
        <v>OH</v>
      </c>
      <c r="AX550" s="7" t="str">
        <f>IFERROR(HLOOKUP(AV550,'Calc|Weightings'!$U$5:$W$5,1,0),"Excl")</f>
        <v>Excl</v>
      </c>
      <c r="AY550" s="7" t="str">
        <f>VLOOKUP(AO550,Mapping!$E$11:$I$204,5,0)</f>
        <v>SCS</v>
      </c>
    </row>
    <row r="551" spans="1:51" x14ac:dyDescent="0.3">
      <c r="A551" s="7"/>
      <c r="B551" s="7"/>
      <c r="C551" s="7"/>
      <c r="D551" s="7"/>
      <c r="E551" s="32" t="s">
        <v>249</v>
      </c>
      <c r="F551" s="32"/>
      <c r="G551" s="32">
        <v>80000</v>
      </c>
      <c r="H551" s="32" t="s">
        <v>453</v>
      </c>
      <c r="I551" s="33">
        <v>4.8730000000000002</v>
      </c>
      <c r="J551" s="170"/>
      <c r="K551" s="7" t="str">
        <f>VLOOKUP($E551,Mapping!$E$11:$I$204,3,0)</f>
        <v>ACS</v>
      </c>
      <c r="L551" s="7" t="str">
        <f>IFERROR(VLOOKUP($G551,Mapping!$E$208:$K$236,5,0),"Contracts")</f>
        <v>Overhead</v>
      </c>
      <c r="M551" s="7" t="str">
        <f>IFERROR(VLOOKUP($G551,Mapping!$E$208:$K$236,7,0),"ENDirect")</f>
        <v>OH</v>
      </c>
      <c r="N551" s="7" t="str">
        <f>IFERROR(HLOOKUP(L551,'Calc|Weightings'!$U$5:$W$5,1,0),"Excl")</f>
        <v>Excl</v>
      </c>
      <c r="O551" s="7" t="str">
        <f>VLOOKUP(E551,Mapping!$E$11:$I$204,5,0)</f>
        <v>ACS</v>
      </c>
      <c r="Q551" s="32" t="s">
        <v>184</v>
      </c>
      <c r="R551" s="32"/>
      <c r="S551" s="32">
        <v>71000</v>
      </c>
      <c r="T551" s="32" t="s">
        <v>457</v>
      </c>
      <c r="U551" s="33">
        <v>49.576000000000001</v>
      </c>
      <c r="V551" s="7"/>
      <c r="W551" s="7" t="str">
        <f>VLOOKUP($Q551,Mapping!$E$11:$I$204,3,0)</f>
        <v>Public Lighting</v>
      </c>
      <c r="X551" s="7" t="str">
        <f>IFERROR(VLOOKUP($S551,Mapping!$E$208:$K$236,5,0),"Contracts")</f>
        <v>Labour</v>
      </c>
      <c r="Y551" s="7" t="str">
        <f>IFERROR(VLOOKUP($S551,Mapping!$E$208:$K$236,7,0),"ENDirect")</f>
        <v>ENDirect</v>
      </c>
      <c r="Z551" s="7" t="str">
        <f>IFERROR(HLOOKUP(X551,'Calc|Weightings'!$U$5:$W$5,1,0),"Excl")</f>
        <v>Labour</v>
      </c>
      <c r="AA551" s="7" t="str">
        <f>VLOOKUP(Q551,Mapping!$E$11:$I$204,5,0)</f>
        <v>Public Lighting</v>
      </c>
      <c r="AC551" s="35" t="s">
        <v>180</v>
      </c>
      <c r="AD551" s="35"/>
      <c r="AE551" s="35">
        <v>71005</v>
      </c>
      <c r="AF551" s="35" t="s">
        <v>461</v>
      </c>
      <c r="AG551" s="36">
        <v>22.562000000000001</v>
      </c>
      <c r="AI551" s="7" t="str">
        <f>VLOOKUP($AC551,Mapping!$E$11:$I$204,3,0)</f>
        <v>Replacement</v>
      </c>
      <c r="AJ551" s="7" t="str">
        <f>IFERROR(VLOOKUP($AE551,Mapping!$E$208:$K$236,5,0),"Contracts")</f>
        <v>Materials</v>
      </c>
      <c r="AK551" s="7" t="str">
        <f>IFERROR(VLOOKUP($AE551,Mapping!$E$208:$K$236,7,0),"ENDirect")</f>
        <v>ENDirect</v>
      </c>
      <c r="AL551" s="7" t="str">
        <f>IFERROR(HLOOKUP(AJ551,'Calc|Weightings'!$U$5:$W$5,1,0),"Excl")</f>
        <v>Materials</v>
      </c>
      <c r="AM551" s="7" t="str">
        <f>VLOOKUP(AC551,Mapping!$E$11:$I$204,5,0)</f>
        <v>SCS</v>
      </c>
      <c r="AO551" s="35" t="s">
        <v>177</v>
      </c>
      <c r="AP551" s="35"/>
      <c r="AQ551" s="35">
        <v>83010</v>
      </c>
      <c r="AR551" s="35" t="s">
        <v>591</v>
      </c>
      <c r="AS551" s="121">
        <v>30.947700000000001</v>
      </c>
      <c r="AU551" s="7" t="str">
        <f>VLOOKUP($AO551,Mapping!$E$11:$I$204,3,0)</f>
        <v>Replacement</v>
      </c>
      <c r="AV551" s="7" t="str">
        <f>IFERROR(VLOOKUP($AQ551,Mapping!$E$208:$K$236,5,0),"Contracts")</f>
        <v>Contracts</v>
      </c>
      <c r="AW551" s="7" t="str">
        <f>IFERROR(VLOOKUP($AQ551,Mapping!$E$208:$K$236,7,0),"ENDirect")</f>
        <v>ENDirect</v>
      </c>
      <c r="AX551" s="7" t="str">
        <f>IFERROR(HLOOKUP(AV551,'Calc|Weightings'!$U$5:$W$5,1,0),"Excl")</f>
        <v>Contracts</v>
      </c>
      <c r="AY551" s="7" t="str">
        <f>VLOOKUP(AO551,Mapping!$E$11:$I$204,5,0)</f>
        <v>SCS</v>
      </c>
    </row>
    <row r="552" spans="1:51" x14ac:dyDescent="0.3">
      <c r="A552" s="7"/>
      <c r="B552" s="7"/>
      <c r="C552" s="7"/>
      <c r="D552" s="7"/>
      <c r="E552" s="32" t="s">
        <v>251</v>
      </c>
      <c r="F552" s="32"/>
      <c r="G552" s="32">
        <v>71000</v>
      </c>
      <c r="H552" s="32" t="s">
        <v>457</v>
      </c>
      <c r="I552" s="33">
        <v>31.785</v>
      </c>
      <c r="J552" s="170"/>
      <c r="K552" s="7" t="str">
        <f>VLOOKUP($E552,Mapping!$E$11:$I$204,3,0)</f>
        <v>ACS</v>
      </c>
      <c r="L552" s="7" t="str">
        <f>IFERROR(VLOOKUP($G552,Mapping!$E$208:$K$236,5,0),"Contracts")</f>
        <v>Labour</v>
      </c>
      <c r="M552" s="7" t="str">
        <f>IFERROR(VLOOKUP($G552,Mapping!$E$208:$K$236,7,0),"ENDirect")</f>
        <v>ENDirect</v>
      </c>
      <c r="N552" s="7" t="str">
        <f>IFERROR(HLOOKUP(L552,'Calc|Weightings'!$U$5:$W$5,1,0),"Excl")</f>
        <v>Labour</v>
      </c>
      <c r="O552" s="7" t="str">
        <f>VLOOKUP(E552,Mapping!$E$11:$I$204,5,0)</f>
        <v>ACS</v>
      </c>
      <c r="Q552" s="32" t="s">
        <v>184</v>
      </c>
      <c r="R552" s="32"/>
      <c r="S552" s="32">
        <v>71015</v>
      </c>
      <c r="T552" s="32" t="s">
        <v>463</v>
      </c>
      <c r="U552" s="33">
        <v>11.048999999999999</v>
      </c>
      <c r="V552" s="7"/>
      <c r="W552" s="7" t="str">
        <f>VLOOKUP($Q552,Mapping!$E$11:$I$204,3,0)</f>
        <v>Public Lighting</v>
      </c>
      <c r="X552" s="7" t="str">
        <f>IFERROR(VLOOKUP($S552,Mapping!$E$208:$K$236,5,0),"Contracts")</f>
        <v>Materials</v>
      </c>
      <c r="Y552" s="7" t="str">
        <f>IFERROR(VLOOKUP($S552,Mapping!$E$208:$K$236,7,0),"ENDirect")</f>
        <v>ENDirect</v>
      </c>
      <c r="Z552" s="7" t="str">
        <f>IFERROR(HLOOKUP(X552,'Calc|Weightings'!$U$5:$W$5,1,0),"Excl")</f>
        <v>Materials</v>
      </c>
      <c r="AA552" s="7" t="str">
        <f>VLOOKUP(Q552,Mapping!$E$11:$I$204,5,0)</f>
        <v>Public Lighting</v>
      </c>
      <c r="AC552" s="35" t="s">
        <v>180</v>
      </c>
      <c r="AD552" s="35"/>
      <c r="AE552" s="35">
        <v>71010</v>
      </c>
      <c r="AF552" s="35" t="s">
        <v>462</v>
      </c>
      <c r="AG552" s="36">
        <v>16.634</v>
      </c>
      <c r="AI552" s="7" t="str">
        <f>VLOOKUP($AC552,Mapping!$E$11:$I$204,3,0)</f>
        <v>Replacement</v>
      </c>
      <c r="AJ552" s="7" t="str">
        <f>IFERROR(VLOOKUP($AE552,Mapping!$E$208:$K$236,5,0),"Contracts")</f>
        <v>Labour</v>
      </c>
      <c r="AK552" s="7" t="str">
        <f>IFERROR(VLOOKUP($AE552,Mapping!$E$208:$K$236,7,0),"ENDirect")</f>
        <v>ENDirect</v>
      </c>
      <c r="AL552" s="7" t="str">
        <f>IFERROR(HLOOKUP(AJ552,'Calc|Weightings'!$U$5:$W$5,1,0),"Excl")</f>
        <v>Labour</v>
      </c>
      <c r="AM552" s="7" t="str">
        <f>VLOOKUP(AC552,Mapping!$E$11:$I$204,5,0)</f>
        <v>SCS</v>
      </c>
      <c r="AO552" s="35" t="s">
        <v>178</v>
      </c>
      <c r="AP552" s="35"/>
      <c r="AQ552" s="35">
        <v>71000</v>
      </c>
      <c r="AR552" s="35" t="s">
        <v>457</v>
      </c>
      <c r="AS552" s="121">
        <v>4.7053000000000003</v>
      </c>
      <c r="AU552" s="7" t="str">
        <f>VLOOKUP($AO552,Mapping!$E$11:$I$204,3,0)</f>
        <v>Replacement</v>
      </c>
      <c r="AV552" s="7" t="str">
        <f>IFERROR(VLOOKUP($AQ552,Mapping!$E$208:$K$236,5,0),"Contracts")</f>
        <v>Labour</v>
      </c>
      <c r="AW552" s="7" t="str">
        <f>IFERROR(VLOOKUP($AQ552,Mapping!$E$208:$K$236,7,0),"ENDirect")</f>
        <v>ENDirect</v>
      </c>
      <c r="AX552" s="7" t="str">
        <f>IFERROR(HLOOKUP(AV552,'Calc|Weightings'!$U$5:$W$5,1,0),"Excl")</f>
        <v>Labour</v>
      </c>
      <c r="AY552" s="7" t="str">
        <f>VLOOKUP(AO552,Mapping!$E$11:$I$204,5,0)</f>
        <v>SCS</v>
      </c>
    </row>
    <row r="553" spans="1:51" x14ac:dyDescent="0.3">
      <c r="A553" s="7"/>
      <c r="B553" s="7"/>
      <c r="C553" s="7"/>
      <c r="D553" s="7"/>
      <c r="E553" s="32" t="s">
        <v>251</v>
      </c>
      <c r="F553" s="32"/>
      <c r="G553" s="32">
        <v>71005</v>
      </c>
      <c r="H553" s="32" t="s">
        <v>461</v>
      </c>
      <c r="I553" s="33">
        <v>6.4569999999999999</v>
      </c>
      <c r="J553" s="170"/>
      <c r="K553" s="7" t="str">
        <f>VLOOKUP($E553,Mapping!$E$11:$I$204,3,0)</f>
        <v>ACS</v>
      </c>
      <c r="L553" s="7" t="str">
        <f>IFERROR(VLOOKUP($G553,Mapping!$E$208:$K$236,5,0),"Contracts")</f>
        <v>Materials</v>
      </c>
      <c r="M553" s="7" t="str">
        <f>IFERROR(VLOOKUP($G553,Mapping!$E$208:$K$236,7,0),"ENDirect")</f>
        <v>ENDirect</v>
      </c>
      <c r="N553" s="7" t="str">
        <f>IFERROR(HLOOKUP(L553,'Calc|Weightings'!$U$5:$W$5,1,0),"Excl")</f>
        <v>Materials</v>
      </c>
      <c r="O553" s="7" t="str">
        <f>VLOOKUP(E553,Mapping!$E$11:$I$204,5,0)</f>
        <v>ACS</v>
      </c>
      <c r="Q553" s="32" t="s">
        <v>185</v>
      </c>
      <c r="R553" s="32"/>
      <c r="S553" s="32">
        <v>71000</v>
      </c>
      <c r="T553" s="32" t="s">
        <v>457</v>
      </c>
      <c r="U553" s="33">
        <v>114.667</v>
      </c>
      <c r="V553" s="7"/>
      <c r="W553" s="7" t="str">
        <f>VLOOKUP($Q553,Mapping!$E$11:$I$204,3,0)</f>
        <v>Public Lighting</v>
      </c>
      <c r="X553" s="7" t="str">
        <f>IFERROR(VLOOKUP($S553,Mapping!$E$208:$K$236,5,0),"Contracts")</f>
        <v>Labour</v>
      </c>
      <c r="Y553" s="7" t="str">
        <f>IFERROR(VLOOKUP($S553,Mapping!$E$208:$K$236,7,0),"ENDirect")</f>
        <v>ENDirect</v>
      </c>
      <c r="Z553" s="7" t="str">
        <f>IFERROR(HLOOKUP(X553,'Calc|Weightings'!$U$5:$W$5,1,0),"Excl")</f>
        <v>Labour</v>
      </c>
      <c r="AA553" s="7" t="str">
        <f>VLOOKUP(Q553,Mapping!$E$11:$I$204,5,0)</f>
        <v>Public Lighting</v>
      </c>
      <c r="AC553" s="35" t="s">
        <v>180</v>
      </c>
      <c r="AD553" s="35"/>
      <c r="AE553" s="35">
        <v>71015</v>
      </c>
      <c r="AF553" s="35" t="s">
        <v>463</v>
      </c>
      <c r="AG553" s="36">
        <v>64.724000000000004</v>
      </c>
      <c r="AI553" s="7" t="str">
        <f>VLOOKUP($AC553,Mapping!$E$11:$I$204,3,0)</f>
        <v>Replacement</v>
      </c>
      <c r="AJ553" s="7" t="str">
        <f>IFERROR(VLOOKUP($AE553,Mapping!$E$208:$K$236,5,0),"Contracts")</f>
        <v>Materials</v>
      </c>
      <c r="AK553" s="7" t="str">
        <f>IFERROR(VLOOKUP($AE553,Mapping!$E$208:$K$236,7,0),"ENDirect")</f>
        <v>ENDirect</v>
      </c>
      <c r="AL553" s="7" t="str">
        <f>IFERROR(HLOOKUP(AJ553,'Calc|Weightings'!$U$5:$W$5,1,0),"Excl")</f>
        <v>Materials</v>
      </c>
      <c r="AM553" s="7" t="str">
        <f>VLOOKUP(AC553,Mapping!$E$11:$I$204,5,0)</f>
        <v>SCS</v>
      </c>
      <c r="AO553" s="35" t="s">
        <v>178</v>
      </c>
      <c r="AP553" s="35"/>
      <c r="AQ553" s="35">
        <v>71005</v>
      </c>
      <c r="AR553" s="35" t="s">
        <v>461</v>
      </c>
      <c r="AS553" s="121">
        <v>9.0950000000000003E-2</v>
      </c>
      <c r="AU553" s="7" t="str">
        <f>VLOOKUP($AO553,Mapping!$E$11:$I$204,3,0)</f>
        <v>Replacement</v>
      </c>
      <c r="AV553" s="7" t="str">
        <f>IFERROR(VLOOKUP($AQ553,Mapping!$E$208:$K$236,5,0),"Contracts")</f>
        <v>Materials</v>
      </c>
      <c r="AW553" s="7" t="str">
        <f>IFERROR(VLOOKUP($AQ553,Mapping!$E$208:$K$236,7,0),"ENDirect")</f>
        <v>ENDirect</v>
      </c>
      <c r="AX553" s="7" t="str">
        <f>IFERROR(HLOOKUP(AV553,'Calc|Weightings'!$U$5:$W$5,1,0),"Excl")</f>
        <v>Materials</v>
      </c>
      <c r="AY553" s="7" t="str">
        <f>VLOOKUP(AO553,Mapping!$E$11:$I$204,5,0)</f>
        <v>SCS</v>
      </c>
    </row>
    <row r="554" spans="1:51" x14ac:dyDescent="0.3">
      <c r="A554" s="7"/>
      <c r="B554" s="7"/>
      <c r="C554" s="7"/>
      <c r="D554" s="7"/>
      <c r="E554" s="32" t="s">
        <v>251</v>
      </c>
      <c r="F554" s="32"/>
      <c r="G554" s="32">
        <v>71015</v>
      </c>
      <c r="H554" s="32" t="s">
        <v>463</v>
      </c>
      <c r="I554" s="33">
        <v>5.4980000000000002</v>
      </c>
      <c r="J554" s="170"/>
      <c r="K554" s="7" t="str">
        <f>VLOOKUP($E554,Mapping!$E$11:$I$204,3,0)</f>
        <v>ACS</v>
      </c>
      <c r="L554" s="7" t="str">
        <f>IFERROR(VLOOKUP($G554,Mapping!$E$208:$K$236,5,0),"Contracts")</f>
        <v>Materials</v>
      </c>
      <c r="M554" s="7" t="str">
        <f>IFERROR(VLOOKUP($G554,Mapping!$E$208:$K$236,7,0),"ENDirect")</f>
        <v>ENDirect</v>
      </c>
      <c r="N554" s="7" t="str">
        <f>IFERROR(HLOOKUP(L554,'Calc|Weightings'!$U$5:$W$5,1,0),"Excl")</f>
        <v>Materials</v>
      </c>
      <c r="O554" s="7" t="str">
        <f>VLOOKUP(E554,Mapping!$E$11:$I$204,5,0)</f>
        <v>ACS</v>
      </c>
      <c r="Q554" s="32" t="s">
        <v>185</v>
      </c>
      <c r="R554" s="32"/>
      <c r="S554" s="32">
        <v>71005</v>
      </c>
      <c r="T554" s="32" t="s">
        <v>461</v>
      </c>
      <c r="U554" s="33">
        <v>175.90899999999999</v>
      </c>
      <c r="V554" s="7"/>
      <c r="W554" s="7" t="str">
        <f>VLOOKUP($Q554,Mapping!$E$11:$I$204,3,0)</f>
        <v>Public Lighting</v>
      </c>
      <c r="X554" s="7" t="str">
        <f>IFERROR(VLOOKUP($S554,Mapping!$E$208:$K$236,5,0),"Contracts")</f>
        <v>Materials</v>
      </c>
      <c r="Y554" s="7" t="str">
        <f>IFERROR(VLOOKUP($S554,Mapping!$E$208:$K$236,7,0),"ENDirect")</f>
        <v>ENDirect</v>
      </c>
      <c r="Z554" s="7" t="str">
        <f>IFERROR(HLOOKUP(X554,'Calc|Weightings'!$U$5:$W$5,1,0),"Excl")</f>
        <v>Materials</v>
      </c>
      <c r="AA554" s="7" t="str">
        <f>VLOOKUP(Q554,Mapping!$E$11:$I$204,5,0)</f>
        <v>Public Lighting</v>
      </c>
      <c r="AC554" s="35" t="s">
        <v>180</v>
      </c>
      <c r="AD554" s="35"/>
      <c r="AE554" s="35">
        <v>71020</v>
      </c>
      <c r="AF554" s="35" t="s">
        <v>459</v>
      </c>
      <c r="AG554" s="36">
        <v>0</v>
      </c>
      <c r="AI554" s="7" t="str">
        <f>VLOOKUP($AC554,Mapping!$E$11:$I$204,3,0)</f>
        <v>Replacement</v>
      </c>
      <c r="AJ554" s="7" t="str">
        <f>IFERROR(VLOOKUP($AE554,Mapping!$E$208:$K$236,5,0),"Contracts")</f>
        <v>Contracts</v>
      </c>
      <c r="AK554" s="7" t="str">
        <f>IFERROR(VLOOKUP($AE554,Mapping!$E$208:$K$236,7,0),"ENDirect")</f>
        <v>ENDirect</v>
      </c>
      <c r="AL554" s="7" t="str">
        <f>IFERROR(HLOOKUP(AJ554,'Calc|Weightings'!$U$5:$W$5,1,0),"Excl")</f>
        <v>Contracts</v>
      </c>
      <c r="AM554" s="7" t="str">
        <f>VLOOKUP(AC554,Mapping!$E$11:$I$204,5,0)</f>
        <v>SCS</v>
      </c>
      <c r="AO554" s="35" t="s">
        <v>178</v>
      </c>
      <c r="AP554" s="35"/>
      <c r="AQ554" s="35">
        <v>71010</v>
      </c>
      <c r="AR554" s="35" t="s">
        <v>487</v>
      </c>
      <c r="AS554" s="121">
        <v>0.60450000000000004</v>
      </c>
      <c r="AU554" s="7" t="str">
        <f>VLOOKUP($AO554,Mapping!$E$11:$I$204,3,0)</f>
        <v>Replacement</v>
      </c>
      <c r="AV554" s="7" t="str">
        <f>IFERROR(VLOOKUP($AQ554,Mapping!$E$208:$K$236,5,0),"Contracts")</f>
        <v>Labour</v>
      </c>
      <c r="AW554" s="7" t="str">
        <f>IFERROR(VLOOKUP($AQ554,Mapping!$E$208:$K$236,7,0),"ENDirect")</f>
        <v>ENDirect</v>
      </c>
      <c r="AX554" s="7" t="str">
        <f>IFERROR(HLOOKUP(AV554,'Calc|Weightings'!$U$5:$W$5,1,0),"Excl")</f>
        <v>Labour</v>
      </c>
      <c r="AY554" s="7" t="str">
        <f>VLOOKUP(AO554,Mapping!$E$11:$I$204,5,0)</f>
        <v>SCS</v>
      </c>
    </row>
    <row r="555" spans="1:51" x14ac:dyDescent="0.3">
      <c r="A555" s="7"/>
      <c r="B555" s="7"/>
      <c r="C555" s="7"/>
      <c r="D555" s="7"/>
      <c r="E555" s="32" t="s">
        <v>251</v>
      </c>
      <c r="F555" s="32"/>
      <c r="G555" s="32">
        <v>71030</v>
      </c>
      <c r="H555" s="32" t="s">
        <v>464</v>
      </c>
      <c r="I555" s="33">
        <v>3.6669999999999998</v>
      </c>
      <c r="J555" s="170"/>
      <c r="K555" s="7" t="str">
        <f>VLOOKUP($E555,Mapping!$E$11:$I$204,3,0)</f>
        <v>ACS</v>
      </c>
      <c r="L555" s="7" t="str">
        <f>IFERROR(VLOOKUP($G555,Mapping!$E$208:$K$236,5,0),"Contracts")</f>
        <v>Contracts</v>
      </c>
      <c r="M555" s="7" t="str">
        <f>IFERROR(VLOOKUP($G555,Mapping!$E$208:$K$236,7,0),"ENDirect")</f>
        <v>ENDirect</v>
      </c>
      <c r="N555" s="7" t="str">
        <f>IFERROR(HLOOKUP(L555,'Calc|Weightings'!$U$5:$W$5,1,0),"Excl")</f>
        <v>Contracts</v>
      </c>
      <c r="O555" s="7" t="str">
        <f>VLOOKUP(E555,Mapping!$E$11:$I$204,5,0)</f>
        <v>ACS</v>
      </c>
      <c r="Q555" s="32" t="s">
        <v>185</v>
      </c>
      <c r="R555" s="32"/>
      <c r="S555" s="32">
        <v>71010</v>
      </c>
      <c r="T555" s="32" t="s">
        <v>462</v>
      </c>
      <c r="U555" s="33">
        <v>132.351</v>
      </c>
      <c r="V555" s="7"/>
      <c r="W555" s="7" t="str">
        <f>VLOOKUP($Q555,Mapping!$E$11:$I$204,3,0)</f>
        <v>Public Lighting</v>
      </c>
      <c r="X555" s="7" t="str">
        <f>IFERROR(VLOOKUP($S555,Mapping!$E$208:$K$236,5,0),"Contracts")</f>
        <v>Labour</v>
      </c>
      <c r="Y555" s="7" t="str">
        <f>IFERROR(VLOOKUP($S555,Mapping!$E$208:$K$236,7,0),"ENDirect")</f>
        <v>ENDirect</v>
      </c>
      <c r="Z555" s="7" t="str">
        <f>IFERROR(HLOOKUP(X555,'Calc|Weightings'!$U$5:$W$5,1,0),"Excl")</f>
        <v>Labour</v>
      </c>
      <c r="AA555" s="7" t="str">
        <f>VLOOKUP(Q555,Mapping!$E$11:$I$204,5,0)</f>
        <v>Public Lighting</v>
      </c>
      <c r="AC555" s="35" t="s">
        <v>180</v>
      </c>
      <c r="AD555" s="35"/>
      <c r="AE555" s="35">
        <v>71030</v>
      </c>
      <c r="AF555" s="35" t="s">
        <v>464</v>
      </c>
      <c r="AG555" s="36">
        <v>30.446999999999999</v>
      </c>
      <c r="AI555" s="7" t="str">
        <f>VLOOKUP($AC555,Mapping!$E$11:$I$204,3,0)</f>
        <v>Replacement</v>
      </c>
      <c r="AJ555" s="7" t="str">
        <f>IFERROR(VLOOKUP($AE555,Mapping!$E$208:$K$236,5,0),"Contracts")</f>
        <v>Contracts</v>
      </c>
      <c r="AK555" s="7" t="str">
        <f>IFERROR(VLOOKUP($AE555,Mapping!$E$208:$K$236,7,0),"ENDirect")</f>
        <v>ENDirect</v>
      </c>
      <c r="AL555" s="7" t="str">
        <f>IFERROR(HLOOKUP(AJ555,'Calc|Weightings'!$U$5:$W$5,1,0),"Excl")</f>
        <v>Contracts</v>
      </c>
      <c r="AM555" s="7" t="str">
        <f>VLOOKUP(AC555,Mapping!$E$11:$I$204,5,0)</f>
        <v>SCS</v>
      </c>
      <c r="AO555" s="35" t="s">
        <v>178</v>
      </c>
      <c r="AP555" s="35"/>
      <c r="AQ555" s="35">
        <v>71015</v>
      </c>
      <c r="AR555" s="35" t="s">
        <v>585</v>
      </c>
      <c r="AS555" s="121">
        <v>1.04477</v>
      </c>
      <c r="AU555" s="7" t="str">
        <f>VLOOKUP($AO555,Mapping!$E$11:$I$204,3,0)</f>
        <v>Replacement</v>
      </c>
      <c r="AV555" s="7" t="str">
        <f>IFERROR(VLOOKUP($AQ555,Mapping!$E$208:$K$236,5,0),"Contracts")</f>
        <v>Materials</v>
      </c>
      <c r="AW555" s="7" t="str">
        <f>IFERROR(VLOOKUP($AQ555,Mapping!$E$208:$K$236,7,0),"ENDirect")</f>
        <v>ENDirect</v>
      </c>
      <c r="AX555" s="7" t="str">
        <f>IFERROR(HLOOKUP(AV555,'Calc|Weightings'!$U$5:$W$5,1,0),"Excl")</f>
        <v>Materials</v>
      </c>
      <c r="AY555" s="7" t="str">
        <f>VLOOKUP(AO555,Mapping!$E$11:$I$204,5,0)</f>
        <v>SCS</v>
      </c>
    </row>
    <row r="556" spans="1:51" x14ac:dyDescent="0.3">
      <c r="A556" s="7"/>
      <c r="B556" s="7"/>
      <c r="C556" s="7"/>
      <c r="D556" s="7"/>
      <c r="E556" s="32" t="s">
        <v>251</v>
      </c>
      <c r="F556" s="32"/>
      <c r="G556" s="32">
        <v>71055</v>
      </c>
      <c r="H556" s="32" t="s">
        <v>465</v>
      </c>
      <c r="I556" s="33">
        <v>7.665</v>
      </c>
      <c r="J556" s="170"/>
      <c r="K556" s="7" t="str">
        <f>VLOOKUP($E556,Mapping!$E$11:$I$204,3,0)</f>
        <v>ACS</v>
      </c>
      <c r="L556" s="7" t="str">
        <f>IFERROR(VLOOKUP($G556,Mapping!$E$208:$K$236,5,0),"Contracts")</f>
        <v>Contracts</v>
      </c>
      <c r="M556" s="7" t="str">
        <f>IFERROR(VLOOKUP($G556,Mapping!$E$208:$K$236,7,0),"ENDirect")</f>
        <v>ENDirect</v>
      </c>
      <c r="N556" s="7" t="str">
        <f>IFERROR(HLOOKUP(L556,'Calc|Weightings'!$U$5:$W$5,1,0),"Excl")</f>
        <v>Contracts</v>
      </c>
      <c r="O556" s="7" t="str">
        <f>VLOOKUP(E556,Mapping!$E$11:$I$204,5,0)</f>
        <v>ACS</v>
      </c>
      <c r="Q556" s="32" t="s">
        <v>185</v>
      </c>
      <c r="R556" s="32"/>
      <c r="S556" s="32">
        <v>71015</v>
      </c>
      <c r="T556" s="32" t="s">
        <v>463</v>
      </c>
      <c r="U556" s="33">
        <v>21.271999999999998</v>
      </c>
      <c r="V556" s="7"/>
      <c r="W556" s="7" t="str">
        <f>VLOOKUP($Q556,Mapping!$E$11:$I$204,3,0)</f>
        <v>Public Lighting</v>
      </c>
      <c r="X556" s="7" t="str">
        <f>IFERROR(VLOOKUP($S556,Mapping!$E$208:$K$236,5,0),"Contracts")</f>
        <v>Materials</v>
      </c>
      <c r="Y556" s="7" t="str">
        <f>IFERROR(VLOOKUP($S556,Mapping!$E$208:$K$236,7,0),"ENDirect")</f>
        <v>ENDirect</v>
      </c>
      <c r="Z556" s="7" t="str">
        <f>IFERROR(HLOOKUP(X556,'Calc|Weightings'!$U$5:$W$5,1,0),"Excl")</f>
        <v>Materials</v>
      </c>
      <c r="AA556" s="7" t="str">
        <f>VLOOKUP(Q556,Mapping!$E$11:$I$204,5,0)</f>
        <v>Public Lighting</v>
      </c>
      <c r="AC556" s="35" t="s">
        <v>180</v>
      </c>
      <c r="AD556" s="35"/>
      <c r="AE556" s="35">
        <v>71055</v>
      </c>
      <c r="AF556" s="35" t="s">
        <v>465</v>
      </c>
      <c r="AG556" s="36">
        <v>64.394999999999996</v>
      </c>
      <c r="AI556" s="7" t="str">
        <f>VLOOKUP($AC556,Mapping!$E$11:$I$204,3,0)</f>
        <v>Replacement</v>
      </c>
      <c r="AJ556" s="7" t="str">
        <f>IFERROR(VLOOKUP($AE556,Mapping!$E$208:$K$236,5,0),"Contracts")</f>
        <v>Contracts</v>
      </c>
      <c r="AK556" s="7" t="str">
        <f>IFERROR(VLOOKUP($AE556,Mapping!$E$208:$K$236,7,0),"ENDirect")</f>
        <v>ENDirect</v>
      </c>
      <c r="AL556" s="7" t="str">
        <f>IFERROR(HLOOKUP(AJ556,'Calc|Weightings'!$U$5:$W$5,1,0),"Excl")</f>
        <v>Contracts</v>
      </c>
      <c r="AM556" s="7" t="str">
        <f>VLOOKUP(AC556,Mapping!$E$11:$I$204,5,0)</f>
        <v>SCS</v>
      </c>
      <c r="AO556" s="35" t="s">
        <v>178</v>
      </c>
      <c r="AP556" s="35"/>
      <c r="AQ556" s="35">
        <v>71030</v>
      </c>
      <c r="AR556" s="35" t="s">
        <v>464</v>
      </c>
      <c r="AS556" s="121">
        <v>0.53789999999999993</v>
      </c>
      <c r="AU556" s="7" t="str">
        <f>VLOOKUP($AO556,Mapping!$E$11:$I$204,3,0)</f>
        <v>Replacement</v>
      </c>
      <c r="AV556" s="7" t="str">
        <f>IFERROR(VLOOKUP($AQ556,Mapping!$E$208:$K$236,5,0),"Contracts")</f>
        <v>Contracts</v>
      </c>
      <c r="AW556" s="7" t="str">
        <f>IFERROR(VLOOKUP($AQ556,Mapping!$E$208:$K$236,7,0),"ENDirect")</f>
        <v>ENDirect</v>
      </c>
      <c r="AX556" s="7" t="str">
        <f>IFERROR(HLOOKUP(AV556,'Calc|Weightings'!$U$5:$W$5,1,0),"Excl")</f>
        <v>Contracts</v>
      </c>
      <c r="AY556" s="7" t="str">
        <f>VLOOKUP(AO556,Mapping!$E$11:$I$204,5,0)</f>
        <v>SCS</v>
      </c>
    </row>
    <row r="557" spans="1:51" x14ac:dyDescent="0.3">
      <c r="A557" s="7"/>
      <c r="B557" s="7"/>
      <c r="C557" s="7"/>
      <c r="D557" s="7"/>
      <c r="E557" s="32" t="s">
        <v>251</v>
      </c>
      <c r="F557" s="32"/>
      <c r="G557" s="32">
        <v>80000</v>
      </c>
      <c r="H557" s="32" t="s">
        <v>453</v>
      </c>
      <c r="I557" s="33">
        <v>5.0540000000000003</v>
      </c>
      <c r="J557" s="170"/>
      <c r="K557" s="7" t="str">
        <f>VLOOKUP($E557,Mapping!$E$11:$I$204,3,0)</f>
        <v>ACS</v>
      </c>
      <c r="L557" s="7" t="str">
        <f>IFERROR(VLOOKUP($G557,Mapping!$E$208:$K$236,5,0),"Contracts")</f>
        <v>Overhead</v>
      </c>
      <c r="M557" s="7" t="str">
        <f>IFERROR(VLOOKUP($G557,Mapping!$E$208:$K$236,7,0),"ENDirect")</f>
        <v>OH</v>
      </c>
      <c r="N557" s="7" t="str">
        <f>IFERROR(HLOOKUP(L557,'Calc|Weightings'!$U$5:$W$5,1,0),"Excl")</f>
        <v>Excl</v>
      </c>
      <c r="O557" s="7" t="str">
        <f>VLOOKUP(E557,Mapping!$E$11:$I$204,5,0)</f>
        <v>ACS</v>
      </c>
      <c r="Q557" s="32" t="s">
        <v>185</v>
      </c>
      <c r="R557" s="32"/>
      <c r="S557" s="32">
        <v>71020</v>
      </c>
      <c r="T557" s="32" t="s">
        <v>459</v>
      </c>
      <c r="U557" s="33">
        <v>0.47199999999999998</v>
      </c>
      <c r="V557" s="7"/>
      <c r="W557" s="7" t="str">
        <f>VLOOKUP($Q557,Mapping!$E$11:$I$204,3,0)</f>
        <v>Public Lighting</v>
      </c>
      <c r="X557" s="7" t="str">
        <f>IFERROR(VLOOKUP($S557,Mapping!$E$208:$K$236,5,0),"Contracts")</f>
        <v>Contracts</v>
      </c>
      <c r="Y557" s="7" t="str">
        <f>IFERROR(VLOOKUP($S557,Mapping!$E$208:$K$236,7,0),"ENDirect")</f>
        <v>ENDirect</v>
      </c>
      <c r="Z557" s="7" t="str">
        <f>IFERROR(HLOOKUP(X557,'Calc|Weightings'!$U$5:$W$5,1,0),"Excl")</f>
        <v>Contracts</v>
      </c>
      <c r="AA557" s="7" t="str">
        <f>VLOOKUP(Q557,Mapping!$E$11:$I$204,5,0)</f>
        <v>Public Lighting</v>
      </c>
      <c r="AC557" s="35" t="s">
        <v>180</v>
      </c>
      <c r="AD557" s="35"/>
      <c r="AE557" s="35">
        <v>80000</v>
      </c>
      <c r="AF557" s="35" t="s">
        <v>453</v>
      </c>
      <c r="AG557" s="36">
        <v>60.680999999999997</v>
      </c>
      <c r="AI557" s="7" t="str">
        <f>VLOOKUP($AC557,Mapping!$E$11:$I$204,3,0)</f>
        <v>Replacement</v>
      </c>
      <c r="AJ557" s="7" t="str">
        <f>IFERROR(VLOOKUP($AE557,Mapping!$E$208:$K$236,5,0),"Contracts")</f>
        <v>Overhead</v>
      </c>
      <c r="AK557" s="7" t="str">
        <f>IFERROR(VLOOKUP($AE557,Mapping!$E$208:$K$236,7,0),"ENDirect")</f>
        <v>OH</v>
      </c>
      <c r="AL557" s="7" t="str">
        <f>IFERROR(HLOOKUP(AJ557,'Calc|Weightings'!$U$5:$W$5,1,0),"Excl")</f>
        <v>Excl</v>
      </c>
      <c r="AM557" s="7" t="str">
        <f>VLOOKUP(AC557,Mapping!$E$11:$I$204,5,0)</f>
        <v>SCS</v>
      </c>
      <c r="AO557" s="35" t="s">
        <v>178</v>
      </c>
      <c r="AP557" s="35"/>
      <c r="AQ557" s="35">
        <v>71055</v>
      </c>
      <c r="AR557" s="35" t="s">
        <v>465</v>
      </c>
      <c r="AS557" s="121">
        <v>1.23878</v>
      </c>
      <c r="AU557" s="7" t="str">
        <f>VLOOKUP($AO557,Mapping!$E$11:$I$204,3,0)</f>
        <v>Replacement</v>
      </c>
      <c r="AV557" s="7" t="str">
        <f>IFERROR(VLOOKUP($AQ557,Mapping!$E$208:$K$236,5,0),"Contracts")</f>
        <v>Contracts</v>
      </c>
      <c r="AW557" s="7" t="str">
        <f>IFERROR(VLOOKUP($AQ557,Mapping!$E$208:$K$236,7,0),"ENDirect")</f>
        <v>ENDirect</v>
      </c>
      <c r="AX557" s="7" t="str">
        <f>IFERROR(HLOOKUP(AV557,'Calc|Weightings'!$U$5:$W$5,1,0),"Excl")</f>
        <v>Contracts</v>
      </c>
      <c r="AY557" s="7" t="str">
        <f>VLOOKUP(AO557,Mapping!$E$11:$I$204,5,0)</f>
        <v>SCS</v>
      </c>
    </row>
    <row r="558" spans="1:51" x14ac:dyDescent="0.3">
      <c r="A558" s="7"/>
      <c r="B558" s="7"/>
      <c r="C558" s="7"/>
      <c r="D558" s="7"/>
      <c r="E558" s="32" t="s">
        <v>252</v>
      </c>
      <c r="F558" s="32"/>
      <c r="G558" s="32">
        <v>71000</v>
      </c>
      <c r="H558" s="32" t="s">
        <v>457</v>
      </c>
      <c r="I558" s="33">
        <v>16.193000000000001</v>
      </c>
      <c r="J558" s="170"/>
      <c r="K558" s="7" t="str">
        <f>VLOOKUP($E558,Mapping!$E$11:$I$204,3,0)</f>
        <v>ACS</v>
      </c>
      <c r="L558" s="7" t="str">
        <f>IFERROR(VLOOKUP($G558,Mapping!$E$208:$K$236,5,0),"Contracts")</f>
        <v>Labour</v>
      </c>
      <c r="M558" s="7" t="str">
        <f>IFERROR(VLOOKUP($G558,Mapping!$E$208:$K$236,7,0),"ENDirect")</f>
        <v>ENDirect</v>
      </c>
      <c r="N558" s="7" t="str">
        <f>IFERROR(HLOOKUP(L558,'Calc|Weightings'!$U$5:$W$5,1,0),"Excl")</f>
        <v>Labour</v>
      </c>
      <c r="O558" s="7" t="str">
        <f>VLOOKUP(E558,Mapping!$E$11:$I$204,5,0)</f>
        <v>ACS</v>
      </c>
      <c r="Q558" s="32" t="s">
        <v>185</v>
      </c>
      <c r="R558" s="32"/>
      <c r="S558" s="32">
        <v>71030</v>
      </c>
      <c r="T558" s="32" t="s">
        <v>464</v>
      </c>
      <c r="U558" s="33">
        <v>35.762</v>
      </c>
      <c r="V558" s="7"/>
      <c r="W558" s="7" t="str">
        <f>VLOOKUP($Q558,Mapping!$E$11:$I$204,3,0)</f>
        <v>Public Lighting</v>
      </c>
      <c r="X558" s="7" t="str">
        <f>IFERROR(VLOOKUP($S558,Mapping!$E$208:$K$236,5,0),"Contracts")</f>
        <v>Contracts</v>
      </c>
      <c r="Y558" s="7" t="str">
        <f>IFERROR(VLOOKUP($S558,Mapping!$E$208:$K$236,7,0),"ENDirect")</f>
        <v>ENDirect</v>
      </c>
      <c r="Z558" s="7" t="str">
        <f>IFERROR(HLOOKUP(X558,'Calc|Weightings'!$U$5:$W$5,1,0),"Excl")</f>
        <v>Contracts</v>
      </c>
      <c r="AA558" s="7" t="str">
        <f>VLOOKUP(Q558,Mapping!$E$11:$I$204,5,0)</f>
        <v>Public Lighting</v>
      </c>
      <c r="AC558" s="35" t="s">
        <v>180</v>
      </c>
      <c r="AD558" s="35"/>
      <c r="AE558" s="35">
        <v>89999</v>
      </c>
      <c r="AF558" s="35" t="s">
        <v>471</v>
      </c>
      <c r="AG558" s="36">
        <v>0</v>
      </c>
      <c r="AI558" s="7" t="str">
        <f>VLOOKUP($AC558,Mapping!$E$11:$I$204,3,0)</f>
        <v>Replacement</v>
      </c>
      <c r="AJ558" s="7" t="str">
        <f>IFERROR(VLOOKUP($AE558,Mapping!$E$208:$K$236,5,0),"Contracts")</f>
        <v>Contracts</v>
      </c>
      <c r="AK558" s="7" t="str">
        <f>IFERROR(VLOOKUP($AE558,Mapping!$E$208:$K$236,7,0),"ENDirect")</f>
        <v>ENDirect</v>
      </c>
      <c r="AL558" s="7" t="str">
        <f>IFERROR(HLOOKUP(AJ558,'Calc|Weightings'!$U$5:$W$5,1,0),"Excl")</f>
        <v>Contracts</v>
      </c>
      <c r="AM558" s="7" t="str">
        <f>VLOOKUP(AC558,Mapping!$E$11:$I$204,5,0)</f>
        <v>SCS</v>
      </c>
      <c r="AO558" s="35" t="s">
        <v>178</v>
      </c>
      <c r="AP558" s="35"/>
      <c r="AQ558" s="35">
        <v>71075</v>
      </c>
      <c r="AR558" s="35" t="s">
        <v>587</v>
      </c>
      <c r="AS558" s="121">
        <v>8.1242999999999999</v>
      </c>
      <c r="AU558" s="7" t="str">
        <f>VLOOKUP($AO558,Mapping!$E$11:$I$204,3,0)</f>
        <v>Replacement</v>
      </c>
      <c r="AV558" s="7" t="str">
        <f>IFERROR(VLOOKUP($AQ558,Mapping!$E$208:$K$236,5,0),"Contracts")</f>
        <v>Contracts</v>
      </c>
      <c r="AW558" s="7" t="str">
        <f>IFERROR(VLOOKUP($AQ558,Mapping!$E$208:$K$236,7,0),"ENDirect")</f>
        <v>ENDirect</v>
      </c>
      <c r="AX558" s="7" t="str">
        <f>IFERROR(HLOOKUP(AV558,'Calc|Weightings'!$U$5:$W$5,1,0),"Excl")</f>
        <v>Contracts</v>
      </c>
      <c r="AY558" s="7" t="str">
        <f>VLOOKUP(AO558,Mapping!$E$11:$I$204,5,0)</f>
        <v>SCS</v>
      </c>
    </row>
    <row r="559" spans="1:51" x14ac:dyDescent="0.3">
      <c r="A559" s="7"/>
      <c r="B559" s="7"/>
      <c r="C559" s="7"/>
      <c r="D559" s="7"/>
      <c r="E559" s="32" t="s">
        <v>252</v>
      </c>
      <c r="F559" s="32"/>
      <c r="G559" s="32">
        <v>71015</v>
      </c>
      <c r="H559" s="32" t="s">
        <v>463</v>
      </c>
      <c r="I559" s="33">
        <v>2.5569999999999999</v>
      </c>
      <c r="J559" s="170"/>
      <c r="K559" s="7" t="str">
        <f>VLOOKUP($E559,Mapping!$E$11:$I$204,3,0)</f>
        <v>ACS</v>
      </c>
      <c r="L559" s="7" t="str">
        <f>IFERROR(VLOOKUP($G559,Mapping!$E$208:$K$236,5,0),"Contracts")</f>
        <v>Materials</v>
      </c>
      <c r="M559" s="7" t="str">
        <f>IFERROR(VLOOKUP($G559,Mapping!$E$208:$K$236,7,0),"ENDirect")</f>
        <v>ENDirect</v>
      </c>
      <c r="N559" s="7" t="str">
        <f>IFERROR(HLOOKUP(L559,'Calc|Weightings'!$U$5:$W$5,1,0),"Excl")</f>
        <v>Materials</v>
      </c>
      <c r="O559" s="7" t="str">
        <f>VLOOKUP(E559,Mapping!$E$11:$I$204,5,0)</f>
        <v>ACS</v>
      </c>
      <c r="Q559" s="32" t="s">
        <v>185</v>
      </c>
      <c r="R559" s="32"/>
      <c r="S559" s="32">
        <v>71055</v>
      </c>
      <c r="T559" s="32" t="s">
        <v>465</v>
      </c>
      <c r="U559" s="33">
        <v>66.194999999999993</v>
      </c>
      <c r="V559" s="7"/>
      <c r="W559" s="7" t="str">
        <f>VLOOKUP($Q559,Mapping!$E$11:$I$204,3,0)</f>
        <v>Public Lighting</v>
      </c>
      <c r="X559" s="7" t="str">
        <f>IFERROR(VLOOKUP($S559,Mapping!$E$208:$K$236,5,0),"Contracts")</f>
        <v>Contracts</v>
      </c>
      <c r="Y559" s="7" t="str">
        <f>IFERROR(VLOOKUP($S559,Mapping!$E$208:$K$236,7,0),"ENDirect")</f>
        <v>ENDirect</v>
      </c>
      <c r="Z559" s="7" t="str">
        <f>IFERROR(HLOOKUP(X559,'Calc|Weightings'!$U$5:$W$5,1,0),"Excl")</f>
        <v>Contracts</v>
      </c>
      <c r="AA559" s="7" t="str">
        <f>VLOOKUP(Q559,Mapping!$E$11:$I$204,5,0)</f>
        <v>Public Lighting</v>
      </c>
      <c r="AC559" s="35" t="s">
        <v>183</v>
      </c>
      <c r="AD559" s="35"/>
      <c r="AE559" s="35">
        <v>71000</v>
      </c>
      <c r="AF559" s="35" t="s">
        <v>457</v>
      </c>
      <c r="AG559" s="36">
        <v>34.628</v>
      </c>
      <c r="AI559" s="7" t="str">
        <f>VLOOKUP($AC559,Mapping!$E$11:$I$204,3,0)</f>
        <v>Public Lighting</v>
      </c>
      <c r="AJ559" s="7" t="str">
        <f>IFERROR(VLOOKUP($AE559,Mapping!$E$208:$K$236,5,0),"Contracts")</f>
        <v>Labour</v>
      </c>
      <c r="AK559" s="7" t="str">
        <f>IFERROR(VLOOKUP($AE559,Mapping!$E$208:$K$236,7,0),"ENDirect")</f>
        <v>ENDirect</v>
      </c>
      <c r="AL559" s="7" t="str">
        <f>IFERROR(HLOOKUP(AJ559,'Calc|Weightings'!$U$5:$W$5,1,0),"Excl")</f>
        <v>Labour</v>
      </c>
      <c r="AM559" s="7" t="str">
        <f>VLOOKUP(AC559,Mapping!$E$11:$I$204,5,0)</f>
        <v>Public Lighting</v>
      </c>
      <c r="AO559" s="35" t="s">
        <v>178</v>
      </c>
      <c r="AP559" s="35"/>
      <c r="AQ559" s="35">
        <v>80000</v>
      </c>
      <c r="AR559" s="35" t="s">
        <v>589</v>
      </c>
      <c r="AS559" s="121">
        <v>13.64775</v>
      </c>
      <c r="AU559" s="7" t="str">
        <f>VLOOKUP($AO559,Mapping!$E$11:$I$204,3,0)</f>
        <v>Replacement</v>
      </c>
      <c r="AV559" s="7" t="str">
        <f>IFERROR(VLOOKUP($AQ559,Mapping!$E$208:$K$236,5,0),"Contracts")</f>
        <v>Overhead</v>
      </c>
      <c r="AW559" s="7" t="str">
        <f>IFERROR(VLOOKUP($AQ559,Mapping!$E$208:$K$236,7,0),"ENDirect")</f>
        <v>OH</v>
      </c>
      <c r="AX559" s="7" t="str">
        <f>IFERROR(HLOOKUP(AV559,'Calc|Weightings'!$U$5:$W$5,1,0),"Excl")</f>
        <v>Excl</v>
      </c>
      <c r="AY559" s="7" t="str">
        <f>VLOOKUP(AO559,Mapping!$E$11:$I$204,5,0)</f>
        <v>SCS</v>
      </c>
    </row>
    <row r="560" spans="1:51" x14ac:dyDescent="0.3">
      <c r="A560" s="7"/>
      <c r="B560" s="7"/>
      <c r="C560" s="7"/>
      <c r="D560" s="7"/>
      <c r="E560" s="32" t="s">
        <v>252</v>
      </c>
      <c r="F560" s="32"/>
      <c r="G560" s="32">
        <v>71030</v>
      </c>
      <c r="H560" s="32" t="s">
        <v>464</v>
      </c>
      <c r="I560" s="33">
        <v>1.8260000000000001</v>
      </c>
      <c r="J560" s="170"/>
      <c r="K560" s="7" t="str">
        <f>VLOOKUP($E560,Mapping!$E$11:$I$204,3,0)</f>
        <v>ACS</v>
      </c>
      <c r="L560" s="7" t="str">
        <f>IFERROR(VLOOKUP($G560,Mapping!$E$208:$K$236,5,0),"Contracts")</f>
        <v>Contracts</v>
      </c>
      <c r="M560" s="7" t="str">
        <f>IFERROR(VLOOKUP($G560,Mapping!$E$208:$K$236,7,0),"ENDirect")</f>
        <v>ENDirect</v>
      </c>
      <c r="N560" s="7" t="str">
        <f>IFERROR(HLOOKUP(L560,'Calc|Weightings'!$U$5:$W$5,1,0),"Excl")</f>
        <v>Contracts</v>
      </c>
      <c r="O560" s="7" t="str">
        <f>VLOOKUP(E560,Mapping!$E$11:$I$204,5,0)</f>
        <v>ACS</v>
      </c>
      <c r="Q560" s="32" t="s">
        <v>185</v>
      </c>
      <c r="R560" s="32"/>
      <c r="S560" s="32">
        <v>80000</v>
      </c>
      <c r="T560" s="32" t="s">
        <v>453</v>
      </c>
      <c r="U560" s="33">
        <v>71.409000000000006</v>
      </c>
      <c r="V560" s="7"/>
      <c r="W560" s="7" t="str">
        <f>VLOOKUP($Q560,Mapping!$E$11:$I$204,3,0)</f>
        <v>Public Lighting</v>
      </c>
      <c r="X560" s="7" t="str">
        <f>IFERROR(VLOOKUP($S560,Mapping!$E$208:$K$236,5,0),"Contracts")</f>
        <v>Overhead</v>
      </c>
      <c r="Y560" s="7" t="str">
        <f>IFERROR(VLOOKUP($S560,Mapping!$E$208:$K$236,7,0),"ENDirect")</f>
        <v>OH</v>
      </c>
      <c r="Z560" s="7" t="str">
        <f>IFERROR(HLOOKUP(X560,'Calc|Weightings'!$U$5:$W$5,1,0),"Excl")</f>
        <v>Excl</v>
      </c>
      <c r="AA560" s="7" t="str">
        <f>VLOOKUP(Q560,Mapping!$E$11:$I$204,5,0)</f>
        <v>Public Lighting</v>
      </c>
      <c r="AC560" s="35" t="s">
        <v>183</v>
      </c>
      <c r="AD560" s="35"/>
      <c r="AE560" s="35">
        <v>71005</v>
      </c>
      <c r="AF560" s="35" t="s">
        <v>461</v>
      </c>
      <c r="AG560" s="36">
        <v>92.600999999999999</v>
      </c>
      <c r="AI560" s="7" t="str">
        <f>VLOOKUP($AC560,Mapping!$E$11:$I$204,3,0)</f>
        <v>Public Lighting</v>
      </c>
      <c r="AJ560" s="7" t="str">
        <f>IFERROR(VLOOKUP($AE560,Mapping!$E$208:$K$236,5,0),"Contracts")</f>
        <v>Materials</v>
      </c>
      <c r="AK560" s="7" t="str">
        <f>IFERROR(VLOOKUP($AE560,Mapping!$E$208:$K$236,7,0),"ENDirect")</f>
        <v>ENDirect</v>
      </c>
      <c r="AL560" s="7" t="str">
        <f>IFERROR(HLOOKUP(AJ560,'Calc|Weightings'!$U$5:$W$5,1,0),"Excl")</f>
        <v>Materials</v>
      </c>
      <c r="AM560" s="7" t="str">
        <f>VLOOKUP(AC560,Mapping!$E$11:$I$204,5,0)</f>
        <v>Public Lighting</v>
      </c>
      <c r="AO560" s="35" t="s">
        <v>178</v>
      </c>
      <c r="AP560" s="35"/>
      <c r="AQ560" s="35">
        <v>83010</v>
      </c>
      <c r="AR560" s="35" t="s">
        <v>591</v>
      </c>
      <c r="AS560" s="121">
        <v>51.20919</v>
      </c>
      <c r="AU560" s="7" t="str">
        <f>VLOOKUP($AO560,Mapping!$E$11:$I$204,3,0)</f>
        <v>Replacement</v>
      </c>
      <c r="AV560" s="7" t="str">
        <f>IFERROR(VLOOKUP($AQ560,Mapping!$E$208:$K$236,5,0),"Contracts")</f>
        <v>Contracts</v>
      </c>
      <c r="AW560" s="7" t="str">
        <f>IFERROR(VLOOKUP($AQ560,Mapping!$E$208:$K$236,7,0),"ENDirect")</f>
        <v>ENDirect</v>
      </c>
      <c r="AX560" s="7" t="str">
        <f>IFERROR(HLOOKUP(AV560,'Calc|Weightings'!$U$5:$W$5,1,0),"Excl")</f>
        <v>Contracts</v>
      </c>
      <c r="AY560" s="7" t="str">
        <f>VLOOKUP(AO560,Mapping!$E$11:$I$204,5,0)</f>
        <v>SCS</v>
      </c>
    </row>
    <row r="561" spans="1:51" x14ac:dyDescent="0.3">
      <c r="A561" s="7"/>
      <c r="B561" s="7"/>
      <c r="C561" s="7"/>
      <c r="D561" s="7"/>
      <c r="E561" s="32" t="s">
        <v>252</v>
      </c>
      <c r="F561" s="32"/>
      <c r="G561" s="32">
        <v>71055</v>
      </c>
      <c r="H561" s="32" t="s">
        <v>465</v>
      </c>
      <c r="I561" s="33">
        <v>3.895</v>
      </c>
      <c r="J561" s="170"/>
      <c r="K561" s="7" t="str">
        <f>VLOOKUP($E561,Mapping!$E$11:$I$204,3,0)</f>
        <v>ACS</v>
      </c>
      <c r="L561" s="7" t="str">
        <f>IFERROR(VLOOKUP($G561,Mapping!$E$208:$K$236,5,0),"Contracts")</f>
        <v>Contracts</v>
      </c>
      <c r="M561" s="7" t="str">
        <f>IFERROR(VLOOKUP($G561,Mapping!$E$208:$K$236,7,0),"ENDirect")</f>
        <v>ENDirect</v>
      </c>
      <c r="N561" s="7" t="str">
        <f>IFERROR(HLOOKUP(L561,'Calc|Weightings'!$U$5:$W$5,1,0),"Excl")</f>
        <v>Contracts</v>
      </c>
      <c r="O561" s="7" t="str">
        <f>VLOOKUP(E561,Mapping!$E$11:$I$204,5,0)</f>
        <v>ACS</v>
      </c>
      <c r="Q561" s="32" t="s">
        <v>185</v>
      </c>
      <c r="R561" s="32"/>
      <c r="S561" s="32">
        <v>89999</v>
      </c>
      <c r="T561" s="32" t="s">
        <v>471</v>
      </c>
      <c r="U561" s="33">
        <v>0</v>
      </c>
      <c r="V561" s="7"/>
      <c r="W561" s="7" t="str">
        <f>VLOOKUP($Q561,Mapping!$E$11:$I$204,3,0)</f>
        <v>Public Lighting</v>
      </c>
      <c r="X561" s="7" t="str">
        <f>IFERROR(VLOOKUP($S561,Mapping!$E$208:$K$236,5,0),"Contracts")</f>
        <v>Contracts</v>
      </c>
      <c r="Y561" s="7" t="str">
        <f>IFERROR(VLOOKUP($S561,Mapping!$E$208:$K$236,7,0),"ENDirect")</f>
        <v>ENDirect</v>
      </c>
      <c r="Z561" s="7" t="str">
        <f>IFERROR(HLOOKUP(X561,'Calc|Weightings'!$U$5:$W$5,1,0),"Excl")</f>
        <v>Contracts</v>
      </c>
      <c r="AA561" s="7" t="str">
        <f>VLOOKUP(Q561,Mapping!$E$11:$I$204,5,0)</f>
        <v>Public Lighting</v>
      </c>
      <c r="AC561" s="35" t="s">
        <v>183</v>
      </c>
      <c r="AD561" s="35"/>
      <c r="AE561" s="35">
        <v>71010</v>
      </c>
      <c r="AF561" s="35" t="s">
        <v>462</v>
      </c>
      <c r="AG561" s="36">
        <v>56.786000000000001</v>
      </c>
      <c r="AI561" s="7" t="str">
        <f>VLOOKUP($AC561,Mapping!$E$11:$I$204,3,0)</f>
        <v>Public Lighting</v>
      </c>
      <c r="AJ561" s="7" t="str">
        <f>IFERROR(VLOOKUP($AE561,Mapping!$E$208:$K$236,5,0),"Contracts")</f>
        <v>Labour</v>
      </c>
      <c r="AK561" s="7" t="str">
        <f>IFERROR(VLOOKUP($AE561,Mapping!$E$208:$K$236,7,0),"ENDirect")</f>
        <v>ENDirect</v>
      </c>
      <c r="AL561" s="7" t="str">
        <f>IFERROR(HLOOKUP(AJ561,'Calc|Weightings'!$U$5:$W$5,1,0),"Excl")</f>
        <v>Labour</v>
      </c>
      <c r="AM561" s="7" t="str">
        <f>VLOOKUP(AC561,Mapping!$E$11:$I$204,5,0)</f>
        <v>Public Lighting</v>
      </c>
      <c r="AO561" s="35" t="s">
        <v>179</v>
      </c>
      <c r="AP561" s="35"/>
      <c r="AQ561" s="35">
        <v>71075</v>
      </c>
      <c r="AR561" s="35" t="s">
        <v>587</v>
      </c>
      <c r="AS561" s="121">
        <v>7.7683800000000005</v>
      </c>
      <c r="AU561" s="7" t="str">
        <f>VLOOKUP($AO561,Mapping!$E$11:$I$204,3,0)</f>
        <v>Replacement</v>
      </c>
      <c r="AV561" s="7" t="str">
        <f>IFERROR(VLOOKUP($AQ561,Mapping!$E$208:$K$236,5,0),"Contracts")</f>
        <v>Contracts</v>
      </c>
      <c r="AW561" s="7" t="str">
        <f>IFERROR(VLOOKUP($AQ561,Mapping!$E$208:$K$236,7,0),"ENDirect")</f>
        <v>ENDirect</v>
      </c>
      <c r="AX561" s="7" t="str">
        <f>IFERROR(HLOOKUP(AV561,'Calc|Weightings'!$U$5:$W$5,1,0),"Excl")</f>
        <v>Contracts</v>
      </c>
      <c r="AY561" s="7" t="str">
        <f>VLOOKUP(AO561,Mapping!$E$11:$I$204,5,0)</f>
        <v>SCS</v>
      </c>
    </row>
    <row r="562" spans="1:51" x14ac:dyDescent="0.3">
      <c r="A562" s="7"/>
      <c r="B562" s="7"/>
      <c r="C562" s="7"/>
      <c r="D562" s="7"/>
      <c r="E562" s="32" t="s">
        <v>252</v>
      </c>
      <c r="F562" s="32"/>
      <c r="G562" s="32">
        <v>80000</v>
      </c>
      <c r="H562" s="32" t="s">
        <v>453</v>
      </c>
      <c r="I562" s="33">
        <v>2.5219999999999998</v>
      </c>
      <c r="J562" s="170"/>
      <c r="K562" s="7" t="str">
        <f>VLOOKUP($E562,Mapping!$E$11:$I$204,3,0)</f>
        <v>ACS</v>
      </c>
      <c r="L562" s="7" t="str">
        <f>IFERROR(VLOOKUP($G562,Mapping!$E$208:$K$236,5,0),"Contracts")</f>
        <v>Overhead</v>
      </c>
      <c r="M562" s="7" t="str">
        <f>IFERROR(VLOOKUP($G562,Mapping!$E$208:$K$236,7,0),"ENDirect")</f>
        <v>OH</v>
      </c>
      <c r="N562" s="7" t="str">
        <f>IFERROR(HLOOKUP(L562,'Calc|Weightings'!$U$5:$W$5,1,0),"Excl")</f>
        <v>Excl</v>
      </c>
      <c r="O562" s="7" t="str">
        <f>VLOOKUP(E562,Mapping!$E$11:$I$204,5,0)</f>
        <v>ACS</v>
      </c>
      <c r="Q562" s="32" t="s">
        <v>186</v>
      </c>
      <c r="R562" s="32"/>
      <c r="S562" s="32">
        <v>71000</v>
      </c>
      <c r="T562" s="32" t="s">
        <v>457</v>
      </c>
      <c r="U562" s="33">
        <v>638.14700000000005</v>
      </c>
      <c r="V562" s="7"/>
      <c r="W562" s="7" t="str">
        <f>VLOOKUP($Q562,Mapping!$E$11:$I$204,3,0)</f>
        <v>Replacement</v>
      </c>
      <c r="X562" s="7" t="str">
        <f>IFERROR(VLOOKUP($S562,Mapping!$E$208:$K$236,5,0),"Contracts")</f>
        <v>Labour</v>
      </c>
      <c r="Y562" s="7" t="str">
        <f>IFERROR(VLOOKUP($S562,Mapping!$E$208:$K$236,7,0),"ENDirect")</f>
        <v>ENDirect</v>
      </c>
      <c r="Z562" s="7" t="str">
        <f>IFERROR(HLOOKUP(X562,'Calc|Weightings'!$U$5:$W$5,1,0),"Excl")</f>
        <v>Labour</v>
      </c>
      <c r="AA562" s="7" t="str">
        <f>VLOOKUP(Q562,Mapping!$E$11:$I$204,5,0)</f>
        <v>SCS</v>
      </c>
      <c r="AC562" s="35" t="s">
        <v>183</v>
      </c>
      <c r="AD562" s="35"/>
      <c r="AE562" s="35">
        <v>71020</v>
      </c>
      <c r="AF562" s="35" t="s">
        <v>459</v>
      </c>
      <c r="AG562" s="36">
        <v>0</v>
      </c>
      <c r="AI562" s="7" t="str">
        <f>VLOOKUP($AC562,Mapping!$E$11:$I$204,3,0)</f>
        <v>Public Lighting</v>
      </c>
      <c r="AJ562" s="7" t="str">
        <f>IFERROR(VLOOKUP($AE562,Mapping!$E$208:$K$236,5,0),"Contracts")</f>
        <v>Contracts</v>
      </c>
      <c r="AK562" s="7" t="str">
        <f>IFERROR(VLOOKUP($AE562,Mapping!$E$208:$K$236,7,0),"ENDirect")</f>
        <v>ENDirect</v>
      </c>
      <c r="AL562" s="7" t="str">
        <f>IFERROR(HLOOKUP(AJ562,'Calc|Weightings'!$U$5:$W$5,1,0),"Excl")</f>
        <v>Contracts</v>
      </c>
      <c r="AM562" s="7" t="str">
        <f>VLOOKUP(AC562,Mapping!$E$11:$I$204,5,0)</f>
        <v>Public Lighting</v>
      </c>
      <c r="AO562" s="35" t="s">
        <v>179</v>
      </c>
      <c r="AP562" s="35"/>
      <c r="AQ562" s="35">
        <v>80000</v>
      </c>
      <c r="AR562" s="35" t="s">
        <v>589</v>
      </c>
      <c r="AS562" s="121">
        <v>12.96433</v>
      </c>
      <c r="AU562" s="7" t="str">
        <f>VLOOKUP($AO562,Mapping!$E$11:$I$204,3,0)</f>
        <v>Replacement</v>
      </c>
      <c r="AV562" s="7" t="str">
        <f>IFERROR(VLOOKUP($AQ562,Mapping!$E$208:$K$236,5,0),"Contracts")</f>
        <v>Overhead</v>
      </c>
      <c r="AW562" s="7" t="str">
        <f>IFERROR(VLOOKUP($AQ562,Mapping!$E$208:$K$236,7,0),"ENDirect")</f>
        <v>OH</v>
      </c>
      <c r="AX562" s="7" t="str">
        <f>IFERROR(HLOOKUP(AV562,'Calc|Weightings'!$U$5:$W$5,1,0),"Excl")</f>
        <v>Excl</v>
      </c>
      <c r="AY562" s="7" t="str">
        <f>VLOOKUP(AO562,Mapping!$E$11:$I$204,5,0)</f>
        <v>SCS</v>
      </c>
    </row>
    <row r="563" spans="1:51" x14ac:dyDescent="0.3">
      <c r="A563" s="7"/>
      <c r="B563" s="7"/>
      <c r="C563" s="7"/>
      <c r="D563" s="7"/>
      <c r="E563" s="32" t="s">
        <v>253</v>
      </c>
      <c r="F563" s="32"/>
      <c r="G563" s="32">
        <v>71000</v>
      </c>
      <c r="H563" s="32" t="s">
        <v>457</v>
      </c>
      <c r="I563" s="33">
        <v>35.448</v>
      </c>
      <c r="J563" s="170"/>
      <c r="K563" s="7" t="str">
        <f>VLOOKUP($E563,Mapping!$E$11:$I$204,3,0)</f>
        <v>ACS</v>
      </c>
      <c r="L563" s="7" t="str">
        <f>IFERROR(VLOOKUP($G563,Mapping!$E$208:$K$236,5,0),"Contracts")</f>
        <v>Labour</v>
      </c>
      <c r="M563" s="7" t="str">
        <f>IFERROR(VLOOKUP($G563,Mapping!$E$208:$K$236,7,0),"ENDirect")</f>
        <v>ENDirect</v>
      </c>
      <c r="N563" s="7" t="str">
        <f>IFERROR(HLOOKUP(L563,'Calc|Weightings'!$U$5:$W$5,1,0),"Excl")</f>
        <v>Labour</v>
      </c>
      <c r="O563" s="7" t="str">
        <f>VLOOKUP(E563,Mapping!$E$11:$I$204,5,0)</f>
        <v>ACS</v>
      </c>
      <c r="Q563" s="32" t="s">
        <v>186</v>
      </c>
      <c r="R563" s="32"/>
      <c r="S563" s="32">
        <v>71005</v>
      </c>
      <c r="T563" s="32" t="s">
        <v>461</v>
      </c>
      <c r="U563" s="33">
        <f>200.599+3</f>
        <v>203.59899999999999</v>
      </c>
      <c r="V563" s="7"/>
      <c r="W563" s="7" t="str">
        <f>VLOOKUP($Q563,Mapping!$E$11:$I$204,3,0)</f>
        <v>Replacement</v>
      </c>
      <c r="X563" s="7" t="str">
        <f>IFERROR(VLOOKUP($S563,Mapping!$E$208:$K$236,5,0),"Contracts")</f>
        <v>Materials</v>
      </c>
      <c r="Y563" s="7" t="str">
        <f>IFERROR(VLOOKUP($S563,Mapping!$E$208:$K$236,7,0),"ENDirect")</f>
        <v>ENDirect</v>
      </c>
      <c r="Z563" s="7" t="str">
        <f>IFERROR(HLOOKUP(X563,'Calc|Weightings'!$U$5:$W$5,1,0),"Excl")</f>
        <v>Materials</v>
      </c>
      <c r="AA563" s="7" t="str">
        <f>VLOOKUP(Q563,Mapping!$E$11:$I$204,5,0)</f>
        <v>SCS</v>
      </c>
      <c r="AC563" s="35" t="s">
        <v>183</v>
      </c>
      <c r="AD563" s="35"/>
      <c r="AE563" s="35">
        <v>71030</v>
      </c>
      <c r="AF563" s="35" t="s">
        <v>464</v>
      </c>
      <c r="AG563" s="36">
        <v>15.433</v>
      </c>
      <c r="AI563" s="7" t="str">
        <f>VLOOKUP($AC563,Mapping!$E$11:$I$204,3,0)</f>
        <v>Public Lighting</v>
      </c>
      <c r="AJ563" s="7" t="str">
        <f>IFERROR(VLOOKUP($AE563,Mapping!$E$208:$K$236,5,0),"Contracts")</f>
        <v>Contracts</v>
      </c>
      <c r="AK563" s="7" t="str">
        <f>IFERROR(VLOOKUP($AE563,Mapping!$E$208:$K$236,7,0),"ENDirect")</f>
        <v>ENDirect</v>
      </c>
      <c r="AL563" s="7" t="str">
        <f>IFERROR(HLOOKUP(AJ563,'Calc|Weightings'!$U$5:$W$5,1,0),"Excl")</f>
        <v>Contracts</v>
      </c>
      <c r="AM563" s="7" t="str">
        <f>VLOOKUP(AC563,Mapping!$E$11:$I$204,5,0)</f>
        <v>Public Lighting</v>
      </c>
      <c r="AO563" s="35" t="s">
        <v>179</v>
      </c>
      <c r="AP563" s="35"/>
      <c r="AQ563" s="35">
        <v>83010</v>
      </c>
      <c r="AR563" s="35" t="s">
        <v>591</v>
      </c>
      <c r="AS563" s="121">
        <v>62.297199999999989</v>
      </c>
      <c r="AU563" s="7" t="str">
        <f>VLOOKUP($AO563,Mapping!$E$11:$I$204,3,0)</f>
        <v>Replacement</v>
      </c>
      <c r="AV563" s="7" t="str">
        <f>IFERROR(VLOOKUP($AQ563,Mapping!$E$208:$K$236,5,0),"Contracts")</f>
        <v>Contracts</v>
      </c>
      <c r="AW563" s="7" t="str">
        <f>IFERROR(VLOOKUP($AQ563,Mapping!$E$208:$K$236,7,0),"ENDirect")</f>
        <v>ENDirect</v>
      </c>
      <c r="AX563" s="7" t="str">
        <f>IFERROR(HLOOKUP(AV563,'Calc|Weightings'!$U$5:$W$5,1,0),"Excl")</f>
        <v>Contracts</v>
      </c>
      <c r="AY563" s="7" t="str">
        <f>VLOOKUP(AO563,Mapping!$E$11:$I$204,5,0)</f>
        <v>SCS</v>
      </c>
    </row>
    <row r="564" spans="1:51" x14ac:dyDescent="0.3">
      <c r="A564" s="7"/>
      <c r="B564" s="7"/>
      <c r="C564" s="7"/>
      <c r="D564" s="7"/>
      <c r="E564" s="32" t="s">
        <v>253</v>
      </c>
      <c r="F564" s="32"/>
      <c r="G564" s="32">
        <v>71005</v>
      </c>
      <c r="H564" s="32" t="s">
        <v>461</v>
      </c>
      <c r="I564" s="33">
        <v>6.6349999999999998</v>
      </c>
      <c r="J564" s="170"/>
      <c r="K564" s="7" t="str">
        <f>VLOOKUP($E564,Mapping!$E$11:$I$204,3,0)</f>
        <v>ACS</v>
      </c>
      <c r="L564" s="7" t="str">
        <f>IFERROR(VLOOKUP($G564,Mapping!$E$208:$K$236,5,0),"Contracts")</f>
        <v>Materials</v>
      </c>
      <c r="M564" s="7" t="str">
        <f>IFERROR(VLOOKUP($G564,Mapping!$E$208:$K$236,7,0),"ENDirect")</f>
        <v>ENDirect</v>
      </c>
      <c r="N564" s="7" t="str">
        <f>IFERROR(HLOOKUP(L564,'Calc|Weightings'!$U$5:$W$5,1,0),"Excl")</f>
        <v>Materials</v>
      </c>
      <c r="O564" s="7" t="str">
        <f>VLOOKUP(E564,Mapping!$E$11:$I$204,5,0)</f>
        <v>ACS</v>
      </c>
      <c r="Q564" s="32" t="s">
        <v>186</v>
      </c>
      <c r="R564" s="32"/>
      <c r="S564" s="32">
        <v>71010</v>
      </c>
      <c r="T564" s="32" t="s">
        <v>462</v>
      </c>
      <c r="U564" s="33">
        <v>39.271000000000001</v>
      </c>
      <c r="V564" s="7"/>
      <c r="W564" s="7" t="str">
        <f>VLOOKUP($Q564,Mapping!$E$11:$I$204,3,0)</f>
        <v>Replacement</v>
      </c>
      <c r="X564" s="7" t="str">
        <f>IFERROR(VLOOKUP($S564,Mapping!$E$208:$K$236,5,0),"Contracts")</f>
        <v>Labour</v>
      </c>
      <c r="Y564" s="7" t="str">
        <f>IFERROR(VLOOKUP($S564,Mapping!$E$208:$K$236,7,0),"ENDirect")</f>
        <v>ENDirect</v>
      </c>
      <c r="Z564" s="7" t="str">
        <f>IFERROR(HLOOKUP(X564,'Calc|Weightings'!$U$5:$W$5,1,0),"Excl")</f>
        <v>Labour</v>
      </c>
      <c r="AA564" s="7" t="str">
        <f>VLOOKUP(Q564,Mapping!$E$11:$I$204,5,0)</f>
        <v>SCS</v>
      </c>
      <c r="AC564" s="35" t="s">
        <v>183</v>
      </c>
      <c r="AD564" s="35"/>
      <c r="AE564" s="35">
        <v>71055</v>
      </c>
      <c r="AF564" s="35" t="s">
        <v>465</v>
      </c>
      <c r="AG564" s="36">
        <v>35.174999999999997</v>
      </c>
      <c r="AI564" s="7" t="str">
        <f>VLOOKUP($AC564,Mapping!$E$11:$I$204,3,0)</f>
        <v>Public Lighting</v>
      </c>
      <c r="AJ564" s="7" t="str">
        <f>IFERROR(VLOOKUP($AE564,Mapping!$E$208:$K$236,5,0),"Contracts")</f>
        <v>Contracts</v>
      </c>
      <c r="AK564" s="7" t="str">
        <f>IFERROR(VLOOKUP($AE564,Mapping!$E$208:$K$236,7,0),"ENDirect")</f>
        <v>ENDirect</v>
      </c>
      <c r="AL564" s="7" t="str">
        <f>IFERROR(HLOOKUP(AJ564,'Calc|Weightings'!$U$5:$W$5,1,0),"Excl")</f>
        <v>Contracts</v>
      </c>
      <c r="AM564" s="7" t="str">
        <f>VLOOKUP(AC564,Mapping!$E$11:$I$204,5,0)</f>
        <v>Public Lighting</v>
      </c>
      <c r="AO564" s="35" t="s">
        <v>180</v>
      </c>
      <c r="AP564" s="35"/>
      <c r="AQ564" s="35">
        <v>71000</v>
      </c>
      <c r="AR564" s="35" t="s">
        <v>457</v>
      </c>
      <c r="AS564" s="121">
        <v>20.771350000000005</v>
      </c>
      <c r="AU564" s="7" t="str">
        <f>VLOOKUP($AO564,Mapping!$E$11:$I$204,3,0)</f>
        <v>Replacement</v>
      </c>
      <c r="AV564" s="7" t="str">
        <f>IFERROR(VLOOKUP($AQ564,Mapping!$E$208:$K$236,5,0),"Contracts")</f>
        <v>Labour</v>
      </c>
      <c r="AW564" s="7" t="str">
        <f>IFERROR(VLOOKUP($AQ564,Mapping!$E$208:$K$236,7,0),"ENDirect")</f>
        <v>ENDirect</v>
      </c>
      <c r="AX564" s="7" t="str">
        <f>IFERROR(HLOOKUP(AV564,'Calc|Weightings'!$U$5:$W$5,1,0),"Excl")</f>
        <v>Labour</v>
      </c>
      <c r="AY564" s="7" t="str">
        <f>VLOOKUP(AO564,Mapping!$E$11:$I$204,5,0)</f>
        <v>SCS</v>
      </c>
    </row>
    <row r="565" spans="1:51" x14ac:dyDescent="0.3">
      <c r="A565" s="7"/>
      <c r="B565" s="7"/>
      <c r="C565" s="7"/>
      <c r="D565" s="7"/>
      <c r="E565" s="32" t="s">
        <v>253</v>
      </c>
      <c r="F565" s="32"/>
      <c r="G565" s="32">
        <v>71010</v>
      </c>
      <c r="H565" s="32" t="s">
        <v>462</v>
      </c>
      <c r="I565" s="33">
        <v>1.6479999999999999</v>
      </c>
      <c r="J565" s="170"/>
      <c r="K565" s="7" t="str">
        <f>VLOOKUP($E565,Mapping!$E$11:$I$204,3,0)</f>
        <v>ACS</v>
      </c>
      <c r="L565" s="7" t="str">
        <f>IFERROR(VLOOKUP($G565,Mapping!$E$208:$K$236,5,0),"Contracts")</f>
        <v>Labour</v>
      </c>
      <c r="M565" s="7" t="str">
        <f>IFERROR(VLOOKUP($G565,Mapping!$E$208:$K$236,7,0),"ENDirect")</f>
        <v>ENDirect</v>
      </c>
      <c r="N565" s="7" t="str">
        <f>IFERROR(HLOOKUP(L565,'Calc|Weightings'!$U$5:$W$5,1,0),"Excl")</f>
        <v>Labour</v>
      </c>
      <c r="O565" s="7" t="str">
        <f>VLOOKUP(E565,Mapping!$E$11:$I$204,5,0)</f>
        <v>ACS</v>
      </c>
      <c r="Q565" s="32" t="s">
        <v>186</v>
      </c>
      <c r="R565" s="32"/>
      <c r="S565" s="32">
        <v>71015</v>
      </c>
      <c r="T565" s="32" t="s">
        <v>463</v>
      </c>
      <c r="U565" s="33">
        <v>172.65100000000001</v>
      </c>
      <c r="V565" s="7"/>
      <c r="W565" s="7" t="str">
        <f>VLOOKUP($Q565,Mapping!$E$11:$I$204,3,0)</f>
        <v>Replacement</v>
      </c>
      <c r="X565" s="7" t="str">
        <f>IFERROR(VLOOKUP($S565,Mapping!$E$208:$K$236,5,0),"Contracts")</f>
        <v>Materials</v>
      </c>
      <c r="Y565" s="7" t="str">
        <f>IFERROR(VLOOKUP($S565,Mapping!$E$208:$K$236,7,0),"ENDirect")</f>
        <v>ENDirect</v>
      </c>
      <c r="Z565" s="7" t="str">
        <f>IFERROR(HLOOKUP(X565,'Calc|Weightings'!$U$5:$W$5,1,0),"Excl")</f>
        <v>Materials</v>
      </c>
      <c r="AA565" s="7" t="str">
        <f>VLOOKUP(Q565,Mapping!$E$11:$I$204,5,0)</f>
        <v>SCS</v>
      </c>
      <c r="AC565" s="35" t="s">
        <v>183</v>
      </c>
      <c r="AD565" s="35"/>
      <c r="AE565" s="35">
        <v>80000</v>
      </c>
      <c r="AF565" s="35" t="s">
        <v>453</v>
      </c>
      <c r="AG565" s="36">
        <v>27.53</v>
      </c>
      <c r="AI565" s="7" t="str">
        <f>VLOOKUP($AC565,Mapping!$E$11:$I$204,3,0)</f>
        <v>Public Lighting</v>
      </c>
      <c r="AJ565" s="7" t="str">
        <f>IFERROR(VLOOKUP($AE565,Mapping!$E$208:$K$236,5,0),"Contracts")</f>
        <v>Overhead</v>
      </c>
      <c r="AK565" s="7" t="str">
        <f>IFERROR(VLOOKUP($AE565,Mapping!$E$208:$K$236,7,0),"ENDirect")</f>
        <v>OH</v>
      </c>
      <c r="AL565" s="7" t="str">
        <f>IFERROR(HLOOKUP(AJ565,'Calc|Weightings'!$U$5:$W$5,1,0),"Excl")</f>
        <v>Excl</v>
      </c>
      <c r="AM565" s="7" t="str">
        <f>VLOOKUP(AC565,Mapping!$E$11:$I$204,5,0)</f>
        <v>Public Lighting</v>
      </c>
      <c r="AO565" s="35" t="s">
        <v>180</v>
      </c>
      <c r="AP565" s="35"/>
      <c r="AQ565" s="35">
        <v>71005</v>
      </c>
      <c r="AR565" s="35" t="s">
        <v>461</v>
      </c>
      <c r="AS565" s="121">
        <v>3.0703099999999997</v>
      </c>
      <c r="AU565" s="7" t="str">
        <f>VLOOKUP($AO565,Mapping!$E$11:$I$204,3,0)</f>
        <v>Replacement</v>
      </c>
      <c r="AV565" s="7" t="str">
        <f>IFERROR(VLOOKUP($AQ565,Mapping!$E$208:$K$236,5,0),"Contracts")</f>
        <v>Materials</v>
      </c>
      <c r="AW565" s="7" t="str">
        <f>IFERROR(VLOOKUP($AQ565,Mapping!$E$208:$K$236,7,0),"ENDirect")</f>
        <v>ENDirect</v>
      </c>
      <c r="AX565" s="7" t="str">
        <f>IFERROR(HLOOKUP(AV565,'Calc|Weightings'!$U$5:$W$5,1,0),"Excl")</f>
        <v>Materials</v>
      </c>
      <c r="AY565" s="7" t="str">
        <f>VLOOKUP(AO565,Mapping!$E$11:$I$204,5,0)</f>
        <v>SCS</v>
      </c>
    </row>
    <row r="566" spans="1:51" x14ac:dyDescent="0.3">
      <c r="A566" s="7"/>
      <c r="B566" s="7"/>
      <c r="C566" s="7"/>
      <c r="D566" s="7"/>
      <c r="E566" s="32" t="s">
        <v>253</v>
      </c>
      <c r="F566" s="32"/>
      <c r="G566" s="32">
        <v>71015</v>
      </c>
      <c r="H566" s="32" t="s">
        <v>463</v>
      </c>
      <c r="I566" s="33">
        <v>8.5060000000000002</v>
      </c>
      <c r="J566" s="170"/>
      <c r="K566" s="7" t="str">
        <f>VLOOKUP($E566,Mapping!$E$11:$I$204,3,0)</f>
        <v>ACS</v>
      </c>
      <c r="L566" s="7" t="str">
        <f>IFERROR(VLOOKUP($G566,Mapping!$E$208:$K$236,5,0),"Contracts")</f>
        <v>Materials</v>
      </c>
      <c r="M566" s="7" t="str">
        <f>IFERROR(VLOOKUP($G566,Mapping!$E$208:$K$236,7,0),"ENDirect")</f>
        <v>ENDirect</v>
      </c>
      <c r="N566" s="7" t="str">
        <f>IFERROR(HLOOKUP(L566,'Calc|Weightings'!$U$5:$W$5,1,0),"Excl")</f>
        <v>Materials</v>
      </c>
      <c r="O566" s="7" t="str">
        <f>VLOOKUP(E566,Mapping!$E$11:$I$204,5,0)</f>
        <v>ACS</v>
      </c>
      <c r="Q566" s="32" t="s">
        <v>186</v>
      </c>
      <c r="R566" s="32"/>
      <c r="S566" s="32">
        <v>71030</v>
      </c>
      <c r="T566" s="32" t="s">
        <v>464</v>
      </c>
      <c r="U566" s="33">
        <v>84.45</v>
      </c>
      <c r="V566" s="7"/>
      <c r="W566" s="7" t="str">
        <f>VLOOKUP($Q566,Mapping!$E$11:$I$204,3,0)</f>
        <v>Replacement</v>
      </c>
      <c r="X566" s="7" t="str">
        <f>IFERROR(VLOOKUP($S566,Mapping!$E$208:$K$236,5,0),"Contracts")</f>
        <v>Contracts</v>
      </c>
      <c r="Y566" s="7" t="str">
        <f>IFERROR(VLOOKUP($S566,Mapping!$E$208:$K$236,7,0),"ENDirect")</f>
        <v>ENDirect</v>
      </c>
      <c r="Z566" s="7" t="str">
        <f>IFERROR(HLOOKUP(X566,'Calc|Weightings'!$U$5:$W$5,1,0),"Excl")</f>
        <v>Contracts</v>
      </c>
      <c r="AA566" s="7" t="str">
        <f>VLOOKUP(Q566,Mapping!$E$11:$I$204,5,0)</f>
        <v>SCS</v>
      </c>
      <c r="AC566" s="35" t="s">
        <v>183</v>
      </c>
      <c r="AD566" s="35"/>
      <c r="AE566" s="35">
        <v>89999</v>
      </c>
      <c r="AF566" s="35" t="s">
        <v>471</v>
      </c>
      <c r="AG566" s="36">
        <v>0</v>
      </c>
      <c r="AI566" s="7" t="str">
        <f>VLOOKUP($AC566,Mapping!$E$11:$I$204,3,0)</f>
        <v>Public Lighting</v>
      </c>
      <c r="AJ566" s="7" t="str">
        <f>IFERROR(VLOOKUP($AE566,Mapping!$E$208:$K$236,5,0),"Contracts")</f>
        <v>Contracts</v>
      </c>
      <c r="AK566" s="7" t="str">
        <f>IFERROR(VLOOKUP($AE566,Mapping!$E$208:$K$236,7,0),"ENDirect")</f>
        <v>ENDirect</v>
      </c>
      <c r="AL566" s="7" t="str">
        <f>IFERROR(HLOOKUP(AJ566,'Calc|Weightings'!$U$5:$W$5,1,0),"Excl")</f>
        <v>Contracts</v>
      </c>
      <c r="AM566" s="7" t="str">
        <f>VLOOKUP(AC566,Mapping!$E$11:$I$204,5,0)</f>
        <v>Public Lighting</v>
      </c>
      <c r="AO566" s="35" t="s">
        <v>180</v>
      </c>
      <c r="AP566" s="35"/>
      <c r="AQ566" s="35">
        <v>71010</v>
      </c>
      <c r="AR566" s="35" t="s">
        <v>487</v>
      </c>
      <c r="AS566" s="121">
        <v>2.0280799999999997</v>
      </c>
      <c r="AU566" s="7" t="str">
        <f>VLOOKUP($AO566,Mapping!$E$11:$I$204,3,0)</f>
        <v>Replacement</v>
      </c>
      <c r="AV566" s="7" t="str">
        <f>IFERROR(VLOOKUP($AQ566,Mapping!$E$208:$K$236,5,0),"Contracts")</f>
        <v>Labour</v>
      </c>
      <c r="AW566" s="7" t="str">
        <f>IFERROR(VLOOKUP($AQ566,Mapping!$E$208:$K$236,7,0),"ENDirect")</f>
        <v>ENDirect</v>
      </c>
      <c r="AX566" s="7" t="str">
        <f>IFERROR(HLOOKUP(AV566,'Calc|Weightings'!$U$5:$W$5,1,0),"Excl")</f>
        <v>Labour</v>
      </c>
      <c r="AY566" s="7" t="str">
        <f>VLOOKUP(AO566,Mapping!$E$11:$I$204,5,0)</f>
        <v>SCS</v>
      </c>
    </row>
    <row r="567" spans="1:51" x14ac:dyDescent="0.3">
      <c r="A567" s="7"/>
      <c r="B567" s="7"/>
      <c r="C567" s="7"/>
      <c r="D567" s="7"/>
      <c r="E567" s="32" t="s">
        <v>253</v>
      </c>
      <c r="F567" s="32"/>
      <c r="G567" s="32">
        <v>71020</v>
      </c>
      <c r="H567" s="32" t="s">
        <v>459</v>
      </c>
      <c r="I567" s="33">
        <v>3.702</v>
      </c>
      <c r="J567" s="170"/>
      <c r="K567" s="7" t="str">
        <f>VLOOKUP($E567,Mapping!$E$11:$I$204,3,0)</f>
        <v>ACS</v>
      </c>
      <c r="L567" s="7" t="str">
        <f>IFERROR(VLOOKUP($G567,Mapping!$E$208:$K$236,5,0),"Contracts")</f>
        <v>Contracts</v>
      </c>
      <c r="M567" s="7" t="str">
        <f>IFERROR(VLOOKUP($G567,Mapping!$E$208:$K$236,7,0),"ENDirect")</f>
        <v>ENDirect</v>
      </c>
      <c r="N567" s="7" t="str">
        <f>IFERROR(HLOOKUP(L567,'Calc|Weightings'!$U$5:$W$5,1,0),"Excl")</f>
        <v>Contracts</v>
      </c>
      <c r="O567" s="7" t="str">
        <f>VLOOKUP(E567,Mapping!$E$11:$I$204,5,0)</f>
        <v>ACS</v>
      </c>
      <c r="Q567" s="32" t="s">
        <v>186</v>
      </c>
      <c r="R567" s="32"/>
      <c r="S567" s="32">
        <v>71055</v>
      </c>
      <c r="T567" s="32" t="s">
        <v>465</v>
      </c>
      <c r="U567" s="33">
        <v>158.511</v>
      </c>
      <c r="V567" s="7"/>
      <c r="W567" s="7" t="str">
        <f>VLOOKUP($Q567,Mapping!$E$11:$I$204,3,0)</f>
        <v>Replacement</v>
      </c>
      <c r="X567" s="7" t="str">
        <f>IFERROR(VLOOKUP($S567,Mapping!$E$208:$K$236,5,0),"Contracts")</f>
        <v>Contracts</v>
      </c>
      <c r="Y567" s="7" t="str">
        <f>IFERROR(VLOOKUP($S567,Mapping!$E$208:$K$236,7,0),"ENDirect")</f>
        <v>ENDirect</v>
      </c>
      <c r="Z567" s="7" t="str">
        <f>IFERROR(HLOOKUP(X567,'Calc|Weightings'!$U$5:$W$5,1,0),"Excl")</f>
        <v>Contracts</v>
      </c>
      <c r="AA567" s="7" t="str">
        <f>VLOOKUP(Q567,Mapping!$E$11:$I$204,5,0)</f>
        <v>SCS</v>
      </c>
      <c r="AC567" s="35" t="s">
        <v>184</v>
      </c>
      <c r="AD567" s="35"/>
      <c r="AE567" s="35">
        <v>71000</v>
      </c>
      <c r="AF567" s="35" t="s">
        <v>457</v>
      </c>
      <c r="AG567" s="36">
        <v>77.903000000000006</v>
      </c>
      <c r="AI567" s="7" t="str">
        <f>VLOOKUP($AC567,Mapping!$E$11:$I$204,3,0)</f>
        <v>Public Lighting</v>
      </c>
      <c r="AJ567" s="7" t="str">
        <f>IFERROR(VLOOKUP($AE567,Mapping!$E$208:$K$236,5,0),"Contracts")</f>
        <v>Labour</v>
      </c>
      <c r="AK567" s="7" t="str">
        <f>IFERROR(VLOOKUP($AE567,Mapping!$E$208:$K$236,7,0),"ENDirect")</f>
        <v>ENDirect</v>
      </c>
      <c r="AL567" s="7" t="str">
        <f>IFERROR(HLOOKUP(AJ567,'Calc|Weightings'!$U$5:$W$5,1,0),"Excl")</f>
        <v>Labour</v>
      </c>
      <c r="AM567" s="7" t="str">
        <f>VLOOKUP(AC567,Mapping!$E$11:$I$204,5,0)</f>
        <v>Public Lighting</v>
      </c>
      <c r="AO567" s="35" t="s">
        <v>180</v>
      </c>
      <c r="AP567" s="35"/>
      <c r="AQ567" s="35">
        <v>71015</v>
      </c>
      <c r="AR567" s="35" t="s">
        <v>585</v>
      </c>
      <c r="AS567" s="121">
        <v>2.657630000000001</v>
      </c>
      <c r="AU567" s="7" t="str">
        <f>VLOOKUP($AO567,Mapping!$E$11:$I$204,3,0)</f>
        <v>Replacement</v>
      </c>
      <c r="AV567" s="7" t="str">
        <f>IFERROR(VLOOKUP($AQ567,Mapping!$E$208:$K$236,5,0),"Contracts")</f>
        <v>Materials</v>
      </c>
      <c r="AW567" s="7" t="str">
        <f>IFERROR(VLOOKUP($AQ567,Mapping!$E$208:$K$236,7,0),"ENDirect")</f>
        <v>ENDirect</v>
      </c>
      <c r="AX567" s="7" t="str">
        <f>IFERROR(HLOOKUP(AV567,'Calc|Weightings'!$U$5:$W$5,1,0),"Excl")</f>
        <v>Materials</v>
      </c>
      <c r="AY567" s="7" t="str">
        <f>VLOOKUP(AO567,Mapping!$E$11:$I$204,5,0)</f>
        <v>SCS</v>
      </c>
    </row>
    <row r="568" spans="1:51" x14ac:dyDescent="0.3">
      <c r="A568" s="7"/>
      <c r="B568" s="7"/>
      <c r="C568" s="7"/>
      <c r="D568" s="7"/>
      <c r="E568" s="32" t="s">
        <v>253</v>
      </c>
      <c r="F568" s="32"/>
      <c r="G568" s="32">
        <v>71030</v>
      </c>
      <c r="H568" s="32" t="s">
        <v>464</v>
      </c>
      <c r="I568" s="33">
        <v>4.9820000000000002</v>
      </c>
      <c r="J568" s="170"/>
      <c r="K568" s="7" t="str">
        <f>VLOOKUP($E568,Mapping!$E$11:$I$204,3,0)</f>
        <v>ACS</v>
      </c>
      <c r="L568" s="7" t="str">
        <f>IFERROR(VLOOKUP($G568,Mapping!$E$208:$K$236,5,0),"Contracts")</f>
        <v>Contracts</v>
      </c>
      <c r="M568" s="7" t="str">
        <f>IFERROR(VLOOKUP($G568,Mapping!$E$208:$K$236,7,0),"ENDirect")</f>
        <v>ENDirect</v>
      </c>
      <c r="N568" s="7" t="str">
        <f>IFERROR(HLOOKUP(L568,'Calc|Weightings'!$U$5:$W$5,1,0),"Excl")</f>
        <v>Contracts</v>
      </c>
      <c r="O568" s="7" t="str">
        <f>VLOOKUP(E568,Mapping!$E$11:$I$204,5,0)</f>
        <v>ACS</v>
      </c>
      <c r="Q568" s="32" t="s">
        <v>186</v>
      </c>
      <c r="R568" s="32"/>
      <c r="S568" s="32">
        <v>80000</v>
      </c>
      <c r="T568" s="32" t="s">
        <v>453</v>
      </c>
      <c r="U568" s="33">
        <v>171.47300000000001</v>
      </c>
      <c r="V568" s="7"/>
      <c r="W568" s="7" t="str">
        <f>VLOOKUP($Q568,Mapping!$E$11:$I$204,3,0)</f>
        <v>Replacement</v>
      </c>
      <c r="X568" s="7" t="str">
        <f>IFERROR(VLOOKUP($S568,Mapping!$E$208:$K$236,5,0),"Contracts")</f>
        <v>Overhead</v>
      </c>
      <c r="Y568" s="7" t="str">
        <f>IFERROR(VLOOKUP($S568,Mapping!$E$208:$K$236,7,0),"ENDirect")</f>
        <v>OH</v>
      </c>
      <c r="Z568" s="7" t="str">
        <f>IFERROR(HLOOKUP(X568,'Calc|Weightings'!$U$5:$W$5,1,0),"Excl")</f>
        <v>Excl</v>
      </c>
      <c r="AA568" s="7" t="str">
        <f>VLOOKUP(Q568,Mapping!$E$11:$I$204,5,0)</f>
        <v>SCS</v>
      </c>
      <c r="AC568" s="35" t="s">
        <v>184</v>
      </c>
      <c r="AD568" s="35"/>
      <c r="AE568" s="35">
        <v>71005</v>
      </c>
      <c r="AF568" s="35" t="s">
        <v>461</v>
      </c>
      <c r="AG568" s="36">
        <v>149.773</v>
      </c>
      <c r="AI568" s="7" t="str">
        <f>VLOOKUP($AC568,Mapping!$E$11:$I$204,3,0)</f>
        <v>Public Lighting</v>
      </c>
      <c r="AJ568" s="7" t="str">
        <f>IFERROR(VLOOKUP($AE568,Mapping!$E$208:$K$236,5,0),"Contracts")</f>
        <v>Materials</v>
      </c>
      <c r="AK568" s="7" t="str">
        <f>IFERROR(VLOOKUP($AE568,Mapping!$E$208:$K$236,7,0),"ENDirect")</f>
        <v>ENDirect</v>
      </c>
      <c r="AL568" s="7" t="str">
        <f>IFERROR(HLOOKUP(AJ568,'Calc|Weightings'!$U$5:$W$5,1,0),"Excl")</f>
        <v>Materials</v>
      </c>
      <c r="AM568" s="7" t="str">
        <f>VLOOKUP(AC568,Mapping!$E$11:$I$204,5,0)</f>
        <v>Public Lighting</v>
      </c>
      <c r="AO568" s="35" t="s">
        <v>180</v>
      </c>
      <c r="AP568" s="35"/>
      <c r="AQ568" s="35">
        <v>71030</v>
      </c>
      <c r="AR568" s="35" t="s">
        <v>464</v>
      </c>
      <c r="AS568" s="121">
        <v>2.4598899999999997</v>
      </c>
      <c r="AU568" s="7" t="str">
        <f>VLOOKUP($AO568,Mapping!$E$11:$I$204,3,0)</f>
        <v>Replacement</v>
      </c>
      <c r="AV568" s="7" t="str">
        <f>IFERROR(VLOOKUP($AQ568,Mapping!$E$208:$K$236,5,0),"Contracts")</f>
        <v>Contracts</v>
      </c>
      <c r="AW568" s="7" t="str">
        <f>IFERROR(VLOOKUP($AQ568,Mapping!$E$208:$K$236,7,0),"ENDirect")</f>
        <v>ENDirect</v>
      </c>
      <c r="AX568" s="7" t="str">
        <f>IFERROR(HLOOKUP(AV568,'Calc|Weightings'!$U$5:$W$5,1,0),"Excl")</f>
        <v>Contracts</v>
      </c>
      <c r="AY568" s="7" t="str">
        <f>VLOOKUP(AO568,Mapping!$E$11:$I$204,5,0)</f>
        <v>SCS</v>
      </c>
    </row>
    <row r="569" spans="1:51" x14ac:dyDescent="0.3">
      <c r="A569" s="7"/>
      <c r="B569" s="7"/>
      <c r="C569" s="7"/>
      <c r="D569" s="7"/>
      <c r="E569" s="32" t="s">
        <v>253</v>
      </c>
      <c r="F569" s="32"/>
      <c r="G569" s="32">
        <v>71055</v>
      </c>
      <c r="H569" s="32" t="s">
        <v>465</v>
      </c>
      <c r="I569" s="33">
        <v>14.959</v>
      </c>
      <c r="J569" s="170"/>
      <c r="K569" s="7" t="str">
        <f>VLOOKUP($E569,Mapping!$E$11:$I$204,3,0)</f>
        <v>ACS</v>
      </c>
      <c r="L569" s="7" t="str">
        <f>IFERROR(VLOOKUP($G569,Mapping!$E$208:$K$236,5,0),"Contracts")</f>
        <v>Contracts</v>
      </c>
      <c r="M569" s="7" t="str">
        <f>IFERROR(VLOOKUP($G569,Mapping!$E$208:$K$236,7,0),"ENDirect")</f>
        <v>ENDirect</v>
      </c>
      <c r="N569" s="7" t="str">
        <f>IFERROR(HLOOKUP(L569,'Calc|Weightings'!$U$5:$W$5,1,0),"Excl")</f>
        <v>Contracts</v>
      </c>
      <c r="O569" s="7" t="str">
        <f>VLOOKUP(E569,Mapping!$E$11:$I$204,5,0)</f>
        <v>ACS</v>
      </c>
      <c r="Q569" s="32" t="s">
        <v>187</v>
      </c>
      <c r="R569" s="32"/>
      <c r="S569" s="32">
        <v>71000</v>
      </c>
      <c r="T569" s="32" t="s">
        <v>457</v>
      </c>
      <c r="U569" s="33">
        <v>53.003999999999998</v>
      </c>
      <c r="V569" s="7"/>
      <c r="W569" s="7" t="str">
        <f>VLOOKUP($Q569,Mapping!$E$11:$I$204,3,0)</f>
        <v>Replacement</v>
      </c>
      <c r="X569" s="7" t="str">
        <f>IFERROR(VLOOKUP($S569,Mapping!$E$208:$K$236,5,0),"Contracts")</f>
        <v>Labour</v>
      </c>
      <c r="Y569" s="7" t="str">
        <f>IFERROR(VLOOKUP($S569,Mapping!$E$208:$K$236,7,0),"ENDirect")</f>
        <v>ENDirect</v>
      </c>
      <c r="Z569" s="7" t="str">
        <f>IFERROR(HLOOKUP(X569,'Calc|Weightings'!$U$5:$W$5,1,0),"Excl")</f>
        <v>Labour</v>
      </c>
      <c r="AA569" s="7" t="str">
        <f>VLOOKUP(Q569,Mapping!$E$11:$I$204,5,0)</f>
        <v>SCS</v>
      </c>
      <c r="AC569" s="35" t="s">
        <v>184</v>
      </c>
      <c r="AD569" s="35"/>
      <c r="AE569" s="35">
        <v>71010</v>
      </c>
      <c r="AF569" s="35" t="s">
        <v>462</v>
      </c>
      <c r="AG569" s="36">
        <v>46.996000000000002</v>
      </c>
      <c r="AI569" s="7" t="str">
        <f>VLOOKUP($AC569,Mapping!$E$11:$I$204,3,0)</f>
        <v>Public Lighting</v>
      </c>
      <c r="AJ569" s="7" t="str">
        <f>IFERROR(VLOOKUP($AE569,Mapping!$E$208:$K$236,5,0),"Contracts")</f>
        <v>Labour</v>
      </c>
      <c r="AK569" s="7" t="str">
        <f>IFERROR(VLOOKUP($AE569,Mapping!$E$208:$K$236,7,0),"ENDirect")</f>
        <v>ENDirect</v>
      </c>
      <c r="AL569" s="7" t="str">
        <f>IFERROR(HLOOKUP(AJ569,'Calc|Weightings'!$U$5:$W$5,1,0),"Excl")</f>
        <v>Labour</v>
      </c>
      <c r="AM569" s="7" t="str">
        <f>VLOOKUP(AC569,Mapping!$E$11:$I$204,5,0)</f>
        <v>Public Lighting</v>
      </c>
      <c r="AO569" s="35" t="s">
        <v>180</v>
      </c>
      <c r="AP569" s="35"/>
      <c r="AQ569" s="35">
        <v>71055</v>
      </c>
      <c r="AR569" s="35" t="s">
        <v>465</v>
      </c>
      <c r="AS569" s="121">
        <v>6.6139399999999995</v>
      </c>
      <c r="AU569" s="7" t="str">
        <f>VLOOKUP($AO569,Mapping!$E$11:$I$204,3,0)</f>
        <v>Replacement</v>
      </c>
      <c r="AV569" s="7" t="str">
        <f>IFERROR(VLOOKUP($AQ569,Mapping!$E$208:$K$236,5,0),"Contracts")</f>
        <v>Contracts</v>
      </c>
      <c r="AW569" s="7" t="str">
        <f>IFERROR(VLOOKUP($AQ569,Mapping!$E$208:$K$236,7,0),"ENDirect")</f>
        <v>ENDirect</v>
      </c>
      <c r="AX569" s="7" t="str">
        <f>IFERROR(HLOOKUP(AV569,'Calc|Weightings'!$U$5:$W$5,1,0),"Excl")</f>
        <v>Contracts</v>
      </c>
      <c r="AY569" s="7" t="str">
        <f>VLOOKUP(AO569,Mapping!$E$11:$I$204,5,0)</f>
        <v>SCS</v>
      </c>
    </row>
    <row r="570" spans="1:51" x14ac:dyDescent="0.3">
      <c r="A570" s="7"/>
      <c r="B570" s="7"/>
      <c r="C570" s="7"/>
      <c r="D570" s="7"/>
      <c r="E570" s="32" t="s">
        <v>253</v>
      </c>
      <c r="F570" s="32"/>
      <c r="G570" s="32">
        <v>80000</v>
      </c>
      <c r="H570" s="32" t="s">
        <v>453</v>
      </c>
      <c r="I570" s="33">
        <v>6.7210000000000001</v>
      </c>
      <c r="J570" s="170"/>
      <c r="K570" s="7" t="str">
        <f>VLOOKUP($E570,Mapping!$E$11:$I$204,3,0)</f>
        <v>ACS</v>
      </c>
      <c r="L570" s="7" t="str">
        <f>IFERROR(VLOOKUP($G570,Mapping!$E$208:$K$236,5,0),"Contracts")</f>
        <v>Overhead</v>
      </c>
      <c r="M570" s="7" t="str">
        <f>IFERROR(VLOOKUP($G570,Mapping!$E$208:$K$236,7,0),"ENDirect")</f>
        <v>OH</v>
      </c>
      <c r="N570" s="7" t="str">
        <f>IFERROR(HLOOKUP(L570,'Calc|Weightings'!$U$5:$W$5,1,0),"Excl")</f>
        <v>Excl</v>
      </c>
      <c r="O570" s="7" t="str">
        <f>VLOOKUP(E570,Mapping!$E$11:$I$204,5,0)</f>
        <v>ACS</v>
      </c>
      <c r="Q570" s="32" t="s">
        <v>187</v>
      </c>
      <c r="R570" s="32"/>
      <c r="S570" s="32">
        <v>71005</v>
      </c>
      <c r="T570" s="32" t="s">
        <v>461</v>
      </c>
      <c r="U570" s="33">
        <v>-33.151000000000003</v>
      </c>
      <c r="V570" s="7"/>
      <c r="W570" s="7" t="str">
        <f>VLOOKUP($Q570,Mapping!$E$11:$I$204,3,0)</f>
        <v>Replacement</v>
      </c>
      <c r="X570" s="7" t="str">
        <f>IFERROR(VLOOKUP($S570,Mapping!$E$208:$K$236,5,0),"Contracts")</f>
        <v>Materials</v>
      </c>
      <c r="Y570" s="7" t="str">
        <f>IFERROR(VLOOKUP($S570,Mapping!$E$208:$K$236,7,0),"ENDirect")</f>
        <v>ENDirect</v>
      </c>
      <c r="Z570" s="7" t="str">
        <f>IFERROR(HLOOKUP(X570,'Calc|Weightings'!$U$5:$W$5,1,0),"Excl")</f>
        <v>Materials</v>
      </c>
      <c r="AA570" s="7" t="str">
        <f>VLOOKUP(Q570,Mapping!$E$11:$I$204,5,0)</f>
        <v>SCS</v>
      </c>
      <c r="AC570" s="35" t="s">
        <v>184</v>
      </c>
      <c r="AD570" s="35"/>
      <c r="AE570" s="35">
        <v>71015</v>
      </c>
      <c r="AF570" s="35" t="s">
        <v>463</v>
      </c>
      <c r="AG570" s="36">
        <v>12.762</v>
      </c>
      <c r="AI570" s="7" t="str">
        <f>VLOOKUP($AC570,Mapping!$E$11:$I$204,3,0)</f>
        <v>Public Lighting</v>
      </c>
      <c r="AJ570" s="7" t="str">
        <f>IFERROR(VLOOKUP($AE570,Mapping!$E$208:$K$236,5,0),"Contracts")</f>
        <v>Materials</v>
      </c>
      <c r="AK570" s="7" t="str">
        <f>IFERROR(VLOOKUP($AE570,Mapping!$E$208:$K$236,7,0),"ENDirect")</f>
        <v>ENDirect</v>
      </c>
      <c r="AL570" s="7" t="str">
        <f>IFERROR(HLOOKUP(AJ570,'Calc|Weightings'!$U$5:$W$5,1,0),"Excl")</f>
        <v>Materials</v>
      </c>
      <c r="AM570" s="7" t="str">
        <f>VLOOKUP(AC570,Mapping!$E$11:$I$204,5,0)</f>
        <v>Public Lighting</v>
      </c>
      <c r="AO570" s="35" t="s">
        <v>180</v>
      </c>
      <c r="AP570" s="35"/>
      <c r="AQ570" s="35">
        <v>71070</v>
      </c>
      <c r="AR570" s="35" t="s">
        <v>586</v>
      </c>
      <c r="AS570" s="121">
        <v>3.1075999999999997</v>
      </c>
      <c r="AU570" s="7" t="str">
        <f>VLOOKUP($AO570,Mapping!$E$11:$I$204,3,0)</f>
        <v>Replacement</v>
      </c>
      <c r="AV570" s="7" t="str">
        <f>IFERROR(VLOOKUP($AQ570,Mapping!$E$208:$K$236,5,0),"Contracts")</f>
        <v>Contracts</v>
      </c>
      <c r="AW570" s="7" t="str">
        <f>IFERROR(VLOOKUP($AQ570,Mapping!$E$208:$K$236,7,0),"ENDirect")</f>
        <v>ENDirect</v>
      </c>
      <c r="AX570" s="7" t="str">
        <f>IFERROR(HLOOKUP(AV570,'Calc|Weightings'!$U$5:$W$5,1,0),"Excl")</f>
        <v>Contracts</v>
      </c>
      <c r="AY570" s="7" t="str">
        <f>VLOOKUP(AO570,Mapping!$E$11:$I$204,5,0)</f>
        <v>SCS</v>
      </c>
    </row>
    <row r="571" spans="1:51" x14ac:dyDescent="0.3">
      <c r="A571" s="7"/>
      <c r="B571" s="7"/>
      <c r="C571" s="7"/>
      <c r="D571" s="7"/>
      <c r="E571" s="32" t="s">
        <v>254</v>
      </c>
      <c r="F571" s="32"/>
      <c r="G571" s="32">
        <v>71010</v>
      </c>
      <c r="H571" s="32" t="s">
        <v>462</v>
      </c>
      <c r="I571" s="33">
        <v>7.8620000000000001</v>
      </c>
      <c r="J571" s="170"/>
      <c r="K571" s="7" t="str">
        <f>VLOOKUP($E571,Mapping!$E$11:$I$204,3,0)</f>
        <v>ACS</v>
      </c>
      <c r="L571" s="7" t="str">
        <f>IFERROR(VLOOKUP($G571,Mapping!$E$208:$K$236,5,0),"Contracts")</f>
        <v>Labour</v>
      </c>
      <c r="M571" s="7" t="str">
        <f>IFERROR(VLOOKUP($G571,Mapping!$E$208:$K$236,7,0),"ENDirect")</f>
        <v>ENDirect</v>
      </c>
      <c r="N571" s="7" t="str">
        <f>IFERROR(HLOOKUP(L571,'Calc|Weightings'!$U$5:$W$5,1,0),"Excl")</f>
        <v>Labour</v>
      </c>
      <c r="O571" s="7" t="str">
        <f>VLOOKUP(E571,Mapping!$E$11:$I$204,5,0)</f>
        <v>ACS</v>
      </c>
      <c r="Q571" s="32" t="s">
        <v>187</v>
      </c>
      <c r="R571" s="32"/>
      <c r="S571" s="32">
        <v>71010</v>
      </c>
      <c r="T571" s="32" t="s">
        <v>462</v>
      </c>
      <c r="U571" s="33">
        <v>75.105000000000004</v>
      </c>
      <c r="V571" s="7"/>
      <c r="W571" s="7" t="str">
        <f>VLOOKUP($Q571,Mapping!$E$11:$I$204,3,0)</f>
        <v>Replacement</v>
      </c>
      <c r="X571" s="7" t="str">
        <f>IFERROR(VLOOKUP($S571,Mapping!$E$208:$K$236,5,0),"Contracts")</f>
        <v>Labour</v>
      </c>
      <c r="Y571" s="7" t="str">
        <f>IFERROR(VLOOKUP($S571,Mapping!$E$208:$K$236,7,0),"ENDirect")</f>
        <v>ENDirect</v>
      </c>
      <c r="Z571" s="7" t="str">
        <f>IFERROR(HLOOKUP(X571,'Calc|Weightings'!$U$5:$W$5,1,0),"Excl")</f>
        <v>Labour</v>
      </c>
      <c r="AA571" s="7" t="str">
        <f>VLOOKUP(Q571,Mapping!$E$11:$I$204,5,0)</f>
        <v>SCS</v>
      </c>
      <c r="AC571" s="35" t="s">
        <v>184</v>
      </c>
      <c r="AD571" s="35"/>
      <c r="AE571" s="35">
        <v>71030</v>
      </c>
      <c r="AF571" s="35" t="s">
        <v>464</v>
      </c>
      <c r="AG571" s="36">
        <v>23.779</v>
      </c>
      <c r="AI571" s="7" t="str">
        <f>VLOOKUP($AC571,Mapping!$E$11:$I$204,3,0)</f>
        <v>Public Lighting</v>
      </c>
      <c r="AJ571" s="7" t="str">
        <f>IFERROR(VLOOKUP($AE571,Mapping!$E$208:$K$236,5,0),"Contracts")</f>
        <v>Contracts</v>
      </c>
      <c r="AK571" s="7" t="str">
        <f>IFERROR(VLOOKUP($AE571,Mapping!$E$208:$K$236,7,0),"ENDirect")</f>
        <v>ENDirect</v>
      </c>
      <c r="AL571" s="7" t="str">
        <f>IFERROR(HLOOKUP(AJ571,'Calc|Weightings'!$U$5:$W$5,1,0),"Excl")</f>
        <v>Contracts</v>
      </c>
      <c r="AM571" s="7" t="str">
        <f>VLOOKUP(AC571,Mapping!$E$11:$I$204,5,0)</f>
        <v>Public Lighting</v>
      </c>
      <c r="AO571" s="35" t="s">
        <v>180</v>
      </c>
      <c r="AP571" s="35"/>
      <c r="AQ571" s="35">
        <v>71075</v>
      </c>
      <c r="AR571" s="35" t="s">
        <v>587</v>
      </c>
      <c r="AS571" s="121">
        <v>46.134810000000051</v>
      </c>
      <c r="AU571" s="7" t="str">
        <f>VLOOKUP($AO571,Mapping!$E$11:$I$204,3,0)</f>
        <v>Replacement</v>
      </c>
      <c r="AV571" s="7" t="str">
        <f>IFERROR(VLOOKUP($AQ571,Mapping!$E$208:$K$236,5,0),"Contracts")</f>
        <v>Contracts</v>
      </c>
      <c r="AW571" s="7" t="str">
        <f>IFERROR(VLOOKUP($AQ571,Mapping!$E$208:$K$236,7,0),"ENDirect")</f>
        <v>ENDirect</v>
      </c>
      <c r="AX571" s="7" t="str">
        <f>IFERROR(HLOOKUP(AV571,'Calc|Weightings'!$U$5:$W$5,1,0),"Excl")</f>
        <v>Contracts</v>
      </c>
      <c r="AY571" s="7" t="str">
        <f>VLOOKUP(AO571,Mapping!$E$11:$I$204,5,0)</f>
        <v>SCS</v>
      </c>
    </row>
    <row r="572" spans="1:51" x14ac:dyDescent="0.3">
      <c r="A572" s="7"/>
      <c r="B572" s="7"/>
      <c r="C572" s="7"/>
      <c r="D572" s="7"/>
      <c r="E572" s="32" t="s">
        <v>254</v>
      </c>
      <c r="F572" s="32"/>
      <c r="G572" s="32">
        <v>71030</v>
      </c>
      <c r="H572" s="32" t="s">
        <v>464</v>
      </c>
      <c r="I572" s="33">
        <v>6.42</v>
      </c>
      <c r="J572" s="170"/>
      <c r="K572" s="7" t="str">
        <f>VLOOKUP($E572,Mapping!$E$11:$I$204,3,0)</f>
        <v>ACS</v>
      </c>
      <c r="L572" s="7" t="str">
        <f>IFERROR(VLOOKUP($G572,Mapping!$E$208:$K$236,5,0),"Contracts")</f>
        <v>Contracts</v>
      </c>
      <c r="M572" s="7" t="str">
        <f>IFERROR(VLOOKUP($G572,Mapping!$E$208:$K$236,7,0),"ENDirect")</f>
        <v>ENDirect</v>
      </c>
      <c r="N572" s="7" t="str">
        <f>IFERROR(HLOOKUP(L572,'Calc|Weightings'!$U$5:$W$5,1,0),"Excl")</f>
        <v>Contracts</v>
      </c>
      <c r="O572" s="7" t="str">
        <f>VLOOKUP(E572,Mapping!$E$11:$I$204,5,0)</f>
        <v>ACS</v>
      </c>
      <c r="Q572" s="32" t="s">
        <v>187</v>
      </c>
      <c r="R572" s="32"/>
      <c r="S572" s="32">
        <v>71015</v>
      </c>
      <c r="T572" s="32" t="s">
        <v>463</v>
      </c>
      <c r="U572" s="33">
        <v>14</v>
      </c>
      <c r="V572" s="7"/>
      <c r="W572" s="7" t="str">
        <f>VLOOKUP($Q572,Mapping!$E$11:$I$204,3,0)</f>
        <v>Replacement</v>
      </c>
      <c r="X572" s="7" t="str">
        <f>IFERROR(VLOOKUP($S572,Mapping!$E$208:$K$236,5,0),"Contracts")</f>
        <v>Materials</v>
      </c>
      <c r="Y572" s="7" t="str">
        <f>IFERROR(VLOOKUP($S572,Mapping!$E$208:$K$236,7,0),"ENDirect")</f>
        <v>ENDirect</v>
      </c>
      <c r="Z572" s="7" t="str">
        <f>IFERROR(HLOOKUP(X572,'Calc|Weightings'!$U$5:$W$5,1,0),"Excl")</f>
        <v>Materials</v>
      </c>
      <c r="AA572" s="7" t="str">
        <f>VLOOKUP(Q572,Mapping!$E$11:$I$204,5,0)</f>
        <v>SCS</v>
      </c>
      <c r="AC572" s="35" t="s">
        <v>184</v>
      </c>
      <c r="AD572" s="35"/>
      <c r="AE572" s="35">
        <v>71055</v>
      </c>
      <c r="AF572" s="35" t="s">
        <v>465</v>
      </c>
      <c r="AG572" s="36">
        <v>57.258000000000003</v>
      </c>
      <c r="AI572" s="7" t="str">
        <f>VLOOKUP($AC572,Mapping!$E$11:$I$204,3,0)</f>
        <v>Public Lighting</v>
      </c>
      <c r="AJ572" s="7" t="str">
        <f>IFERROR(VLOOKUP($AE572,Mapping!$E$208:$K$236,5,0),"Contracts")</f>
        <v>Contracts</v>
      </c>
      <c r="AK572" s="7" t="str">
        <f>IFERROR(VLOOKUP($AE572,Mapping!$E$208:$K$236,7,0),"ENDirect")</f>
        <v>ENDirect</v>
      </c>
      <c r="AL572" s="7" t="str">
        <f>IFERROR(HLOOKUP(AJ572,'Calc|Weightings'!$U$5:$W$5,1,0),"Excl")</f>
        <v>Contracts</v>
      </c>
      <c r="AM572" s="7" t="str">
        <f>VLOOKUP(AC572,Mapping!$E$11:$I$204,5,0)</f>
        <v>Public Lighting</v>
      </c>
      <c r="AO572" s="35" t="s">
        <v>180</v>
      </c>
      <c r="AP572" s="35"/>
      <c r="AQ572" s="35">
        <v>80000</v>
      </c>
      <c r="AR572" s="35" t="s">
        <v>589</v>
      </c>
      <c r="AS572" s="121">
        <v>82.130990000000011</v>
      </c>
      <c r="AU572" s="7" t="str">
        <f>VLOOKUP($AO572,Mapping!$E$11:$I$204,3,0)</f>
        <v>Replacement</v>
      </c>
      <c r="AV572" s="7" t="str">
        <f>IFERROR(VLOOKUP($AQ572,Mapping!$E$208:$K$236,5,0),"Contracts")</f>
        <v>Overhead</v>
      </c>
      <c r="AW572" s="7" t="str">
        <f>IFERROR(VLOOKUP($AQ572,Mapping!$E$208:$K$236,7,0),"ENDirect")</f>
        <v>OH</v>
      </c>
      <c r="AX572" s="7" t="str">
        <f>IFERROR(HLOOKUP(AV572,'Calc|Weightings'!$U$5:$W$5,1,0),"Excl")</f>
        <v>Excl</v>
      </c>
      <c r="AY572" s="7" t="str">
        <f>VLOOKUP(AO572,Mapping!$E$11:$I$204,5,0)</f>
        <v>SCS</v>
      </c>
    </row>
    <row r="573" spans="1:51" x14ac:dyDescent="0.3">
      <c r="A573" s="7"/>
      <c r="B573" s="7"/>
      <c r="C573" s="7"/>
      <c r="D573" s="7"/>
      <c r="E573" s="32" t="s">
        <v>254</v>
      </c>
      <c r="F573" s="32"/>
      <c r="G573" s="32">
        <v>80000</v>
      </c>
      <c r="H573" s="32" t="s">
        <v>453</v>
      </c>
      <c r="I573" s="33">
        <v>8.5879999999999992</v>
      </c>
      <c r="J573" s="170"/>
      <c r="K573" s="7" t="str">
        <f>VLOOKUP($E573,Mapping!$E$11:$I$204,3,0)</f>
        <v>ACS</v>
      </c>
      <c r="L573" s="7" t="str">
        <f>IFERROR(VLOOKUP($G573,Mapping!$E$208:$K$236,5,0),"Contracts")</f>
        <v>Overhead</v>
      </c>
      <c r="M573" s="7" t="str">
        <f>IFERROR(VLOOKUP($G573,Mapping!$E$208:$K$236,7,0),"ENDirect")</f>
        <v>OH</v>
      </c>
      <c r="N573" s="7" t="str">
        <f>IFERROR(HLOOKUP(L573,'Calc|Weightings'!$U$5:$W$5,1,0),"Excl")</f>
        <v>Excl</v>
      </c>
      <c r="O573" s="7" t="str">
        <f>VLOOKUP(E573,Mapping!$E$11:$I$204,5,0)</f>
        <v>ACS</v>
      </c>
      <c r="Q573" s="32" t="s">
        <v>187</v>
      </c>
      <c r="R573" s="32"/>
      <c r="S573" s="32">
        <v>71020</v>
      </c>
      <c r="T573" s="32" t="s">
        <v>459</v>
      </c>
      <c r="U573" s="33">
        <v>62.430999999999997</v>
      </c>
      <c r="V573" s="7"/>
      <c r="W573" s="7" t="str">
        <f>VLOOKUP($Q573,Mapping!$E$11:$I$204,3,0)</f>
        <v>Replacement</v>
      </c>
      <c r="X573" s="7" t="str">
        <f>IFERROR(VLOOKUP($S573,Mapping!$E$208:$K$236,5,0),"Contracts")</f>
        <v>Contracts</v>
      </c>
      <c r="Y573" s="7" t="str">
        <f>IFERROR(VLOOKUP($S573,Mapping!$E$208:$K$236,7,0),"ENDirect")</f>
        <v>ENDirect</v>
      </c>
      <c r="Z573" s="7" t="str">
        <f>IFERROR(HLOOKUP(X573,'Calc|Weightings'!$U$5:$W$5,1,0),"Excl")</f>
        <v>Contracts</v>
      </c>
      <c r="AA573" s="7" t="str">
        <f>VLOOKUP(Q573,Mapping!$E$11:$I$204,5,0)</f>
        <v>SCS</v>
      </c>
      <c r="AC573" s="35" t="s">
        <v>184</v>
      </c>
      <c r="AD573" s="35"/>
      <c r="AE573" s="35">
        <v>80000</v>
      </c>
      <c r="AF573" s="35" t="s">
        <v>453</v>
      </c>
      <c r="AG573" s="36">
        <v>48.478999999999999</v>
      </c>
      <c r="AI573" s="7" t="str">
        <f>VLOOKUP($AC573,Mapping!$E$11:$I$204,3,0)</f>
        <v>Public Lighting</v>
      </c>
      <c r="AJ573" s="7" t="str">
        <f>IFERROR(VLOOKUP($AE573,Mapping!$E$208:$K$236,5,0),"Contracts")</f>
        <v>Overhead</v>
      </c>
      <c r="AK573" s="7" t="str">
        <f>IFERROR(VLOOKUP($AE573,Mapping!$E$208:$K$236,7,0),"ENDirect")</f>
        <v>OH</v>
      </c>
      <c r="AL573" s="7" t="str">
        <f>IFERROR(HLOOKUP(AJ573,'Calc|Weightings'!$U$5:$W$5,1,0),"Excl")</f>
        <v>Excl</v>
      </c>
      <c r="AM573" s="7" t="str">
        <f>VLOOKUP(AC573,Mapping!$E$11:$I$204,5,0)</f>
        <v>Public Lighting</v>
      </c>
      <c r="AO573" s="35" t="s">
        <v>180</v>
      </c>
      <c r="AP573" s="35"/>
      <c r="AQ573" s="35">
        <v>83010</v>
      </c>
      <c r="AR573" s="35" t="s">
        <v>591</v>
      </c>
      <c r="AS573" s="121">
        <v>368.56136000000066</v>
      </c>
      <c r="AU573" s="7" t="str">
        <f>VLOOKUP($AO573,Mapping!$E$11:$I$204,3,0)</f>
        <v>Replacement</v>
      </c>
      <c r="AV573" s="7" t="str">
        <f>IFERROR(VLOOKUP($AQ573,Mapping!$E$208:$K$236,5,0),"Contracts")</f>
        <v>Contracts</v>
      </c>
      <c r="AW573" s="7" t="str">
        <f>IFERROR(VLOOKUP($AQ573,Mapping!$E$208:$K$236,7,0),"ENDirect")</f>
        <v>ENDirect</v>
      </c>
      <c r="AX573" s="7" t="str">
        <f>IFERROR(HLOOKUP(AV573,'Calc|Weightings'!$U$5:$W$5,1,0),"Excl")</f>
        <v>Contracts</v>
      </c>
      <c r="AY573" s="7" t="str">
        <f>VLOOKUP(AO573,Mapping!$E$11:$I$204,5,0)</f>
        <v>SCS</v>
      </c>
    </row>
    <row r="574" spans="1:51" x14ac:dyDescent="0.3">
      <c r="A574" s="7"/>
      <c r="B574" s="7"/>
      <c r="C574" s="7"/>
      <c r="D574" s="7"/>
      <c r="E574" s="32" t="s">
        <v>254</v>
      </c>
      <c r="F574" s="32"/>
      <c r="G574" s="32">
        <v>71000</v>
      </c>
      <c r="H574" s="32" t="s">
        <v>457</v>
      </c>
      <c r="I574" s="33">
        <v>103.667</v>
      </c>
      <c r="J574" s="170"/>
      <c r="K574" s="7" t="str">
        <f>VLOOKUP($E574,Mapping!$E$11:$I$204,3,0)</f>
        <v>ACS</v>
      </c>
      <c r="L574" s="7" t="str">
        <f>IFERROR(VLOOKUP($G574,Mapping!$E$208:$K$236,5,0),"Contracts")</f>
        <v>Labour</v>
      </c>
      <c r="M574" s="7" t="str">
        <f>IFERROR(VLOOKUP($G574,Mapping!$E$208:$K$236,7,0),"ENDirect")</f>
        <v>ENDirect</v>
      </c>
      <c r="N574" s="7" t="str">
        <f>IFERROR(HLOOKUP(L574,'Calc|Weightings'!$U$5:$W$5,1,0),"Excl")</f>
        <v>Labour</v>
      </c>
      <c r="O574" s="7" t="str">
        <f>VLOOKUP(E574,Mapping!$E$11:$I$204,5,0)</f>
        <v>ACS</v>
      </c>
      <c r="Q574" s="32" t="s">
        <v>187</v>
      </c>
      <c r="R574" s="32"/>
      <c r="S574" s="32">
        <v>71030</v>
      </c>
      <c r="T574" s="32" t="s">
        <v>464</v>
      </c>
      <c r="U574" s="33">
        <v>13.571</v>
      </c>
      <c r="V574" s="7"/>
      <c r="W574" s="7" t="str">
        <f>VLOOKUP($Q574,Mapping!$E$11:$I$204,3,0)</f>
        <v>Replacement</v>
      </c>
      <c r="X574" s="7" t="str">
        <f>IFERROR(VLOOKUP($S574,Mapping!$E$208:$K$236,5,0),"Contracts")</f>
        <v>Contracts</v>
      </c>
      <c r="Y574" s="7" t="str">
        <f>IFERROR(VLOOKUP($S574,Mapping!$E$208:$K$236,7,0),"ENDirect")</f>
        <v>ENDirect</v>
      </c>
      <c r="Z574" s="7" t="str">
        <f>IFERROR(HLOOKUP(X574,'Calc|Weightings'!$U$5:$W$5,1,0),"Excl")</f>
        <v>Contracts</v>
      </c>
      <c r="AA574" s="7" t="str">
        <f>VLOOKUP(Q574,Mapping!$E$11:$I$204,5,0)</f>
        <v>SCS</v>
      </c>
      <c r="AC574" s="35" t="s">
        <v>184</v>
      </c>
      <c r="AD574" s="35"/>
      <c r="AE574" s="35">
        <v>89999</v>
      </c>
      <c r="AF574" s="35" t="s">
        <v>471</v>
      </c>
      <c r="AG574" s="36">
        <v>0</v>
      </c>
      <c r="AI574" s="7" t="str">
        <f>VLOOKUP($AC574,Mapping!$E$11:$I$204,3,0)</f>
        <v>Public Lighting</v>
      </c>
      <c r="AJ574" s="7" t="str">
        <f>IFERROR(VLOOKUP($AE574,Mapping!$E$208:$K$236,5,0),"Contracts")</f>
        <v>Contracts</v>
      </c>
      <c r="AK574" s="7" t="str">
        <f>IFERROR(VLOOKUP($AE574,Mapping!$E$208:$K$236,7,0),"ENDirect")</f>
        <v>ENDirect</v>
      </c>
      <c r="AL574" s="7" t="str">
        <f>IFERROR(HLOOKUP(AJ574,'Calc|Weightings'!$U$5:$W$5,1,0),"Excl")</f>
        <v>Contracts</v>
      </c>
      <c r="AM574" s="7" t="str">
        <f>VLOOKUP(AC574,Mapping!$E$11:$I$204,5,0)</f>
        <v>Public Lighting</v>
      </c>
      <c r="AO574" s="35" t="s">
        <v>181</v>
      </c>
      <c r="AP574" s="35"/>
      <c r="AQ574" s="35">
        <v>71000</v>
      </c>
      <c r="AR574" s="35" t="s">
        <v>457</v>
      </c>
      <c r="AS574" s="121">
        <v>4.6234099999999998</v>
      </c>
      <c r="AU574" s="7" t="str">
        <f>VLOOKUP($AO574,Mapping!$E$11:$I$204,3,0)</f>
        <v>Replacement</v>
      </c>
      <c r="AV574" s="7" t="str">
        <f>IFERROR(VLOOKUP($AQ574,Mapping!$E$208:$K$236,5,0),"Contracts")</f>
        <v>Labour</v>
      </c>
      <c r="AW574" s="7" t="str">
        <f>IFERROR(VLOOKUP($AQ574,Mapping!$E$208:$K$236,7,0),"ENDirect")</f>
        <v>ENDirect</v>
      </c>
      <c r="AX574" s="7" t="str">
        <f>IFERROR(HLOOKUP(AV574,'Calc|Weightings'!$U$5:$W$5,1,0),"Excl")</f>
        <v>Labour</v>
      </c>
      <c r="AY574" s="7" t="str">
        <f>VLOOKUP(AO574,Mapping!$E$11:$I$204,5,0)</f>
        <v>SCS</v>
      </c>
    </row>
    <row r="575" spans="1:51" x14ac:dyDescent="0.3">
      <c r="A575" s="7"/>
      <c r="B575" s="7"/>
      <c r="C575" s="7"/>
      <c r="D575" s="7"/>
      <c r="E575" s="32" t="s">
        <v>254</v>
      </c>
      <c r="F575" s="32"/>
      <c r="G575" s="32">
        <v>71005</v>
      </c>
      <c r="H575" s="32" t="s">
        <v>461</v>
      </c>
      <c r="I575" s="33">
        <v>8.5350000000000001</v>
      </c>
      <c r="J575" s="170"/>
      <c r="K575" s="7" t="str">
        <f>VLOOKUP($E575,Mapping!$E$11:$I$204,3,0)</f>
        <v>ACS</v>
      </c>
      <c r="L575" s="7" t="str">
        <f>IFERROR(VLOOKUP($G575,Mapping!$E$208:$K$236,5,0),"Contracts")</f>
        <v>Materials</v>
      </c>
      <c r="M575" s="7" t="str">
        <f>IFERROR(VLOOKUP($G575,Mapping!$E$208:$K$236,7,0),"ENDirect")</f>
        <v>ENDirect</v>
      </c>
      <c r="N575" s="7" t="str">
        <f>IFERROR(HLOOKUP(L575,'Calc|Weightings'!$U$5:$W$5,1,0),"Excl")</f>
        <v>Materials</v>
      </c>
      <c r="O575" s="7" t="str">
        <f>VLOOKUP(E575,Mapping!$E$11:$I$204,5,0)</f>
        <v>ACS</v>
      </c>
      <c r="Q575" s="32" t="s">
        <v>187</v>
      </c>
      <c r="R575" s="32"/>
      <c r="S575" s="32">
        <v>71055</v>
      </c>
      <c r="T575" s="32" t="s">
        <v>465</v>
      </c>
      <c r="U575" s="33">
        <v>23.677</v>
      </c>
      <c r="V575" s="7"/>
      <c r="W575" s="7" t="str">
        <f>VLOOKUP($Q575,Mapping!$E$11:$I$204,3,0)</f>
        <v>Replacement</v>
      </c>
      <c r="X575" s="7" t="str">
        <f>IFERROR(VLOOKUP($S575,Mapping!$E$208:$K$236,5,0),"Contracts")</f>
        <v>Contracts</v>
      </c>
      <c r="Y575" s="7" t="str">
        <f>IFERROR(VLOOKUP($S575,Mapping!$E$208:$K$236,7,0),"ENDirect")</f>
        <v>ENDirect</v>
      </c>
      <c r="Z575" s="7" t="str">
        <f>IFERROR(HLOOKUP(X575,'Calc|Weightings'!$U$5:$W$5,1,0),"Excl")</f>
        <v>Contracts</v>
      </c>
      <c r="AA575" s="7" t="str">
        <f>VLOOKUP(Q575,Mapping!$E$11:$I$204,5,0)</f>
        <v>SCS</v>
      </c>
      <c r="AC575" s="35" t="s">
        <v>185</v>
      </c>
      <c r="AD575" s="35"/>
      <c r="AE575" s="35">
        <v>71000</v>
      </c>
      <c r="AF575" s="35" t="s">
        <v>457</v>
      </c>
      <c r="AG575" s="36">
        <v>101.279</v>
      </c>
      <c r="AI575" s="7" t="str">
        <f>VLOOKUP($AC575,Mapping!$E$11:$I$204,3,0)</f>
        <v>Public Lighting</v>
      </c>
      <c r="AJ575" s="7" t="str">
        <f>IFERROR(VLOOKUP($AE575,Mapping!$E$208:$K$236,5,0),"Contracts")</f>
        <v>Labour</v>
      </c>
      <c r="AK575" s="7" t="str">
        <f>IFERROR(VLOOKUP($AE575,Mapping!$E$208:$K$236,7,0),"ENDirect")</f>
        <v>ENDirect</v>
      </c>
      <c r="AL575" s="7" t="str">
        <f>IFERROR(HLOOKUP(AJ575,'Calc|Weightings'!$U$5:$W$5,1,0),"Excl")</f>
        <v>Labour</v>
      </c>
      <c r="AM575" s="7" t="str">
        <f>VLOOKUP(AC575,Mapping!$E$11:$I$204,5,0)</f>
        <v>Public Lighting</v>
      </c>
      <c r="AO575" s="35" t="s">
        <v>181</v>
      </c>
      <c r="AP575" s="35"/>
      <c r="AQ575" s="35">
        <v>71010</v>
      </c>
      <c r="AR575" s="35" t="s">
        <v>487</v>
      </c>
      <c r="AS575" s="121">
        <v>0.67425000000000002</v>
      </c>
      <c r="AU575" s="7" t="str">
        <f>VLOOKUP($AO575,Mapping!$E$11:$I$204,3,0)</f>
        <v>Replacement</v>
      </c>
      <c r="AV575" s="7" t="str">
        <f>IFERROR(VLOOKUP($AQ575,Mapping!$E$208:$K$236,5,0),"Contracts")</f>
        <v>Labour</v>
      </c>
      <c r="AW575" s="7" t="str">
        <f>IFERROR(VLOOKUP($AQ575,Mapping!$E$208:$K$236,7,0),"ENDirect")</f>
        <v>ENDirect</v>
      </c>
      <c r="AX575" s="7" t="str">
        <f>IFERROR(HLOOKUP(AV575,'Calc|Weightings'!$U$5:$W$5,1,0),"Excl")</f>
        <v>Labour</v>
      </c>
      <c r="AY575" s="7" t="str">
        <f>VLOOKUP(AO575,Mapping!$E$11:$I$204,5,0)</f>
        <v>SCS</v>
      </c>
    </row>
    <row r="576" spans="1:51" x14ac:dyDescent="0.3">
      <c r="A576" s="7"/>
      <c r="B576" s="7"/>
      <c r="C576" s="7"/>
      <c r="D576" s="7"/>
      <c r="E576" s="32" t="s">
        <v>254</v>
      </c>
      <c r="F576" s="32"/>
      <c r="G576" s="32">
        <v>71015</v>
      </c>
      <c r="H576" s="32" t="s">
        <v>463</v>
      </c>
      <c r="I576" s="33">
        <v>8.4700000000000006</v>
      </c>
      <c r="J576" s="170"/>
      <c r="K576" s="7" t="str">
        <f>VLOOKUP($E576,Mapping!$E$11:$I$204,3,0)</f>
        <v>ACS</v>
      </c>
      <c r="L576" s="7" t="str">
        <f>IFERROR(VLOOKUP($G576,Mapping!$E$208:$K$236,5,0),"Contracts")</f>
        <v>Materials</v>
      </c>
      <c r="M576" s="7" t="str">
        <f>IFERROR(VLOOKUP($G576,Mapping!$E$208:$K$236,7,0),"ENDirect")</f>
        <v>ENDirect</v>
      </c>
      <c r="N576" s="7" t="str">
        <f>IFERROR(HLOOKUP(L576,'Calc|Weightings'!$U$5:$W$5,1,0),"Excl")</f>
        <v>Materials</v>
      </c>
      <c r="O576" s="7" t="str">
        <f>VLOOKUP(E576,Mapping!$E$11:$I$204,5,0)</f>
        <v>ACS</v>
      </c>
      <c r="Q576" s="32" t="s">
        <v>187</v>
      </c>
      <c r="R576" s="32"/>
      <c r="S576" s="32">
        <v>80000</v>
      </c>
      <c r="T576" s="32" t="s">
        <v>453</v>
      </c>
      <c r="U576" s="33">
        <v>26.995999999999999</v>
      </c>
      <c r="V576" s="7"/>
      <c r="W576" s="7" t="str">
        <f>VLOOKUP($Q576,Mapping!$E$11:$I$204,3,0)</f>
        <v>Replacement</v>
      </c>
      <c r="X576" s="7" t="str">
        <f>IFERROR(VLOOKUP($S576,Mapping!$E$208:$K$236,5,0),"Contracts")</f>
        <v>Overhead</v>
      </c>
      <c r="Y576" s="7" t="str">
        <f>IFERROR(VLOOKUP($S576,Mapping!$E$208:$K$236,7,0),"ENDirect")</f>
        <v>OH</v>
      </c>
      <c r="Z576" s="7" t="str">
        <f>IFERROR(HLOOKUP(X576,'Calc|Weightings'!$U$5:$W$5,1,0),"Excl")</f>
        <v>Excl</v>
      </c>
      <c r="AA576" s="7" t="str">
        <f>VLOOKUP(Q576,Mapping!$E$11:$I$204,5,0)</f>
        <v>SCS</v>
      </c>
      <c r="AC576" s="35" t="s">
        <v>185</v>
      </c>
      <c r="AD576" s="35"/>
      <c r="AE576" s="35">
        <v>71005</v>
      </c>
      <c r="AF576" s="35" t="s">
        <v>461</v>
      </c>
      <c r="AG576" s="36">
        <v>86.738</v>
      </c>
      <c r="AI576" s="7" t="str">
        <f>VLOOKUP($AC576,Mapping!$E$11:$I$204,3,0)</f>
        <v>Public Lighting</v>
      </c>
      <c r="AJ576" s="7" t="str">
        <f>IFERROR(VLOOKUP($AE576,Mapping!$E$208:$K$236,5,0),"Contracts")</f>
        <v>Materials</v>
      </c>
      <c r="AK576" s="7" t="str">
        <f>IFERROR(VLOOKUP($AE576,Mapping!$E$208:$K$236,7,0),"ENDirect")</f>
        <v>ENDirect</v>
      </c>
      <c r="AL576" s="7" t="str">
        <f>IFERROR(HLOOKUP(AJ576,'Calc|Weightings'!$U$5:$W$5,1,0),"Excl")</f>
        <v>Materials</v>
      </c>
      <c r="AM576" s="7" t="str">
        <f>VLOOKUP(AC576,Mapping!$E$11:$I$204,5,0)</f>
        <v>Public Lighting</v>
      </c>
      <c r="AO576" s="35" t="s">
        <v>181</v>
      </c>
      <c r="AP576" s="35"/>
      <c r="AQ576" s="35">
        <v>71015</v>
      </c>
      <c r="AR576" s="35" t="s">
        <v>585</v>
      </c>
      <c r="AS576" s="121">
        <v>0.78469000000000011</v>
      </c>
      <c r="AU576" s="7" t="str">
        <f>VLOOKUP($AO576,Mapping!$E$11:$I$204,3,0)</f>
        <v>Replacement</v>
      </c>
      <c r="AV576" s="7" t="str">
        <f>IFERROR(VLOOKUP($AQ576,Mapping!$E$208:$K$236,5,0),"Contracts")</f>
        <v>Materials</v>
      </c>
      <c r="AW576" s="7" t="str">
        <f>IFERROR(VLOOKUP($AQ576,Mapping!$E$208:$K$236,7,0),"ENDirect")</f>
        <v>ENDirect</v>
      </c>
      <c r="AX576" s="7" t="str">
        <f>IFERROR(HLOOKUP(AV576,'Calc|Weightings'!$U$5:$W$5,1,0),"Excl")</f>
        <v>Materials</v>
      </c>
      <c r="AY576" s="7" t="str">
        <f>VLOOKUP(AO576,Mapping!$E$11:$I$204,5,0)</f>
        <v>SCS</v>
      </c>
    </row>
    <row r="577" spans="1:51" x14ac:dyDescent="0.3">
      <c r="A577" s="7"/>
      <c r="B577" s="7"/>
      <c r="C577" s="7"/>
      <c r="D577" s="7"/>
      <c r="E577" s="32" t="s">
        <v>254</v>
      </c>
      <c r="F577" s="32"/>
      <c r="G577" s="32">
        <v>71020</v>
      </c>
      <c r="H577" s="32" t="s">
        <v>459</v>
      </c>
      <c r="I577" s="33">
        <v>0.63700000000000001</v>
      </c>
      <c r="J577" s="170"/>
      <c r="K577" s="7" t="str">
        <f>VLOOKUP($E577,Mapping!$E$11:$I$204,3,0)</f>
        <v>ACS</v>
      </c>
      <c r="L577" s="7" t="str">
        <f>IFERROR(VLOOKUP($G577,Mapping!$E$208:$K$236,5,0),"Contracts")</f>
        <v>Contracts</v>
      </c>
      <c r="M577" s="7" t="str">
        <f>IFERROR(VLOOKUP($G577,Mapping!$E$208:$K$236,7,0),"ENDirect")</f>
        <v>ENDirect</v>
      </c>
      <c r="N577" s="7" t="str">
        <f>IFERROR(HLOOKUP(L577,'Calc|Weightings'!$U$5:$W$5,1,0),"Excl")</f>
        <v>Contracts</v>
      </c>
      <c r="O577" s="7" t="str">
        <f>VLOOKUP(E577,Mapping!$E$11:$I$204,5,0)</f>
        <v>ACS</v>
      </c>
      <c r="Q577" s="32" t="s">
        <v>187</v>
      </c>
      <c r="R577" s="32"/>
      <c r="S577" s="32">
        <v>89999</v>
      </c>
      <c r="T577" s="32" t="s">
        <v>471</v>
      </c>
      <c r="U577" s="33">
        <v>0</v>
      </c>
      <c r="V577" s="7"/>
      <c r="W577" s="7" t="str">
        <f>VLOOKUP($Q577,Mapping!$E$11:$I$204,3,0)</f>
        <v>Replacement</v>
      </c>
      <c r="X577" s="7" t="str">
        <f>IFERROR(VLOOKUP($S577,Mapping!$E$208:$K$236,5,0),"Contracts")</f>
        <v>Contracts</v>
      </c>
      <c r="Y577" s="7" t="str">
        <f>IFERROR(VLOOKUP($S577,Mapping!$E$208:$K$236,7,0),"ENDirect")</f>
        <v>ENDirect</v>
      </c>
      <c r="Z577" s="7" t="str">
        <f>IFERROR(HLOOKUP(X577,'Calc|Weightings'!$U$5:$W$5,1,0),"Excl")</f>
        <v>Contracts</v>
      </c>
      <c r="AA577" s="7" t="str">
        <f>VLOOKUP(Q577,Mapping!$E$11:$I$204,5,0)</f>
        <v>SCS</v>
      </c>
      <c r="AC577" s="35" t="s">
        <v>185</v>
      </c>
      <c r="AD577" s="35"/>
      <c r="AE577" s="35">
        <v>71010</v>
      </c>
      <c r="AF577" s="35" t="s">
        <v>462</v>
      </c>
      <c r="AG577" s="36">
        <v>21.695</v>
      </c>
      <c r="AI577" s="7" t="str">
        <f>VLOOKUP($AC577,Mapping!$E$11:$I$204,3,0)</f>
        <v>Public Lighting</v>
      </c>
      <c r="AJ577" s="7" t="str">
        <f>IFERROR(VLOOKUP($AE577,Mapping!$E$208:$K$236,5,0),"Contracts")</f>
        <v>Labour</v>
      </c>
      <c r="AK577" s="7" t="str">
        <f>IFERROR(VLOOKUP($AE577,Mapping!$E$208:$K$236,7,0),"ENDirect")</f>
        <v>ENDirect</v>
      </c>
      <c r="AL577" s="7" t="str">
        <f>IFERROR(HLOOKUP(AJ577,'Calc|Weightings'!$U$5:$W$5,1,0),"Excl")</f>
        <v>Labour</v>
      </c>
      <c r="AM577" s="7" t="str">
        <f>VLOOKUP(AC577,Mapping!$E$11:$I$204,5,0)</f>
        <v>Public Lighting</v>
      </c>
      <c r="AO577" s="35" t="s">
        <v>181</v>
      </c>
      <c r="AP577" s="35"/>
      <c r="AQ577" s="35">
        <v>71030</v>
      </c>
      <c r="AR577" s="35" t="s">
        <v>464</v>
      </c>
      <c r="AS577" s="121">
        <v>0.50761000000000001</v>
      </c>
      <c r="AU577" s="7" t="str">
        <f>VLOOKUP($AO577,Mapping!$E$11:$I$204,3,0)</f>
        <v>Replacement</v>
      </c>
      <c r="AV577" s="7" t="str">
        <f>IFERROR(VLOOKUP($AQ577,Mapping!$E$208:$K$236,5,0),"Contracts")</f>
        <v>Contracts</v>
      </c>
      <c r="AW577" s="7" t="str">
        <f>IFERROR(VLOOKUP($AQ577,Mapping!$E$208:$K$236,7,0),"ENDirect")</f>
        <v>ENDirect</v>
      </c>
      <c r="AX577" s="7" t="str">
        <f>IFERROR(HLOOKUP(AV577,'Calc|Weightings'!$U$5:$W$5,1,0),"Excl")</f>
        <v>Contracts</v>
      </c>
      <c r="AY577" s="7" t="str">
        <f>VLOOKUP(AO577,Mapping!$E$11:$I$204,5,0)</f>
        <v>SCS</v>
      </c>
    </row>
    <row r="578" spans="1:51" x14ac:dyDescent="0.3">
      <c r="A578" s="7"/>
      <c r="B578" s="7"/>
      <c r="C578" s="7"/>
      <c r="D578" s="7"/>
      <c r="E578" s="32" t="s">
        <v>254</v>
      </c>
      <c r="F578" s="32"/>
      <c r="G578" s="32">
        <v>71055</v>
      </c>
      <c r="H578" s="32" t="s">
        <v>465</v>
      </c>
      <c r="I578" s="33">
        <v>16.478000000000002</v>
      </c>
      <c r="J578" s="170"/>
      <c r="K578" s="7" t="str">
        <f>VLOOKUP($E578,Mapping!$E$11:$I$204,3,0)</f>
        <v>ACS</v>
      </c>
      <c r="L578" s="7" t="str">
        <f>IFERROR(VLOOKUP($G578,Mapping!$E$208:$K$236,5,0),"Contracts")</f>
        <v>Contracts</v>
      </c>
      <c r="M578" s="7" t="str">
        <f>IFERROR(VLOOKUP($G578,Mapping!$E$208:$K$236,7,0),"ENDirect")</f>
        <v>ENDirect</v>
      </c>
      <c r="N578" s="7" t="str">
        <f>IFERROR(HLOOKUP(L578,'Calc|Weightings'!$U$5:$W$5,1,0),"Excl")</f>
        <v>Contracts</v>
      </c>
      <c r="O578" s="7" t="str">
        <f>VLOOKUP(E578,Mapping!$E$11:$I$204,5,0)</f>
        <v>ACS</v>
      </c>
      <c r="Q578" s="32" t="s">
        <v>188</v>
      </c>
      <c r="R578" s="32"/>
      <c r="S578" s="32">
        <v>71000</v>
      </c>
      <c r="T578" s="32" t="s">
        <v>457</v>
      </c>
      <c r="U578" s="33">
        <v>20.783000000000001</v>
      </c>
      <c r="V578" s="7"/>
      <c r="W578" s="7" t="str">
        <f>VLOOKUP($Q578,Mapping!$E$11:$I$204,3,0)</f>
        <v>Replacement</v>
      </c>
      <c r="X578" s="7" t="str">
        <f>IFERROR(VLOOKUP($S578,Mapping!$E$208:$K$236,5,0),"Contracts")</f>
        <v>Labour</v>
      </c>
      <c r="Y578" s="7" t="str">
        <f>IFERROR(VLOOKUP($S578,Mapping!$E$208:$K$236,7,0),"ENDirect")</f>
        <v>ENDirect</v>
      </c>
      <c r="Z578" s="7" t="str">
        <f>IFERROR(HLOOKUP(X578,'Calc|Weightings'!$U$5:$W$5,1,0),"Excl")</f>
        <v>Labour</v>
      </c>
      <c r="AA578" s="7" t="str">
        <f>VLOOKUP(Q578,Mapping!$E$11:$I$204,5,0)</f>
        <v>SCS</v>
      </c>
      <c r="AC578" s="35" t="s">
        <v>185</v>
      </c>
      <c r="AD578" s="35"/>
      <c r="AE578" s="35">
        <v>71015</v>
      </c>
      <c r="AF578" s="35" t="s">
        <v>463</v>
      </c>
      <c r="AG578" s="36">
        <v>12.872999999999999</v>
      </c>
      <c r="AI578" s="7" t="str">
        <f>VLOOKUP($AC578,Mapping!$E$11:$I$204,3,0)</f>
        <v>Public Lighting</v>
      </c>
      <c r="AJ578" s="7" t="str">
        <f>IFERROR(VLOOKUP($AE578,Mapping!$E$208:$K$236,5,0),"Contracts")</f>
        <v>Materials</v>
      </c>
      <c r="AK578" s="7" t="str">
        <f>IFERROR(VLOOKUP($AE578,Mapping!$E$208:$K$236,7,0),"ENDirect")</f>
        <v>ENDirect</v>
      </c>
      <c r="AL578" s="7" t="str">
        <f>IFERROR(HLOOKUP(AJ578,'Calc|Weightings'!$U$5:$W$5,1,0),"Excl")</f>
        <v>Materials</v>
      </c>
      <c r="AM578" s="7" t="str">
        <f>VLOOKUP(AC578,Mapping!$E$11:$I$204,5,0)</f>
        <v>Public Lighting</v>
      </c>
      <c r="AO578" s="35" t="s">
        <v>181</v>
      </c>
      <c r="AP578" s="35"/>
      <c r="AQ578" s="35">
        <v>71055</v>
      </c>
      <c r="AR578" s="35" t="s">
        <v>465</v>
      </c>
      <c r="AS578" s="121">
        <v>1.1692400000000001</v>
      </c>
      <c r="AU578" s="7" t="str">
        <f>VLOOKUP($AO578,Mapping!$E$11:$I$204,3,0)</f>
        <v>Replacement</v>
      </c>
      <c r="AV578" s="7" t="str">
        <f>IFERROR(VLOOKUP($AQ578,Mapping!$E$208:$K$236,5,0),"Contracts")</f>
        <v>Contracts</v>
      </c>
      <c r="AW578" s="7" t="str">
        <f>IFERROR(VLOOKUP($AQ578,Mapping!$E$208:$K$236,7,0),"ENDirect")</f>
        <v>ENDirect</v>
      </c>
      <c r="AX578" s="7" t="str">
        <f>IFERROR(HLOOKUP(AV578,'Calc|Weightings'!$U$5:$W$5,1,0),"Excl")</f>
        <v>Contracts</v>
      </c>
      <c r="AY578" s="7" t="str">
        <f>VLOOKUP(AO578,Mapping!$E$11:$I$204,5,0)</f>
        <v>SCS</v>
      </c>
    </row>
    <row r="579" spans="1:51" x14ac:dyDescent="0.3">
      <c r="A579" s="7"/>
      <c r="B579" s="7"/>
      <c r="C579" s="7"/>
      <c r="D579" s="7"/>
      <c r="E579" s="32" t="s">
        <v>255</v>
      </c>
      <c r="F579" s="32"/>
      <c r="G579" s="32">
        <v>71000</v>
      </c>
      <c r="H579" s="32" t="s">
        <v>457</v>
      </c>
      <c r="I579" s="33">
        <v>7.5549999999999997</v>
      </c>
      <c r="J579" s="170"/>
      <c r="K579" s="7" t="str">
        <f>VLOOKUP($E579,Mapping!$E$11:$I$204,3,0)</f>
        <v>ACS</v>
      </c>
      <c r="L579" s="7" t="str">
        <f>IFERROR(VLOOKUP($G579,Mapping!$E$208:$K$236,5,0),"Contracts")</f>
        <v>Labour</v>
      </c>
      <c r="M579" s="7" t="str">
        <f>IFERROR(VLOOKUP($G579,Mapping!$E$208:$K$236,7,0),"ENDirect")</f>
        <v>ENDirect</v>
      </c>
      <c r="N579" s="7" t="str">
        <f>IFERROR(HLOOKUP(L579,'Calc|Weightings'!$U$5:$W$5,1,0),"Excl")</f>
        <v>Labour</v>
      </c>
      <c r="O579" s="7" t="str">
        <f>VLOOKUP(E579,Mapping!$E$11:$I$204,5,0)</f>
        <v>ACS</v>
      </c>
      <c r="Q579" s="32" t="s">
        <v>188</v>
      </c>
      <c r="R579" s="32"/>
      <c r="S579" s="32">
        <v>71005</v>
      </c>
      <c r="T579" s="32" t="s">
        <v>461</v>
      </c>
      <c r="U579" s="33">
        <v>17.082000000000001</v>
      </c>
      <c r="V579" s="7"/>
      <c r="W579" s="7" t="str">
        <f>VLOOKUP($Q579,Mapping!$E$11:$I$204,3,0)</f>
        <v>Replacement</v>
      </c>
      <c r="X579" s="7" t="str">
        <f>IFERROR(VLOOKUP($S579,Mapping!$E$208:$K$236,5,0),"Contracts")</f>
        <v>Materials</v>
      </c>
      <c r="Y579" s="7" t="str">
        <f>IFERROR(VLOOKUP($S579,Mapping!$E$208:$K$236,7,0),"ENDirect")</f>
        <v>ENDirect</v>
      </c>
      <c r="Z579" s="7" t="str">
        <f>IFERROR(HLOOKUP(X579,'Calc|Weightings'!$U$5:$W$5,1,0),"Excl")</f>
        <v>Materials</v>
      </c>
      <c r="AA579" s="7" t="str">
        <f>VLOOKUP(Q579,Mapping!$E$11:$I$204,5,0)</f>
        <v>SCS</v>
      </c>
      <c r="AC579" s="35" t="s">
        <v>185</v>
      </c>
      <c r="AD579" s="35"/>
      <c r="AE579" s="35">
        <v>71020</v>
      </c>
      <c r="AF579" s="35" t="s">
        <v>459</v>
      </c>
      <c r="AG579" s="36">
        <v>0</v>
      </c>
      <c r="AI579" s="7" t="str">
        <f>VLOOKUP($AC579,Mapping!$E$11:$I$204,3,0)</f>
        <v>Public Lighting</v>
      </c>
      <c r="AJ579" s="7" t="str">
        <f>IFERROR(VLOOKUP($AE579,Mapping!$E$208:$K$236,5,0),"Contracts")</f>
        <v>Contracts</v>
      </c>
      <c r="AK579" s="7" t="str">
        <f>IFERROR(VLOOKUP($AE579,Mapping!$E$208:$K$236,7,0),"ENDirect")</f>
        <v>ENDirect</v>
      </c>
      <c r="AL579" s="7" t="str">
        <f>IFERROR(HLOOKUP(AJ579,'Calc|Weightings'!$U$5:$W$5,1,0),"Excl")</f>
        <v>Contracts</v>
      </c>
      <c r="AM579" s="7" t="str">
        <f>VLOOKUP(AC579,Mapping!$E$11:$I$204,5,0)</f>
        <v>Public Lighting</v>
      </c>
      <c r="AO579" s="35" t="s">
        <v>181</v>
      </c>
      <c r="AP579" s="35"/>
      <c r="AQ579" s="35">
        <v>71075</v>
      </c>
      <c r="AR579" s="35" t="s">
        <v>587</v>
      </c>
      <c r="AS579" s="121">
        <v>5.4883299999999995</v>
      </c>
      <c r="AU579" s="7" t="str">
        <f>VLOOKUP($AO579,Mapping!$E$11:$I$204,3,0)</f>
        <v>Replacement</v>
      </c>
      <c r="AV579" s="7" t="str">
        <f>IFERROR(VLOOKUP($AQ579,Mapping!$E$208:$K$236,5,0),"Contracts")</f>
        <v>Contracts</v>
      </c>
      <c r="AW579" s="7" t="str">
        <f>IFERROR(VLOOKUP($AQ579,Mapping!$E$208:$K$236,7,0),"ENDirect")</f>
        <v>ENDirect</v>
      </c>
      <c r="AX579" s="7" t="str">
        <f>IFERROR(HLOOKUP(AV579,'Calc|Weightings'!$U$5:$W$5,1,0),"Excl")</f>
        <v>Contracts</v>
      </c>
      <c r="AY579" s="7" t="str">
        <f>VLOOKUP(AO579,Mapping!$E$11:$I$204,5,0)</f>
        <v>SCS</v>
      </c>
    </row>
    <row r="580" spans="1:51" x14ac:dyDescent="0.3">
      <c r="A580" s="7"/>
      <c r="B580" s="7"/>
      <c r="C580" s="7"/>
      <c r="D580" s="7"/>
      <c r="E580" s="32" t="s">
        <v>255</v>
      </c>
      <c r="F580" s="32"/>
      <c r="G580" s="32">
        <v>71005</v>
      </c>
      <c r="H580" s="32" t="s">
        <v>461</v>
      </c>
      <c r="I580" s="33">
        <v>2.1459999999999999</v>
      </c>
      <c r="J580" s="170"/>
      <c r="K580" s="7" t="str">
        <f>VLOOKUP($E580,Mapping!$E$11:$I$204,3,0)</f>
        <v>ACS</v>
      </c>
      <c r="L580" s="7" t="str">
        <f>IFERROR(VLOOKUP($G580,Mapping!$E$208:$K$236,5,0),"Contracts")</f>
        <v>Materials</v>
      </c>
      <c r="M580" s="7" t="str">
        <f>IFERROR(VLOOKUP($G580,Mapping!$E$208:$K$236,7,0),"ENDirect")</f>
        <v>ENDirect</v>
      </c>
      <c r="N580" s="7" t="str">
        <f>IFERROR(HLOOKUP(L580,'Calc|Weightings'!$U$5:$W$5,1,0),"Excl")</f>
        <v>Materials</v>
      </c>
      <c r="O580" s="7" t="str">
        <f>VLOOKUP(E580,Mapping!$E$11:$I$204,5,0)</f>
        <v>ACS</v>
      </c>
      <c r="Q580" s="32" t="s">
        <v>188</v>
      </c>
      <c r="R580" s="32"/>
      <c r="S580" s="32">
        <v>71010</v>
      </c>
      <c r="T580" s="32" t="s">
        <v>462</v>
      </c>
      <c r="U580" s="33">
        <v>81.021000000000001</v>
      </c>
      <c r="V580" s="7"/>
      <c r="W580" s="7" t="str">
        <f>VLOOKUP($Q580,Mapping!$E$11:$I$204,3,0)</f>
        <v>Replacement</v>
      </c>
      <c r="X580" s="7" t="str">
        <f>IFERROR(VLOOKUP($S580,Mapping!$E$208:$K$236,5,0),"Contracts")</f>
        <v>Labour</v>
      </c>
      <c r="Y580" s="7" t="str">
        <f>IFERROR(VLOOKUP($S580,Mapping!$E$208:$K$236,7,0),"ENDirect")</f>
        <v>ENDirect</v>
      </c>
      <c r="Z580" s="7" t="str">
        <f>IFERROR(HLOOKUP(X580,'Calc|Weightings'!$U$5:$W$5,1,0),"Excl")</f>
        <v>Labour</v>
      </c>
      <c r="AA580" s="7" t="str">
        <f>VLOOKUP(Q580,Mapping!$E$11:$I$204,5,0)</f>
        <v>SCS</v>
      </c>
      <c r="AC580" s="35" t="s">
        <v>185</v>
      </c>
      <c r="AD580" s="35"/>
      <c r="AE580" s="35">
        <v>71030</v>
      </c>
      <c r="AF580" s="35" t="s">
        <v>464</v>
      </c>
      <c r="AG580" s="36">
        <v>17.873000000000001</v>
      </c>
      <c r="AI580" s="7" t="str">
        <f>VLOOKUP($AC580,Mapping!$E$11:$I$204,3,0)</f>
        <v>Public Lighting</v>
      </c>
      <c r="AJ580" s="7" t="str">
        <f>IFERROR(VLOOKUP($AE580,Mapping!$E$208:$K$236,5,0),"Contracts")</f>
        <v>Contracts</v>
      </c>
      <c r="AK580" s="7" t="str">
        <f>IFERROR(VLOOKUP($AE580,Mapping!$E$208:$K$236,7,0),"ENDirect")</f>
        <v>ENDirect</v>
      </c>
      <c r="AL580" s="7" t="str">
        <f>IFERROR(HLOOKUP(AJ580,'Calc|Weightings'!$U$5:$W$5,1,0),"Excl")</f>
        <v>Contracts</v>
      </c>
      <c r="AM580" s="7" t="str">
        <f>VLOOKUP(AC580,Mapping!$E$11:$I$204,5,0)</f>
        <v>Public Lighting</v>
      </c>
      <c r="AO580" s="35" t="s">
        <v>181</v>
      </c>
      <c r="AP580" s="35"/>
      <c r="AQ580" s="35">
        <v>80000</v>
      </c>
      <c r="AR580" s="35" t="s">
        <v>589</v>
      </c>
      <c r="AS580" s="121">
        <v>9.7867200000000008</v>
      </c>
      <c r="AU580" s="7" t="str">
        <f>VLOOKUP($AO580,Mapping!$E$11:$I$204,3,0)</f>
        <v>Replacement</v>
      </c>
      <c r="AV580" s="7" t="str">
        <f>IFERROR(VLOOKUP($AQ580,Mapping!$E$208:$K$236,5,0),"Contracts")</f>
        <v>Overhead</v>
      </c>
      <c r="AW580" s="7" t="str">
        <f>IFERROR(VLOOKUP($AQ580,Mapping!$E$208:$K$236,7,0),"ENDirect")</f>
        <v>OH</v>
      </c>
      <c r="AX580" s="7" t="str">
        <f>IFERROR(HLOOKUP(AV580,'Calc|Weightings'!$U$5:$W$5,1,0),"Excl")</f>
        <v>Excl</v>
      </c>
      <c r="AY580" s="7" t="str">
        <f>VLOOKUP(AO580,Mapping!$E$11:$I$204,5,0)</f>
        <v>SCS</v>
      </c>
    </row>
    <row r="581" spans="1:51" x14ac:dyDescent="0.3">
      <c r="A581" s="7"/>
      <c r="B581" s="7"/>
      <c r="C581" s="7"/>
      <c r="D581" s="7"/>
      <c r="E581" s="32" t="s">
        <v>255</v>
      </c>
      <c r="F581" s="32"/>
      <c r="G581" s="32">
        <v>71015</v>
      </c>
      <c r="H581" s="32" t="s">
        <v>463</v>
      </c>
      <c r="I581" s="33">
        <v>1.1859999999999999</v>
      </c>
      <c r="J581" s="170"/>
      <c r="K581" s="7" t="str">
        <f>VLOOKUP($E581,Mapping!$E$11:$I$204,3,0)</f>
        <v>ACS</v>
      </c>
      <c r="L581" s="7" t="str">
        <f>IFERROR(VLOOKUP($G581,Mapping!$E$208:$K$236,5,0),"Contracts")</f>
        <v>Materials</v>
      </c>
      <c r="M581" s="7" t="str">
        <f>IFERROR(VLOOKUP($G581,Mapping!$E$208:$K$236,7,0),"ENDirect")</f>
        <v>ENDirect</v>
      </c>
      <c r="N581" s="7" t="str">
        <f>IFERROR(HLOOKUP(L581,'Calc|Weightings'!$U$5:$W$5,1,0),"Excl")</f>
        <v>Materials</v>
      </c>
      <c r="O581" s="7" t="str">
        <f>VLOOKUP(E581,Mapping!$E$11:$I$204,5,0)</f>
        <v>ACS</v>
      </c>
      <c r="Q581" s="32" t="s">
        <v>188</v>
      </c>
      <c r="R581" s="32"/>
      <c r="S581" s="32">
        <v>71015</v>
      </c>
      <c r="T581" s="32" t="s">
        <v>463</v>
      </c>
      <c r="U581" s="33">
        <v>9.9849999999999994</v>
      </c>
      <c r="V581" s="7"/>
      <c r="W581" s="7" t="str">
        <f>VLOOKUP($Q581,Mapping!$E$11:$I$204,3,0)</f>
        <v>Replacement</v>
      </c>
      <c r="X581" s="7" t="str">
        <f>IFERROR(VLOOKUP($S581,Mapping!$E$208:$K$236,5,0),"Contracts")</f>
        <v>Materials</v>
      </c>
      <c r="Y581" s="7" t="str">
        <f>IFERROR(VLOOKUP($S581,Mapping!$E$208:$K$236,7,0),"ENDirect")</f>
        <v>ENDirect</v>
      </c>
      <c r="Z581" s="7" t="str">
        <f>IFERROR(HLOOKUP(X581,'Calc|Weightings'!$U$5:$W$5,1,0),"Excl")</f>
        <v>Materials</v>
      </c>
      <c r="AA581" s="7" t="str">
        <f>VLOOKUP(Q581,Mapping!$E$11:$I$204,5,0)</f>
        <v>SCS</v>
      </c>
      <c r="AC581" s="35" t="s">
        <v>185</v>
      </c>
      <c r="AD581" s="35"/>
      <c r="AE581" s="35">
        <v>71055</v>
      </c>
      <c r="AF581" s="35" t="s">
        <v>465</v>
      </c>
      <c r="AG581" s="36">
        <v>36.353999999999999</v>
      </c>
      <c r="AI581" s="7" t="str">
        <f>VLOOKUP($AC581,Mapping!$E$11:$I$204,3,0)</f>
        <v>Public Lighting</v>
      </c>
      <c r="AJ581" s="7" t="str">
        <f>IFERROR(VLOOKUP($AE581,Mapping!$E$208:$K$236,5,0),"Contracts")</f>
        <v>Contracts</v>
      </c>
      <c r="AK581" s="7" t="str">
        <f>IFERROR(VLOOKUP($AE581,Mapping!$E$208:$K$236,7,0),"ENDirect")</f>
        <v>ENDirect</v>
      </c>
      <c r="AL581" s="7" t="str">
        <f>IFERROR(HLOOKUP(AJ581,'Calc|Weightings'!$U$5:$W$5,1,0),"Excl")</f>
        <v>Contracts</v>
      </c>
      <c r="AM581" s="7" t="str">
        <f>VLOOKUP(AC581,Mapping!$E$11:$I$204,5,0)</f>
        <v>Public Lighting</v>
      </c>
      <c r="AO581" s="35" t="s">
        <v>181</v>
      </c>
      <c r="AP581" s="35"/>
      <c r="AQ581" s="35">
        <v>83010</v>
      </c>
      <c r="AR581" s="35" t="s">
        <v>591</v>
      </c>
      <c r="AS581" s="121">
        <v>37.584540000000011</v>
      </c>
      <c r="AU581" s="7" t="str">
        <f>VLOOKUP($AO581,Mapping!$E$11:$I$204,3,0)</f>
        <v>Replacement</v>
      </c>
      <c r="AV581" s="7" t="str">
        <f>IFERROR(VLOOKUP($AQ581,Mapping!$E$208:$K$236,5,0),"Contracts")</f>
        <v>Contracts</v>
      </c>
      <c r="AW581" s="7" t="str">
        <f>IFERROR(VLOOKUP($AQ581,Mapping!$E$208:$K$236,7,0),"ENDirect")</f>
        <v>ENDirect</v>
      </c>
      <c r="AX581" s="7" t="str">
        <f>IFERROR(HLOOKUP(AV581,'Calc|Weightings'!$U$5:$W$5,1,0),"Excl")</f>
        <v>Contracts</v>
      </c>
      <c r="AY581" s="7" t="str">
        <f>VLOOKUP(AO581,Mapping!$E$11:$I$204,5,0)</f>
        <v>SCS</v>
      </c>
    </row>
    <row r="582" spans="1:51" x14ac:dyDescent="0.3">
      <c r="A582" s="7"/>
      <c r="B582" s="7"/>
      <c r="C582" s="7"/>
      <c r="D582" s="7"/>
      <c r="E582" s="32" t="s">
        <v>255</v>
      </c>
      <c r="F582" s="32"/>
      <c r="G582" s="32">
        <v>71030</v>
      </c>
      <c r="H582" s="32" t="s">
        <v>464</v>
      </c>
      <c r="I582" s="33">
        <v>0.82599999999999996</v>
      </c>
      <c r="J582" s="170"/>
      <c r="K582" s="7" t="str">
        <f>VLOOKUP($E582,Mapping!$E$11:$I$204,3,0)</f>
        <v>ACS</v>
      </c>
      <c r="L582" s="7" t="str">
        <f>IFERROR(VLOOKUP($G582,Mapping!$E$208:$K$236,5,0),"Contracts")</f>
        <v>Contracts</v>
      </c>
      <c r="M582" s="7" t="str">
        <f>IFERROR(VLOOKUP($G582,Mapping!$E$208:$K$236,7,0),"ENDirect")</f>
        <v>ENDirect</v>
      </c>
      <c r="N582" s="7" t="str">
        <f>IFERROR(HLOOKUP(L582,'Calc|Weightings'!$U$5:$W$5,1,0),"Excl")</f>
        <v>Contracts</v>
      </c>
      <c r="O582" s="7" t="str">
        <f>VLOOKUP(E582,Mapping!$E$11:$I$204,5,0)</f>
        <v>ACS</v>
      </c>
      <c r="Q582" s="32" t="s">
        <v>188</v>
      </c>
      <c r="R582" s="32"/>
      <c r="S582" s="32">
        <v>71020</v>
      </c>
      <c r="T582" s="32" t="s">
        <v>459</v>
      </c>
      <c r="U582" s="33">
        <v>0.998</v>
      </c>
      <c r="V582" s="7"/>
      <c r="W582" s="7" t="str">
        <f>VLOOKUP($Q582,Mapping!$E$11:$I$204,3,0)</f>
        <v>Replacement</v>
      </c>
      <c r="X582" s="7" t="str">
        <f>IFERROR(VLOOKUP($S582,Mapping!$E$208:$K$236,5,0),"Contracts")</f>
        <v>Contracts</v>
      </c>
      <c r="Y582" s="7" t="str">
        <f>IFERROR(VLOOKUP($S582,Mapping!$E$208:$K$236,7,0),"ENDirect")</f>
        <v>ENDirect</v>
      </c>
      <c r="Z582" s="7" t="str">
        <f>IFERROR(HLOOKUP(X582,'Calc|Weightings'!$U$5:$W$5,1,0),"Excl")</f>
        <v>Contracts</v>
      </c>
      <c r="AA582" s="7" t="str">
        <f>VLOOKUP(Q582,Mapping!$E$11:$I$204,5,0)</f>
        <v>SCS</v>
      </c>
      <c r="AC582" s="35" t="s">
        <v>185</v>
      </c>
      <c r="AD582" s="35"/>
      <c r="AE582" s="35">
        <v>80000</v>
      </c>
      <c r="AF582" s="35" t="s">
        <v>453</v>
      </c>
      <c r="AG582" s="36">
        <v>38.792000000000002</v>
      </c>
      <c r="AI582" s="7" t="str">
        <f>VLOOKUP($AC582,Mapping!$E$11:$I$204,3,0)</f>
        <v>Public Lighting</v>
      </c>
      <c r="AJ582" s="7" t="str">
        <f>IFERROR(VLOOKUP($AE582,Mapping!$E$208:$K$236,5,0),"Contracts")</f>
        <v>Overhead</v>
      </c>
      <c r="AK582" s="7" t="str">
        <f>IFERROR(VLOOKUP($AE582,Mapping!$E$208:$K$236,7,0),"ENDirect")</f>
        <v>OH</v>
      </c>
      <c r="AL582" s="7" t="str">
        <f>IFERROR(HLOOKUP(AJ582,'Calc|Weightings'!$U$5:$W$5,1,0),"Excl")</f>
        <v>Excl</v>
      </c>
      <c r="AM582" s="7" t="str">
        <f>VLOOKUP(AC582,Mapping!$E$11:$I$204,5,0)</f>
        <v>Public Lighting</v>
      </c>
      <c r="AO582" s="35" t="s">
        <v>182</v>
      </c>
      <c r="AP582" s="35"/>
      <c r="AQ582" s="35">
        <v>71075</v>
      </c>
      <c r="AR582" s="35" t="s">
        <v>587</v>
      </c>
      <c r="AS582" s="121">
        <v>0.67532000000000003</v>
      </c>
      <c r="AU582" s="7" t="str">
        <f>VLOOKUP($AO582,Mapping!$E$11:$I$204,3,0)</f>
        <v>Replacement</v>
      </c>
      <c r="AV582" s="7" t="str">
        <f>IFERROR(VLOOKUP($AQ582,Mapping!$E$208:$K$236,5,0),"Contracts")</f>
        <v>Contracts</v>
      </c>
      <c r="AW582" s="7" t="str">
        <f>IFERROR(VLOOKUP($AQ582,Mapping!$E$208:$K$236,7,0),"ENDirect")</f>
        <v>ENDirect</v>
      </c>
      <c r="AX582" s="7" t="str">
        <f>IFERROR(HLOOKUP(AV582,'Calc|Weightings'!$U$5:$W$5,1,0),"Excl")</f>
        <v>Contracts</v>
      </c>
      <c r="AY582" s="7" t="str">
        <f>VLOOKUP(AO582,Mapping!$E$11:$I$204,5,0)</f>
        <v>SCS</v>
      </c>
    </row>
    <row r="583" spans="1:51" x14ac:dyDescent="0.3">
      <c r="A583" s="7"/>
      <c r="B583" s="7"/>
      <c r="C583" s="7"/>
      <c r="D583" s="7"/>
      <c r="E583" s="32" t="s">
        <v>255</v>
      </c>
      <c r="F583" s="32"/>
      <c r="G583" s="32">
        <v>71055</v>
      </c>
      <c r="H583" s="32" t="s">
        <v>465</v>
      </c>
      <c r="I583" s="33">
        <v>1.5680000000000001</v>
      </c>
      <c r="J583" s="170"/>
      <c r="K583" s="7" t="str">
        <f>VLOOKUP($E583,Mapping!$E$11:$I$204,3,0)</f>
        <v>ACS</v>
      </c>
      <c r="L583" s="7" t="str">
        <f>IFERROR(VLOOKUP($G583,Mapping!$E$208:$K$236,5,0),"Contracts")</f>
        <v>Contracts</v>
      </c>
      <c r="M583" s="7" t="str">
        <f>IFERROR(VLOOKUP($G583,Mapping!$E$208:$K$236,7,0),"ENDirect")</f>
        <v>ENDirect</v>
      </c>
      <c r="N583" s="7" t="str">
        <f>IFERROR(HLOOKUP(L583,'Calc|Weightings'!$U$5:$W$5,1,0),"Excl")</f>
        <v>Contracts</v>
      </c>
      <c r="O583" s="7" t="str">
        <f>VLOOKUP(E583,Mapping!$E$11:$I$204,5,0)</f>
        <v>ACS</v>
      </c>
      <c r="Q583" s="32" t="s">
        <v>188</v>
      </c>
      <c r="R583" s="32"/>
      <c r="S583" s="32">
        <v>71030</v>
      </c>
      <c r="T583" s="32" t="s">
        <v>464</v>
      </c>
      <c r="U583" s="33">
        <v>12.48</v>
      </c>
      <c r="V583" s="7"/>
      <c r="W583" s="7" t="str">
        <f>VLOOKUP($Q583,Mapping!$E$11:$I$204,3,0)</f>
        <v>Replacement</v>
      </c>
      <c r="X583" s="7" t="str">
        <f>IFERROR(VLOOKUP($S583,Mapping!$E$208:$K$236,5,0),"Contracts")</f>
        <v>Contracts</v>
      </c>
      <c r="Y583" s="7" t="str">
        <f>IFERROR(VLOOKUP($S583,Mapping!$E$208:$K$236,7,0),"ENDirect")</f>
        <v>ENDirect</v>
      </c>
      <c r="Z583" s="7" t="str">
        <f>IFERROR(HLOOKUP(X583,'Calc|Weightings'!$U$5:$W$5,1,0),"Excl")</f>
        <v>Contracts</v>
      </c>
      <c r="AA583" s="7" t="str">
        <f>VLOOKUP(Q583,Mapping!$E$11:$I$204,5,0)</f>
        <v>SCS</v>
      </c>
      <c r="AC583" s="35" t="s">
        <v>185</v>
      </c>
      <c r="AD583" s="35"/>
      <c r="AE583" s="35">
        <v>89999</v>
      </c>
      <c r="AF583" s="35" t="s">
        <v>471</v>
      </c>
      <c r="AG583" s="36">
        <v>0</v>
      </c>
      <c r="AI583" s="7" t="str">
        <f>VLOOKUP($AC583,Mapping!$E$11:$I$204,3,0)</f>
        <v>Public Lighting</v>
      </c>
      <c r="AJ583" s="7" t="str">
        <f>IFERROR(VLOOKUP($AE583,Mapping!$E$208:$K$236,5,0),"Contracts")</f>
        <v>Contracts</v>
      </c>
      <c r="AK583" s="7" t="str">
        <f>IFERROR(VLOOKUP($AE583,Mapping!$E$208:$K$236,7,0),"ENDirect")</f>
        <v>ENDirect</v>
      </c>
      <c r="AL583" s="7" t="str">
        <f>IFERROR(HLOOKUP(AJ583,'Calc|Weightings'!$U$5:$W$5,1,0),"Excl")</f>
        <v>Contracts</v>
      </c>
      <c r="AM583" s="7" t="str">
        <f>VLOOKUP(AC583,Mapping!$E$11:$I$204,5,0)</f>
        <v>Public Lighting</v>
      </c>
      <c r="AO583" s="35" t="s">
        <v>182</v>
      </c>
      <c r="AP583" s="35"/>
      <c r="AQ583" s="35">
        <v>80000</v>
      </c>
      <c r="AR583" s="35" t="s">
        <v>589</v>
      </c>
      <c r="AS583" s="121">
        <v>1.12852</v>
      </c>
      <c r="AU583" s="7" t="str">
        <f>VLOOKUP($AO583,Mapping!$E$11:$I$204,3,0)</f>
        <v>Replacement</v>
      </c>
      <c r="AV583" s="7" t="str">
        <f>IFERROR(VLOOKUP($AQ583,Mapping!$E$208:$K$236,5,0),"Contracts")</f>
        <v>Overhead</v>
      </c>
      <c r="AW583" s="7" t="str">
        <f>IFERROR(VLOOKUP($AQ583,Mapping!$E$208:$K$236,7,0),"ENDirect")</f>
        <v>OH</v>
      </c>
      <c r="AX583" s="7" t="str">
        <f>IFERROR(HLOOKUP(AV583,'Calc|Weightings'!$U$5:$W$5,1,0),"Excl")</f>
        <v>Excl</v>
      </c>
      <c r="AY583" s="7" t="str">
        <f>VLOOKUP(AO583,Mapping!$E$11:$I$204,5,0)</f>
        <v>SCS</v>
      </c>
    </row>
    <row r="584" spans="1:51" x14ac:dyDescent="0.3">
      <c r="A584" s="7"/>
      <c r="B584" s="7"/>
      <c r="C584" s="7"/>
      <c r="D584" s="7"/>
      <c r="E584" s="32" t="s">
        <v>255</v>
      </c>
      <c r="F584" s="32"/>
      <c r="G584" s="32">
        <v>80000</v>
      </c>
      <c r="H584" s="32" t="s">
        <v>453</v>
      </c>
      <c r="I584" s="33">
        <v>0.89300000000000002</v>
      </c>
      <c r="J584" s="170"/>
      <c r="K584" s="7" t="str">
        <f>VLOOKUP($E584,Mapping!$E$11:$I$204,3,0)</f>
        <v>ACS</v>
      </c>
      <c r="L584" s="7" t="str">
        <f>IFERROR(VLOOKUP($G584,Mapping!$E$208:$K$236,5,0),"Contracts")</f>
        <v>Overhead</v>
      </c>
      <c r="M584" s="7" t="str">
        <f>IFERROR(VLOOKUP($G584,Mapping!$E$208:$K$236,7,0),"ENDirect")</f>
        <v>OH</v>
      </c>
      <c r="N584" s="7" t="str">
        <f>IFERROR(HLOOKUP(L584,'Calc|Weightings'!$U$5:$W$5,1,0),"Excl")</f>
        <v>Excl</v>
      </c>
      <c r="O584" s="7" t="str">
        <f>VLOOKUP(E584,Mapping!$E$11:$I$204,5,0)</f>
        <v>ACS</v>
      </c>
      <c r="Q584" s="32" t="s">
        <v>188</v>
      </c>
      <c r="R584" s="32"/>
      <c r="S584" s="32">
        <v>71055</v>
      </c>
      <c r="T584" s="32" t="s">
        <v>465</v>
      </c>
      <c r="U584" s="33">
        <v>30.047999999999998</v>
      </c>
      <c r="V584" s="7"/>
      <c r="W584" s="7" t="str">
        <f>VLOOKUP($Q584,Mapping!$E$11:$I$204,3,0)</f>
        <v>Replacement</v>
      </c>
      <c r="X584" s="7" t="str">
        <f>IFERROR(VLOOKUP($S584,Mapping!$E$208:$K$236,5,0),"Contracts")</f>
        <v>Contracts</v>
      </c>
      <c r="Y584" s="7" t="str">
        <f>IFERROR(VLOOKUP($S584,Mapping!$E$208:$K$236,7,0),"ENDirect")</f>
        <v>ENDirect</v>
      </c>
      <c r="Z584" s="7" t="str">
        <f>IFERROR(HLOOKUP(X584,'Calc|Weightings'!$U$5:$W$5,1,0),"Excl")</f>
        <v>Contracts</v>
      </c>
      <c r="AA584" s="7" t="str">
        <f>VLOOKUP(Q584,Mapping!$E$11:$I$204,5,0)</f>
        <v>SCS</v>
      </c>
      <c r="AC584" s="35" t="s">
        <v>186</v>
      </c>
      <c r="AD584" s="35"/>
      <c r="AE584" s="35">
        <v>71000</v>
      </c>
      <c r="AF584" s="35" t="s">
        <v>457</v>
      </c>
      <c r="AG584" s="36">
        <v>792.56799999999998</v>
      </c>
      <c r="AI584" s="7" t="str">
        <f>VLOOKUP($AC584,Mapping!$E$11:$I$204,3,0)</f>
        <v>Replacement</v>
      </c>
      <c r="AJ584" s="7" t="str">
        <f>IFERROR(VLOOKUP($AE584,Mapping!$E$208:$K$236,5,0),"Contracts")</f>
        <v>Labour</v>
      </c>
      <c r="AK584" s="7" t="str">
        <f>IFERROR(VLOOKUP($AE584,Mapping!$E$208:$K$236,7,0),"ENDirect")</f>
        <v>ENDirect</v>
      </c>
      <c r="AL584" s="7" t="str">
        <f>IFERROR(HLOOKUP(AJ584,'Calc|Weightings'!$U$5:$W$5,1,0),"Excl")</f>
        <v>Labour</v>
      </c>
      <c r="AM584" s="7" t="str">
        <f>VLOOKUP(AC584,Mapping!$E$11:$I$204,5,0)</f>
        <v>SCS</v>
      </c>
      <c r="AO584" s="35" t="s">
        <v>182</v>
      </c>
      <c r="AP584" s="35"/>
      <c r="AQ584" s="35">
        <v>83010</v>
      </c>
      <c r="AR584" s="35" t="s">
        <v>591</v>
      </c>
      <c r="AS584" s="121">
        <v>5.9841400000000009</v>
      </c>
      <c r="AU584" s="7" t="str">
        <f>VLOOKUP($AO584,Mapping!$E$11:$I$204,3,0)</f>
        <v>Replacement</v>
      </c>
      <c r="AV584" s="7" t="str">
        <f>IFERROR(VLOOKUP($AQ584,Mapping!$E$208:$K$236,5,0),"Contracts")</f>
        <v>Contracts</v>
      </c>
      <c r="AW584" s="7" t="str">
        <f>IFERROR(VLOOKUP($AQ584,Mapping!$E$208:$K$236,7,0),"ENDirect")</f>
        <v>ENDirect</v>
      </c>
      <c r="AX584" s="7" t="str">
        <f>IFERROR(HLOOKUP(AV584,'Calc|Weightings'!$U$5:$W$5,1,0),"Excl")</f>
        <v>Contracts</v>
      </c>
      <c r="AY584" s="7" t="str">
        <f>VLOOKUP(AO584,Mapping!$E$11:$I$204,5,0)</f>
        <v>SCS</v>
      </c>
    </row>
    <row r="585" spans="1:51" x14ac:dyDescent="0.3">
      <c r="A585" s="7"/>
      <c r="B585" s="7"/>
      <c r="C585" s="7"/>
      <c r="D585" s="7"/>
      <c r="E585" s="32" t="s">
        <v>256</v>
      </c>
      <c r="F585" s="32"/>
      <c r="G585" s="32">
        <v>71000</v>
      </c>
      <c r="H585" s="32" t="s">
        <v>457</v>
      </c>
      <c r="I585" s="33">
        <v>-511.87700000000001</v>
      </c>
      <c r="J585" s="170"/>
      <c r="K585" s="7" t="str">
        <f>VLOOKUP($E585,Mapping!$E$11:$I$204,3,0)</f>
        <v>ACS</v>
      </c>
      <c r="L585" s="7" t="str">
        <f>IFERROR(VLOOKUP($G585,Mapping!$E$208:$K$236,5,0),"Contracts")</f>
        <v>Labour</v>
      </c>
      <c r="M585" s="7" t="str">
        <f>IFERROR(VLOOKUP($G585,Mapping!$E$208:$K$236,7,0),"ENDirect")</f>
        <v>ENDirect</v>
      </c>
      <c r="N585" s="7" t="str">
        <f>IFERROR(HLOOKUP(L585,'Calc|Weightings'!$U$5:$W$5,1,0),"Excl")</f>
        <v>Labour</v>
      </c>
      <c r="O585" s="7" t="str">
        <f>VLOOKUP(E585,Mapping!$E$11:$I$204,5,0)</f>
        <v>ACS</v>
      </c>
      <c r="Q585" s="32" t="s">
        <v>188</v>
      </c>
      <c r="R585" s="32"/>
      <c r="S585" s="32">
        <v>80000</v>
      </c>
      <c r="T585" s="32" t="s">
        <v>453</v>
      </c>
      <c r="U585" s="33">
        <v>20.466000000000001</v>
      </c>
      <c r="V585" s="7"/>
      <c r="W585" s="7" t="str">
        <f>VLOOKUP($Q585,Mapping!$E$11:$I$204,3,0)</f>
        <v>Replacement</v>
      </c>
      <c r="X585" s="7" t="str">
        <f>IFERROR(VLOOKUP($S585,Mapping!$E$208:$K$236,5,0),"Contracts")</f>
        <v>Overhead</v>
      </c>
      <c r="Y585" s="7" t="str">
        <f>IFERROR(VLOOKUP($S585,Mapping!$E$208:$K$236,7,0),"ENDirect")</f>
        <v>OH</v>
      </c>
      <c r="Z585" s="7" t="str">
        <f>IFERROR(HLOOKUP(X585,'Calc|Weightings'!$U$5:$W$5,1,0),"Excl")</f>
        <v>Excl</v>
      </c>
      <c r="AA585" s="7" t="str">
        <f>VLOOKUP(Q585,Mapping!$E$11:$I$204,5,0)</f>
        <v>SCS</v>
      </c>
      <c r="AC585" s="35" t="s">
        <v>186</v>
      </c>
      <c r="AD585" s="35"/>
      <c r="AE585" s="35">
        <v>71005</v>
      </c>
      <c r="AF585" s="35" t="s">
        <v>461</v>
      </c>
      <c r="AG585" s="36">
        <v>95.090999999999994</v>
      </c>
      <c r="AI585" s="7" t="str">
        <f>VLOOKUP($AC585,Mapping!$E$11:$I$204,3,0)</f>
        <v>Replacement</v>
      </c>
      <c r="AJ585" s="7" t="str">
        <f>IFERROR(VLOOKUP($AE585,Mapping!$E$208:$K$236,5,0),"Contracts")</f>
        <v>Materials</v>
      </c>
      <c r="AK585" s="7" t="str">
        <f>IFERROR(VLOOKUP($AE585,Mapping!$E$208:$K$236,7,0),"ENDirect")</f>
        <v>ENDirect</v>
      </c>
      <c r="AL585" s="7" t="str">
        <f>IFERROR(HLOOKUP(AJ585,'Calc|Weightings'!$U$5:$W$5,1,0),"Excl")</f>
        <v>Materials</v>
      </c>
      <c r="AM585" s="7" t="str">
        <f>VLOOKUP(AC585,Mapping!$E$11:$I$204,5,0)</f>
        <v>SCS</v>
      </c>
      <c r="AO585" s="35" t="s">
        <v>182</v>
      </c>
      <c r="AP585" s="35"/>
      <c r="AQ585" s="35">
        <v>70815</v>
      </c>
      <c r="AR585" s="35" t="s">
        <v>594</v>
      </c>
      <c r="AS585" s="121">
        <v>126.9</v>
      </c>
      <c r="AU585" s="7" t="str">
        <f>VLOOKUP($AO585,Mapping!$E$11:$I$204,3,0)</f>
        <v>Replacement</v>
      </c>
      <c r="AV585" s="7" t="str">
        <f>IFERROR(VLOOKUP($AQ585,Mapping!$E$208:$K$236,5,0),"Contracts")</f>
        <v>Materials</v>
      </c>
      <c r="AW585" s="7" t="str">
        <f>IFERROR(VLOOKUP($AQ585,Mapping!$E$208:$K$236,7,0),"ENDirect")</f>
        <v>ENDirect</v>
      </c>
      <c r="AX585" s="7" t="str">
        <f>IFERROR(HLOOKUP(AV585,'Calc|Weightings'!$U$5:$W$5,1,0),"Excl")</f>
        <v>Materials</v>
      </c>
      <c r="AY585" s="7" t="str">
        <f>VLOOKUP(AO585,Mapping!$E$11:$I$204,5,0)</f>
        <v>SCS</v>
      </c>
    </row>
    <row r="586" spans="1:51" x14ac:dyDescent="0.3">
      <c r="A586" s="7"/>
      <c r="B586" s="7"/>
      <c r="C586" s="7"/>
      <c r="D586" s="7"/>
      <c r="E586" s="32" t="s">
        <v>256</v>
      </c>
      <c r="F586" s="32"/>
      <c r="G586" s="32">
        <v>71010</v>
      </c>
      <c r="H586" s="32" t="s">
        <v>462</v>
      </c>
      <c r="I586" s="33">
        <v>-15.938000000000001</v>
      </c>
      <c r="J586" s="170"/>
      <c r="K586" s="7" t="str">
        <f>VLOOKUP($E586,Mapping!$E$11:$I$204,3,0)</f>
        <v>ACS</v>
      </c>
      <c r="L586" s="7" t="str">
        <f>IFERROR(VLOOKUP($G586,Mapping!$E$208:$K$236,5,0),"Contracts")</f>
        <v>Labour</v>
      </c>
      <c r="M586" s="7" t="str">
        <f>IFERROR(VLOOKUP($G586,Mapping!$E$208:$K$236,7,0),"ENDirect")</f>
        <v>ENDirect</v>
      </c>
      <c r="N586" s="7" t="str">
        <f>IFERROR(HLOOKUP(L586,'Calc|Weightings'!$U$5:$W$5,1,0),"Excl")</f>
        <v>Labour</v>
      </c>
      <c r="O586" s="7" t="str">
        <f>VLOOKUP(E586,Mapping!$E$11:$I$204,5,0)</f>
        <v>ACS</v>
      </c>
      <c r="Q586" s="32" t="s">
        <v>189</v>
      </c>
      <c r="R586" s="32"/>
      <c r="S586" s="32">
        <v>71000</v>
      </c>
      <c r="T586" s="32" t="s">
        <v>457</v>
      </c>
      <c r="U586" s="33">
        <v>96.632000000000005</v>
      </c>
      <c r="V586" s="7"/>
      <c r="W586" s="7" t="str">
        <f>VLOOKUP($Q586,Mapping!$E$11:$I$204,3,0)</f>
        <v>Replacement</v>
      </c>
      <c r="X586" s="7" t="str">
        <f>IFERROR(VLOOKUP($S586,Mapping!$E$208:$K$236,5,0),"Contracts")</f>
        <v>Labour</v>
      </c>
      <c r="Y586" s="7" t="str">
        <f>IFERROR(VLOOKUP($S586,Mapping!$E$208:$K$236,7,0),"ENDirect")</f>
        <v>ENDirect</v>
      </c>
      <c r="Z586" s="7" t="str">
        <f>IFERROR(HLOOKUP(X586,'Calc|Weightings'!$U$5:$W$5,1,0),"Excl")</f>
        <v>Labour</v>
      </c>
      <c r="AA586" s="7" t="str">
        <f>VLOOKUP(Q586,Mapping!$E$11:$I$204,5,0)</f>
        <v>SCS</v>
      </c>
      <c r="AC586" s="35" t="s">
        <v>186</v>
      </c>
      <c r="AD586" s="35"/>
      <c r="AE586" s="35">
        <v>71010</v>
      </c>
      <c r="AF586" s="35" t="s">
        <v>462</v>
      </c>
      <c r="AG586" s="36">
        <v>36.707999999999998</v>
      </c>
      <c r="AI586" s="7" t="str">
        <f>VLOOKUP($AC586,Mapping!$E$11:$I$204,3,0)</f>
        <v>Replacement</v>
      </c>
      <c r="AJ586" s="7" t="str">
        <f>IFERROR(VLOOKUP($AE586,Mapping!$E$208:$K$236,5,0),"Contracts")</f>
        <v>Labour</v>
      </c>
      <c r="AK586" s="7" t="str">
        <f>IFERROR(VLOOKUP($AE586,Mapping!$E$208:$K$236,7,0),"ENDirect")</f>
        <v>ENDirect</v>
      </c>
      <c r="AL586" s="7" t="str">
        <f>IFERROR(HLOOKUP(AJ586,'Calc|Weightings'!$U$5:$W$5,1,0),"Excl")</f>
        <v>Labour</v>
      </c>
      <c r="AM586" s="7" t="str">
        <f>VLOOKUP(AC586,Mapping!$E$11:$I$204,5,0)</f>
        <v>SCS</v>
      </c>
      <c r="AO586" s="35" t="s">
        <v>186</v>
      </c>
      <c r="AP586" s="35"/>
      <c r="AQ586" s="35">
        <v>71000</v>
      </c>
      <c r="AR586" s="35" t="s">
        <v>457</v>
      </c>
      <c r="AS586" s="121">
        <v>116.02736000000004</v>
      </c>
      <c r="AU586" s="7" t="str">
        <f>VLOOKUP($AO586,Mapping!$E$11:$I$204,3,0)</f>
        <v>Replacement</v>
      </c>
      <c r="AV586" s="7" t="str">
        <f>IFERROR(VLOOKUP($AQ586,Mapping!$E$208:$K$236,5,0),"Contracts")</f>
        <v>Labour</v>
      </c>
      <c r="AW586" s="7" t="str">
        <f>IFERROR(VLOOKUP($AQ586,Mapping!$E$208:$K$236,7,0),"ENDirect")</f>
        <v>ENDirect</v>
      </c>
      <c r="AX586" s="7" t="str">
        <f>IFERROR(HLOOKUP(AV586,'Calc|Weightings'!$U$5:$W$5,1,0),"Excl")</f>
        <v>Labour</v>
      </c>
      <c r="AY586" s="7" t="str">
        <f>VLOOKUP(AO586,Mapping!$E$11:$I$204,5,0)</f>
        <v>SCS</v>
      </c>
    </row>
    <row r="587" spans="1:51" x14ac:dyDescent="0.3">
      <c r="A587" s="7"/>
      <c r="B587" s="7"/>
      <c r="C587" s="7"/>
      <c r="D587" s="7"/>
      <c r="E587" s="32" t="s">
        <v>256</v>
      </c>
      <c r="F587" s="32"/>
      <c r="G587" s="32">
        <v>71015</v>
      </c>
      <c r="H587" s="32" t="s">
        <v>463</v>
      </c>
      <c r="I587" s="33">
        <v>0.35299999999999998</v>
      </c>
      <c r="J587" s="170"/>
      <c r="K587" s="7" t="str">
        <f>VLOOKUP($E587,Mapping!$E$11:$I$204,3,0)</f>
        <v>ACS</v>
      </c>
      <c r="L587" s="7" t="str">
        <f>IFERROR(VLOOKUP($G587,Mapping!$E$208:$K$236,5,0),"Contracts")</f>
        <v>Materials</v>
      </c>
      <c r="M587" s="7" t="str">
        <f>IFERROR(VLOOKUP($G587,Mapping!$E$208:$K$236,7,0),"ENDirect")</f>
        <v>ENDirect</v>
      </c>
      <c r="N587" s="7" t="str">
        <f>IFERROR(HLOOKUP(L587,'Calc|Weightings'!$U$5:$W$5,1,0),"Excl")</f>
        <v>Materials</v>
      </c>
      <c r="O587" s="7" t="str">
        <f>VLOOKUP(E587,Mapping!$E$11:$I$204,5,0)</f>
        <v>ACS</v>
      </c>
      <c r="Q587" s="32" t="s">
        <v>189</v>
      </c>
      <c r="R587" s="32"/>
      <c r="S587" s="32">
        <v>71005</v>
      </c>
      <c r="T587" s="32" t="s">
        <v>461</v>
      </c>
      <c r="U587" s="33">
        <v>26.161999999999999</v>
      </c>
      <c r="V587" s="7"/>
      <c r="W587" s="7" t="str">
        <f>VLOOKUP($Q587,Mapping!$E$11:$I$204,3,0)</f>
        <v>Replacement</v>
      </c>
      <c r="X587" s="7" t="str">
        <f>IFERROR(VLOOKUP($S587,Mapping!$E$208:$K$236,5,0),"Contracts")</f>
        <v>Materials</v>
      </c>
      <c r="Y587" s="7" t="str">
        <f>IFERROR(VLOOKUP($S587,Mapping!$E$208:$K$236,7,0),"ENDirect")</f>
        <v>ENDirect</v>
      </c>
      <c r="Z587" s="7" t="str">
        <f>IFERROR(HLOOKUP(X587,'Calc|Weightings'!$U$5:$W$5,1,0),"Excl")</f>
        <v>Materials</v>
      </c>
      <c r="AA587" s="7" t="str">
        <f>VLOOKUP(Q587,Mapping!$E$11:$I$204,5,0)</f>
        <v>SCS</v>
      </c>
      <c r="AC587" s="35" t="s">
        <v>186</v>
      </c>
      <c r="AD587" s="35"/>
      <c r="AE587" s="35">
        <v>71015</v>
      </c>
      <c r="AF587" s="35" t="s">
        <v>463</v>
      </c>
      <c r="AG587" s="36">
        <v>175.07900000000001</v>
      </c>
      <c r="AI587" s="7" t="str">
        <f>VLOOKUP($AC587,Mapping!$E$11:$I$204,3,0)</f>
        <v>Replacement</v>
      </c>
      <c r="AJ587" s="7" t="str">
        <f>IFERROR(VLOOKUP($AE587,Mapping!$E$208:$K$236,5,0),"Contracts")</f>
        <v>Materials</v>
      </c>
      <c r="AK587" s="7" t="str">
        <f>IFERROR(VLOOKUP($AE587,Mapping!$E$208:$K$236,7,0),"ENDirect")</f>
        <v>ENDirect</v>
      </c>
      <c r="AL587" s="7" t="str">
        <f>IFERROR(HLOOKUP(AJ587,'Calc|Weightings'!$U$5:$W$5,1,0),"Excl")</f>
        <v>Materials</v>
      </c>
      <c r="AM587" s="7" t="str">
        <f>VLOOKUP(AC587,Mapping!$E$11:$I$204,5,0)</f>
        <v>SCS</v>
      </c>
      <c r="AO587" s="35" t="s">
        <v>186</v>
      </c>
      <c r="AP587" s="35"/>
      <c r="AQ587" s="35">
        <v>71005</v>
      </c>
      <c r="AR587" s="35" t="s">
        <v>461</v>
      </c>
      <c r="AS587" s="121">
        <v>7.3091600000000021</v>
      </c>
      <c r="AU587" s="7" t="str">
        <f>VLOOKUP($AO587,Mapping!$E$11:$I$204,3,0)</f>
        <v>Replacement</v>
      </c>
      <c r="AV587" s="7" t="str">
        <f>IFERROR(VLOOKUP($AQ587,Mapping!$E$208:$K$236,5,0),"Contracts")</f>
        <v>Materials</v>
      </c>
      <c r="AW587" s="7" t="str">
        <f>IFERROR(VLOOKUP($AQ587,Mapping!$E$208:$K$236,7,0),"ENDirect")</f>
        <v>ENDirect</v>
      </c>
      <c r="AX587" s="7" t="str">
        <f>IFERROR(HLOOKUP(AV587,'Calc|Weightings'!$U$5:$W$5,1,0),"Excl")</f>
        <v>Materials</v>
      </c>
      <c r="AY587" s="7" t="str">
        <f>VLOOKUP(AO587,Mapping!$E$11:$I$204,5,0)</f>
        <v>SCS</v>
      </c>
    </row>
    <row r="588" spans="1:51" x14ac:dyDescent="0.3">
      <c r="A588" s="7"/>
      <c r="B588" s="7"/>
      <c r="C588" s="7"/>
      <c r="D588" s="7"/>
      <c r="E588" s="32" t="s">
        <v>256</v>
      </c>
      <c r="F588" s="32"/>
      <c r="G588" s="32">
        <v>71030</v>
      </c>
      <c r="H588" s="32" t="s">
        <v>464</v>
      </c>
      <c r="I588" s="33">
        <v>2.5019999999999998</v>
      </c>
      <c r="J588" s="170"/>
      <c r="K588" s="7" t="str">
        <f>VLOOKUP($E588,Mapping!$E$11:$I$204,3,0)</f>
        <v>ACS</v>
      </c>
      <c r="L588" s="7" t="str">
        <f>IFERROR(VLOOKUP($G588,Mapping!$E$208:$K$236,5,0),"Contracts")</f>
        <v>Contracts</v>
      </c>
      <c r="M588" s="7" t="str">
        <f>IFERROR(VLOOKUP($G588,Mapping!$E$208:$K$236,7,0),"ENDirect")</f>
        <v>ENDirect</v>
      </c>
      <c r="N588" s="7" t="str">
        <f>IFERROR(HLOOKUP(L588,'Calc|Weightings'!$U$5:$W$5,1,0),"Excl")</f>
        <v>Contracts</v>
      </c>
      <c r="O588" s="7" t="str">
        <f>VLOOKUP(E588,Mapping!$E$11:$I$204,5,0)</f>
        <v>ACS</v>
      </c>
      <c r="Q588" s="32" t="s">
        <v>189</v>
      </c>
      <c r="R588" s="32"/>
      <c r="S588" s="32">
        <v>71010</v>
      </c>
      <c r="T588" s="32" t="s">
        <v>462</v>
      </c>
      <c r="U588" s="33">
        <v>62.061</v>
      </c>
      <c r="V588" s="7"/>
      <c r="W588" s="7" t="str">
        <f>VLOOKUP($Q588,Mapping!$E$11:$I$204,3,0)</f>
        <v>Replacement</v>
      </c>
      <c r="X588" s="7" t="str">
        <f>IFERROR(VLOOKUP($S588,Mapping!$E$208:$K$236,5,0),"Contracts")</f>
        <v>Labour</v>
      </c>
      <c r="Y588" s="7" t="str">
        <f>IFERROR(VLOOKUP($S588,Mapping!$E$208:$K$236,7,0),"ENDirect")</f>
        <v>ENDirect</v>
      </c>
      <c r="Z588" s="7" t="str">
        <f>IFERROR(HLOOKUP(X588,'Calc|Weightings'!$U$5:$W$5,1,0),"Excl")</f>
        <v>Labour</v>
      </c>
      <c r="AA588" s="7" t="str">
        <f>VLOOKUP(Q588,Mapping!$E$11:$I$204,5,0)</f>
        <v>SCS</v>
      </c>
      <c r="AC588" s="35" t="s">
        <v>186</v>
      </c>
      <c r="AD588" s="35"/>
      <c r="AE588" s="35">
        <v>71020</v>
      </c>
      <c r="AF588" s="35" t="s">
        <v>459</v>
      </c>
      <c r="AG588" s="36">
        <v>0</v>
      </c>
      <c r="AI588" s="7" t="str">
        <f>VLOOKUP($AC588,Mapping!$E$11:$I$204,3,0)</f>
        <v>Replacement</v>
      </c>
      <c r="AJ588" s="7" t="str">
        <f>IFERROR(VLOOKUP($AE588,Mapping!$E$208:$K$236,5,0),"Contracts")</f>
        <v>Contracts</v>
      </c>
      <c r="AK588" s="7" t="str">
        <f>IFERROR(VLOOKUP($AE588,Mapping!$E$208:$K$236,7,0),"ENDirect")</f>
        <v>ENDirect</v>
      </c>
      <c r="AL588" s="7" t="str">
        <f>IFERROR(HLOOKUP(AJ588,'Calc|Weightings'!$U$5:$W$5,1,0),"Excl")</f>
        <v>Contracts</v>
      </c>
      <c r="AM588" s="7" t="str">
        <f>VLOOKUP(AC588,Mapping!$E$11:$I$204,5,0)</f>
        <v>SCS</v>
      </c>
      <c r="AO588" s="35" t="s">
        <v>186</v>
      </c>
      <c r="AP588" s="35"/>
      <c r="AQ588" s="35">
        <v>71010</v>
      </c>
      <c r="AR588" s="35" t="s">
        <v>487</v>
      </c>
      <c r="AS588" s="121">
        <v>-1.0779199999999995</v>
      </c>
      <c r="AU588" s="7" t="str">
        <f>VLOOKUP($AO588,Mapping!$E$11:$I$204,3,0)</f>
        <v>Replacement</v>
      </c>
      <c r="AV588" s="7" t="str">
        <f>IFERROR(VLOOKUP($AQ588,Mapping!$E$208:$K$236,5,0),"Contracts")</f>
        <v>Labour</v>
      </c>
      <c r="AW588" s="7" t="str">
        <f>IFERROR(VLOOKUP($AQ588,Mapping!$E$208:$K$236,7,0),"ENDirect")</f>
        <v>ENDirect</v>
      </c>
      <c r="AX588" s="7" t="str">
        <f>IFERROR(HLOOKUP(AV588,'Calc|Weightings'!$U$5:$W$5,1,0),"Excl")</f>
        <v>Labour</v>
      </c>
      <c r="AY588" s="7" t="str">
        <f>VLOOKUP(AO588,Mapping!$E$11:$I$204,5,0)</f>
        <v>SCS</v>
      </c>
    </row>
    <row r="589" spans="1:51" x14ac:dyDescent="0.3">
      <c r="A589" s="7"/>
      <c r="B589" s="7"/>
      <c r="C589" s="7"/>
      <c r="D589" s="7"/>
      <c r="E589" s="32" t="s">
        <v>256</v>
      </c>
      <c r="F589" s="32"/>
      <c r="G589" s="32">
        <v>80000</v>
      </c>
      <c r="H589" s="32" t="s">
        <v>453</v>
      </c>
      <c r="I589" s="33">
        <v>3.0830000000000002</v>
      </c>
      <c r="J589" s="170"/>
      <c r="K589" s="7" t="str">
        <f>VLOOKUP($E589,Mapping!$E$11:$I$204,3,0)</f>
        <v>ACS</v>
      </c>
      <c r="L589" s="7" t="str">
        <f>IFERROR(VLOOKUP($G589,Mapping!$E$208:$K$236,5,0),"Contracts")</f>
        <v>Overhead</v>
      </c>
      <c r="M589" s="7" t="str">
        <f>IFERROR(VLOOKUP($G589,Mapping!$E$208:$K$236,7,0),"ENDirect")</f>
        <v>OH</v>
      </c>
      <c r="N589" s="7" t="str">
        <f>IFERROR(HLOOKUP(L589,'Calc|Weightings'!$U$5:$W$5,1,0),"Excl")</f>
        <v>Excl</v>
      </c>
      <c r="O589" s="7" t="str">
        <f>VLOOKUP(E589,Mapping!$E$11:$I$204,5,0)</f>
        <v>ACS</v>
      </c>
      <c r="Q589" s="32" t="s">
        <v>189</v>
      </c>
      <c r="R589" s="32"/>
      <c r="S589" s="32">
        <v>71015</v>
      </c>
      <c r="T589" s="32" t="s">
        <v>463</v>
      </c>
      <c r="U589" s="33">
        <v>20.707999999999998</v>
      </c>
      <c r="V589" s="7"/>
      <c r="W589" s="7" t="str">
        <f>VLOOKUP($Q589,Mapping!$E$11:$I$204,3,0)</f>
        <v>Replacement</v>
      </c>
      <c r="X589" s="7" t="str">
        <f>IFERROR(VLOOKUP($S589,Mapping!$E$208:$K$236,5,0),"Contracts")</f>
        <v>Materials</v>
      </c>
      <c r="Y589" s="7" t="str">
        <f>IFERROR(VLOOKUP($S589,Mapping!$E$208:$K$236,7,0),"ENDirect")</f>
        <v>ENDirect</v>
      </c>
      <c r="Z589" s="7" t="str">
        <f>IFERROR(HLOOKUP(X589,'Calc|Weightings'!$U$5:$W$5,1,0),"Excl")</f>
        <v>Materials</v>
      </c>
      <c r="AA589" s="7" t="str">
        <f>VLOOKUP(Q589,Mapping!$E$11:$I$204,5,0)</f>
        <v>SCS</v>
      </c>
      <c r="AC589" s="35" t="s">
        <v>186</v>
      </c>
      <c r="AD589" s="35"/>
      <c r="AE589" s="35">
        <v>71030</v>
      </c>
      <c r="AF589" s="35" t="s">
        <v>464</v>
      </c>
      <c r="AG589" s="36">
        <v>88.59</v>
      </c>
      <c r="AI589" s="7" t="str">
        <f>VLOOKUP($AC589,Mapping!$E$11:$I$204,3,0)</f>
        <v>Replacement</v>
      </c>
      <c r="AJ589" s="7" t="str">
        <f>IFERROR(VLOOKUP($AE589,Mapping!$E$208:$K$236,5,0),"Contracts")</f>
        <v>Contracts</v>
      </c>
      <c r="AK589" s="7" t="str">
        <f>IFERROR(VLOOKUP($AE589,Mapping!$E$208:$K$236,7,0),"ENDirect")</f>
        <v>ENDirect</v>
      </c>
      <c r="AL589" s="7" t="str">
        <f>IFERROR(HLOOKUP(AJ589,'Calc|Weightings'!$U$5:$W$5,1,0),"Excl")</f>
        <v>Contracts</v>
      </c>
      <c r="AM589" s="7" t="str">
        <f>VLOOKUP(AC589,Mapping!$E$11:$I$204,5,0)</f>
        <v>SCS</v>
      </c>
      <c r="AO589" s="35" t="s">
        <v>186</v>
      </c>
      <c r="AP589" s="35"/>
      <c r="AQ589" s="35">
        <v>71015</v>
      </c>
      <c r="AR589" s="35" t="s">
        <v>585</v>
      </c>
      <c r="AS589" s="121">
        <v>14.965580000000001</v>
      </c>
      <c r="AU589" s="7" t="str">
        <f>VLOOKUP($AO589,Mapping!$E$11:$I$204,3,0)</f>
        <v>Replacement</v>
      </c>
      <c r="AV589" s="7" t="str">
        <f>IFERROR(VLOOKUP($AQ589,Mapping!$E$208:$K$236,5,0),"Contracts")</f>
        <v>Materials</v>
      </c>
      <c r="AW589" s="7" t="str">
        <f>IFERROR(VLOOKUP($AQ589,Mapping!$E$208:$K$236,7,0),"ENDirect")</f>
        <v>ENDirect</v>
      </c>
      <c r="AX589" s="7" t="str">
        <f>IFERROR(HLOOKUP(AV589,'Calc|Weightings'!$U$5:$W$5,1,0),"Excl")</f>
        <v>Materials</v>
      </c>
      <c r="AY589" s="7" t="str">
        <f>VLOOKUP(AO589,Mapping!$E$11:$I$204,5,0)</f>
        <v>SCS</v>
      </c>
    </row>
    <row r="590" spans="1:51" x14ac:dyDescent="0.3">
      <c r="A590" s="7"/>
      <c r="B590" s="7"/>
      <c r="C590" s="7"/>
      <c r="D590" s="7"/>
      <c r="E590" s="32" t="s">
        <v>156</v>
      </c>
      <c r="F590" s="32"/>
      <c r="G590" s="32">
        <v>71000</v>
      </c>
      <c r="H590" s="32" t="s">
        <v>457</v>
      </c>
      <c r="I590" s="33">
        <v>132.60400000000001</v>
      </c>
      <c r="J590" s="170"/>
      <c r="K590" s="7" t="str">
        <f>VLOOKUP($E590,Mapping!$E$11:$I$204,3,0)</f>
        <v>VBRC</v>
      </c>
      <c r="L590" s="7" t="str">
        <f>IFERROR(VLOOKUP($G590,Mapping!$E$208:$K$236,5,0),"Contracts")</f>
        <v>Labour</v>
      </c>
      <c r="M590" s="7" t="str">
        <f>IFERROR(VLOOKUP($G590,Mapping!$E$208:$K$236,7,0),"ENDirect")</f>
        <v>ENDirect</v>
      </c>
      <c r="N590" s="7" t="str">
        <f>IFERROR(HLOOKUP(L590,'Calc|Weightings'!$U$5:$W$5,1,0),"Excl")</f>
        <v>Labour</v>
      </c>
      <c r="O590" s="7" t="str">
        <f>VLOOKUP(E590,Mapping!$E$11:$I$204,5,0)</f>
        <v>SCS</v>
      </c>
      <c r="Q590" s="32" t="s">
        <v>189</v>
      </c>
      <c r="R590" s="32"/>
      <c r="S590" s="32">
        <v>71020</v>
      </c>
      <c r="T590" s="32" t="s">
        <v>459</v>
      </c>
      <c r="U590" s="33">
        <v>9.2769999999999992</v>
      </c>
      <c r="V590" s="7"/>
      <c r="W590" s="7" t="str">
        <f>VLOOKUP($Q590,Mapping!$E$11:$I$204,3,0)</f>
        <v>Replacement</v>
      </c>
      <c r="X590" s="7" t="str">
        <f>IFERROR(VLOOKUP($S590,Mapping!$E$208:$K$236,5,0),"Contracts")</f>
        <v>Contracts</v>
      </c>
      <c r="Y590" s="7" t="str">
        <f>IFERROR(VLOOKUP($S590,Mapping!$E$208:$K$236,7,0),"ENDirect")</f>
        <v>ENDirect</v>
      </c>
      <c r="Z590" s="7" t="str">
        <f>IFERROR(HLOOKUP(X590,'Calc|Weightings'!$U$5:$W$5,1,0),"Excl")</f>
        <v>Contracts</v>
      </c>
      <c r="AA590" s="7" t="str">
        <f>VLOOKUP(Q590,Mapping!$E$11:$I$204,5,0)</f>
        <v>SCS</v>
      </c>
      <c r="AC590" s="35" t="s">
        <v>186</v>
      </c>
      <c r="AD590" s="35"/>
      <c r="AE590" s="35">
        <v>71055</v>
      </c>
      <c r="AF590" s="35" t="s">
        <v>465</v>
      </c>
      <c r="AG590" s="36">
        <v>178.62200000000001</v>
      </c>
      <c r="AI590" s="7" t="str">
        <f>VLOOKUP($AC590,Mapping!$E$11:$I$204,3,0)</f>
        <v>Replacement</v>
      </c>
      <c r="AJ590" s="7" t="str">
        <f>IFERROR(VLOOKUP($AE590,Mapping!$E$208:$K$236,5,0),"Contracts")</f>
        <v>Contracts</v>
      </c>
      <c r="AK590" s="7" t="str">
        <f>IFERROR(VLOOKUP($AE590,Mapping!$E$208:$K$236,7,0),"ENDirect")</f>
        <v>ENDirect</v>
      </c>
      <c r="AL590" s="7" t="str">
        <f>IFERROR(HLOOKUP(AJ590,'Calc|Weightings'!$U$5:$W$5,1,0),"Excl")</f>
        <v>Contracts</v>
      </c>
      <c r="AM590" s="7" t="str">
        <f>VLOOKUP(AC590,Mapping!$E$11:$I$204,5,0)</f>
        <v>SCS</v>
      </c>
      <c r="AO590" s="35" t="s">
        <v>186</v>
      </c>
      <c r="AP590" s="35"/>
      <c r="AQ590" s="35">
        <v>71030</v>
      </c>
      <c r="AR590" s="35" t="s">
        <v>464</v>
      </c>
      <c r="AS590" s="121">
        <v>11.321489999999997</v>
      </c>
      <c r="AU590" s="7" t="str">
        <f>VLOOKUP($AO590,Mapping!$E$11:$I$204,3,0)</f>
        <v>Replacement</v>
      </c>
      <c r="AV590" s="7" t="str">
        <f>IFERROR(VLOOKUP($AQ590,Mapping!$E$208:$K$236,5,0),"Contracts")</f>
        <v>Contracts</v>
      </c>
      <c r="AW590" s="7" t="str">
        <f>IFERROR(VLOOKUP($AQ590,Mapping!$E$208:$K$236,7,0),"ENDirect")</f>
        <v>ENDirect</v>
      </c>
      <c r="AX590" s="7" t="str">
        <f>IFERROR(HLOOKUP(AV590,'Calc|Weightings'!$U$5:$W$5,1,0),"Excl")</f>
        <v>Contracts</v>
      </c>
      <c r="AY590" s="7" t="str">
        <f>VLOOKUP(AO590,Mapping!$E$11:$I$204,5,0)</f>
        <v>SCS</v>
      </c>
    </row>
    <row r="591" spans="1:51" x14ac:dyDescent="0.3">
      <c r="A591" s="7"/>
      <c r="B591" s="7"/>
      <c r="C591" s="7"/>
      <c r="D591" s="7"/>
      <c r="E591" s="32" t="s">
        <v>156</v>
      </c>
      <c r="F591" s="32"/>
      <c r="G591" s="32">
        <v>71015</v>
      </c>
      <c r="H591" s="32" t="s">
        <v>463</v>
      </c>
      <c r="I591" s="33">
        <v>33.308999999999997</v>
      </c>
      <c r="J591" s="170"/>
      <c r="K591" s="7" t="str">
        <f>VLOOKUP($E591,Mapping!$E$11:$I$204,3,0)</f>
        <v>VBRC</v>
      </c>
      <c r="L591" s="7" t="str">
        <f>IFERROR(VLOOKUP($G591,Mapping!$E$208:$K$236,5,0),"Contracts")</f>
        <v>Materials</v>
      </c>
      <c r="M591" s="7" t="str">
        <f>IFERROR(VLOOKUP($G591,Mapping!$E$208:$K$236,7,0),"ENDirect")</f>
        <v>ENDirect</v>
      </c>
      <c r="N591" s="7" t="str">
        <f>IFERROR(HLOOKUP(L591,'Calc|Weightings'!$U$5:$W$5,1,0),"Excl")</f>
        <v>Materials</v>
      </c>
      <c r="O591" s="7" t="str">
        <f>VLOOKUP(E591,Mapping!$E$11:$I$204,5,0)</f>
        <v>SCS</v>
      </c>
      <c r="Q591" s="32" t="s">
        <v>189</v>
      </c>
      <c r="R591" s="32"/>
      <c r="S591" s="32">
        <v>71030</v>
      </c>
      <c r="T591" s="32" t="s">
        <v>464</v>
      </c>
      <c r="U591" s="33">
        <v>15.38</v>
      </c>
      <c r="V591" s="7"/>
      <c r="W591" s="7" t="str">
        <f>VLOOKUP($Q591,Mapping!$E$11:$I$204,3,0)</f>
        <v>Replacement</v>
      </c>
      <c r="X591" s="7" t="str">
        <f>IFERROR(VLOOKUP($S591,Mapping!$E$208:$K$236,5,0),"Contracts")</f>
        <v>Contracts</v>
      </c>
      <c r="Y591" s="7" t="str">
        <f>IFERROR(VLOOKUP($S591,Mapping!$E$208:$K$236,7,0),"ENDirect")</f>
        <v>ENDirect</v>
      </c>
      <c r="Z591" s="7" t="str">
        <f>IFERROR(HLOOKUP(X591,'Calc|Weightings'!$U$5:$W$5,1,0),"Excl")</f>
        <v>Contracts</v>
      </c>
      <c r="AA591" s="7" t="str">
        <f>VLOOKUP(Q591,Mapping!$E$11:$I$204,5,0)</f>
        <v>SCS</v>
      </c>
      <c r="AC591" s="35" t="s">
        <v>186</v>
      </c>
      <c r="AD591" s="35"/>
      <c r="AE591" s="35">
        <v>80000</v>
      </c>
      <c r="AF591" s="35" t="s">
        <v>453</v>
      </c>
      <c r="AG591" s="36">
        <v>188.38200000000001</v>
      </c>
      <c r="AI591" s="7" t="str">
        <f>VLOOKUP($AC591,Mapping!$E$11:$I$204,3,0)</f>
        <v>Replacement</v>
      </c>
      <c r="AJ591" s="7" t="str">
        <f>IFERROR(VLOOKUP($AE591,Mapping!$E$208:$K$236,5,0),"Contracts")</f>
        <v>Overhead</v>
      </c>
      <c r="AK591" s="7" t="str">
        <f>IFERROR(VLOOKUP($AE591,Mapping!$E$208:$K$236,7,0),"ENDirect")</f>
        <v>OH</v>
      </c>
      <c r="AL591" s="7" t="str">
        <f>IFERROR(HLOOKUP(AJ591,'Calc|Weightings'!$U$5:$W$5,1,0),"Excl")</f>
        <v>Excl</v>
      </c>
      <c r="AM591" s="7" t="str">
        <f>VLOOKUP(AC591,Mapping!$E$11:$I$204,5,0)</f>
        <v>SCS</v>
      </c>
      <c r="AO591" s="35" t="s">
        <v>186</v>
      </c>
      <c r="AP591" s="35"/>
      <c r="AQ591" s="35">
        <v>71055</v>
      </c>
      <c r="AR591" s="35" t="s">
        <v>465</v>
      </c>
      <c r="AS591" s="121">
        <v>24.510380000000005</v>
      </c>
      <c r="AU591" s="7" t="str">
        <f>VLOOKUP($AO591,Mapping!$E$11:$I$204,3,0)</f>
        <v>Replacement</v>
      </c>
      <c r="AV591" s="7" t="str">
        <f>IFERROR(VLOOKUP($AQ591,Mapping!$E$208:$K$236,5,0),"Contracts")</f>
        <v>Contracts</v>
      </c>
      <c r="AW591" s="7" t="str">
        <f>IFERROR(VLOOKUP($AQ591,Mapping!$E$208:$K$236,7,0),"ENDirect")</f>
        <v>ENDirect</v>
      </c>
      <c r="AX591" s="7" t="str">
        <f>IFERROR(HLOOKUP(AV591,'Calc|Weightings'!$U$5:$W$5,1,0),"Excl")</f>
        <v>Contracts</v>
      </c>
      <c r="AY591" s="7" t="str">
        <f>VLOOKUP(AO591,Mapping!$E$11:$I$204,5,0)</f>
        <v>SCS</v>
      </c>
    </row>
    <row r="592" spans="1:51" x14ac:dyDescent="0.3">
      <c r="A592" s="7"/>
      <c r="B592" s="7"/>
      <c r="C592" s="7"/>
      <c r="D592" s="7"/>
      <c r="E592" s="32" t="s">
        <v>156</v>
      </c>
      <c r="F592" s="32"/>
      <c r="G592" s="32">
        <v>71030</v>
      </c>
      <c r="H592" s="32" t="s">
        <v>464</v>
      </c>
      <c r="I592" s="33">
        <v>20.617000000000001</v>
      </c>
      <c r="J592" s="170"/>
      <c r="K592" s="7" t="str">
        <f>VLOOKUP($E592,Mapping!$E$11:$I$204,3,0)</f>
        <v>VBRC</v>
      </c>
      <c r="L592" s="7" t="str">
        <f>IFERROR(VLOOKUP($G592,Mapping!$E$208:$K$236,5,0),"Contracts")</f>
        <v>Contracts</v>
      </c>
      <c r="M592" s="7" t="str">
        <f>IFERROR(VLOOKUP($G592,Mapping!$E$208:$K$236,7,0),"ENDirect")</f>
        <v>ENDirect</v>
      </c>
      <c r="N592" s="7" t="str">
        <f>IFERROR(HLOOKUP(L592,'Calc|Weightings'!$U$5:$W$5,1,0),"Excl")</f>
        <v>Contracts</v>
      </c>
      <c r="O592" s="7" t="str">
        <f>VLOOKUP(E592,Mapping!$E$11:$I$204,5,0)</f>
        <v>SCS</v>
      </c>
      <c r="Q592" s="32" t="s">
        <v>189</v>
      </c>
      <c r="R592" s="32"/>
      <c r="S592" s="32">
        <v>71055</v>
      </c>
      <c r="T592" s="32" t="s">
        <v>465</v>
      </c>
      <c r="U592" s="33">
        <v>22.06</v>
      </c>
      <c r="V592" s="7"/>
      <c r="W592" s="7" t="str">
        <f>VLOOKUP($Q592,Mapping!$E$11:$I$204,3,0)</f>
        <v>Replacement</v>
      </c>
      <c r="X592" s="7" t="str">
        <f>IFERROR(VLOOKUP($S592,Mapping!$E$208:$K$236,5,0),"Contracts")</f>
        <v>Contracts</v>
      </c>
      <c r="Y592" s="7" t="str">
        <f>IFERROR(VLOOKUP($S592,Mapping!$E$208:$K$236,7,0),"ENDirect")</f>
        <v>ENDirect</v>
      </c>
      <c r="Z592" s="7" t="str">
        <f>IFERROR(HLOOKUP(X592,'Calc|Weightings'!$U$5:$W$5,1,0),"Excl")</f>
        <v>Contracts</v>
      </c>
      <c r="AA592" s="7" t="str">
        <f>VLOOKUP(Q592,Mapping!$E$11:$I$204,5,0)</f>
        <v>SCS</v>
      </c>
      <c r="AC592" s="35" t="s">
        <v>187</v>
      </c>
      <c r="AD592" s="35"/>
      <c r="AE592" s="35">
        <v>71000</v>
      </c>
      <c r="AF592" s="35" t="s">
        <v>457</v>
      </c>
      <c r="AG592" s="36">
        <v>64.623000000000005</v>
      </c>
      <c r="AI592" s="7" t="str">
        <f>VLOOKUP($AC592,Mapping!$E$11:$I$204,3,0)</f>
        <v>Replacement</v>
      </c>
      <c r="AJ592" s="7" t="str">
        <f>IFERROR(VLOOKUP($AE592,Mapping!$E$208:$K$236,5,0),"Contracts")</f>
        <v>Labour</v>
      </c>
      <c r="AK592" s="7" t="str">
        <f>IFERROR(VLOOKUP($AE592,Mapping!$E$208:$K$236,7,0),"ENDirect")</f>
        <v>ENDirect</v>
      </c>
      <c r="AL592" s="7" t="str">
        <f>IFERROR(HLOOKUP(AJ592,'Calc|Weightings'!$U$5:$W$5,1,0),"Excl")</f>
        <v>Labour</v>
      </c>
      <c r="AM592" s="7" t="str">
        <f>VLOOKUP(AC592,Mapping!$E$11:$I$204,5,0)</f>
        <v>SCS</v>
      </c>
      <c r="AO592" s="35" t="s">
        <v>186</v>
      </c>
      <c r="AP592" s="35"/>
      <c r="AQ592" s="35">
        <v>71070</v>
      </c>
      <c r="AR592" s="35" t="s">
        <v>586</v>
      </c>
      <c r="AS592" s="121">
        <v>15.423999999999999</v>
      </c>
      <c r="AU592" s="7" t="str">
        <f>VLOOKUP($AO592,Mapping!$E$11:$I$204,3,0)</f>
        <v>Replacement</v>
      </c>
      <c r="AV592" s="7" t="str">
        <f>IFERROR(VLOOKUP($AQ592,Mapping!$E$208:$K$236,5,0),"Contracts")</f>
        <v>Contracts</v>
      </c>
      <c r="AW592" s="7" t="str">
        <f>IFERROR(VLOOKUP($AQ592,Mapping!$E$208:$K$236,7,0),"ENDirect")</f>
        <v>ENDirect</v>
      </c>
      <c r="AX592" s="7" t="str">
        <f>IFERROR(HLOOKUP(AV592,'Calc|Weightings'!$U$5:$W$5,1,0),"Excl")</f>
        <v>Contracts</v>
      </c>
      <c r="AY592" s="7" t="str">
        <f>VLOOKUP(AO592,Mapping!$E$11:$I$204,5,0)</f>
        <v>SCS</v>
      </c>
    </row>
    <row r="593" spans="1:51" x14ac:dyDescent="0.3">
      <c r="A593" s="7"/>
      <c r="B593" s="7"/>
      <c r="C593" s="7"/>
      <c r="D593" s="7"/>
      <c r="E593" s="32" t="s">
        <v>156</v>
      </c>
      <c r="F593" s="32"/>
      <c r="G593" s="32">
        <v>71055</v>
      </c>
      <c r="H593" s="32" t="s">
        <v>465</v>
      </c>
      <c r="I593" s="33">
        <v>33.520000000000003</v>
      </c>
      <c r="J593" s="170"/>
      <c r="K593" s="7" t="str">
        <f>VLOOKUP($E593,Mapping!$E$11:$I$204,3,0)</f>
        <v>VBRC</v>
      </c>
      <c r="L593" s="7" t="str">
        <f>IFERROR(VLOOKUP($G593,Mapping!$E$208:$K$236,5,0),"Contracts")</f>
        <v>Contracts</v>
      </c>
      <c r="M593" s="7" t="str">
        <f>IFERROR(VLOOKUP($G593,Mapping!$E$208:$K$236,7,0),"ENDirect")</f>
        <v>ENDirect</v>
      </c>
      <c r="N593" s="7" t="str">
        <f>IFERROR(HLOOKUP(L593,'Calc|Weightings'!$U$5:$W$5,1,0),"Excl")</f>
        <v>Contracts</v>
      </c>
      <c r="O593" s="7" t="str">
        <f>VLOOKUP(E593,Mapping!$E$11:$I$204,5,0)</f>
        <v>SCS</v>
      </c>
      <c r="Q593" s="32" t="s">
        <v>189</v>
      </c>
      <c r="R593" s="32"/>
      <c r="S593" s="32">
        <v>80000</v>
      </c>
      <c r="T593" s="32" t="s">
        <v>453</v>
      </c>
      <c r="U593" s="33">
        <v>32.624000000000002</v>
      </c>
      <c r="V593" s="7"/>
      <c r="W593" s="7" t="str">
        <f>VLOOKUP($Q593,Mapping!$E$11:$I$204,3,0)</f>
        <v>Replacement</v>
      </c>
      <c r="X593" s="7" t="str">
        <f>IFERROR(VLOOKUP($S593,Mapping!$E$208:$K$236,5,0),"Contracts")</f>
        <v>Overhead</v>
      </c>
      <c r="Y593" s="7" t="str">
        <f>IFERROR(VLOOKUP($S593,Mapping!$E$208:$K$236,7,0),"ENDirect")</f>
        <v>OH</v>
      </c>
      <c r="Z593" s="7" t="str">
        <f>IFERROR(HLOOKUP(X593,'Calc|Weightings'!$U$5:$W$5,1,0),"Excl")</f>
        <v>Excl</v>
      </c>
      <c r="AA593" s="7" t="str">
        <f>VLOOKUP(Q593,Mapping!$E$11:$I$204,5,0)</f>
        <v>SCS</v>
      </c>
      <c r="AC593" s="35" t="s">
        <v>187</v>
      </c>
      <c r="AD593" s="35"/>
      <c r="AE593" s="35">
        <v>71005</v>
      </c>
      <c r="AF593" s="35" t="s">
        <v>461</v>
      </c>
      <c r="AG593" s="36">
        <v>1.296</v>
      </c>
      <c r="AI593" s="7" t="str">
        <f>VLOOKUP($AC593,Mapping!$E$11:$I$204,3,0)</f>
        <v>Replacement</v>
      </c>
      <c r="AJ593" s="7" t="str">
        <f>IFERROR(VLOOKUP($AE593,Mapping!$E$208:$K$236,5,0),"Contracts")</f>
        <v>Materials</v>
      </c>
      <c r="AK593" s="7" t="str">
        <f>IFERROR(VLOOKUP($AE593,Mapping!$E$208:$K$236,7,0),"ENDirect")</f>
        <v>ENDirect</v>
      </c>
      <c r="AL593" s="7" t="str">
        <f>IFERROR(HLOOKUP(AJ593,'Calc|Weightings'!$U$5:$W$5,1,0),"Excl")</f>
        <v>Materials</v>
      </c>
      <c r="AM593" s="7" t="str">
        <f>VLOOKUP(AC593,Mapping!$E$11:$I$204,5,0)</f>
        <v>SCS</v>
      </c>
      <c r="AO593" s="35" t="s">
        <v>186</v>
      </c>
      <c r="AP593" s="35"/>
      <c r="AQ593" s="35">
        <v>71075</v>
      </c>
      <c r="AR593" s="35" t="s">
        <v>587</v>
      </c>
      <c r="AS593" s="121">
        <v>122.54129000000002</v>
      </c>
      <c r="AU593" s="7" t="str">
        <f>VLOOKUP($AO593,Mapping!$E$11:$I$204,3,0)</f>
        <v>Replacement</v>
      </c>
      <c r="AV593" s="7" t="str">
        <f>IFERROR(VLOOKUP($AQ593,Mapping!$E$208:$K$236,5,0),"Contracts")</f>
        <v>Contracts</v>
      </c>
      <c r="AW593" s="7" t="str">
        <f>IFERROR(VLOOKUP($AQ593,Mapping!$E$208:$K$236,7,0),"ENDirect")</f>
        <v>ENDirect</v>
      </c>
      <c r="AX593" s="7" t="str">
        <f>IFERROR(HLOOKUP(AV593,'Calc|Weightings'!$U$5:$W$5,1,0),"Excl")</f>
        <v>Contracts</v>
      </c>
      <c r="AY593" s="7" t="str">
        <f>VLOOKUP(AO593,Mapping!$E$11:$I$204,5,0)</f>
        <v>SCS</v>
      </c>
    </row>
    <row r="594" spans="1:51" x14ac:dyDescent="0.3">
      <c r="A594" s="7"/>
      <c r="B594" s="7"/>
      <c r="C594" s="7"/>
      <c r="D594" s="7"/>
      <c r="E594" s="32" t="s">
        <v>156</v>
      </c>
      <c r="F594" s="32"/>
      <c r="G594" s="32">
        <v>80000</v>
      </c>
      <c r="H594" s="32" t="s">
        <v>453</v>
      </c>
      <c r="I594" s="33">
        <v>31.416</v>
      </c>
      <c r="J594" s="170"/>
      <c r="K594" s="7" t="str">
        <f>VLOOKUP($E594,Mapping!$E$11:$I$204,3,0)</f>
        <v>VBRC</v>
      </c>
      <c r="L594" s="7" t="str">
        <f>IFERROR(VLOOKUP($G594,Mapping!$E$208:$K$236,5,0),"Contracts")</f>
        <v>Overhead</v>
      </c>
      <c r="M594" s="7" t="str">
        <f>IFERROR(VLOOKUP($G594,Mapping!$E$208:$K$236,7,0),"ENDirect")</f>
        <v>OH</v>
      </c>
      <c r="N594" s="7" t="str">
        <f>IFERROR(HLOOKUP(L594,'Calc|Weightings'!$U$5:$W$5,1,0),"Excl")</f>
        <v>Excl</v>
      </c>
      <c r="O594" s="7" t="str">
        <f>VLOOKUP(E594,Mapping!$E$11:$I$204,5,0)</f>
        <v>SCS</v>
      </c>
      <c r="Q594" s="32" t="s">
        <v>189</v>
      </c>
      <c r="R594" s="32"/>
      <c r="S594" s="32">
        <v>89999</v>
      </c>
      <c r="T594" s="32" t="s">
        <v>471</v>
      </c>
      <c r="U594" s="33">
        <v>0</v>
      </c>
      <c r="V594" s="7"/>
      <c r="W594" s="7" t="str">
        <f>VLOOKUP($Q594,Mapping!$E$11:$I$204,3,0)</f>
        <v>Replacement</v>
      </c>
      <c r="X594" s="7" t="str">
        <f>IFERROR(VLOOKUP($S594,Mapping!$E$208:$K$236,5,0),"Contracts")</f>
        <v>Contracts</v>
      </c>
      <c r="Y594" s="7" t="str">
        <f>IFERROR(VLOOKUP($S594,Mapping!$E$208:$K$236,7,0),"ENDirect")</f>
        <v>ENDirect</v>
      </c>
      <c r="Z594" s="7" t="str">
        <f>IFERROR(HLOOKUP(X594,'Calc|Weightings'!$U$5:$W$5,1,0),"Excl")</f>
        <v>Contracts</v>
      </c>
      <c r="AA594" s="7" t="str">
        <f>VLOOKUP(Q594,Mapping!$E$11:$I$204,5,0)</f>
        <v>SCS</v>
      </c>
      <c r="AC594" s="35" t="s">
        <v>187</v>
      </c>
      <c r="AD594" s="35"/>
      <c r="AE594" s="35">
        <v>71010</v>
      </c>
      <c r="AF594" s="35" t="s">
        <v>462</v>
      </c>
      <c r="AG594" s="36">
        <v>13.558</v>
      </c>
      <c r="AI594" s="7" t="str">
        <f>VLOOKUP($AC594,Mapping!$E$11:$I$204,3,0)</f>
        <v>Replacement</v>
      </c>
      <c r="AJ594" s="7" t="str">
        <f>IFERROR(VLOOKUP($AE594,Mapping!$E$208:$K$236,5,0),"Contracts")</f>
        <v>Labour</v>
      </c>
      <c r="AK594" s="7" t="str">
        <f>IFERROR(VLOOKUP($AE594,Mapping!$E$208:$K$236,7,0),"ENDirect")</f>
        <v>ENDirect</v>
      </c>
      <c r="AL594" s="7" t="str">
        <f>IFERROR(HLOOKUP(AJ594,'Calc|Weightings'!$U$5:$W$5,1,0),"Excl")</f>
        <v>Labour</v>
      </c>
      <c r="AM594" s="7" t="str">
        <f>VLOOKUP(AC594,Mapping!$E$11:$I$204,5,0)</f>
        <v>SCS</v>
      </c>
      <c r="AO594" s="35" t="s">
        <v>186</v>
      </c>
      <c r="AP594" s="35"/>
      <c r="AQ594" s="35">
        <v>80000</v>
      </c>
      <c r="AR594" s="35" t="s">
        <v>589</v>
      </c>
      <c r="AS594" s="121">
        <v>222.26801999999998</v>
      </c>
      <c r="AU594" s="7" t="str">
        <f>VLOOKUP($AO594,Mapping!$E$11:$I$204,3,0)</f>
        <v>Replacement</v>
      </c>
      <c r="AV594" s="7" t="str">
        <f>IFERROR(VLOOKUP($AQ594,Mapping!$E$208:$K$236,5,0),"Contracts")</f>
        <v>Overhead</v>
      </c>
      <c r="AW594" s="7" t="str">
        <f>IFERROR(VLOOKUP($AQ594,Mapping!$E$208:$K$236,7,0),"ENDirect")</f>
        <v>OH</v>
      </c>
      <c r="AX594" s="7" t="str">
        <f>IFERROR(HLOOKUP(AV594,'Calc|Weightings'!$U$5:$W$5,1,0),"Excl")</f>
        <v>Excl</v>
      </c>
      <c r="AY594" s="7" t="str">
        <f>VLOOKUP(AO594,Mapping!$E$11:$I$204,5,0)</f>
        <v>SCS</v>
      </c>
    </row>
    <row r="595" spans="1:51" x14ac:dyDescent="0.3">
      <c r="A595" s="7"/>
      <c r="B595" s="7"/>
      <c r="C595" s="7"/>
      <c r="D595" s="7"/>
      <c r="E595" s="32" t="s">
        <v>180</v>
      </c>
      <c r="F595" s="32"/>
      <c r="G595" s="32">
        <v>71000</v>
      </c>
      <c r="H595" s="32" t="s">
        <v>457</v>
      </c>
      <c r="I595" s="33">
        <v>159.31299999999999</v>
      </c>
      <c r="J595" s="170"/>
      <c r="K595" s="7" t="str">
        <f>VLOOKUP($E595,Mapping!$E$11:$I$204,3,0)</f>
        <v>Replacement</v>
      </c>
      <c r="L595" s="7" t="str">
        <f>IFERROR(VLOOKUP($G595,Mapping!$E$208:$K$236,5,0),"Contracts")</f>
        <v>Labour</v>
      </c>
      <c r="M595" s="7" t="str">
        <f>IFERROR(VLOOKUP($G595,Mapping!$E$208:$K$236,7,0),"ENDirect")</f>
        <v>ENDirect</v>
      </c>
      <c r="N595" s="7" t="str">
        <f>IFERROR(HLOOKUP(L595,'Calc|Weightings'!$U$5:$W$5,1,0),"Excl")</f>
        <v>Labour</v>
      </c>
      <c r="O595" s="7" t="str">
        <f>VLOOKUP(E595,Mapping!$E$11:$I$204,5,0)</f>
        <v>SCS</v>
      </c>
      <c r="Q595" s="32" t="s">
        <v>190</v>
      </c>
      <c r="R595" s="32"/>
      <c r="S595" s="32">
        <v>71000</v>
      </c>
      <c r="T595" s="32" t="s">
        <v>457</v>
      </c>
      <c r="U595" s="33">
        <v>607.19399999999996</v>
      </c>
      <c r="V595" s="7"/>
      <c r="W595" s="7" t="str">
        <f>VLOOKUP($Q595,Mapping!$E$11:$I$204,3,0)</f>
        <v>Replacement</v>
      </c>
      <c r="X595" s="7" t="str">
        <f>IFERROR(VLOOKUP($S595,Mapping!$E$208:$K$236,5,0),"Contracts")</f>
        <v>Labour</v>
      </c>
      <c r="Y595" s="7" t="str">
        <f>IFERROR(VLOOKUP($S595,Mapping!$E$208:$K$236,7,0),"ENDirect")</f>
        <v>ENDirect</v>
      </c>
      <c r="Z595" s="7" t="str">
        <f>IFERROR(HLOOKUP(X595,'Calc|Weightings'!$U$5:$W$5,1,0),"Excl")</f>
        <v>Labour</v>
      </c>
      <c r="AA595" s="7" t="str">
        <f>VLOOKUP(Q595,Mapping!$E$11:$I$204,5,0)</f>
        <v>SCS</v>
      </c>
      <c r="AC595" s="35" t="s">
        <v>187</v>
      </c>
      <c r="AD595" s="35"/>
      <c r="AE595" s="35">
        <v>71015</v>
      </c>
      <c r="AF595" s="35" t="s">
        <v>463</v>
      </c>
      <c r="AG595" s="36">
        <v>12.083</v>
      </c>
      <c r="AI595" s="7" t="str">
        <f>VLOOKUP($AC595,Mapping!$E$11:$I$204,3,0)</f>
        <v>Replacement</v>
      </c>
      <c r="AJ595" s="7" t="str">
        <f>IFERROR(VLOOKUP($AE595,Mapping!$E$208:$K$236,5,0),"Contracts")</f>
        <v>Materials</v>
      </c>
      <c r="AK595" s="7" t="str">
        <f>IFERROR(VLOOKUP($AE595,Mapping!$E$208:$K$236,7,0),"ENDirect")</f>
        <v>ENDirect</v>
      </c>
      <c r="AL595" s="7" t="str">
        <f>IFERROR(HLOOKUP(AJ595,'Calc|Weightings'!$U$5:$W$5,1,0),"Excl")</f>
        <v>Materials</v>
      </c>
      <c r="AM595" s="7" t="str">
        <f>VLOOKUP(AC595,Mapping!$E$11:$I$204,5,0)</f>
        <v>SCS</v>
      </c>
      <c r="AO595" s="35" t="s">
        <v>186</v>
      </c>
      <c r="AP595" s="35"/>
      <c r="AQ595" s="35">
        <v>83010</v>
      </c>
      <c r="AR595" s="35" t="s">
        <v>591</v>
      </c>
      <c r="AS595" s="121">
        <v>913.10079999994537</v>
      </c>
      <c r="AU595" s="7" t="str">
        <f>VLOOKUP($AO595,Mapping!$E$11:$I$204,3,0)</f>
        <v>Replacement</v>
      </c>
      <c r="AV595" s="7" t="str">
        <f>IFERROR(VLOOKUP($AQ595,Mapping!$E$208:$K$236,5,0),"Contracts")</f>
        <v>Contracts</v>
      </c>
      <c r="AW595" s="7" t="str">
        <f>IFERROR(VLOOKUP($AQ595,Mapping!$E$208:$K$236,7,0),"ENDirect")</f>
        <v>ENDirect</v>
      </c>
      <c r="AX595" s="7" t="str">
        <f>IFERROR(HLOOKUP(AV595,'Calc|Weightings'!$U$5:$W$5,1,0),"Excl")</f>
        <v>Contracts</v>
      </c>
      <c r="AY595" s="7" t="str">
        <f>VLOOKUP(AO595,Mapping!$E$11:$I$204,5,0)</f>
        <v>SCS</v>
      </c>
    </row>
    <row r="596" spans="1:51" x14ac:dyDescent="0.3">
      <c r="A596" s="7"/>
      <c r="B596" s="7"/>
      <c r="C596" s="7"/>
      <c r="D596" s="7"/>
      <c r="E596" s="32" t="s">
        <v>180</v>
      </c>
      <c r="F596" s="32"/>
      <c r="G596" s="32">
        <v>71010</v>
      </c>
      <c r="H596" s="32" t="s">
        <v>462</v>
      </c>
      <c r="I596" s="33">
        <v>22.218</v>
      </c>
      <c r="J596" s="170"/>
      <c r="K596" s="7" t="str">
        <f>VLOOKUP($E596,Mapping!$E$11:$I$204,3,0)</f>
        <v>Replacement</v>
      </c>
      <c r="L596" s="7" t="str">
        <f>IFERROR(VLOOKUP($G596,Mapping!$E$208:$K$236,5,0),"Contracts")</f>
        <v>Labour</v>
      </c>
      <c r="M596" s="7" t="str">
        <f>IFERROR(VLOOKUP($G596,Mapping!$E$208:$K$236,7,0),"ENDirect")</f>
        <v>ENDirect</v>
      </c>
      <c r="N596" s="7" t="str">
        <f>IFERROR(HLOOKUP(L596,'Calc|Weightings'!$U$5:$W$5,1,0),"Excl")</f>
        <v>Labour</v>
      </c>
      <c r="O596" s="7" t="str">
        <f>VLOOKUP(E596,Mapping!$E$11:$I$204,5,0)</f>
        <v>SCS</v>
      </c>
      <c r="Q596" s="32" t="s">
        <v>190</v>
      </c>
      <c r="R596" s="32"/>
      <c r="S596" s="32">
        <v>71005</v>
      </c>
      <c r="T596" s="32" t="s">
        <v>461</v>
      </c>
      <c r="U596" s="33">
        <v>439.233</v>
      </c>
      <c r="V596" s="7"/>
      <c r="W596" s="7" t="str">
        <f>VLOOKUP($Q596,Mapping!$E$11:$I$204,3,0)</f>
        <v>Replacement</v>
      </c>
      <c r="X596" s="7" t="str">
        <f>IFERROR(VLOOKUP($S596,Mapping!$E$208:$K$236,5,0),"Contracts")</f>
        <v>Materials</v>
      </c>
      <c r="Y596" s="7" t="str">
        <f>IFERROR(VLOOKUP($S596,Mapping!$E$208:$K$236,7,0),"ENDirect")</f>
        <v>ENDirect</v>
      </c>
      <c r="Z596" s="7" t="str">
        <f>IFERROR(HLOOKUP(X596,'Calc|Weightings'!$U$5:$W$5,1,0),"Excl")</f>
        <v>Materials</v>
      </c>
      <c r="AA596" s="7" t="str">
        <f>VLOOKUP(Q596,Mapping!$E$11:$I$204,5,0)</f>
        <v>SCS</v>
      </c>
      <c r="AC596" s="35" t="s">
        <v>187</v>
      </c>
      <c r="AD596" s="35"/>
      <c r="AE596" s="35">
        <v>71020</v>
      </c>
      <c r="AF596" s="35" t="s">
        <v>459</v>
      </c>
      <c r="AG596" s="36">
        <v>0</v>
      </c>
      <c r="AI596" s="7" t="str">
        <f>VLOOKUP($AC596,Mapping!$E$11:$I$204,3,0)</f>
        <v>Replacement</v>
      </c>
      <c r="AJ596" s="7" t="str">
        <f>IFERROR(VLOOKUP($AE596,Mapping!$E$208:$K$236,5,0),"Contracts")</f>
        <v>Contracts</v>
      </c>
      <c r="AK596" s="7" t="str">
        <f>IFERROR(VLOOKUP($AE596,Mapping!$E$208:$K$236,7,0),"ENDirect")</f>
        <v>ENDirect</v>
      </c>
      <c r="AL596" s="7" t="str">
        <f>IFERROR(HLOOKUP(AJ596,'Calc|Weightings'!$U$5:$W$5,1,0),"Excl")</f>
        <v>Contracts</v>
      </c>
      <c r="AM596" s="7" t="str">
        <f>VLOOKUP(AC596,Mapping!$E$11:$I$204,5,0)</f>
        <v>SCS</v>
      </c>
      <c r="AO596" s="35" t="s">
        <v>187</v>
      </c>
      <c r="AP596" s="35"/>
      <c r="AQ596" s="35">
        <v>71000</v>
      </c>
      <c r="AR596" s="35" t="s">
        <v>457</v>
      </c>
      <c r="AS596" s="121">
        <v>19.202899999999996</v>
      </c>
      <c r="AU596" s="7" t="str">
        <f>VLOOKUP($AO596,Mapping!$E$11:$I$204,3,0)</f>
        <v>Replacement</v>
      </c>
      <c r="AV596" s="7" t="str">
        <f>IFERROR(VLOOKUP($AQ596,Mapping!$E$208:$K$236,5,0),"Contracts")</f>
        <v>Labour</v>
      </c>
      <c r="AW596" s="7" t="str">
        <f>IFERROR(VLOOKUP($AQ596,Mapping!$E$208:$K$236,7,0),"ENDirect")</f>
        <v>ENDirect</v>
      </c>
      <c r="AX596" s="7" t="str">
        <f>IFERROR(HLOOKUP(AV596,'Calc|Weightings'!$U$5:$W$5,1,0),"Excl")</f>
        <v>Labour</v>
      </c>
      <c r="AY596" s="7" t="str">
        <f>VLOOKUP(AO596,Mapping!$E$11:$I$204,5,0)</f>
        <v>SCS</v>
      </c>
    </row>
    <row r="597" spans="1:51" x14ac:dyDescent="0.3">
      <c r="A597" s="7"/>
      <c r="B597" s="7"/>
      <c r="C597" s="7"/>
      <c r="D597" s="7"/>
      <c r="E597" s="32" t="s">
        <v>180</v>
      </c>
      <c r="F597" s="32"/>
      <c r="G597" s="32">
        <v>71015</v>
      </c>
      <c r="H597" s="32" t="s">
        <v>463</v>
      </c>
      <c r="I597" s="33">
        <v>34.875</v>
      </c>
      <c r="J597" s="170"/>
      <c r="K597" s="7" t="str">
        <f>VLOOKUP($E597,Mapping!$E$11:$I$204,3,0)</f>
        <v>Replacement</v>
      </c>
      <c r="L597" s="7" t="str">
        <f>IFERROR(VLOOKUP($G597,Mapping!$E$208:$K$236,5,0),"Contracts")</f>
        <v>Materials</v>
      </c>
      <c r="M597" s="7" t="str">
        <f>IFERROR(VLOOKUP($G597,Mapping!$E$208:$K$236,7,0),"ENDirect")</f>
        <v>ENDirect</v>
      </c>
      <c r="N597" s="7" t="str">
        <f>IFERROR(HLOOKUP(L597,'Calc|Weightings'!$U$5:$W$5,1,0),"Excl")</f>
        <v>Materials</v>
      </c>
      <c r="O597" s="7" t="str">
        <f>VLOOKUP(E597,Mapping!$E$11:$I$204,5,0)</f>
        <v>SCS</v>
      </c>
      <c r="Q597" s="32" t="s">
        <v>190</v>
      </c>
      <c r="R597" s="32"/>
      <c r="S597" s="32">
        <v>71010</v>
      </c>
      <c r="T597" s="32" t="s">
        <v>462</v>
      </c>
      <c r="U597" s="33">
        <v>648.20600000000002</v>
      </c>
      <c r="V597" s="7"/>
      <c r="W597" s="7" t="str">
        <f>VLOOKUP($Q597,Mapping!$E$11:$I$204,3,0)</f>
        <v>Replacement</v>
      </c>
      <c r="X597" s="7" t="str">
        <f>IFERROR(VLOOKUP($S597,Mapping!$E$208:$K$236,5,0),"Contracts")</f>
        <v>Labour</v>
      </c>
      <c r="Y597" s="7" t="str">
        <f>IFERROR(VLOOKUP($S597,Mapping!$E$208:$K$236,7,0),"ENDirect")</f>
        <v>ENDirect</v>
      </c>
      <c r="Z597" s="7" t="str">
        <f>IFERROR(HLOOKUP(X597,'Calc|Weightings'!$U$5:$W$5,1,0),"Excl")</f>
        <v>Labour</v>
      </c>
      <c r="AA597" s="7" t="str">
        <f>VLOOKUP(Q597,Mapping!$E$11:$I$204,5,0)</f>
        <v>SCS</v>
      </c>
      <c r="AC597" s="35" t="s">
        <v>187</v>
      </c>
      <c r="AD597" s="35"/>
      <c r="AE597" s="35">
        <v>71030</v>
      </c>
      <c r="AF597" s="35" t="s">
        <v>464</v>
      </c>
      <c r="AG597" s="36">
        <v>7.4420000000000002</v>
      </c>
      <c r="AI597" s="7" t="str">
        <f>VLOOKUP($AC597,Mapping!$E$11:$I$204,3,0)</f>
        <v>Replacement</v>
      </c>
      <c r="AJ597" s="7" t="str">
        <f>IFERROR(VLOOKUP($AE597,Mapping!$E$208:$K$236,5,0),"Contracts")</f>
        <v>Contracts</v>
      </c>
      <c r="AK597" s="7" t="str">
        <f>IFERROR(VLOOKUP($AE597,Mapping!$E$208:$K$236,7,0),"ENDirect")</f>
        <v>ENDirect</v>
      </c>
      <c r="AL597" s="7" t="str">
        <f>IFERROR(HLOOKUP(AJ597,'Calc|Weightings'!$U$5:$W$5,1,0),"Excl")</f>
        <v>Contracts</v>
      </c>
      <c r="AM597" s="7" t="str">
        <f>VLOOKUP(AC597,Mapping!$E$11:$I$204,5,0)</f>
        <v>SCS</v>
      </c>
      <c r="AO597" s="35" t="s">
        <v>187</v>
      </c>
      <c r="AP597" s="35"/>
      <c r="AQ597" s="35">
        <v>71005</v>
      </c>
      <c r="AR597" s="35" t="s">
        <v>461</v>
      </c>
      <c r="AS597" s="121">
        <v>2.7710799999999995</v>
      </c>
      <c r="AU597" s="7" t="str">
        <f>VLOOKUP($AO597,Mapping!$E$11:$I$204,3,0)</f>
        <v>Replacement</v>
      </c>
      <c r="AV597" s="7" t="str">
        <f>IFERROR(VLOOKUP($AQ597,Mapping!$E$208:$K$236,5,0),"Contracts")</f>
        <v>Materials</v>
      </c>
      <c r="AW597" s="7" t="str">
        <f>IFERROR(VLOOKUP($AQ597,Mapping!$E$208:$K$236,7,0),"ENDirect")</f>
        <v>ENDirect</v>
      </c>
      <c r="AX597" s="7" t="str">
        <f>IFERROR(HLOOKUP(AV597,'Calc|Weightings'!$U$5:$W$5,1,0),"Excl")</f>
        <v>Materials</v>
      </c>
      <c r="AY597" s="7" t="str">
        <f>VLOOKUP(AO597,Mapping!$E$11:$I$204,5,0)</f>
        <v>SCS</v>
      </c>
    </row>
    <row r="598" spans="1:51" x14ac:dyDescent="0.3">
      <c r="A598" s="7"/>
      <c r="B598" s="7"/>
      <c r="C598" s="7"/>
      <c r="D598" s="7"/>
      <c r="E598" s="32" t="s">
        <v>180</v>
      </c>
      <c r="F598" s="32"/>
      <c r="G598" s="32">
        <v>71030</v>
      </c>
      <c r="H598" s="32" t="s">
        <v>464</v>
      </c>
      <c r="I598" s="33">
        <v>20.271999999999998</v>
      </c>
      <c r="J598" s="170"/>
      <c r="K598" s="7" t="str">
        <f>VLOOKUP($E598,Mapping!$E$11:$I$204,3,0)</f>
        <v>Replacement</v>
      </c>
      <c r="L598" s="7" t="str">
        <f>IFERROR(VLOOKUP($G598,Mapping!$E$208:$K$236,5,0),"Contracts")</f>
        <v>Contracts</v>
      </c>
      <c r="M598" s="7" t="str">
        <f>IFERROR(VLOOKUP($G598,Mapping!$E$208:$K$236,7,0),"ENDirect")</f>
        <v>ENDirect</v>
      </c>
      <c r="N598" s="7" t="str">
        <f>IFERROR(HLOOKUP(L598,'Calc|Weightings'!$U$5:$W$5,1,0),"Excl")</f>
        <v>Contracts</v>
      </c>
      <c r="O598" s="7" t="str">
        <f>VLOOKUP(E598,Mapping!$E$11:$I$204,5,0)</f>
        <v>SCS</v>
      </c>
      <c r="Q598" s="32" t="s">
        <v>190</v>
      </c>
      <c r="R598" s="32"/>
      <c r="S598" s="32">
        <v>71015</v>
      </c>
      <c r="T598" s="32" t="s">
        <v>463</v>
      </c>
      <c r="U598" s="33">
        <v>169.88300000000001</v>
      </c>
      <c r="V598" s="7"/>
      <c r="W598" s="7" t="str">
        <f>VLOOKUP($Q598,Mapping!$E$11:$I$204,3,0)</f>
        <v>Replacement</v>
      </c>
      <c r="X598" s="7" t="str">
        <f>IFERROR(VLOOKUP($S598,Mapping!$E$208:$K$236,5,0),"Contracts")</f>
        <v>Materials</v>
      </c>
      <c r="Y598" s="7" t="str">
        <f>IFERROR(VLOOKUP($S598,Mapping!$E$208:$K$236,7,0),"ENDirect")</f>
        <v>ENDirect</v>
      </c>
      <c r="Z598" s="7" t="str">
        <f>IFERROR(HLOOKUP(X598,'Calc|Weightings'!$U$5:$W$5,1,0),"Excl")</f>
        <v>Materials</v>
      </c>
      <c r="AA598" s="7" t="str">
        <f>VLOOKUP(Q598,Mapping!$E$11:$I$204,5,0)</f>
        <v>SCS</v>
      </c>
      <c r="AC598" s="35" t="s">
        <v>187</v>
      </c>
      <c r="AD598" s="35"/>
      <c r="AE598" s="35">
        <v>71055</v>
      </c>
      <c r="AF598" s="35" t="s">
        <v>465</v>
      </c>
      <c r="AG598" s="36">
        <v>16.942</v>
      </c>
      <c r="AI598" s="7" t="str">
        <f>VLOOKUP($AC598,Mapping!$E$11:$I$204,3,0)</f>
        <v>Replacement</v>
      </c>
      <c r="AJ598" s="7" t="str">
        <f>IFERROR(VLOOKUP($AE598,Mapping!$E$208:$K$236,5,0),"Contracts")</f>
        <v>Contracts</v>
      </c>
      <c r="AK598" s="7" t="str">
        <f>IFERROR(VLOOKUP($AE598,Mapping!$E$208:$K$236,7,0),"ENDirect")</f>
        <v>ENDirect</v>
      </c>
      <c r="AL598" s="7" t="str">
        <f>IFERROR(HLOOKUP(AJ598,'Calc|Weightings'!$U$5:$W$5,1,0),"Excl")</f>
        <v>Contracts</v>
      </c>
      <c r="AM598" s="7" t="str">
        <f>VLOOKUP(AC598,Mapping!$E$11:$I$204,5,0)</f>
        <v>SCS</v>
      </c>
      <c r="AO598" s="35" t="s">
        <v>187</v>
      </c>
      <c r="AP598" s="35"/>
      <c r="AQ598" s="35">
        <v>71010</v>
      </c>
      <c r="AR598" s="35" t="s">
        <v>487</v>
      </c>
      <c r="AS598" s="121">
        <v>2.1822600000000003</v>
      </c>
      <c r="AU598" s="7" t="str">
        <f>VLOOKUP($AO598,Mapping!$E$11:$I$204,3,0)</f>
        <v>Replacement</v>
      </c>
      <c r="AV598" s="7" t="str">
        <f>IFERROR(VLOOKUP($AQ598,Mapping!$E$208:$K$236,5,0),"Contracts")</f>
        <v>Labour</v>
      </c>
      <c r="AW598" s="7" t="str">
        <f>IFERROR(VLOOKUP($AQ598,Mapping!$E$208:$K$236,7,0),"ENDirect")</f>
        <v>ENDirect</v>
      </c>
      <c r="AX598" s="7" t="str">
        <f>IFERROR(HLOOKUP(AV598,'Calc|Weightings'!$U$5:$W$5,1,0),"Excl")</f>
        <v>Labour</v>
      </c>
      <c r="AY598" s="7" t="str">
        <f>VLOOKUP(AO598,Mapping!$E$11:$I$204,5,0)</f>
        <v>SCS</v>
      </c>
    </row>
    <row r="599" spans="1:51" x14ac:dyDescent="0.3">
      <c r="A599" s="7"/>
      <c r="B599" s="7"/>
      <c r="C599" s="7"/>
      <c r="D599" s="7"/>
      <c r="E599" s="32" t="s">
        <v>180</v>
      </c>
      <c r="F599" s="32"/>
      <c r="G599" s="32">
        <v>71055</v>
      </c>
      <c r="H599" s="32" t="s">
        <v>465</v>
      </c>
      <c r="I599" s="33">
        <v>44.466999999999999</v>
      </c>
      <c r="J599" s="170"/>
      <c r="K599" s="7" t="str">
        <f>VLOOKUP($E599,Mapping!$E$11:$I$204,3,0)</f>
        <v>Replacement</v>
      </c>
      <c r="L599" s="7" t="str">
        <f>IFERROR(VLOOKUP($G599,Mapping!$E$208:$K$236,5,0),"Contracts")</f>
        <v>Contracts</v>
      </c>
      <c r="M599" s="7" t="str">
        <f>IFERROR(VLOOKUP($G599,Mapping!$E$208:$K$236,7,0),"ENDirect")</f>
        <v>ENDirect</v>
      </c>
      <c r="N599" s="7" t="str">
        <f>IFERROR(HLOOKUP(L599,'Calc|Weightings'!$U$5:$W$5,1,0),"Excl")</f>
        <v>Contracts</v>
      </c>
      <c r="O599" s="7" t="str">
        <f>VLOOKUP(E599,Mapping!$E$11:$I$204,5,0)</f>
        <v>SCS</v>
      </c>
      <c r="Q599" s="32" t="s">
        <v>190</v>
      </c>
      <c r="R599" s="32"/>
      <c r="S599" s="32">
        <v>71020</v>
      </c>
      <c r="T599" s="32" t="s">
        <v>459</v>
      </c>
      <c r="U599" s="33">
        <v>-81.021000000000001</v>
      </c>
      <c r="V599" s="7"/>
      <c r="W599" s="7" t="str">
        <f>VLOOKUP($Q599,Mapping!$E$11:$I$204,3,0)</f>
        <v>Replacement</v>
      </c>
      <c r="X599" s="7" t="str">
        <f>IFERROR(VLOOKUP($S599,Mapping!$E$208:$K$236,5,0),"Contracts")</f>
        <v>Contracts</v>
      </c>
      <c r="Y599" s="7" t="str">
        <f>IFERROR(VLOOKUP($S599,Mapping!$E$208:$K$236,7,0),"ENDirect")</f>
        <v>ENDirect</v>
      </c>
      <c r="Z599" s="7" t="str">
        <f>IFERROR(HLOOKUP(X599,'Calc|Weightings'!$U$5:$W$5,1,0),"Excl")</f>
        <v>Contracts</v>
      </c>
      <c r="AA599" s="7" t="str">
        <f>VLOOKUP(Q599,Mapping!$E$11:$I$204,5,0)</f>
        <v>SCS</v>
      </c>
      <c r="AC599" s="35" t="s">
        <v>187</v>
      </c>
      <c r="AD599" s="35"/>
      <c r="AE599" s="35">
        <v>80000</v>
      </c>
      <c r="AF599" s="35" t="s">
        <v>453</v>
      </c>
      <c r="AG599" s="36">
        <v>13.16</v>
      </c>
      <c r="AI599" s="7" t="str">
        <f>VLOOKUP($AC599,Mapping!$E$11:$I$204,3,0)</f>
        <v>Replacement</v>
      </c>
      <c r="AJ599" s="7" t="str">
        <f>IFERROR(VLOOKUP($AE599,Mapping!$E$208:$K$236,5,0),"Contracts")</f>
        <v>Overhead</v>
      </c>
      <c r="AK599" s="7" t="str">
        <f>IFERROR(VLOOKUP($AE599,Mapping!$E$208:$K$236,7,0),"ENDirect")</f>
        <v>OH</v>
      </c>
      <c r="AL599" s="7" t="str">
        <f>IFERROR(HLOOKUP(AJ599,'Calc|Weightings'!$U$5:$W$5,1,0),"Excl")</f>
        <v>Excl</v>
      </c>
      <c r="AM599" s="7" t="str">
        <f>VLOOKUP(AC599,Mapping!$E$11:$I$204,5,0)</f>
        <v>SCS</v>
      </c>
      <c r="AO599" s="35" t="s">
        <v>187</v>
      </c>
      <c r="AP599" s="35"/>
      <c r="AQ599" s="35">
        <v>71015</v>
      </c>
      <c r="AR599" s="35" t="s">
        <v>585</v>
      </c>
      <c r="AS599" s="121">
        <v>3.0896899999999996</v>
      </c>
      <c r="AU599" s="7" t="str">
        <f>VLOOKUP($AO599,Mapping!$E$11:$I$204,3,0)</f>
        <v>Replacement</v>
      </c>
      <c r="AV599" s="7" t="str">
        <f>IFERROR(VLOOKUP($AQ599,Mapping!$E$208:$K$236,5,0),"Contracts")</f>
        <v>Materials</v>
      </c>
      <c r="AW599" s="7" t="str">
        <f>IFERROR(VLOOKUP($AQ599,Mapping!$E$208:$K$236,7,0),"ENDirect")</f>
        <v>ENDirect</v>
      </c>
      <c r="AX599" s="7" t="str">
        <f>IFERROR(HLOOKUP(AV599,'Calc|Weightings'!$U$5:$W$5,1,0),"Excl")</f>
        <v>Materials</v>
      </c>
      <c r="AY599" s="7" t="str">
        <f>VLOOKUP(AO599,Mapping!$E$11:$I$204,5,0)</f>
        <v>SCS</v>
      </c>
    </row>
    <row r="600" spans="1:51" x14ac:dyDescent="0.3">
      <c r="A600" s="7"/>
      <c r="B600" s="7"/>
      <c r="C600" s="7"/>
      <c r="D600" s="7"/>
      <c r="E600" s="32" t="s">
        <v>180</v>
      </c>
      <c r="F600" s="32"/>
      <c r="G600" s="32">
        <v>80000</v>
      </c>
      <c r="H600" s="32" t="s">
        <v>453</v>
      </c>
      <c r="I600" s="33">
        <v>29.468</v>
      </c>
      <c r="J600" s="170"/>
      <c r="K600" s="7" t="str">
        <f>VLOOKUP($E600,Mapping!$E$11:$I$204,3,0)</f>
        <v>Replacement</v>
      </c>
      <c r="L600" s="7" t="str">
        <f>IFERROR(VLOOKUP($G600,Mapping!$E$208:$K$236,5,0),"Contracts")</f>
        <v>Overhead</v>
      </c>
      <c r="M600" s="7" t="str">
        <f>IFERROR(VLOOKUP($G600,Mapping!$E$208:$K$236,7,0),"ENDirect")</f>
        <v>OH</v>
      </c>
      <c r="N600" s="7" t="str">
        <f>IFERROR(HLOOKUP(L600,'Calc|Weightings'!$U$5:$W$5,1,0),"Excl")</f>
        <v>Excl</v>
      </c>
      <c r="O600" s="7" t="str">
        <f>VLOOKUP(E600,Mapping!$E$11:$I$204,5,0)</f>
        <v>SCS</v>
      </c>
      <c r="Q600" s="32" t="s">
        <v>190</v>
      </c>
      <c r="R600" s="32"/>
      <c r="S600" s="32">
        <v>71030</v>
      </c>
      <c r="T600" s="32" t="s">
        <v>464</v>
      </c>
      <c r="U600" s="33">
        <v>144.148</v>
      </c>
      <c r="V600" s="7"/>
      <c r="W600" s="7" t="str">
        <f>VLOOKUP($Q600,Mapping!$E$11:$I$204,3,0)</f>
        <v>Replacement</v>
      </c>
      <c r="X600" s="7" t="str">
        <f>IFERROR(VLOOKUP($S600,Mapping!$E$208:$K$236,5,0),"Contracts")</f>
        <v>Contracts</v>
      </c>
      <c r="Y600" s="7" t="str">
        <f>IFERROR(VLOOKUP($S600,Mapping!$E$208:$K$236,7,0),"ENDirect")</f>
        <v>ENDirect</v>
      </c>
      <c r="Z600" s="7" t="str">
        <f>IFERROR(HLOOKUP(X600,'Calc|Weightings'!$U$5:$W$5,1,0),"Excl")</f>
        <v>Contracts</v>
      </c>
      <c r="AA600" s="7" t="str">
        <f>VLOOKUP(Q600,Mapping!$E$11:$I$204,5,0)</f>
        <v>SCS</v>
      </c>
      <c r="AC600" s="35" t="s">
        <v>187</v>
      </c>
      <c r="AD600" s="35"/>
      <c r="AE600" s="35">
        <v>89999</v>
      </c>
      <c r="AF600" s="35" t="s">
        <v>471</v>
      </c>
      <c r="AG600" s="36">
        <v>0</v>
      </c>
      <c r="AI600" s="7" t="str">
        <f>VLOOKUP($AC600,Mapping!$E$11:$I$204,3,0)</f>
        <v>Replacement</v>
      </c>
      <c r="AJ600" s="7" t="str">
        <f>IFERROR(VLOOKUP($AE600,Mapping!$E$208:$K$236,5,0),"Contracts")</f>
        <v>Contracts</v>
      </c>
      <c r="AK600" s="7" t="str">
        <f>IFERROR(VLOOKUP($AE600,Mapping!$E$208:$K$236,7,0),"ENDirect")</f>
        <v>ENDirect</v>
      </c>
      <c r="AL600" s="7" t="str">
        <f>IFERROR(HLOOKUP(AJ600,'Calc|Weightings'!$U$5:$W$5,1,0),"Excl")</f>
        <v>Contracts</v>
      </c>
      <c r="AM600" s="7" t="str">
        <f>VLOOKUP(AC600,Mapping!$E$11:$I$204,5,0)</f>
        <v>SCS</v>
      </c>
      <c r="AO600" s="35" t="s">
        <v>187</v>
      </c>
      <c r="AP600" s="35"/>
      <c r="AQ600" s="35">
        <v>71030</v>
      </c>
      <c r="AR600" s="35" t="s">
        <v>464</v>
      </c>
      <c r="AS600" s="121">
        <v>2.2878699999999998</v>
      </c>
      <c r="AU600" s="7" t="str">
        <f>VLOOKUP($AO600,Mapping!$E$11:$I$204,3,0)</f>
        <v>Replacement</v>
      </c>
      <c r="AV600" s="7" t="str">
        <f>IFERROR(VLOOKUP($AQ600,Mapping!$E$208:$K$236,5,0),"Contracts")</f>
        <v>Contracts</v>
      </c>
      <c r="AW600" s="7" t="str">
        <f>IFERROR(VLOOKUP($AQ600,Mapping!$E$208:$K$236,7,0),"ENDirect")</f>
        <v>ENDirect</v>
      </c>
      <c r="AX600" s="7" t="str">
        <f>IFERROR(HLOOKUP(AV600,'Calc|Weightings'!$U$5:$W$5,1,0),"Excl")</f>
        <v>Contracts</v>
      </c>
      <c r="AY600" s="7" t="str">
        <f>VLOOKUP(AO600,Mapping!$E$11:$I$204,5,0)</f>
        <v>SCS</v>
      </c>
    </row>
    <row r="601" spans="1:51" x14ac:dyDescent="0.3">
      <c r="A601" s="7"/>
      <c r="B601" s="7"/>
      <c r="C601" s="7"/>
      <c r="D601" s="7"/>
      <c r="E601" s="32" t="s">
        <v>244</v>
      </c>
      <c r="F601" s="32"/>
      <c r="G601" s="32">
        <v>71000</v>
      </c>
      <c r="H601" s="32" t="s">
        <v>457</v>
      </c>
      <c r="I601" s="33">
        <v>143.33000000000001</v>
      </c>
      <c r="J601" s="170"/>
      <c r="K601" s="7" t="str">
        <f>VLOOKUP($E601,Mapping!$E$11:$I$204,3,0)</f>
        <v>Replacement</v>
      </c>
      <c r="L601" s="7" t="str">
        <f>IFERROR(VLOOKUP($G601,Mapping!$E$208:$K$236,5,0),"Contracts")</f>
        <v>Labour</v>
      </c>
      <c r="M601" s="7" t="str">
        <f>IFERROR(VLOOKUP($G601,Mapping!$E$208:$K$236,7,0),"ENDirect")</f>
        <v>ENDirect</v>
      </c>
      <c r="N601" s="7" t="str">
        <f>IFERROR(HLOOKUP(L601,'Calc|Weightings'!$U$5:$W$5,1,0),"Excl")</f>
        <v>Labour</v>
      </c>
      <c r="O601" s="7" t="str">
        <f>VLOOKUP(E601,Mapping!$E$11:$I$204,5,0)</f>
        <v>SCS</v>
      </c>
      <c r="Q601" s="32" t="s">
        <v>190</v>
      </c>
      <c r="R601" s="32"/>
      <c r="S601" s="32">
        <v>71055</v>
      </c>
      <c r="T601" s="32" t="s">
        <v>465</v>
      </c>
      <c r="U601" s="33">
        <v>275.74</v>
      </c>
      <c r="V601" s="7"/>
      <c r="W601" s="7" t="str">
        <f>VLOOKUP($Q601,Mapping!$E$11:$I$204,3,0)</f>
        <v>Replacement</v>
      </c>
      <c r="X601" s="7" t="str">
        <f>IFERROR(VLOOKUP($S601,Mapping!$E$208:$K$236,5,0),"Contracts")</f>
        <v>Contracts</v>
      </c>
      <c r="Y601" s="7" t="str">
        <f>IFERROR(VLOOKUP($S601,Mapping!$E$208:$K$236,7,0),"ENDirect")</f>
        <v>ENDirect</v>
      </c>
      <c r="Z601" s="7" t="str">
        <f>IFERROR(HLOOKUP(X601,'Calc|Weightings'!$U$5:$W$5,1,0),"Excl")</f>
        <v>Contracts</v>
      </c>
      <c r="AA601" s="7" t="str">
        <f>VLOOKUP(Q601,Mapping!$E$11:$I$204,5,0)</f>
        <v>SCS</v>
      </c>
      <c r="AC601" s="35" t="s">
        <v>188</v>
      </c>
      <c r="AD601" s="35"/>
      <c r="AE601" s="35">
        <v>71000</v>
      </c>
      <c r="AF601" s="35" t="s">
        <v>457</v>
      </c>
      <c r="AG601" s="36">
        <v>25.707000000000001</v>
      </c>
      <c r="AI601" s="7" t="str">
        <f>VLOOKUP($AC601,Mapping!$E$11:$I$204,3,0)</f>
        <v>Replacement</v>
      </c>
      <c r="AJ601" s="7" t="str">
        <f>IFERROR(VLOOKUP($AE601,Mapping!$E$208:$K$236,5,0),"Contracts")</f>
        <v>Labour</v>
      </c>
      <c r="AK601" s="7" t="str">
        <f>IFERROR(VLOOKUP($AE601,Mapping!$E$208:$K$236,7,0),"ENDirect")</f>
        <v>ENDirect</v>
      </c>
      <c r="AL601" s="7" t="str">
        <f>IFERROR(HLOOKUP(AJ601,'Calc|Weightings'!$U$5:$W$5,1,0),"Excl")</f>
        <v>Labour</v>
      </c>
      <c r="AM601" s="7" t="str">
        <f>VLOOKUP(AC601,Mapping!$E$11:$I$204,5,0)</f>
        <v>SCS</v>
      </c>
      <c r="AO601" s="35" t="s">
        <v>187</v>
      </c>
      <c r="AP601" s="35"/>
      <c r="AQ601" s="35">
        <v>71055</v>
      </c>
      <c r="AR601" s="35" t="s">
        <v>465</v>
      </c>
      <c r="AS601" s="121">
        <v>5.4376099999999985</v>
      </c>
      <c r="AU601" s="7" t="str">
        <f>VLOOKUP($AO601,Mapping!$E$11:$I$204,3,0)</f>
        <v>Replacement</v>
      </c>
      <c r="AV601" s="7" t="str">
        <f>IFERROR(VLOOKUP($AQ601,Mapping!$E$208:$K$236,5,0),"Contracts")</f>
        <v>Contracts</v>
      </c>
      <c r="AW601" s="7" t="str">
        <f>IFERROR(VLOOKUP($AQ601,Mapping!$E$208:$K$236,7,0),"ENDirect")</f>
        <v>ENDirect</v>
      </c>
      <c r="AX601" s="7" t="str">
        <f>IFERROR(HLOOKUP(AV601,'Calc|Weightings'!$U$5:$W$5,1,0),"Excl")</f>
        <v>Contracts</v>
      </c>
      <c r="AY601" s="7" t="str">
        <f>VLOOKUP(AO601,Mapping!$E$11:$I$204,5,0)</f>
        <v>SCS</v>
      </c>
    </row>
    <row r="602" spans="1:51" x14ac:dyDescent="0.3">
      <c r="A602" s="7"/>
      <c r="B602" s="7"/>
      <c r="C602" s="7"/>
      <c r="D602" s="7"/>
      <c r="E602" s="32" t="s">
        <v>244</v>
      </c>
      <c r="F602" s="32"/>
      <c r="G602" s="32">
        <v>71005</v>
      </c>
      <c r="H602" s="32" t="s">
        <v>461</v>
      </c>
      <c r="I602" s="33">
        <v>37.783000000000001</v>
      </c>
      <c r="J602" s="170"/>
      <c r="K602" s="7" t="str">
        <f>VLOOKUP($E602,Mapping!$E$11:$I$204,3,0)</f>
        <v>Replacement</v>
      </c>
      <c r="L602" s="7" t="str">
        <f>IFERROR(VLOOKUP($G602,Mapping!$E$208:$K$236,5,0),"Contracts")</f>
        <v>Materials</v>
      </c>
      <c r="M602" s="7" t="str">
        <f>IFERROR(VLOOKUP($G602,Mapping!$E$208:$K$236,7,0),"ENDirect")</f>
        <v>ENDirect</v>
      </c>
      <c r="N602" s="7" t="str">
        <f>IFERROR(HLOOKUP(L602,'Calc|Weightings'!$U$5:$W$5,1,0),"Excl")</f>
        <v>Materials</v>
      </c>
      <c r="O602" s="7" t="str">
        <f>VLOOKUP(E602,Mapping!$E$11:$I$204,5,0)</f>
        <v>SCS</v>
      </c>
      <c r="Q602" s="32" t="s">
        <v>190</v>
      </c>
      <c r="R602" s="32"/>
      <c r="S602" s="32">
        <v>80000</v>
      </c>
      <c r="T602" s="32" t="s">
        <v>453</v>
      </c>
      <c r="U602" s="33">
        <v>275.89699999999999</v>
      </c>
      <c r="V602" s="7"/>
      <c r="W602" s="7" t="str">
        <f>VLOOKUP($Q602,Mapping!$E$11:$I$204,3,0)</f>
        <v>Replacement</v>
      </c>
      <c r="X602" s="7" t="str">
        <f>IFERROR(VLOOKUP($S602,Mapping!$E$208:$K$236,5,0),"Contracts")</f>
        <v>Overhead</v>
      </c>
      <c r="Y602" s="7" t="str">
        <f>IFERROR(VLOOKUP($S602,Mapping!$E$208:$K$236,7,0),"ENDirect")</f>
        <v>OH</v>
      </c>
      <c r="Z602" s="7" t="str">
        <f>IFERROR(HLOOKUP(X602,'Calc|Weightings'!$U$5:$W$5,1,0),"Excl")</f>
        <v>Excl</v>
      </c>
      <c r="AA602" s="7" t="str">
        <f>VLOOKUP(Q602,Mapping!$E$11:$I$204,5,0)</f>
        <v>SCS</v>
      </c>
      <c r="AC602" s="35" t="s">
        <v>188</v>
      </c>
      <c r="AD602" s="35"/>
      <c r="AE602" s="35">
        <v>71005</v>
      </c>
      <c r="AF602" s="35" t="s">
        <v>461</v>
      </c>
      <c r="AG602" s="36">
        <v>3.9079999999999999</v>
      </c>
      <c r="AI602" s="7" t="str">
        <f>VLOOKUP($AC602,Mapping!$E$11:$I$204,3,0)</f>
        <v>Replacement</v>
      </c>
      <c r="AJ602" s="7" t="str">
        <f>IFERROR(VLOOKUP($AE602,Mapping!$E$208:$K$236,5,0),"Contracts")</f>
        <v>Materials</v>
      </c>
      <c r="AK602" s="7" t="str">
        <f>IFERROR(VLOOKUP($AE602,Mapping!$E$208:$K$236,7,0),"ENDirect")</f>
        <v>ENDirect</v>
      </c>
      <c r="AL602" s="7" t="str">
        <f>IFERROR(HLOOKUP(AJ602,'Calc|Weightings'!$U$5:$W$5,1,0),"Excl")</f>
        <v>Materials</v>
      </c>
      <c r="AM602" s="7" t="str">
        <f>VLOOKUP(AC602,Mapping!$E$11:$I$204,5,0)</f>
        <v>SCS</v>
      </c>
      <c r="AO602" s="35" t="s">
        <v>187</v>
      </c>
      <c r="AP602" s="35"/>
      <c r="AQ602" s="35">
        <v>71070</v>
      </c>
      <c r="AR602" s="35" t="s">
        <v>586</v>
      </c>
      <c r="AS602" s="121">
        <v>1.9414400000000001</v>
      </c>
      <c r="AU602" s="7" t="str">
        <f>VLOOKUP($AO602,Mapping!$E$11:$I$204,3,0)</f>
        <v>Replacement</v>
      </c>
      <c r="AV602" s="7" t="str">
        <f>IFERROR(VLOOKUP($AQ602,Mapping!$E$208:$K$236,5,0),"Contracts")</f>
        <v>Contracts</v>
      </c>
      <c r="AW602" s="7" t="str">
        <f>IFERROR(VLOOKUP($AQ602,Mapping!$E$208:$K$236,7,0),"ENDirect")</f>
        <v>ENDirect</v>
      </c>
      <c r="AX602" s="7" t="str">
        <f>IFERROR(HLOOKUP(AV602,'Calc|Weightings'!$U$5:$W$5,1,0),"Excl")</f>
        <v>Contracts</v>
      </c>
      <c r="AY602" s="7" t="str">
        <f>VLOOKUP(AO602,Mapping!$E$11:$I$204,5,0)</f>
        <v>SCS</v>
      </c>
    </row>
    <row r="603" spans="1:51" x14ac:dyDescent="0.3">
      <c r="A603" s="7"/>
      <c r="B603" s="7"/>
      <c r="C603" s="7"/>
      <c r="D603" s="7"/>
      <c r="E603" s="32" t="s">
        <v>244</v>
      </c>
      <c r="F603" s="32"/>
      <c r="G603" s="32">
        <v>71010</v>
      </c>
      <c r="H603" s="32" t="s">
        <v>462</v>
      </c>
      <c r="I603" s="33">
        <v>73.616</v>
      </c>
      <c r="J603" s="170"/>
      <c r="K603" s="7" t="str">
        <f>VLOOKUP($E603,Mapping!$E$11:$I$204,3,0)</f>
        <v>Replacement</v>
      </c>
      <c r="L603" s="7" t="str">
        <f>IFERROR(VLOOKUP($G603,Mapping!$E$208:$K$236,5,0),"Contracts")</f>
        <v>Labour</v>
      </c>
      <c r="M603" s="7" t="str">
        <f>IFERROR(VLOOKUP($G603,Mapping!$E$208:$K$236,7,0),"ENDirect")</f>
        <v>ENDirect</v>
      </c>
      <c r="N603" s="7" t="str">
        <f>IFERROR(HLOOKUP(L603,'Calc|Weightings'!$U$5:$W$5,1,0),"Excl")</f>
        <v>Labour</v>
      </c>
      <c r="O603" s="7" t="str">
        <f>VLOOKUP(E603,Mapping!$E$11:$I$204,5,0)</f>
        <v>SCS</v>
      </c>
      <c r="Q603" s="32" t="s">
        <v>190</v>
      </c>
      <c r="R603" s="32"/>
      <c r="S603" s="32">
        <v>89999</v>
      </c>
      <c r="T603" s="32" t="s">
        <v>471</v>
      </c>
      <c r="U603" s="33">
        <v>0</v>
      </c>
      <c r="V603" s="7"/>
      <c r="W603" s="7" t="str">
        <f>VLOOKUP($Q603,Mapping!$E$11:$I$204,3,0)</f>
        <v>Replacement</v>
      </c>
      <c r="X603" s="7" t="str">
        <f>IFERROR(VLOOKUP($S603,Mapping!$E$208:$K$236,5,0),"Contracts")</f>
        <v>Contracts</v>
      </c>
      <c r="Y603" s="7" t="str">
        <f>IFERROR(VLOOKUP($S603,Mapping!$E$208:$K$236,7,0),"ENDirect")</f>
        <v>ENDirect</v>
      </c>
      <c r="Z603" s="7" t="str">
        <f>IFERROR(HLOOKUP(X603,'Calc|Weightings'!$U$5:$W$5,1,0),"Excl")</f>
        <v>Contracts</v>
      </c>
      <c r="AA603" s="7" t="str">
        <f>VLOOKUP(Q603,Mapping!$E$11:$I$204,5,0)</f>
        <v>SCS</v>
      </c>
      <c r="AC603" s="35" t="s">
        <v>188</v>
      </c>
      <c r="AD603" s="35"/>
      <c r="AE603" s="35">
        <v>71015</v>
      </c>
      <c r="AF603" s="35" t="s">
        <v>463</v>
      </c>
      <c r="AG603" s="36">
        <v>10.042</v>
      </c>
      <c r="AI603" s="7" t="str">
        <f>VLOOKUP($AC603,Mapping!$E$11:$I$204,3,0)</f>
        <v>Replacement</v>
      </c>
      <c r="AJ603" s="7" t="str">
        <f>IFERROR(VLOOKUP($AE603,Mapping!$E$208:$K$236,5,0),"Contracts")</f>
        <v>Materials</v>
      </c>
      <c r="AK603" s="7" t="str">
        <f>IFERROR(VLOOKUP($AE603,Mapping!$E$208:$K$236,7,0),"ENDirect")</f>
        <v>ENDirect</v>
      </c>
      <c r="AL603" s="7" t="str">
        <f>IFERROR(HLOOKUP(AJ603,'Calc|Weightings'!$U$5:$W$5,1,0),"Excl")</f>
        <v>Materials</v>
      </c>
      <c r="AM603" s="7" t="str">
        <f>VLOOKUP(AC603,Mapping!$E$11:$I$204,5,0)</f>
        <v>SCS</v>
      </c>
      <c r="AO603" s="35" t="s">
        <v>187</v>
      </c>
      <c r="AP603" s="35"/>
      <c r="AQ603" s="35">
        <v>71075</v>
      </c>
      <c r="AR603" s="35" t="s">
        <v>587</v>
      </c>
      <c r="AS603" s="121">
        <v>53.589570000000016</v>
      </c>
      <c r="AU603" s="7" t="str">
        <f>VLOOKUP($AO603,Mapping!$E$11:$I$204,3,0)</f>
        <v>Replacement</v>
      </c>
      <c r="AV603" s="7" t="str">
        <f>IFERROR(VLOOKUP($AQ603,Mapping!$E$208:$K$236,5,0),"Contracts")</f>
        <v>Contracts</v>
      </c>
      <c r="AW603" s="7" t="str">
        <f>IFERROR(VLOOKUP($AQ603,Mapping!$E$208:$K$236,7,0),"ENDirect")</f>
        <v>ENDirect</v>
      </c>
      <c r="AX603" s="7" t="str">
        <f>IFERROR(HLOOKUP(AV603,'Calc|Weightings'!$U$5:$W$5,1,0),"Excl")</f>
        <v>Contracts</v>
      </c>
      <c r="AY603" s="7" t="str">
        <f>VLOOKUP(AO603,Mapping!$E$11:$I$204,5,0)</f>
        <v>SCS</v>
      </c>
    </row>
    <row r="604" spans="1:51" x14ac:dyDescent="0.3">
      <c r="A604" s="7"/>
      <c r="B604" s="7"/>
      <c r="C604" s="7"/>
      <c r="D604" s="7"/>
      <c r="E604" s="32" t="s">
        <v>244</v>
      </c>
      <c r="F604" s="32"/>
      <c r="G604" s="32">
        <v>71015</v>
      </c>
      <c r="H604" s="32" t="s">
        <v>463</v>
      </c>
      <c r="I604" s="33">
        <v>37.261000000000003</v>
      </c>
      <c r="J604" s="170"/>
      <c r="K604" s="7" t="str">
        <f>VLOOKUP($E604,Mapping!$E$11:$I$204,3,0)</f>
        <v>Replacement</v>
      </c>
      <c r="L604" s="7" t="str">
        <f>IFERROR(VLOOKUP($G604,Mapping!$E$208:$K$236,5,0),"Contracts")</f>
        <v>Materials</v>
      </c>
      <c r="M604" s="7" t="str">
        <f>IFERROR(VLOOKUP($G604,Mapping!$E$208:$K$236,7,0),"ENDirect")</f>
        <v>ENDirect</v>
      </c>
      <c r="N604" s="7" t="str">
        <f>IFERROR(HLOOKUP(L604,'Calc|Weightings'!$U$5:$W$5,1,0),"Excl")</f>
        <v>Materials</v>
      </c>
      <c r="O604" s="7" t="str">
        <f>VLOOKUP(E604,Mapping!$E$11:$I$204,5,0)</f>
        <v>SCS</v>
      </c>
      <c r="Q604" s="32" t="s">
        <v>194</v>
      </c>
      <c r="R604" s="32"/>
      <c r="S604" s="32">
        <v>71000</v>
      </c>
      <c r="T604" s="32" t="s">
        <v>457</v>
      </c>
      <c r="U604" s="33">
        <v>148.74199999999999</v>
      </c>
      <c r="V604" s="7"/>
      <c r="W604" s="7" t="str">
        <f>VLOOKUP($Q604,Mapping!$E$11:$I$204,3,0)</f>
        <v>Replacement</v>
      </c>
      <c r="X604" s="7" t="str">
        <f>IFERROR(VLOOKUP($S604,Mapping!$E$208:$K$236,5,0),"Contracts")</f>
        <v>Labour</v>
      </c>
      <c r="Y604" s="7" t="str">
        <f>IFERROR(VLOOKUP($S604,Mapping!$E$208:$K$236,7,0),"ENDirect")</f>
        <v>ENDirect</v>
      </c>
      <c r="Z604" s="7" t="str">
        <f>IFERROR(HLOOKUP(X604,'Calc|Weightings'!$U$5:$W$5,1,0),"Excl")</f>
        <v>Labour</v>
      </c>
      <c r="AA604" s="7" t="str">
        <f>VLOOKUP(Q604,Mapping!$E$11:$I$204,5,0)</f>
        <v>SCS</v>
      </c>
      <c r="AC604" s="35" t="s">
        <v>188</v>
      </c>
      <c r="AD604" s="35"/>
      <c r="AE604" s="35">
        <v>71030</v>
      </c>
      <c r="AF604" s="35" t="s">
        <v>464</v>
      </c>
      <c r="AG604" s="36">
        <v>10.832000000000001</v>
      </c>
      <c r="AI604" s="7" t="str">
        <f>VLOOKUP($AC604,Mapping!$E$11:$I$204,3,0)</f>
        <v>Replacement</v>
      </c>
      <c r="AJ604" s="7" t="str">
        <f>IFERROR(VLOOKUP($AE604,Mapping!$E$208:$K$236,5,0),"Contracts")</f>
        <v>Contracts</v>
      </c>
      <c r="AK604" s="7" t="str">
        <f>IFERROR(VLOOKUP($AE604,Mapping!$E$208:$K$236,7,0),"ENDirect")</f>
        <v>ENDirect</v>
      </c>
      <c r="AL604" s="7" t="str">
        <f>IFERROR(HLOOKUP(AJ604,'Calc|Weightings'!$U$5:$W$5,1,0),"Excl")</f>
        <v>Contracts</v>
      </c>
      <c r="AM604" s="7" t="str">
        <f>VLOOKUP(AC604,Mapping!$E$11:$I$204,5,0)</f>
        <v>SCS</v>
      </c>
      <c r="AO604" s="35" t="s">
        <v>187</v>
      </c>
      <c r="AP604" s="35"/>
      <c r="AQ604" s="35">
        <v>80000</v>
      </c>
      <c r="AR604" s="35" t="s">
        <v>589</v>
      </c>
      <c r="AS604" s="121">
        <v>95.586880000000008</v>
      </c>
      <c r="AU604" s="7" t="str">
        <f>VLOOKUP($AO604,Mapping!$E$11:$I$204,3,0)</f>
        <v>Replacement</v>
      </c>
      <c r="AV604" s="7" t="str">
        <f>IFERROR(VLOOKUP($AQ604,Mapping!$E$208:$K$236,5,0),"Contracts")</f>
        <v>Overhead</v>
      </c>
      <c r="AW604" s="7" t="str">
        <f>IFERROR(VLOOKUP($AQ604,Mapping!$E$208:$K$236,7,0),"ENDirect")</f>
        <v>OH</v>
      </c>
      <c r="AX604" s="7" t="str">
        <f>IFERROR(HLOOKUP(AV604,'Calc|Weightings'!$U$5:$W$5,1,0),"Excl")</f>
        <v>Excl</v>
      </c>
      <c r="AY604" s="7" t="str">
        <f>VLOOKUP(AO604,Mapping!$E$11:$I$204,5,0)</f>
        <v>SCS</v>
      </c>
    </row>
    <row r="605" spans="1:51" x14ac:dyDescent="0.3">
      <c r="A605" s="7"/>
      <c r="B605" s="7"/>
      <c r="C605" s="7"/>
      <c r="D605" s="7"/>
      <c r="E605" s="32" t="s">
        <v>244</v>
      </c>
      <c r="F605" s="32"/>
      <c r="G605" s="32">
        <v>71030</v>
      </c>
      <c r="H605" s="32" t="s">
        <v>464</v>
      </c>
      <c r="I605" s="33">
        <v>23.66</v>
      </c>
      <c r="J605" s="170"/>
      <c r="K605" s="7" t="str">
        <f>VLOOKUP($E605,Mapping!$E$11:$I$204,3,0)</f>
        <v>Replacement</v>
      </c>
      <c r="L605" s="7" t="str">
        <f>IFERROR(VLOOKUP($G605,Mapping!$E$208:$K$236,5,0),"Contracts")</f>
        <v>Contracts</v>
      </c>
      <c r="M605" s="7" t="str">
        <f>IFERROR(VLOOKUP($G605,Mapping!$E$208:$K$236,7,0),"ENDirect")</f>
        <v>ENDirect</v>
      </c>
      <c r="N605" s="7" t="str">
        <f>IFERROR(HLOOKUP(L605,'Calc|Weightings'!$U$5:$W$5,1,0),"Excl")</f>
        <v>Contracts</v>
      </c>
      <c r="O605" s="7" t="str">
        <f>VLOOKUP(E605,Mapping!$E$11:$I$204,5,0)</f>
        <v>SCS</v>
      </c>
      <c r="Q605" s="32" t="s">
        <v>194</v>
      </c>
      <c r="R605" s="32"/>
      <c r="S605" s="32">
        <v>71005</v>
      </c>
      <c r="T605" s="32" t="s">
        <v>461</v>
      </c>
      <c r="U605" s="33">
        <v>36.33</v>
      </c>
      <c r="V605" s="7"/>
      <c r="W605" s="7" t="str">
        <f>VLOOKUP($Q605,Mapping!$E$11:$I$204,3,0)</f>
        <v>Replacement</v>
      </c>
      <c r="X605" s="7" t="str">
        <f>IFERROR(VLOOKUP($S605,Mapping!$E$208:$K$236,5,0),"Contracts")</f>
        <v>Materials</v>
      </c>
      <c r="Y605" s="7" t="str">
        <f>IFERROR(VLOOKUP($S605,Mapping!$E$208:$K$236,7,0),"ENDirect")</f>
        <v>ENDirect</v>
      </c>
      <c r="Z605" s="7" t="str">
        <f>IFERROR(HLOOKUP(X605,'Calc|Weightings'!$U$5:$W$5,1,0),"Excl")</f>
        <v>Materials</v>
      </c>
      <c r="AA605" s="7" t="str">
        <f>VLOOKUP(Q605,Mapping!$E$11:$I$204,5,0)</f>
        <v>SCS</v>
      </c>
      <c r="AC605" s="35" t="s">
        <v>188</v>
      </c>
      <c r="AD605" s="35"/>
      <c r="AE605" s="35">
        <v>71055</v>
      </c>
      <c r="AF605" s="35" t="s">
        <v>465</v>
      </c>
      <c r="AG605" s="36">
        <v>19.350000000000001</v>
      </c>
      <c r="AI605" s="7" t="str">
        <f>VLOOKUP($AC605,Mapping!$E$11:$I$204,3,0)</f>
        <v>Replacement</v>
      </c>
      <c r="AJ605" s="7" t="str">
        <f>IFERROR(VLOOKUP($AE605,Mapping!$E$208:$K$236,5,0),"Contracts")</f>
        <v>Contracts</v>
      </c>
      <c r="AK605" s="7" t="str">
        <f>IFERROR(VLOOKUP($AE605,Mapping!$E$208:$K$236,7,0),"ENDirect")</f>
        <v>ENDirect</v>
      </c>
      <c r="AL605" s="7" t="str">
        <f>IFERROR(HLOOKUP(AJ605,'Calc|Weightings'!$U$5:$W$5,1,0),"Excl")</f>
        <v>Contracts</v>
      </c>
      <c r="AM605" s="7" t="str">
        <f>VLOOKUP(AC605,Mapping!$E$11:$I$204,5,0)</f>
        <v>SCS</v>
      </c>
      <c r="AO605" s="35" t="s">
        <v>187</v>
      </c>
      <c r="AP605" s="35"/>
      <c r="AQ605" s="35">
        <v>83010</v>
      </c>
      <c r="AR605" s="35" t="s">
        <v>591</v>
      </c>
      <c r="AS605" s="121">
        <v>438.76543999999762</v>
      </c>
      <c r="AU605" s="7" t="str">
        <f>VLOOKUP($AO605,Mapping!$E$11:$I$204,3,0)</f>
        <v>Replacement</v>
      </c>
      <c r="AV605" s="7" t="str">
        <f>IFERROR(VLOOKUP($AQ605,Mapping!$E$208:$K$236,5,0),"Contracts")</f>
        <v>Contracts</v>
      </c>
      <c r="AW605" s="7" t="str">
        <f>IFERROR(VLOOKUP($AQ605,Mapping!$E$208:$K$236,7,0),"ENDirect")</f>
        <v>ENDirect</v>
      </c>
      <c r="AX605" s="7" t="str">
        <f>IFERROR(HLOOKUP(AV605,'Calc|Weightings'!$U$5:$W$5,1,0),"Excl")</f>
        <v>Contracts</v>
      </c>
      <c r="AY605" s="7" t="str">
        <f>VLOOKUP(AO605,Mapping!$E$11:$I$204,5,0)</f>
        <v>SCS</v>
      </c>
    </row>
    <row r="606" spans="1:51" x14ac:dyDescent="0.3">
      <c r="A606" s="7"/>
      <c r="B606" s="7"/>
      <c r="C606" s="7"/>
      <c r="D606" s="7"/>
      <c r="E606" s="32" t="s">
        <v>244</v>
      </c>
      <c r="F606" s="32"/>
      <c r="G606" s="32">
        <v>71055</v>
      </c>
      <c r="H606" s="32" t="s">
        <v>465</v>
      </c>
      <c r="I606" s="33">
        <v>46.009</v>
      </c>
      <c r="J606" s="170"/>
      <c r="K606" s="7" t="str">
        <f>VLOOKUP($E606,Mapping!$E$11:$I$204,3,0)</f>
        <v>Replacement</v>
      </c>
      <c r="L606" s="7" t="str">
        <f>IFERROR(VLOOKUP($G606,Mapping!$E$208:$K$236,5,0),"Contracts")</f>
        <v>Contracts</v>
      </c>
      <c r="M606" s="7" t="str">
        <f>IFERROR(VLOOKUP($G606,Mapping!$E$208:$K$236,7,0),"ENDirect")</f>
        <v>ENDirect</v>
      </c>
      <c r="N606" s="7" t="str">
        <f>IFERROR(HLOOKUP(L606,'Calc|Weightings'!$U$5:$W$5,1,0),"Excl")</f>
        <v>Contracts</v>
      </c>
      <c r="O606" s="7" t="str">
        <f>VLOOKUP(E606,Mapping!$E$11:$I$204,5,0)</f>
        <v>SCS</v>
      </c>
      <c r="Q606" s="32" t="s">
        <v>194</v>
      </c>
      <c r="R606" s="32"/>
      <c r="S606" s="32">
        <v>71010</v>
      </c>
      <c r="T606" s="32" t="s">
        <v>462</v>
      </c>
      <c r="U606" s="33">
        <v>52.561999999999998</v>
      </c>
      <c r="V606" s="7"/>
      <c r="W606" s="7" t="str">
        <f>VLOOKUP($Q606,Mapping!$E$11:$I$204,3,0)</f>
        <v>Replacement</v>
      </c>
      <c r="X606" s="7" t="str">
        <f>IFERROR(VLOOKUP($S606,Mapping!$E$208:$K$236,5,0),"Contracts")</f>
        <v>Labour</v>
      </c>
      <c r="Y606" s="7" t="str">
        <f>IFERROR(VLOOKUP($S606,Mapping!$E$208:$K$236,7,0),"ENDirect")</f>
        <v>ENDirect</v>
      </c>
      <c r="Z606" s="7" t="str">
        <f>IFERROR(HLOOKUP(X606,'Calc|Weightings'!$U$5:$W$5,1,0),"Excl")</f>
        <v>Labour</v>
      </c>
      <c r="AA606" s="7" t="str">
        <f>VLOOKUP(Q606,Mapping!$E$11:$I$204,5,0)</f>
        <v>SCS</v>
      </c>
      <c r="AC606" s="35" t="s">
        <v>188</v>
      </c>
      <c r="AD606" s="35"/>
      <c r="AE606" s="35">
        <v>80000</v>
      </c>
      <c r="AF606" s="35" t="s">
        <v>453</v>
      </c>
      <c r="AG606" s="36">
        <v>13.866</v>
      </c>
      <c r="AI606" s="7" t="str">
        <f>VLOOKUP($AC606,Mapping!$E$11:$I$204,3,0)</f>
        <v>Replacement</v>
      </c>
      <c r="AJ606" s="7" t="str">
        <f>IFERROR(VLOOKUP($AE606,Mapping!$E$208:$K$236,5,0),"Contracts")</f>
        <v>Overhead</v>
      </c>
      <c r="AK606" s="7" t="str">
        <f>IFERROR(VLOOKUP($AE606,Mapping!$E$208:$K$236,7,0),"ENDirect")</f>
        <v>OH</v>
      </c>
      <c r="AL606" s="7" t="str">
        <f>IFERROR(HLOOKUP(AJ606,'Calc|Weightings'!$U$5:$W$5,1,0),"Excl")</f>
        <v>Excl</v>
      </c>
      <c r="AM606" s="7" t="str">
        <f>VLOOKUP(AC606,Mapping!$E$11:$I$204,5,0)</f>
        <v>SCS</v>
      </c>
      <c r="AO606" s="35" t="s">
        <v>188</v>
      </c>
      <c r="AP606" s="35"/>
      <c r="AQ606" s="35">
        <v>71000</v>
      </c>
      <c r="AR606" s="35" t="s">
        <v>457</v>
      </c>
      <c r="AS606" s="121">
        <v>1.2358100000000001</v>
      </c>
      <c r="AU606" s="7" t="str">
        <f>VLOOKUP($AO606,Mapping!$E$11:$I$204,3,0)</f>
        <v>Replacement</v>
      </c>
      <c r="AV606" s="7" t="str">
        <f>IFERROR(VLOOKUP($AQ606,Mapping!$E$208:$K$236,5,0),"Contracts")</f>
        <v>Labour</v>
      </c>
      <c r="AW606" s="7" t="str">
        <f>IFERROR(VLOOKUP($AQ606,Mapping!$E$208:$K$236,7,0),"ENDirect")</f>
        <v>ENDirect</v>
      </c>
      <c r="AX606" s="7" t="str">
        <f>IFERROR(HLOOKUP(AV606,'Calc|Weightings'!$U$5:$W$5,1,0),"Excl")</f>
        <v>Labour</v>
      </c>
      <c r="AY606" s="7" t="str">
        <f>VLOOKUP(AO606,Mapping!$E$11:$I$204,5,0)</f>
        <v>SCS</v>
      </c>
    </row>
    <row r="607" spans="1:51" x14ac:dyDescent="0.3">
      <c r="A607" s="7"/>
      <c r="B607" s="7"/>
      <c r="C607" s="7"/>
      <c r="D607" s="7"/>
      <c r="E607" s="32" t="s">
        <v>244</v>
      </c>
      <c r="F607" s="32"/>
      <c r="G607" s="32">
        <v>80000</v>
      </c>
      <c r="H607" s="32" t="s">
        <v>453</v>
      </c>
      <c r="I607" s="33">
        <v>36.262</v>
      </c>
      <c r="J607" s="170"/>
      <c r="K607" s="7" t="str">
        <f>VLOOKUP($E607,Mapping!$E$11:$I$204,3,0)</f>
        <v>Replacement</v>
      </c>
      <c r="L607" s="7" t="str">
        <f>IFERROR(VLOOKUP($G607,Mapping!$E$208:$K$236,5,0),"Contracts")</f>
        <v>Overhead</v>
      </c>
      <c r="M607" s="7" t="str">
        <f>IFERROR(VLOOKUP($G607,Mapping!$E$208:$K$236,7,0),"ENDirect")</f>
        <v>OH</v>
      </c>
      <c r="N607" s="7" t="str">
        <f>IFERROR(HLOOKUP(L607,'Calc|Weightings'!$U$5:$W$5,1,0),"Excl")</f>
        <v>Excl</v>
      </c>
      <c r="O607" s="7" t="str">
        <f>VLOOKUP(E607,Mapping!$E$11:$I$204,5,0)</f>
        <v>SCS</v>
      </c>
      <c r="Q607" s="32" t="s">
        <v>194</v>
      </c>
      <c r="R607" s="32"/>
      <c r="S607" s="32">
        <v>71015</v>
      </c>
      <c r="T607" s="32" t="s">
        <v>463</v>
      </c>
      <c r="U607" s="33">
        <v>37.290999999999997</v>
      </c>
      <c r="V607" s="7"/>
      <c r="W607" s="7" t="str">
        <f>VLOOKUP($Q607,Mapping!$E$11:$I$204,3,0)</f>
        <v>Replacement</v>
      </c>
      <c r="X607" s="7" t="str">
        <f>IFERROR(VLOOKUP($S607,Mapping!$E$208:$K$236,5,0),"Contracts")</f>
        <v>Materials</v>
      </c>
      <c r="Y607" s="7" t="str">
        <f>IFERROR(VLOOKUP($S607,Mapping!$E$208:$K$236,7,0),"ENDirect")</f>
        <v>ENDirect</v>
      </c>
      <c r="Z607" s="7" t="str">
        <f>IFERROR(HLOOKUP(X607,'Calc|Weightings'!$U$5:$W$5,1,0),"Excl")</f>
        <v>Materials</v>
      </c>
      <c r="AA607" s="7" t="str">
        <f>VLOOKUP(Q607,Mapping!$E$11:$I$204,5,0)</f>
        <v>SCS</v>
      </c>
      <c r="AC607" s="35" t="s">
        <v>188</v>
      </c>
      <c r="AD607" s="35"/>
      <c r="AE607" s="35">
        <v>89999</v>
      </c>
      <c r="AF607" s="35" t="s">
        <v>471</v>
      </c>
      <c r="AG607" s="36">
        <v>0</v>
      </c>
      <c r="AI607" s="7" t="str">
        <f>VLOOKUP($AC607,Mapping!$E$11:$I$204,3,0)</f>
        <v>Replacement</v>
      </c>
      <c r="AJ607" s="7" t="str">
        <f>IFERROR(VLOOKUP($AE607,Mapping!$E$208:$K$236,5,0),"Contracts")</f>
        <v>Contracts</v>
      </c>
      <c r="AK607" s="7" t="str">
        <f>IFERROR(VLOOKUP($AE607,Mapping!$E$208:$K$236,7,0),"ENDirect")</f>
        <v>ENDirect</v>
      </c>
      <c r="AL607" s="7" t="str">
        <f>IFERROR(HLOOKUP(AJ607,'Calc|Weightings'!$U$5:$W$5,1,0),"Excl")</f>
        <v>Contracts</v>
      </c>
      <c r="AM607" s="7" t="str">
        <f>VLOOKUP(AC607,Mapping!$E$11:$I$204,5,0)</f>
        <v>SCS</v>
      </c>
      <c r="AO607" s="35" t="s">
        <v>188</v>
      </c>
      <c r="AP607" s="35"/>
      <c r="AQ607" s="35">
        <v>71005</v>
      </c>
      <c r="AR607" s="35" t="s">
        <v>461</v>
      </c>
      <c r="AS607" s="121">
        <v>1.02627</v>
      </c>
      <c r="AU607" s="7" t="str">
        <f>VLOOKUP($AO607,Mapping!$E$11:$I$204,3,0)</f>
        <v>Replacement</v>
      </c>
      <c r="AV607" s="7" t="str">
        <f>IFERROR(VLOOKUP($AQ607,Mapping!$E$208:$K$236,5,0),"Contracts")</f>
        <v>Materials</v>
      </c>
      <c r="AW607" s="7" t="str">
        <f>IFERROR(VLOOKUP($AQ607,Mapping!$E$208:$K$236,7,0),"ENDirect")</f>
        <v>ENDirect</v>
      </c>
      <c r="AX607" s="7" t="str">
        <f>IFERROR(HLOOKUP(AV607,'Calc|Weightings'!$U$5:$W$5,1,0),"Excl")</f>
        <v>Materials</v>
      </c>
      <c r="AY607" s="7" t="str">
        <f>VLOOKUP(AO607,Mapping!$E$11:$I$204,5,0)</f>
        <v>SCS</v>
      </c>
    </row>
    <row r="608" spans="1:51" x14ac:dyDescent="0.3">
      <c r="A608" s="7"/>
      <c r="B608" s="7"/>
      <c r="C608" s="7"/>
      <c r="D608" s="7"/>
      <c r="E608" s="32" t="s">
        <v>139</v>
      </c>
      <c r="F608" s="32"/>
      <c r="G608" s="32">
        <v>71000</v>
      </c>
      <c r="H608" s="32" t="s">
        <v>457</v>
      </c>
      <c r="I608" s="33">
        <v>5.5010000000000003</v>
      </c>
      <c r="J608" s="170"/>
      <c r="K608" s="7" t="str">
        <f>VLOOKUP($E608,Mapping!$E$11:$I$204,3,0)</f>
        <v>ACS</v>
      </c>
      <c r="L608" s="7" t="str">
        <f>IFERROR(VLOOKUP($G608,Mapping!$E$208:$K$236,5,0),"Contracts")</f>
        <v>Labour</v>
      </c>
      <c r="M608" s="7" t="str">
        <f>IFERROR(VLOOKUP($G608,Mapping!$E$208:$K$236,7,0),"ENDirect")</f>
        <v>ENDirect</v>
      </c>
      <c r="N608" s="7" t="str">
        <f>IFERROR(HLOOKUP(L608,'Calc|Weightings'!$U$5:$W$5,1,0),"Excl")</f>
        <v>Labour</v>
      </c>
      <c r="O608" s="7" t="str">
        <f>VLOOKUP(E608,Mapping!$E$11:$I$204,5,0)</f>
        <v>ACS</v>
      </c>
      <c r="Q608" s="32" t="s">
        <v>194</v>
      </c>
      <c r="R608" s="32"/>
      <c r="S608" s="32">
        <v>71030</v>
      </c>
      <c r="T608" s="32" t="s">
        <v>464</v>
      </c>
      <c r="U608" s="33">
        <v>21.972999999999999</v>
      </c>
      <c r="V608" s="7"/>
      <c r="W608" s="7" t="str">
        <f>VLOOKUP($Q608,Mapping!$E$11:$I$204,3,0)</f>
        <v>Replacement</v>
      </c>
      <c r="X608" s="7" t="str">
        <f>IFERROR(VLOOKUP($S608,Mapping!$E$208:$K$236,5,0),"Contracts")</f>
        <v>Contracts</v>
      </c>
      <c r="Y608" s="7" t="str">
        <f>IFERROR(VLOOKUP($S608,Mapping!$E$208:$K$236,7,0),"ENDirect")</f>
        <v>ENDirect</v>
      </c>
      <c r="Z608" s="7" t="str">
        <f>IFERROR(HLOOKUP(X608,'Calc|Weightings'!$U$5:$W$5,1,0),"Excl")</f>
        <v>Contracts</v>
      </c>
      <c r="AA608" s="7" t="str">
        <f>VLOOKUP(Q608,Mapping!$E$11:$I$204,5,0)</f>
        <v>SCS</v>
      </c>
      <c r="AC608" s="35" t="s">
        <v>189</v>
      </c>
      <c r="AD608" s="35"/>
      <c r="AE608" s="35">
        <v>71000</v>
      </c>
      <c r="AF608" s="35" t="s">
        <v>457</v>
      </c>
      <c r="AG608" s="36">
        <v>98.367000000000004</v>
      </c>
      <c r="AI608" s="7" t="str">
        <f>VLOOKUP($AC608,Mapping!$E$11:$I$204,3,0)</f>
        <v>Replacement</v>
      </c>
      <c r="AJ608" s="7" t="str">
        <f>IFERROR(VLOOKUP($AE608,Mapping!$E$208:$K$236,5,0),"Contracts")</f>
        <v>Labour</v>
      </c>
      <c r="AK608" s="7" t="str">
        <f>IFERROR(VLOOKUP($AE608,Mapping!$E$208:$K$236,7,0),"ENDirect")</f>
        <v>ENDirect</v>
      </c>
      <c r="AL608" s="7" t="str">
        <f>IFERROR(HLOOKUP(AJ608,'Calc|Weightings'!$U$5:$W$5,1,0),"Excl")</f>
        <v>Labour</v>
      </c>
      <c r="AM608" s="7" t="str">
        <f>VLOOKUP(AC608,Mapping!$E$11:$I$204,5,0)</f>
        <v>SCS</v>
      </c>
      <c r="AO608" s="35" t="s">
        <v>188</v>
      </c>
      <c r="AP608" s="35"/>
      <c r="AQ608" s="35">
        <v>71010</v>
      </c>
      <c r="AR608" s="35" t="s">
        <v>487</v>
      </c>
      <c r="AS608" s="121">
        <v>8.0060099999999998</v>
      </c>
      <c r="AU608" s="7" t="str">
        <f>VLOOKUP($AO608,Mapping!$E$11:$I$204,3,0)</f>
        <v>Replacement</v>
      </c>
      <c r="AV608" s="7" t="str">
        <f>IFERROR(VLOOKUP($AQ608,Mapping!$E$208:$K$236,5,0),"Contracts")</f>
        <v>Labour</v>
      </c>
      <c r="AW608" s="7" t="str">
        <f>IFERROR(VLOOKUP($AQ608,Mapping!$E$208:$K$236,7,0),"ENDirect")</f>
        <v>ENDirect</v>
      </c>
      <c r="AX608" s="7" t="str">
        <f>IFERROR(HLOOKUP(AV608,'Calc|Weightings'!$U$5:$W$5,1,0),"Excl")</f>
        <v>Labour</v>
      </c>
      <c r="AY608" s="7" t="str">
        <f>VLOOKUP(AO608,Mapping!$E$11:$I$204,5,0)</f>
        <v>SCS</v>
      </c>
    </row>
    <row r="609" spans="1:51" x14ac:dyDescent="0.3">
      <c r="A609" s="7"/>
      <c r="B609" s="7"/>
      <c r="C609" s="7"/>
      <c r="D609" s="7"/>
      <c r="E609" s="32" t="s">
        <v>139</v>
      </c>
      <c r="F609" s="32"/>
      <c r="G609" s="32">
        <v>71010</v>
      </c>
      <c r="H609" s="32" t="s">
        <v>462</v>
      </c>
      <c r="I609" s="33">
        <v>0.123</v>
      </c>
      <c r="J609" s="170"/>
      <c r="K609" s="7" t="str">
        <f>VLOOKUP($E609,Mapping!$E$11:$I$204,3,0)</f>
        <v>ACS</v>
      </c>
      <c r="L609" s="7" t="str">
        <f>IFERROR(VLOOKUP($G609,Mapping!$E$208:$K$236,5,0),"Contracts")</f>
        <v>Labour</v>
      </c>
      <c r="M609" s="7" t="str">
        <f>IFERROR(VLOOKUP($G609,Mapping!$E$208:$K$236,7,0),"ENDirect")</f>
        <v>ENDirect</v>
      </c>
      <c r="N609" s="7" t="str">
        <f>IFERROR(HLOOKUP(L609,'Calc|Weightings'!$U$5:$W$5,1,0),"Excl")</f>
        <v>Labour</v>
      </c>
      <c r="O609" s="7" t="str">
        <f>VLOOKUP(E609,Mapping!$E$11:$I$204,5,0)</f>
        <v>ACS</v>
      </c>
      <c r="Q609" s="32" t="s">
        <v>194</v>
      </c>
      <c r="R609" s="32"/>
      <c r="S609" s="32">
        <v>71055</v>
      </c>
      <c r="T609" s="32" t="s">
        <v>465</v>
      </c>
      <c r="U609" s="33">
        <v>38.968000000000004</v>
      </c>
      <c r="V609" s="7"/>
      <c r="W609" s="7" t="str">
        <f>VLOOKUP($Q609,Mapping!$E$11:$I$204,3,0)</f>
        <v>Replacement</v>
      </c>
      <c r="X609" s="7" t="str">
        <f>IFERROR(VLOOKUP($S609,Mapping!$E$208:$K$236,5,0),"Contracts")</f>
        <v>Contracts</v>
      </c>
      <c r="Y609" s="7" t="str">
        <f>IFERROR(VLOOKUP($S609,Mapping!$E$208:$K$236,7,0),"ENDirect")</f>
        <v>ENDirect</v>
      </c>
      <c r="Z609" s="7" t="str">
        <f>IFERROR(HLOOKUP(X609,'Calc|Weightings'!$U$5:$W$5,1,0),"Excl")</f>
        <v>Contracts</v>
      </c>
      <c r="AA609" s="7" t="str">
        <f>VLOOKUP(Q609,Mapping!$E$11:$I$204,5,0)</f>
        <v>SCS</v>
      </c>
      <c r="AC609" s="35" t="s">
        <v>189</v>
      </c>
      <c r="AD609" s="35"/>
      <c r="AE609" s="35">
        <v>71005</v>
      </c>
      <c r="AF609" s="35" t="s">
        <v>461</v>
      </c>
      <c r="AG609" s="36">
        <v>24.515999999999998</v>
      </c>
      <c r="AI609" s="7" t="str">
        <f>VLOOKUP($AC609,Mapping!$E$11:$I$204,3,0)</f>
        <v>Replacement</v>
      </c>
      <c r="AJ609" s="7" t="str">
        <f>IFERROR(VLOOKUP($AE609,Mapping!$E$208:$K$236,5,0),"Contracts")</f>
        <v>Materials</v>
      </c>
      <c r="AK609" s="7" t="str">
        <f>IFERROR(VLOOKUP($AE609,Mapping!$E$208:$K$236,7,0),"ENDirect")</f>
        <v>ENDirect</v>
      </c>
      <c r="AL609" s="7" t="str">
        <f>IFERROR(HLOOKUP(AJ609,'Calc|Weightings'!$U$5:$W$5,1,0),"Excl")</f>
        <v>Materials</v>
      </c>
      <c r="AM609" s="7" t="str">
        <f>VLOOKUP(AC609,Mapping!$E$11:$I$204,5,0)</f>
        <v>SCS</v>
      </c>
      <c r="AO609" s="35" t="s">
        <v>188</v>
      </c>
      <c r="AP609" s="35"/>
      <c r="AQ609" s="35">
        <v>71015</v>
      </c>
      <c r="AR609" s="35" t="s">
        <v>585</v>
      </c>
      <c r="AS609" s="121">
        <v>0.46939999999999998</v>
      </c>
      <c r="AU609" s="7" t="str">
        <f>VLOOKUP($AO609,Mapping!$E$11:$I$204,3,0)</f>
        <v>Replacement</v>
      </c>
      <c r="AV609" s="7" t="str">
        <f>IFERROR(VLOOKUP($AQ609,Mapping!$E$208:$K$236,5,0),"Contracts")</f>
        <v>Materials</v>
      </c>
      <c r="AW609" s="7" t="str">
        <f>IFERROR(VLOOKUP($AQ609,Mapping!$E$208:$K$236,7,0),"ENDirect")</f>
        <v>ENDirect</v>
      </c>
      <c r="AX609" s="7" t="str">
        <f>IFERROR(HLOOKUP(AV609,'Calc|Weightings'!$U$5:$W$5,1,0),"Excl")</f>
        <v>Materials</v>
      </c>
      <c r="AY609" s="7" t="str">
        <f>VLOOKUP(AO609,Mapping!$E$11:$I$204,5,0)</f>
        <v>SCS</v>
      </c>
    </row>
    <row r="610" spans="1:51" x14ac:dyDescent="0.3">
      <c r="A610" s="7"/>
      <c r="B610" s="7"/>
      <c r="C610" s="7"/>
      <c r="D610" s="7"/>
      <c r="E610" s="32" t="s">
        <v>139</v>
      </c>
      <c r="F610" s="32"/>
      <c r="G610" s="32">
        <v>71030</v>
      </c>
      <c r="H610" s="32" t="s">
        <v>464</v>
      </c>
      <c r="I610" s="33">
        <v>0.11600000000000001</v>
      </c>
      <c r="J610" s="170"/>
      <c r="K610" s="7" t="str">
        <f>VLOOKUP($E610,Mapping!$E$11:$I$204,3,0)</f>
        <v>ACS</v>
      </c>
      <c r="L610" s="7" t="str">
        <f>IFERROR(VLOOKUP($G610,Mapping!$E$208:$K$236,5,0),"Contracts")</f>
        <v>Contracts</v>
      </c>
      <c r="M610" s="7" t="str">
        <f>IFERROR(VLOOKUP($G610,Mapping!$E$208:$K$236,7,0),"ENDirect")</f>
        <v>ENDirect</v>
      </c>
      <c r="N610" s="7" t="str">
        <f>IFERROR(HLOOKUP(L610,'Calc|Weightings'!$U$5:$W$5,1,0),"Excl")</f>
        <v>Contracts</v>
      </c>
      <c r="O610" s="7" t="str">
        <f>VLOOKUP(E610,Mapping!$E$11:$I$204,5,0)</f>
        <v>ACS</v>
      </c>
      <c r="Q610" s="32" t="s">
        <v>194</v>
      </c>
      <c r="R610" s="32"/>
      <c r="S610" s="32">
        <v>80000</v>
      </c>
      <c r="T610" s="32" t="s">
        <v>453</v>
      </c>
      <c r="U610" s="33">
        <v>42.116999999999997</v>
      </c>
      <c r="V610" s="7"/>
      <c r="W610" s="7" t="str">
        <f>VLOOKUP($Q610,Mapping!$E$11:$I$204,3,0)</f>
        <v>Replacement</v>
      </c>
      <c r="X610" s="7" t="str">
        <f>IFERROR(VLOOKUP($S610,Mapping!$E$208:$K$236,5,0),"Contracts")</f>
        <v>Overhead</v>
      </c>
      <c r="Y610" s="7" t="str">
        <f>IFERROR(VLOOKUP($S610,Mapping!$E$208:$K$236,7,0),"ENDirect")</f>
        <v>OH</v>
      </c>
      <c r="Z610" s="7" t="str">
        <f>IFERROR(HLOOKUP(X610,'Calc|Weightings'!$U$5:$W$5,1,0),"Excl")</f>
        <v>Excl</v>
      </c>
      <c r="AA610" s="7" t="str">
        <f>VLOOKUP(Q610,Mapping!$E$11:$I$204,5,0)</f>
        <v>SCS</v>
      </c>
      <c r="AC610" s="35" t="s">
        <v>189</v>
      </c>
      <c r="AD610" s="35"/>
      <c r="AE610" s="35">
        <v>71010</v>
      </c>
      <c r="AF610" s="35" t="s">
        <v>462</v>
      </c>
      <c r="AG610" s="36">
        <v>19.210999999999999</v>
      </c>
      <c r="AI610" s="7" t="str">
        <f>VLOOKUP($AC610,Mapping!$E$11:$I$204,3,0)</f>
        <v>Replacement</v>
      </c>
      <c r="AJ610" s="7" t="str">
        <f>IFERROR(VLOOKUP($AE610,Mapping!$E$208:$K$236,5,0),"Contracts")</f>
        <v>Labour</v>
      </c>
      <c r="AK610" s="7" t="str">
        <f>IFERROR(VLOOKUP($AE610,Mapping!$E$208:$K$236,7,0),"ENDirect")</f>
        <v>ENDirect</v>
      </c>
      <c r="AL610" s="7" t="str">
        <f>IFERROR(HLOOKUP(AJ610,'Calc|Weightings'!$U$5:$W$5,1,0),"Excl")</f>
        <v>Labour</v>
      </c>
      <c r="AM610" s="7" t="str">
        <f>VLOOKUP(AC610,Mapping!$E$11:$I$204,5,0)</f>
        <v>SCS</v>
      </c>
      <c r="AO610" s="35" t="s">
        <v>188</v>
      </c>
      <c r="AP610" s="35"/>
      <c r="AQ610" s="35">
        <v>71030</v>
      </c>
      <c r="AR610" s="35" t="s">
        <v>464</v>
      </c>
      <c r="AS610" s="121">
        <v>0.80562000000000011</v>
      </c>
      <c r="AU610" s="7" t="str">
        <f>VLOOKUP($AO610,Mapping!$E$11:$I$204,3,0)</f>
        <v>Replacement</v>
      </c>
      <c r="AV610" s="7" t="str">
        <f>IFERROR(VLOOKUP($AQ610,Mapping!$E$208:$K$236,5,0),"Contracts")</f>
        <v>Contracts</v>
      </c>
      <c r="AW610" s="7" t="str">
        <f>IFERROR(VLOOKUP($AQ610,Mapping!$E$208:$K$236,7,0),"ENDirect")</f>
        <v>ENDirect</v>
      </c>
      <c r="AX610" s="7" t="str">
        <f>IFERROR(HLOOKUP(AV610,'Calc|Weightings'!$U$5:$W$5,1,0),"Excl")</f>
        <v>Contracts</v>
      </c>
      <c r="AY610" s="7" t="str">
        <f>VLOOKUP(AO610,Mapping!$E$11:$I$204,5,0)</f>
        <v>SCS</v>
      </c>
    </row>
    <row r="611" spans="1:51" x14ac:dyDescent="0.3">
      <c r="A611" s="7"/>
      <c r="B611" s="7"/>
      <c r="C611" s="7"/>
      <c r="D611" s="7"/>
      <c r="E611" s="32" t="s">
        <v>139</v>
      </c>
      <c r="F611" s="32"/>
      <c r="G611" s="32">
        <v>80000</v>
      </c>
      <c r="H611" s="32" t="s">
        <v>453</v>
      </c>
      <c r="I611" s="33">
        <v>0.187</v>
      </c>
      <c r="J611" s="170"/>
      <c r="K611" s="7" t="str">
        <f>VLOOKUP($E611,Mapping!$E$11:$I$204,3,0)</f>
        <v>ACS</v>
      </c>
      <c r="L611" s="7" t="str">
        <f>IFERROR(VLOOKUP($G611,Mapping!$E$208:$K$236,5,0),"Contracts")</f>
        <v>Overhead</v>
      </c>
      <c r="M611" s="7" t="str">
        <f>IFERROR(VLOOKUP($G611,Mapping!$E$208:$K$236,7,0),"ENDirect")</f>
        <v>OH</v>
      </c>
      <c r="N611" s="7" t="str">
        <f>IFERROR(HLOOKUP(L611,'Calc|Weightings'!$U$5:$W$5,1,0),"Excl")</f>
        <v>Excl</v>
      </c>
      <c r="O611" s="7" t="str">
        <f>VLOOKUP(E611,Mapping!$E$11:$I$204,5,0)</f>
        <v>ACS</v>
      </c>
      <c r="Q611" s="32" t="s">
        <v>194</v>
      </c>
      <c r="R611" s="32"/>
      <c r="S611" s="32">
        <v>89999</v>
      </c>
      <c r="T611" s="32" t="s">
        <v>471</v>
      </c>
      <c r="U611" s="33">
        <v>0</v>
      </c>
      <c r="V611" s="7"/>
      <c r="W611" s="7" t="str">
        <f>VLOOKUP($Q611,Mapping!$E$11:$I$204,3,0)</f>
        <v>Replacement</v>
      </c>
      <c r="X611" s="7" t="str">
        <f>IFERROR(VLOOKUP($S611,Mapping!$E$208:$K$236,5,0),"Contracts")</f>
        <v>Contracts</v>
      </c>
      <c r="Y611" s="7" t="str">
        <f>IFERROR(VLOOKUP($S611,Mapping!$E$208:$K$236,7,0),"ENDirect")</f>
        <v>ENDirect</v>
      </c>
      <c r="Z611" s="7" t="str">
        <f>IFERROR(HLOOKUP(X611,'Calc|Weightings'!$U$5:$W$5,1,0),"Excl")</f>
        <v>Contracts</v>
      </c>
      <c r="AA611" s="7" t="str">
        <f>VLOOKUP(Q611,Mapping!$E$11:$I$204,5,0)</f>
        <v>SCS</v>
      </c>
      <c r="AC611" s="35" t="s">
        <v>189</v>
      </c>
      <c r="AD611" s="35"/>
      <c r="AE611" s="35">
        <v>71015</v>
      </c>
      <c r="AF611" s="35" t="s">
        <v>463</v>
      </c>
      <c r="AG611" s="36">
        <v>23.997</v>
      </c>
      <c r="AI611" s="7" t="str">
        <f>VLOOKUP($AC611,Mapping!$E$11:$I$204,3,0)</f>
        <v>Replacement</v>
      </c>
      <c r="AJ611" s="7" t="str">
        <f>IFERROR(VLOOKUP($AE611,Mapping!$E$208:$K$236,5,0),"Contracts")</f>
        <v>Materials</v>
      </c>
      <c r="AK611" s="7" t="str">
        <f>IFERROR(VLOOKUP($AE611,Mapping!$E$208:$K$236,7,0),"ENDirect")</f>
        <v>ENDirect</v>
      </c>
      <c r="AL611" s="7" t="str">
        <f>IFERROR(HLOOKUP(AJ611,'Calc|Weightings'!$U$5:$W$5,1,0),"Excl")</f>
        <v>Materials</v>
      </c>
      <c r="AM611" s="7" t="str">
        <f>VLOOKUP(AC611,Mapping!$E$11:$I$204,5,0)</f>
        <v>SCS</v>
      </c>
      <c r="AO611" s="35" t="s">
        <v>188</v>
      </c>
      <c r="AP611" s="35"/>
      <c r="AQ611" s="35">
        <v>71055</v>
      </c>
      <c r="AR611" s="35" t="s">
        <v>465</v>
      </c>
      <c r="AS611" s="121">
        <v>0.77079999999999993</v>
      </c>
      <c r="AU611" s="7" t="str">
        <f>VLOOKUP($AO611,Mapping!$E$11:$I$204,3,0)</f>
        <v>Replacement</v>
      </c>
      <c r="AV611" s="7" t="str">
        <f>IFERROR(VLOOKUP($AQ611,Mapping!$E$208:$K$236,5,0),"Contracts")</f>
        <v>Contracts</v>
      </c>
      <c r="AW611" s="7" t="str">
        <f>IFERROR(VLOOKUP($AQ611,Mapping!$E$208:$K$236,7,0),"ENDirect")</f>
        <v>ENDirect</v>
      </c>
      <c r="AX611" s="7" t="str">
        <f>IFERROR(HLOOKUP(AV611,'Calc|Weightings'!$U$5:$W$5,1,0),"Excl")</f>
        <v>Contracts</v>
      </c>
      <c r="AY611" s="7" t="str">
        <f>VLOOKUP(AO611,Mapping!$E$11:$I$204,5,0)</f>
        <v>SCS</v>
      </c>
    </row>
    <row r="612" spans="1:51" x14ac:dyDescent="0.3">
      <c r="A612" s="7"/>
      <c r="B612" s="7"/>
      <c r="C612" s="7"/>
      <c r="D612" s="7"/>
      <c r="E612" s="32" t="s">
        <v>109</v>
      </c>
      <c r="F612" s="32"/>
      <c r="G612" s="32">
        <v>71000</v>
      </c>
      <c r="H612" s="32" t="s">
        <v>457</v>
      </c>
      <c r="I612" s="33">
        <v>3.496</v>
      </c>
      <c r="J612" s="170"/>
      <c r="K612" s="7" t="str">
        <f>VLOOKUP($E612,Mapping!$E$11:$I$204,3,0)</f>
        <v>Public Lighting</v>
      </c>
      <c r="L612" s="7" t="str">
        <f>IFERROR(VLOOKUP($G612,Mapping!$E$208:$K$236,5,0),"Contracts")</f>
        <v>Labour</v>
      </c>
      <c r="M612" s="7" t="str">
        <f>IFERROR(VLOOKUP($G612,Mapping!$E$208:$K$236,7,0),"ENDirect")</f>
        <v>ENDirect</v>
      </c>
      <c r="N612" s="7" t="str">
        <f>IFERROR(HLOOKUP(L612,'Calc|Weightings'!$U$5:$W$5,1,0),"Excl")</f>
        <v>Labour</v>
      </c>
      <c r="O612" s="7" t="str">
        <f>VLOOKUP(E612,Mapping!$E$11:$I$204,5,0)</f>
        <v>Public Lighting</v>
      </c>
      <c r="Q612" s="32" t="s">
        <v>197</v>
      </c>
      <c r="R612" s="32"/>
      <c r="S612" s="32">
        <v>71000</v>
      </c>
      <c r="T612" s="32" t="s">
        <v>457</v>
      </c>
      <c r="U612" s="33">
        <v>69.650999999999996</v>
      </c>
      <c r="V612" s="7"/>
      <c r="W612" s="7" t="str">
        <f>VLOOKUP($Q612,Mapping!$E$11:$I$204,3,0)</f>
        <v>Replacement</v>
      </c>
      <c r="X612" s="7" t="str">
        <f>IFERROR(VLOOKUP($S612,Mapping!$E$208:$K$236,5,0),"Contracts")</f>
        <v>Labour</v>
      </c>
      <c r="Y612" s="7" t="str">
        <f>IFERROR(VLOOKUP($S612,Mapping!$E$208:$K$236,7,0),"ENDirect")</f>
        <v>ENDirect</v>
      </c>
      <c r="Z612" s="7" t="str">
        <f>IFERROR(HLOOKUP(X612,'Calc|Weightings'!$U$5:$W$5,1,0),"Excl")</f>
        <v>Labour</v>
      </c>
      <c r="AA612" s="7" t="str">
        <f>VLOOKUP(Q612,Mapping!$E$11:$I$204,5,0)</f>
        <v>SCS</v>
      </c>
      <c r="AC612" s="35" t="s">
        <v>189</v>
      </c>
      <c r="AD612" s="35"/>
      <c r="AE612" s="35">
        <v>71030</v>
      </c>
      <c r="AF612" s="35" t="s">
        <v>464</v>
      </c>
      <c r="AG612" s="36">
        <v>13.29</v>
      </c>
      <c r="AI612" s="7" t="str">
        <f>VLOOKUP($AC612,Mapping!$E$11:$I$204,3,0)</f>
        <v>Replacement</v>
      </c>
      <c r="AJ612" s="7" t="str">
        <f>IFERROR(VLOOKUP($AE612,Mapping!$E$208:$K$236,5,0),"Contracts")</f>
        <v>Contracts</v>
      </c>
      <c r="AK612" s="7" t="str">
        <f>IFERROR(VLOOKUP($AE612,Mapping!$E$208:$K$236,7,0),"ENDirect")</f>
        <v>ENDirect</v>
      </c>
      <c r="AL612" s="7" t="str">
        <f>IFERROR(HLOOKUP(AJ612,'Calc|Weightings'!$U$5:$W$5,1,0),"Excl")</f>
        <v>Contracts</v>
      </c>
      <c r="AM612" s="7" t="str">
        <f>VLOOKUP(AC612,Mapping!$E$11:$I$204,5,0)</f>
        <v>SCS</v>
      </c>
      <c r="AO612" s="35" t="s">
        <v>188</v>
      </c>
      <c r="AP612" s="35"/>
      <c r="AQ612" s="35">
        <v>71070</v>
      </c>
      <c r="AR612" s="35" t="s">
        <v>586</v>
      </c>
      <c r="AS612" s="121">
        <v>7.0036400000000008</v>
      </c>
      <c r="AU612" s="7" t="str">
        <f>VLOOKUP($AO612,Mapping!$E$11:$I$204,3,0)</f>
        <v>Replacement</v>
      </c>
      <c r="AV612" s="7" t="str">
        <f>IFERROR(VLOOKUP($AQ612,Mapping!$E$208:$K$236,5,0),"Contracts")</f>
        <v>Contracts</v>
      </c>
      <c r="AW612" s="7" t="str">
        <f>IFERROR(VLOOKUP($AQ612,Mapping!$E$208:$K$236,7,0),"ENDirect")</f>
        <v>ENDirect</v>
      </c>
      <c r="AX612" s="7" t="str">
        <f>IFERROR(HLOOKUP(AV612,'Calc|Weightings'!$U$5:$W$5,1,0),"Excl")</f>
        <v>Contracts</v>
      </c>
      <c r="AY612" s="7" t="str">
        <f>VLOOKUP(AO612,Mapping!$E$11:$I$204,5,0)</f>
        <v>SCS</v>
      </c>
    </row>
    <row r="613" spans="1:51" x14ac:dyDescent="0.3">
      <c r="A613" s="7"/>
      <c r="B613" s="7"/>
      <c r="C613" s="7"/>
      <c r="D613" s="7"/>
      <c r="E613" s="32" t="s">
        <v>109</v>
      </c>
      <c r="F613" s="32"/>
      <c r="G613" s="32">
        <v>71005</v>
      </c>
      <c r="H613" s="32" t="s">
        <v>461</v>
      </c>
      <c r="I613" s="33">
        <v>6.2930000000000001</v>
      </c>
      <c r="J613" s="170"/>
      <c r="K613" s="7" t="str">
        <f>VLOOKUP($E613,Mapping!$E$11:$I$204,3,0)</f>
        <v>Public Lighting</v>
      </c>
      <c r="L613" s="7" t="str">
        <f>IFERROR(VLOOKUP($G613,Mapping!$E$208:$K$236,5,0),"Contracts")</f>
        <v>Materials</v>
      </c>
      <c r="M613" s="7" t="str">
        <f>IFERROR(VLOOKUP($G613,Mapping!$E$208:$K$236,7,0),"ENDirect")</f>
        <v>ENDirect</v>
      </c>
      <c r="N613" s="7" t="str">
        <f>IFERROR(HLOOKUP(L613,'Calc|Weightings'!$U$5:$W$5,1,0),"Excl")</f>
        <v>Materials</v>
      </c>
      <c r="O613" s="7" t="str">
        <f>VLOOKUP(E613,Mapping!$E$11:$I$204,5,0)</f>
        <v>Public Lighting</v>
      </c>
      <c r="Q613" s="32" t="s">
        <v>197</v>
      </c>
      <c r="R613" s="32"/>
      <c r="S613" s="32">
        <v>71005</v>
      </c>
      <c r="T613" s="32" t="s">
        <v>461</v>
      </c>
      <c r="U613" s="33">
        <v>31.58</v>
      </c>
      <c r="V613" s="7"/>
      <c r="W613" s="7" t="str">
        <f>VLOOKUP($Q613,Mapping!$E$11:$I$204,3,0)</f>
        <v>Replacement</v>
      </c>
      <c r="X613" s="7" t="str">
        <f>IFERROR(VLOOKUP($S613,Mapping!$E$208:$K$236,5,0),"Contracts")</f>
        <v>Materials</v>
      </c>
      <c r="Y613" s="7" t="str">
        <f>IFERROR(VLOOKUP($S613,Mapping!$E$208:$K$236,7,0),"ENDirect")</f>
        <v>ENDirect</v>
      </c>
      <c r="Z613" s="7" t="str">
        <f>IFERROR(HLOOKUP(X613,'Calc|Weightings'!$U$5:$W$5,1,0),"Excl")</f>
        <v>Materials</v>
      </c>
      <c r="AA613" s="7" t="str">
        <f>VLOOKUP(Q613,Mapping!$E$11:$I$204,5,0)</f>
        <v>SCS</v>
      </c>
      <c r="AC613" s="35" t="s">
        <v>189</v>
      </c>
      <c r="AD613" s="35"/>
      <c r="AE613" s="35">
        <v>71055</v>
      </c>
      <c r="AF613" s="35" t="s">
        <v>465</v>
      </c>
      <c r="AG613" s="36">
        <v>25.826000000000001</v>
      </c>
      <c r="AI613" s="7" t="str">
        <f>VLOOKUP($AC613,Mapping!$E$11:$I$204,3,0)</f>
        <v>Replacement</v>
      </c>
      <c r="AJ613" s="7" t="str">
        <f>IFERROR(VLOOKUP($AE613,Mapping!$E$208:$K$236,5,0),"Contracts")</f>
        <v>Contracts</v>
      </c>
      <c r="AK613" s="7" t="str">
        <f>IFERROR(VLOOKUP($AE613,Mapping!$E$208:$K$236,7,0),"ENDirect")</f>
        <v>ENDirect</v>
      </c>
      <c r="AL613" s="7" t="str">
        <f>IFERROR(HLOOKUP(AJ613,'Calc|Weightings'!$U$5:$W$5,1,0),"Excl")</f>
        <v>Contracts</v>
      </c>
      <c r="AM613" s="7" t="str">
        <f>VLOOKUP(AC613,Mapping!$E$11:$I$204,5,0)</f>
        <v>SCS</v>
      </c>
      <c r="AO613" s="35" t="s">
        <v>188</v>
      </c>
      <c r="AP613" s="35"/>
      <c r="AQ613" s="35">
        <v>71075</v>
      </c>
      <c r="AR613" s="35" t="s">
        <v>587</v>
      </c>
      <c r="AS613" s="121">
        <v>6.4953400000000006</v>
      </c>
      <c r="AU613" s="7" t="str">
        <f>VLOOKUP($AO613,Mapping!$E$11:$I$204,3,0)</f>
        <v>Replacement</v>
      </c>
      <c r="AV613" s="7" t="str">
        <f>IFERROR(VLOOKUP($AQ613,Mapping!$E$208:$K$236,5,0),"Contracts")</f>
        <v>Contracts</v>
      </c>
      <c r="AW613" s="7" t="str">
        <f>IFERROR(VLOOKUP($AQ613,Mapping!$E$208:$K$236,7,0),"ENDirect")</f>
        <v>ENDirect</v>
      </c>
      <c r="AX613" s="7" t="str">
        <f>IFERROR(HLOOKUP(AV613,'Calc|Weightings'!$U$5:$W$5,1,0),"Excl")</f>
        <v>Contracts</v>
      </c>
      <c r="AY613" s="7" t="str">
        <f>VLOOKUP(AO613,Mapping!$E$11:$I$204,5,0)</f>
        <v>SCS</v>
      </c>
    </row>
    <row r="614" spans="1:51" x14ac:dyDescent="0.3">
      <c r="A614" s="7"/>
      <c r="B614" s="7"/>
      <c r="C614" s="7"/>
      <c r="D614" s="7"/>
      <c r="E614" s="32" t="s">
        <v>109</v>
      </c>
      <c r="F614" s="32"/>
      <c r="G614" s="32">
        <v>71010</v>
      </c>
      <c r="H614" s="32" t="s">
        <v>462</v>
      </c>
      <c r="I614" s="33">
        <v>8.3550000000000004</v>
      </c>
      <c r="J614" s="170"/>
      <c r="K614" s="7" t="str">
        <f>VLOOKUP($E614,Mapping!$E$11:$I$204,3,0)</f>
        <v>Public Lighting</v>
      </c>
      <c r="L614" s="7" t="str">
        <f>IFERROR(VLOOKUP($G614,Mapping!$E$208:$K$236,5,0),"Contracts")</f>
        <v>Labour</v>
      </c>
      <c r="M614" s="7" t="str">
        <f>IFERROR(VLOOKUP($G614,Mapping!$E$208:$K$236,7,0),"ENDirect")</f>
        <v>ENDirect</v>
      </c>
      <c r="N614" s="7" t="str">
        <f>IFERROR(HLOOKUP(L614,'Calc|Weightings'!$U$5:$W$5,1,0),"Excl")</f>
        <v>Labour</v>
      </c>
      <c r="O614" s="7" t="str">
        <f>VLOOKUP(E614,Mapping!$E$11:$I$204,5,0)</f>
        <v>Public Lighting</v>
      </c>
      <c r="Q614" s="32" t="s">
        <v>197</v>
      </c>
      <c r="R614" s="32"/>
      <c r="S614" s="32">
        <v>71010</v>
      </c>
      <c r="T614" s="32" t="s">
        <v>462</v>
      </c>
      <c r="U614" s="33">
        <v>15.61</v>
      </c>
      <c r="V614" s="7"/>
      <c r="W614" s="7" t="str">
        <f>VLOOKUP($Q614,Mapping!$E$11:$I$204,3,0)</f>
        <v>Replacement</v>
      </c>
      <c r="X614" s="7" t="str">
        <f>IFERROR(VLOOKUP($S614,Mapping!$E$208:$K$236,5,0),"Contracts")</f>
        <v>Labour</v>
      </c>
      <c r="Y614" s="7" t="str">
        <f>IFERROR(VLOOKUP($S614,Mapping!$E$208:$K$236,7,0),"ENDirect")</f>
        <v>ENDirect</v>
      </c>
      <c r="Z614" s="7" t="str">
        <f>IFERROR(HLOOKUP(X614,'Calc|Weightings'!$U$5:$W$5,1,0),"Excl")</f>
        <v>Labour</v>
      </c>
      <c r="AA614" s="7" t="str">
        <f>VLOOKUP(Q614,Mapping!$E$11:$I$204,5,0)</f>
        <v>SCS</v>
      </c>
      <c r="AC614" s="35" t="s">
        <v>189</v>
      </c>
      <c r="AD614" s="35"/>
      <c r="AE614" s="35">
        <v>80000</v>
      </c>
      <c r="AF614" s="35" t="s">
        <v>453</v>
      </c>
      <c r="AG614" s="36">
        <v>23.338999999999999</v>
      </c>
      <c r="AI614" s="7" t="str">
        <f>VLOOKUP($AC614,Mapping!$E$11:$I$204,3,0)</f>
        <v>Replacement</v>
      </c>
      <c r="AJ614" s="7" t="str">
        <f>IFERROR(VLOOKUP($AE614,Mapping!$E$208:$K$236,5,0),"Contracts")</f>
        <v>Overhead</v>
      </c>
      <c r="AK614" s="7" t="str">
        <f>IFERROR(VLOOKUP($AE614,Mapping!$E$208:$K$236,7,0),"ENDirect")</f>
        <v>OH</v>
      </c>
      <c r="AL614" s="7" t="str">
        <f>IFERROR(HLOOKUP(AJ614,'Calc|Weightings'!$U$5:$W$5,1,0),"Excl")</f>
        <v>Excl</v>
      </c>
      <c r="AM614" s="7" t="str">
        <f>VLOOKUP(AC614,Mapping!$E$11:$I$204,5,0)</f>
        <v>SCS</v>
      </c>
      <c r="AO614" s="35" t="s">
        <v>188</v>
      </c>
      <c r="AP614" s="35"/>
      <c r="AQ614" s="35">
        <v>80000</v>
      </c>
      <c r="AR614" s="35" t="s">
        <v>589</v>
      </c>
      <c r="AS614" s="121">
        <v>12.107010000000001</v>
      </c>
      <c r="AU614" s="7" t="str">
        <f>VLOOKUP($AO614,Mapping!$E$11:$I$204,3,0)</f>
        <v>Replacement</v>
      </c>
      <c r="AV614" s="7" t="str">
        <f>IFERROR(VLOOKUP($AQ614,Mapping!$E$208:$K$236,5,0),"Contracts")</f>
        <v>Overhead</v>
      </c>
      <c r="AW614" s="7" t="str">
        <f>IFERROR(VLOOKUP($AQ614,Mapping!$E$208:$K$236,7,0),"ENDirect")</f>
        <v>OH</v>
      </c>
      <c r="AX614" s="7" t="str">
        <f>IFERROR(HLOOKUP(AV614,'Calc|Weightings'!$U$5:$W$5,1,0),"Excl")</f>
        <v>Excl</v>
      </c>
      <c r="AY614" s="7" t="str">
        <f>VLOOKUP(AO614,Mapping!$E$11:$I$204,5,0)</f>
        <v>SCS</v>
      </c>
    </row>
    <row r="615" spans="1:51" x14ac:dyDescent="0.3">
      <c r="A615" s="7"/>
      <c r="B615" s="7"/>
      <c r="C615" s="7"/>
      <c r="D615" s="7"/>
      <c r="E615" s="32" t="s">
        <v>109</v>
      </c>
      <c r="F615" s="32"/>
      <c r="G615" s="32">
        <v>71015</v>
      </c>
      <c r="H615" s="32" t="s">
        <v>463</v>
      </c>
      <c r="I615" s="33">
        <v>1.0720000000000001</v>
      </c>
      <c r="J615" s="170"/>
      <c r="K615" s="7" t="str">
        <f>VLOOKUP($E615,Mapping!$E$11:$I$204,3,0)</f>
        <v>Public Lighting</v>
      </c>
      <c r="L615" s="7" t="str">
        <f>IFERROR(VLOOKUP($G615,Mapping!$E$208:$K$236,5,0),"Contracts")</f>
        <v>Materials</v>
      </c>
      <c r="M615" s="7" t="str">
        <f>IFERROR(VLOOKUP($G615,Mapping!$E$208:$K$236,7,0),"ENDirect")</f>
        <v>ENDirect</v>
      </c>
      <c r="N615" s="7" t="str">
        <f>IFERROR(HLOOKUP(L615,'Calc|Weightings'!$U$5:$W$5,1,0),"Excl")</f>
        <v>Materials</v>
      </c>
      <c r="O615" s="7" t="str">
        <f>VLOOKUP(E615,Mapping!$E$11:$I$204,5,0)</f>
        <v>Public Lighting</v>
      </c>
      <c r="Q615" s="32" t="s">
        <v>197</v>
      </c>
      <c r="R615" s="32"/>
      <c r="S615" s="32">
        <v>71015</v>
      </c>
      <c r="T615" s="32" t="s">
        <v>463</v>
      </c>
      <c r="U615" s="33">
        <v>27.234999999999999</v>
      </c>
      <c r="V615" s="7"/>
      <c r="W615" s="7" t="str">
        <f>VLOOKUP($Q615,Mapping!$E$11:$I$204,3,0)</f>
        <v>Replacement</v>
      </c>
      <c r="X615" s="7" t="str">
        <f>IFERROR(VLOOKUP($S615,Mapping!$E$208:$K$236,5,0),"Contracts")</f>
        <v>Materials</v>
      </c>
      <c r="Y615" s="7" t="str">
        <f>IFERROR(VLOOKUP($S615,Mapping!$E$208:$K$236,7,0),"ENDirect")</f>
        <v>ENDirect</v>
      </c>
      <c r="Z615" s="7" t="str">
        <f>IFERROR(HLOOKUP(X615,'Calc|Weightings'!$U$5:$W$5,1,0),"Excl")</f>
        <v>Materials</v>
      </c>
      <c r="AA615" s="7" t="str">
        <f>VLOOKUP(Q615,Mapping!$E$11:$I$204,5,0)</f>
        <v>SCS</v>
      </c>
      <c r="AC615" s="35" t="s">
        <v>189</v>
      </c>
      <c r="AD615" s="35"/>
      <c r="AE615" s="35">
        <v>89999</v>
      </c>
      <c r="AF615" s="35" t="s">
        <v>471</v>
      </c>
      <c r="AG615" s="36">
        <v>0</v>
      </c>
      <c r="AI615" s="7" t="str">
        <f>VLOOKUP($AC615,Mapping!$E$11:$I$204,3,0)</f>
        <v>Replacement</v>
      </c>
      <c r="AJ615" s="7" t="str">
        <f>IFERROR(VLOOKUP($AE615,Mapping!$E$208:$K$236,5,0),"Contracts")</f>
        <v>Contracts</v>
      </c>
      <c r="AK615" s="7" t="str">
        <f>IFERROR(VLOOKUP($AE615,Mapping!$E$208:$K$236,7,0),"ENDirect")</f>
        <v>ENDirect</v>
      </c>
      <c r="AL615" s="7" t="str">
        <f>IFERROR(HLOOKUP(AJ615,'Calc|Weightings'!$U$5:$W$5,1,0),"Excl")</f>
        <v>Contracts</v>
      </c>
      <c r="AM615" s="7" t="str">
        <f>VLOOKUP(AC615,Mapping!$E$11:$I$204,5,0)</f>
        <v>SCS</v>
      </c>
      <c r="AO615" s="35" t="s">
        <v>188</v>
      </c>
      <c r="AP615" s="35"/>
      <c r="AQ615" s="35">
        <v>83010</v>
      </c>
      <c r="AR615" s="35" t="s">
        <v>591</v>
      </c>
      <c r="AS615" s="121">
        <v>49.025479999999995</v>
      </c>
      <c r="AU615" s="7" t="str">
        <f>VLOOKUP($AO615,Mapping!$E$11:$I$204,3,0)</f>
        <v>Replacement</v>
      </c>
      <c r="AV615" s="7" t="str">
        <f>IFERROR(VLOOKUP($AQ615,Mapping!$E$208:$K$236,5,0),"Contracts")</f>
        <v>Contracts</v>
      </c>
      <c r="AW615" s="7" t="str">
        <f>IFERROR(VLOOKUP($AQ615,Mapping!$E$208:$K$236,7,0),"ENDirect")</f>
        <v>ENDirect</v>
      </c>
      <c r="AX615" s="7" t="str">
        <f>IFERROR(HLOOKUP(AV615,'Calc|Weightings'!$U$5:$W$5,1,0),"Excl")</f>
        <v>Contracts</v>
      </c>
      <c r="AY615" s="7" t="str">
        <f>VLOOKUP(AO615,Mapping!$E$11:$I$204,5,0)</f>
        <v>SCS</v>
      </c>
    </row>
    <row r="616" spans="1:51" x14ac:dyDescent="0.3">
      <c r="A616" s="7"/>
      <c r="B616" s="7"/>
      <c r="C616" s="7"/>
      <c r="D616" s="7"/>
      <c r="E616" s="32" t="s">
        <v>109</v>
      </c>
      <c r="F616" s="32"/>
      <c r="G616" s="32">
        <v>71030</v>
      </c>
      <c r="H616" s="32" t="s">
        <v>464</v>
      </c>
      <c r="I616" s="33">
        <v>1.595</v>
      </c>
      <c r="J616" s="170"/>
      <c r="K616" s="7" t="str">
        <f>VLOOKUP($E616,Mapping!$E$11:$I$204,3,0)</f>
        <v>Public Lighting</v>
      </c>
      <c r="L616" s="7" t="str">
        <f>IFERROR(VLOOKUP($G616,Mapping!$E$208:$K$236,5,0),"Contracts")</f>
        <v>Contracts</v>
      </c>
      <c r="M616" s="7" t="str">
        <f>IFERROR(VLOOKUP($G616,Mapping!$E$208:$K$236,7,0),"ENDirect")</f>
        <v>ENDirect</v>
      </c>
      <c r="N616" s="7" t="str">
        <f>IFERROR(HLOOKUP(L616,'Calc|Weightings'!$U$5:$W$5,1,0),"Excl")</f>
        <v>Contracts</v>
      </c>
      <c r="O616" s="7" t="str">
        <f>VLOOKUP(E616,Mapping!$E$11:$I$204,5,0)</f>
        <v>Public Lighting</v>
      </c>
      <c r="Q616" s="32" t="s">
        <v>197</v>
      </c>
      <c r="R616" s="32"/>
      <c r="S616" s="32">
        <v>71030</v>
      </c>
      <c r="T616" s="32" t="s">
        <v>464</v>
      </c>
      <c r="U616" s="33">
        <v>10.605</v>
      </c>
      <c r="V616" s="7"/>
      <c r="W616" s="7" t="str">
        <f>VLOOKUP($Q616,Mapping!$E$11:$I$204,3,0)</f>
        <v>Replacement</v>
      </c>
      <c r="X616" s="7" t="str">
        <f>IFERROR(VLOOKUP($S616,Mapping!$E$208:$K$236,5,0),"Contracts")</f>
        <v>Contracts</v>
      </c>
      <c r="Y616" s="7" t="str">
        <f>IFERROR(VLOOKUP($S616,Mapping!$E$208:$K$236,7,0),"ENDirect")</f>
        <v>ENDirect</v>
      </c>
      <c r="Z616" s="7" t="str">
        <f>IFERROR(HLOOKUP(X616,'Calc|Weightings'!$U$5:$W$5,1,0),"Excl")</f>
        <v>Contracts</v>
      </c>
      <c r="AA616" s="7" t="str">
        <f>VLOOKUP(Q616,Mapping!$E$11:$I$204,5,0)</f>
        <v>SCS</v>
      </c>
      <c r="AC616" s="35" t="s">
        <v>190</v>
      </c>
      <c r="AD616" s="35"/>
      <c r="AE616" s="35">
        <v>71000</v>
      </c>
      <c r="AF616" s="35" t="s">
        <v>457</v>
      </c>
      <c r="AG616" s="36">
        <v>1035.231</v>
      </c>
      <c r="AI616" s="7" t="str">
        <f>VLOOKUP($AC616,Mapping!$E$11:$I$204,3,0)</f>
        <v>Replacement</v>
      </c>
      <c r="AJ616" s="7" t="str">
        <f>IFERROR(VLOOKUP($AE616,Mapping!$E$208:$K$236,5,0),"Contracts")</f>
        <v>Labour</v>
      </c>
      <c r="AK616" s="7" t="str">
        <f>IFERROR(VLOOKUP($AE616,Mapping!$E$208:$K$236,7,0),"ENDirect")</f>
        <v>ENDirect</v>
      </c>
      <c r="AL616" s="7" t="str">
        <f>IFERROR(HLOOKUP(AJ616,'Calc|Weightings'!$U$5:$W$5,1,0),"Excl")</f>
        <v>Labour</v>
      </c>
      <c r="AM616" s="7" t="str">
        <f>VLOOKUP(AC616,Mapping!$E$11:$I$204,5,0)</f>
        <v>SCS</v>
      </c>
      <c r="AO616" s="35" t="s">
        <v>189</v>
      </c>
      <c r="AP616" s="35"/>
      <c r="AQ616" s="35">
        <v>71000</v>
      </c>
      <c r="AR616" s="35" t="s">
        <v>457</v>
      </c>
      <c r="AS616" s="121">
        <v>9.1427900000000015</v>
      </c>
      <c r="AU616" s="7" t="str">
        <f>VLOOKUP($AO616,Mapping!$E$11:$I$204,3,0)</f>
        <v>Replacement</v>
      </c>
      <c r="AV616" s="7" t="str">
        <f>IFERROR(VLOOKUP($AQ616,Mapping!$E$208:$K$236,5,0),"Contracts")</f>
        <v>Labour</v>
      </c>
      <c r="AW616" s="7" t="str">
        <f>IFERROR(VLOOKUP($AQ616,Mapping!$E$208:$K$236,7,0),"ENDirect")</f>
        <v>ENDirect</v>
      </c>
      <c r="AX616" s="7" t="str">
        <f>IFERROR(HLOOKUP(AV616,'Calc|Weightings'!$U$5:$W$5,1,0),"Excl")</f>
        <v>Labour</v>
      </c>
      <c r="AY616" s="7" t="str">
        <f>VLOOKUP(AO616,Mapping!$E$11:$I$204,5,0)</f>
        <v>SCS</v>
      </c>
    </row>
    <row r="617" spans="1:51" x14ac:dyDescent="0.3">
      <c r="A617" s="7"/>
      <c r="B617" s="7"/>
      <c r="C617" s="7"/>
      <c r="D617" s="7"/>
      <c r="E617" s="32" t="s">
        <v>109</v>
      </c>
      <c r="F617" s="32"/>
      <c r="G617" s="32">
        <v>71055</v>
      </c>
      <c r="H617" s="32" t="s">
        <v>465</v>
      </c>
      <c r="I617" s="33">
        <v>2.6040000000000001</v>
      </c>
      <c r="J617" s="170"/>
      <c r="K617" s="7" t="str">
        <f>VLOOKUP($E617,Mapping!$E$11:$I$204,3,0)</f>
        <v>Public Lighting</v>
      </c>
      <c r="L617" s="7" t="str">
        <f>IFERROR(VLOOKUP($G617,Mapping!$E$208:$K$236,5,0),"Contracts")</f>
        <v>Contracts</v>
      </c>
      <c r="M617" s="7" t="str">
        <f>IFERROR(VLOOKUP($G617,Mapping!$E$208:$K$236,7,0),"ENDirect")</f>
        <v>ENDirect</v>
      </c>
      <c r="N617" s="7" t="str">
        <f>IFERROR(HLOOKUP(L617,'Calc|Weightings'!$U$5:$W$5,1,0),"Excl")</f>
        <v>Contracts</v>
      </c>
      <c r="O617" s="7" t="str">
        <f>VLOOKUP(E617,Mapping!$E$11:$I$204,5,0)</f>
        <v>Public Lighting</v>
      </c>
      <c r="Q617" s="32" t="s">
        <v>197</v>
      </c>
      <c r="R617" s="32"/>
      <c r="S617" s="32">
        <v>71055</v>
      </c>
      <c r="T617" s="32" t="s">
        <v>465</v>
      </c>
      <c r="U617" s="33">
        <v>7.4240000000000004</v>
      </c>
      <c r="V617" s="7"/>
      <c r="W617" s="7" t="str">
        <f>VLOOKUP($Q617,Mapping!$E$11:$I$204,3,0)</f>
        <v>Replacement</v>
      </c>
      <c r="X617" s="7" t="str">
        <f>IFERROR(VLOOKUP($S617,Mapping!$E$208:$K$236,5,0),"Contracts")</f>
        <v>Contracts</v>
      </c>
      <c r="Y617" s="7" t="str">
        <f>IFERROR(VLOOKUP($S617,Mapping!$E$208:$K$236,7,0),"ENDirect")</f>
        <v>ENDirect</v>
      </c>
      <c r="Z617" s="7" t="str">
        <f>IFERROR(HLOOKUP(X617,'Calc|Weightings'!$U$5:$W$5,1,0),"Excl")</f>
        <v>Contracts</v>
      </c>
      <c r="AA617" s="7" t="str">
        <f>VLOOKUP(Q617,Mapping!$E$11:$I$204,5,0)</f>
        <v>SCS</v>
      </c>
      <c r="AC617" s="35" t="s">
        <v>190</v>
      </c>
      <c r="AD617" s="35"/>
      <c r="AE617" s="35">
        <v>71005</v>
      </c>
      <c r="AF617" s="35" t="s">
        <v>461</v>
      </c>
      <c r="AG617" s="36">
        <v>277.93400000000003</v>
      </c>
      <c r="AI617" s="7" t="str">
        <f>VLOOKUP($AC617,Mapping!$E$11:$I$204,3,0)</f>
        <v>Replacement</v>
      </c>
      <c r="AJ617" s="7" t="str">
        <f>IFERROR(VLOOKUP($AE617,Mapping!$E$208:$K$236,5,0),"Contracts")</f>
        <v>Materials</v>
      </c>
      <c r="AK617" s="7" t="str">
        <f>IFERROR(VLOOKUP($AE617,Mapping!$E$208:$K$236,7,0),"ENDirect")</f>
        <v>ENDirect</v>
      </c>
      <c r="AL617" s="7" t="str">
        <f>IFERROR(HLOOKUP(AJ617,'Calc|Weightings'!$U$5:$W$5,1,0),"Excl")</f>
        <v>Materials</v>
      </c>
      <c r="AM617" s="7" t="str">
        <f>VLOOKUP(AC617,Mapping!$E$11:$I$204,5,0)</f>
        <v>SCS</v>
      </c>
      <c r="AO617" s="35" t="s">
        <v>189</v>
      </c>
      <c r="AP617" s="35"/>
      <c r="AQ617" s="35">
        <v>71005</v>
      </c>
      <c r="AR617" s="35" t="s">
        <v>461</v>
      </c>
      <c r="AS617" s="121">
        <v>1.3802599999999998</v>
      </c>
      <c r="AU617" s="7" t="str">
        <f>VLOOKUP($AO617,Mapping!$E$11:$I$204,3,0)</f>
        <v>Replacement</v>
      </c>
      <c r="AV617" s="7" t="str">
        <f>IFERROR(VLOOKUP($AQ617,Mapping!$E$208:$K$236,5,0),"Contracts")</f>
        <v>Materials</v>
      </c>
      <c r="AW617" s="7" t="str">
        <f>IFERROR(VLOOKUP($AQ617,Mapping!$E$208:$K$236,7,0),"ENDirect")</f>
        <v>ENDirect</v>
      </c>
      <c r="AX617" s="7" t="str">
        <f>IFERROR(HLOOKUP(AV617,'Calc|Weightings'!$U$5:$W$5,1,0),"Excl")</f>
        <v>Materials</v>
      </c>
      <c r="AY617" s="7" t="str">
        <f>VLOOKUP(AO617,Mapping!$E$11:$I$204,5,0)</f>
        <v>SCS</v>
      </c>
    </row>
    <row r="618" spans="1:51" x14ac:dyDescent="0.3">
      <c r="A618" s="7"/>
      <c r="B618" s="7"/>
      <c r="C618" s="7"/>
      <c r="D618" s="7"/>
      <c r="E618" s="32" t="s">
        <v>109</v>
      </c>
      <c r="F618" s="32"/>
      <c r="G618" s="32">
        <v>80000</v>
      </c>
      <c r="H618" s="32" t="s">
        <v>453</v>
      </c>
      <c r="I618" s="33">
        <v>2.0659999999999998</v>
      </c>
      <c r="J618" s="170"/>
      <c r="K618" s="7" t="str">
        <f>VLOOKUP($E618,Mapping!$E$11:$I$204,3,0)</f>
        <v>Public Lighting</v>
      </c>
      <c r="L618" s="7" t="str">
        <f>IFERROR(VLOOKUP($G618,Mapping!$E$208:$K$236,5,0),"Contracts")</f>
        <v>Overhead</v>
      </c>
      <c r="M618" s="7" t="str">
        <f>IFERROR(VLOOKUP($G618,Mapping!$E$208:$K$236,7,0),"ENDirect")</f>
        <v>OH</v>
      </c>
      <c r="N618" s="7" t="str">
        <f>IFERROR(HLOOKUP(L618,'Calc|Weightings'!$U$5:$W$5,1,0),"Excl")</f>
        <v>Excl</v>
      </c>
      <c r="O618" s="7" t="str">
        <f>VLOOKUP(E618,Mapping!$E$11:$I$204,5,0)</f>
        <v>Public Lighting</v>
      </c>
      <c r="Q618" s="32" t="s">
        <v>197</v>
      </c>
      <c r="R618" s="32"/>
      <c r="S618" s="32">
        <v>80000</v>
      </c>
      <c r="T618" s="32" t="s">
        <v>453</v>
      </c>
      <c r="U618" s="33">
        <v>21.626999999999999</v>
      </c>
      <c r="V618" s="7"/>
      <c r="W618" s="7" t="str">
        <f>VLOOKUP($Q618,Mapping!$E$11:$I$204,3,0)</f>
        <v>Replacement</v>
      </c>
      <c r="X618" s="7" t="str">
        <f>IFERROR(VLOOKUP($S618,Mapping!$E$208:$K$236,5,0),"Contracts")</f>
        <v>Overhead</v>
      </c>
      <c r="Y618" s="7" t="str">
        <f>IFERROR(VLOOKUP($S618,Mapping!$E$208:$K$236,7,0),"ENDirect")</f>
        <v>OH</v>
      </c>
      <c r="Z618" s="7" t="str">
        <f>IFERROR(HLOOKUP(X618,'Calc|Weightings'!$U$5:$W$5,1,0),"Excl")</f>
        <v>Excl</v>
      </c>
      <c r="AA618" s="7" t="str">
        <f>VLOOKUP(Q618,Mapping!$E$11:$I$204,5,0)</f>
        <v>SCS</v>
      </c>
      <c r="AC618" s="35" t="s">
        <v>190</v>
      </c>
      <c r="AD618" s="35"/>
      <c r="AE618" s="35">
        <v>71010</v>
      </c>
      <c r="AF618" s="35" t="s">
        <v>462</v>
      </c>
      <c r="AG618" s="36">
        <v>179.328</v>
      </c>
      <c r="AI618" s="7" t="str">
        <f>VLOOKUP($AC618,Mapping!$E$11:$I$204,3,0)</f>
        <v>Replacement</v>
      </c>
      <c r="AJ618" s="7" t="str">
        <f>IFERROR(VLOOKUP($AE618,Mapping!$E$208:$K$236,5,0),"Contracts")</f>
        <v>Labour</v>
      </c>
      <c r="AK618" s="7" t="str">
        <f>IFERROR(VLOOKUP($AE618,Mapping!$E$208:$K$236,7,0),"ENDirect")</f>
        <v>ENDirect</v>
      </c>
      <c r="AL618" s="7" t="str">
        <f>IFERROR(HLOOKUP(AJ618,'Calc|Weightings'!$U$5:$W$5,1,0),"Excl")</f>
        <v>Labour</v>
      </c>
      <c r="AM618" s="7" t="str">
        <f>VLOOKUP(AC618,Mapping!$E$11:$I$204,5,0)</f>
        <v>SCS</v>
      </c>
      <c r="AO618" s="35" t="s">
        <v>189</v>
      </c>
      <c r="AP618" s="35"/>
      <c r="AQ618" s="35">
        <v>71010</v>
      </c>
      <c r="AR618" s="35" t="s">
        <v>487</v>
      </c>
      <c r="AS618" s="121">
        <v>0.37401999999999996</v>
      </c>
      <c r="AU618" s="7" t="str">
        <f>VLOOKUP($AO618,Mapping!$E$11:$I$204,3,0)</f>
        <v>Replacement</v>
      </c>
      <c r="AV618" s="7" t="str">
        <f>IFERROR(VLOOKUP($AQ618,Mapping!$E$208:$K$236,5,0),"Contracts")</f>
        <v>Labour</v>
      </c>
      <c r="AW618" s="7" t="str">
        <f>IFERROR(VLOOKUP($AQ618,Mapping!$E$208:$K$236,7,0),"ENDirect")</f>
        <v>ENDirect</v>
      </c>
      <c r="AX618" s="7" t="str">
        <f>IFERROR(HLOOKUP(AV618,'Calc|Weightings'!$U$5:$W$5,1,0),"Excl")</f>
        <v>Labour</v>
      </c>
      <c r="AY618" s="7" t="str">
        <f>VLOOKUP(AO618,Mapping!$E$11:$I$204,5,0)</f>
        <v>SCS</v>
      </c>
    </row>
    <row r="619" spans="1:51" x14ac:dyDescent="0.3">
      <c r="A619" s="7"/>
      <c r="B619" s="7"/>
      <c r="C619" s="7"/>
      <c r="D619" s="7"/>
      <c r="E619" s="32" t="s">
        <v>123</v>
      </c>
      <c r="F619" s="32"/>
      <c r="G619" s="32">
        <v>71000</v>
      </c>
      <c r="H619" s="32" t="s">
        <v>457</v>
      </c>
      <c r="I619" s="33">
        <v>76.804000000000002</v>
      </c>
      <c r="J619" s="170"/>
      <c r="K619" s="7" t="str">
        <f>VLOOKUP($E619,Mapping!$E$11:$I$204,3,0)</f>
        <v>Augmentation</v>
      </c>
      <c r="L619" s="7" t="str">
        <f>IFERROR(VLOOKUP($G619,Mapping!$E$208:$K$236,5,0),"Contracts")</f>
        <v>Labour</v>
      </c>
      <c r="M619" s="7" t="str">
        <f>IFERROR(VLOOKUP($G619,Mapping!$E$208:$K$236,7,0),"ENDirect")</f>
        <v>ENDirect</v>
      </c>
      <c r="N619" s="7" t="str">
        <f>IFERROR(HLOOKUP(L619,'Calc|Weightings'!$U$5:$W$5,1,0),"Excl")</f>
        <v>Labour</v>
      </c>
      <c r="O619" s="7" t="str">
        <f>VLOOKUP(E619,Mapping!$E$11:$I$204,5,0)</f>
        <v>SCS</v>
      </c>
      <c r="Q619" s="32" t="s">
        <v>197</v>
      </c>
      <c r="R619" s="32"/>
      <c r="S619" s="32">
        <v>89999</v>
      </c>
      <c r="T619" s="32" t="s">
        <v>471</v>
      </c>
      <c r="U619" s="33">
        <v>0</v>
      </c>
      <c r="V619" s="7"/>
      <c r="W619" s="7" t="str">
        <f>VLOOKUP($Q619,Mapping!$E$11:$I$204,3,0)</f>
        <v>Replacement</v>
      </c>
      <c r="X619" s="7" t="str">
        <f>IFERROR(VLOOKUP($S619,Mapping!$E$208:$K$236,5,0),"Contracts")</f>
        <v>Contracts</v>
      </c>
      <c r="Y619" s="7" t="str">
        <f>IFERROR(VLOOKUP($S619,Mapping!$E$208:$K$236,7,0),"ENDirect")</f>
        <v>ENDirect</v>
      </c>
      <c r="Z619" s="7" t="str">
        <f>IFERROR(HLOOKUP(X619,'Calc|Weightings'!$U$5:$W$5,1,0),"Excl")</f>
        <v>Contracts</v>
      </c>
      <c r="AA619" s="7" t="str">
        <f>VLOOKUP(Q619,Mapping!$E$11:$I$204,5,0)</f>
        <v>SCS</v>
      </c>
      <c r="AC619" s="35" t="s">
        <v>190</v>
      </c>
      <c r="AD619" s="35"/>
      <c r="AE619" s="35">
        <v>71015</v>
      </c>
      <c r="AF619" s="35" t="s">
        <v>463</v>
      </c>
      <c r="AG619" s="36">
        <v>209.38800000000001</v>
      </c>
      <c r="AI619" s="7" t="str">
        <f>VLOOKUP($AC619,Mapping!$E$11:$I$204,3,0)</f>
        <v>Replacement</v>
      </c>
      <c r="AJ619" s="7" t="str">
        <f>IFERROR(VLOOKUP($AE619,Mapping!$E$208:$K$236,5,0),"Contracts")</f>
        <v>Materials</v>
      </c>
      <c r="AK619" s="7" t="str">
        <f>IFERROR(VLOOKUP($AE619,Mapping!$E$208:$K$236,7,0),"ENDirect")</f>
        <v>ENDirect</v>
      </c>
      <c r="AL619" s="7" t="str">
        <f>IFERROR(HLOOKUP(AJ619,'Calc|Weightings'!$U$5:$W$5,1,0),"Excl")</f>
        <v>Materials</v>
      </c>
      <c r="AM619" s="7" t="str">
        <f>VLOOKUP(AC619,Mapping!$E$11:$I$204,5,0)</f>
        <v>SCS</v>
      </c>
      <c r="AO619" s="35" t="s">
        <v>189</v>
      </c>
      <c r="AP619" s="35"/>
      <c r="AQ619" s="35">
        <v>71015</v>
      </c>
      <c r="AR619" s="35" t="s">
        <v>585</v>
      </c>
      <c r="AS619" s="121">
        <v>1.4247300000000001</v>
      </c>
      <c r="AU619" s="7" t="str">
        <f>VLOOKUP($AO619,Mapping!$E$11:$I$204,3,0)</f>
        <v>Replacement</v>
      </c>
      <c r="AV619" s="7" t="str">
        <f>IFERROR(VLOOKUP($AQ619,Mapping!$E$208:$K$236,5,0),"Contracts")</f>
        <v>Materials</v>
      </c>
      <c r="AW619" s="7" t="str">
        <f>IFERROR(VLOOKUP($AQ619,Mapping!$E$208:$K$236,7,0),"ENDirect")</f>
        <v>ENDirect</v>
      </c>
      <c r="AX619" s="7" t="str">
        <f>IFERROR(HLOOKUP(AV619,'Calc|Weightings'!$U$5:$W$5,1,0),"Excl")</f>
        <v>Materials</v>
      </c>
      <c r="AY619" s="7" t="str">
        <f>VLOOKUP(AO619,Mapping!$E$11:$I$204,5,0)</f>
        <v>SCS</v>
      </c>
    </row>
    <row r="620" spans="1:51" x14ac:dyDescent="0.3">
      <c r="A620" s="7"/>
      <c r="B620" s="7"/>
      <c r="C620" s="7"/>
      <c r="D620" s="7"/>
      <c r="E620" s="32" t="s">
        <v>123</v>
      </c>
      <c r="F620" s="32"/>
      <c r="G620" s="32">
        <v>71005</v>
      </c>
      <c r="H620" s="32" t="s">
        <v>461</v>
      </c>
      <c r="I620" s="33">
        <v>59.155000000000001</v>
      </c>
      <c r="J620" s="170"/>
      <c r="K620" s="7" t="str">
        <f>VLOOKUP($E620,Mapping!$E$11:$I$204,3,0)</f>
        <v>Augmentation</v>
      </c>
      <c r="L620" s="7" t="str">
        <f>IFERROR(VLOOKUP($G620,Mapping!$E$208:$K$236,5,0),"Contracts")</f>
        <v>Materials</v>
      </c>
      <c r="M620" s="7" t="str">
        <f>IFERROR(VLOOKUP($G620,Mapping!$E$208:$K$236,7,0),"ENDirect")</f>
        <v>ENDirect</v>
      </c>
      <c r="N620" s="7" t="str">
        <f>IFERROR(HLOOKUP(L620,'Calc|Weightings'!$U$5:$W$5,1,0),"Excl")</f>
        <v>Materials</v>
      </c>
      <c r="O620" s="7" t="str">
        <f>VLOOKUP(E620,Mapping!$E$11:$I$204,5,0)</f>
        <v>SCS</v>
      </c>
      <c r="Q620" s="32" t="s">
        <v>199</v>
      </c>
      <c r="R620" s="32"/>
      <c r="S620" s="32">
        <v>71000</v>
      </c>
      <c r="T620" s="32" t="s">
        <v>457</v>
      </c>
      <c r="U620" s="33">
        <v>12.807</v>
      </c>
      <c r="V620" s="7"/>
      <c r="W620" s="7" t="str">
        <f>VLOOKUP($Q620,Mapping!$E$11:$I$204,3,0)</f>
        <v>Public Lighting</v>
      </c>
      <c r="X620" s="7" t="str">
        <f>IFERROR(VLOOKUP($S620,Mapping!$E$208:$K$236,5,0),"Contracts")</f>
        <v>Labour</v>
      </c>
      <c r="Y620" s="7" t="str">
        <f>IFERROR(VLOOKUP($S620,Mapping!$E$208:$K$236,7,0),"ENDirect")</f>
        <v>ENDirect</v>
      </c>
      <c r="Z620" s="7" t="str">
        <f>IFERROR(HLOOKUP(X620,'Calc|Weightings'!$U$5:$W$5,1,0),"Excl")</f>
        <v>Labour</v>
      </c>
      <c r="AA620" s="7" t="str">
        <f>VLOOKUP(Q620,Mapping!$E$11:$I$204,5,0)</f>
        <v>Public Lighting</v>
      </c>
      <c r="AC620" s="35" t="s">
        <v>190</v>
      </c>
      <c r="AD620" s="35"/>
      <c r="AE620" s="35">
        <v>71020</v>
      </c>
      <c r="AF620" s="35" t="s">
        <v>459</v>
      </c>
      <c r="AG620" s="36">
        <v>0</v>
      </c>
      <c r="AI620" s="7" t="str">
        <f>VLOOKUP($AC620,Mapping!$E$11:$I$204,3,0)</f>
        <v>Replacement</v>
      </c>
      <c r="AJ620" s="7" t="str">
        <f>IFERROR(VLOOKUP($AE620,Mapping!$E$208:$K$236,5,0),"Contracts")</f>
        <v>Contracts</v>
      </c>
      <c r="AK620" s="7" t="str">
        <f>IFERROR(VLOOKUP($AE620,Mapping!$E$208:$K$236,7,0),"ENDirect")</f>
        <v>ENDirect</v>
      </c>
      <c r="AL620" s="7" t="str">
        <f>IFERROR(HLOOKUP(AJ620,'Calc|Weightings'!$U$5:$W$5,1,0),"Excl")</f>
        <v>Contracts</v>
      </c>
      <c r="AM620" s="7" t="str">
        <f>VLOOKUP(AC620,Mapping!$E$11:$I$204,5,0)</f>
        <v>SCS</v>
      </c>
      <c r="AO620" s="35" t="s">
        <v>189</v>
      </c>
      <c r="AP620" s="35"/>
      <c r="AQ620" s="35">
        <v>71030</v>
      </c>
      <c r="AR620" s="35" t="s">
        <v>464</v>
      </c>
      <c r="AS620" s="121">
        <v>1.0336700000000001</v>
      </c>
      <c r="AU620" s="7" t="str">
        <f>VLOOKUP($AO620,Mapping!$E$11:$I$204,3,0)</f>
        <v>Replacement</v>
      </c>
      <c r="AV620" s="7" t="str">
        <f>IFERROR(VLOOKUP($AQ620,Mapping!$E$208:$K$236,5,0),"Contracts")</f>
        <v>Contracts</v>
      </c>
      <c r="AW620" s="7" t="str">
        <f>IFERROR(VLOOKUP($AQ620,Mapping!$E$208:$K$236,7,0),"ENDirect")</f>
        <v>ENDirect</v>
      </c>
      <c r="AX620" s="7" t="str">
        <f>IFERROR(HLOOKUP(AV620,'Calc|Weightings'!$U$5:$W$5,1,0),"Excl")</f>
        <v>Contracts</v>
      </c>
      <c r="AY620" s="7" t="str">
        <f>VLOOKUP(AO620,Mapping!$E$11:$I$204,5,0)</f>
        <v>SCS</v>
      </c>
    </row>
    <row r="621" spans="1:51" x14ac:dyDescent="0.3">
      <c r="A621" s="7"/>
      <c r="B621" s="7"/>
      <c r="C621" s="7"/>
      <c r="D621" s="7"/>
      <c r="E621" s="32" t="s">
        <v>123</v>
      </c>
      <c r="F621" s="32"/>
      <c r="G621" s="32">
        <v>71006</v>
      </c>
      <c r="H621" s="32" t="s">
        <v>468</v>
      </c>
      <c r="I621" s="33">
        <v>517.66700000000003</v>
      </c>
      <c r="J621" s="170"/>
      <c r="K621" s="7" t="str">
        <f>VLOOKUP($E621,Mapping!$E$11:$I$204,3,0)</f>
        <v>Augmentation</v>
      </c>
      <c r="L621" s="7" t="str">
        <f>IFERROR(VLOOKUP($G621,Mapping!$E$208:$K$236,5,0),"Contracts")</f>
        <v>Materials</v>
      </c>
      <c r="M621" s="7" t="str">
        <f>IFERROR(VLOOKUP($G621,Mapping!$E$208:$K$236,7,0),"ENDirect")</f>
        <v>ENDirect</v>
      </c>
      <c r="N621" s="7" t="str">
        <f>IFERROR(HLOOKUP(L621,'Calc|Weightings'!$U$5:$W$5,1,0),"Excl")</f>
        <v>Materials</v>
      </c>
      <c r="O621" s="7" t="str">
        <f>VLOOKUP(E621,Mapping!$E$11:$I$204,5,0)</f>
        <v>SCS</v>
      </c>
      <c r="Q621" s="32" t="s">
        <v>199</v>
      </c>
      <c r="R621" s="32"/>
      <c r="S621" s="32">
        <v>71005</v>
      </c>
      <c r="T621" s="32" t="s">
        <v>461</v>
      </c>
      <c r="U621" s="33">
        <v>60.036999999999999</v>
      </c>
      <c r="V621" s="7"/>
      <c r="W621" s="7" t="str">
        <f>VLOOKUP($Q621,Mapping!$E$11:$I$204,3,0)</f>
        <v>Public Lighting</v>
      </c>
      <c r="X621" s="7" t="str">
        <f>IFERROR(VLOOKUP($S621,Mapping!$E$208:$K$236,5,0),"Contracts")</f>
        <v>Materials</v>
      </c>
      <c r="Y621" s="7" t="str">
        <f>IFERROR(VLOOKUP($S621,Mapping!$E$208:$K$236,7,0),"ENDirect")</f>
        <v>ENDirect</v>
      </c>
      <c r="Z621" s="7" t="str">
        <f>IFERROR(HLOOKUP(X621,'Calc|Weightings'!$U$5:$W$5,1,0),"Excl")</f>
        <v>Materials</v>
      </c>
      <c r="AA621" s="7" t="str">
        <f>VLOOKUP(Q621,Mapping!$E$11:$I$204,5,0)</f>
        <v>Public Lighting</v>
      </c>
      <c r="AC621" s="35" t="s">
        <v>190</v>
      </c>
      <c r="AD621" s="35"/>
      <c r="AE621" s="35">
        <v>71030</v>
      </c>
      <c r="AF621" s="35" t="s">
        <v>464</v>
      </c>
      <c r="AG621" s="36">
        <v>137.82599999999999</v>
      </c>
      <c r="AI621" s="7" t="str">
        <f>VLOOKUP($AC621,Mapping!$E$11:$I$204,3,0)</f>
        <v>Replacement</v>
      </c>
      <c r="AJ621" s="7" t="str">
        <f>IFERROR(VLOOKUP($AE621,Mapping!$E$208:$K$236,5,0),"Contracts")</f>
        <v>Contracts</v>
      </c>
      <c r="AK621" s="7" t="str">
        <f>IFERROR(VLOOKUP($AE621,Mapping!$E$208:$K$236,7,0),"ENDirect")</f>
        <v>ENDirect</v>
      </c>
      <c r="AL621" s="7" t="str">
        <f>IFERROR(HLOOKUP(AJ621,'Calc|Weightings'!$U$5:$W$5,1,0),"Excl")</f>
        <v>Contracts</v>
      </c>
      <c r="AM621" s="7" t="str">
        <f>VLOOKUP(AC621,Mapping!$E$11:$I$204,5,0)</f>
        <v>SCS</v>
      </c>
      <c r="AO621" s="35" t="s">
        <v>189</v>
      </c>
      <c r="AP621" s="35"/>
      <c r="AQ621" s="35">
        <v>71055</v>
      </c>
      <c r="AR621" s="35" t="s">
        <v>465</v>
      </c>
      <c r="AS621" s="121">
        <v>2.44537</v>
      </c>
      <c r="AU621" s="7" t="str">
        <f>VLOOKUP($AO621,Mapping!$E$11:$I$204,3,0)</f>
        <v>Replacement</v>
      </c>
      <c r="AV621" s="7" t="str">
        <f>IFERROR(VLOOKUP($AQ621,Mapping!$E$208:$K$236,5,0),"Contracts")</f>
        <v>Contracts</v>
      </c>
      <c r="AW621" s="7" t="str">
        <f>IFERROR(VLOOKUP($AQ621,Mapping!$E$208:$K$236,7,0),"ENDirect")</f>
        <v>ENDirect</v>
      </c>
      <c r="AX621" s="7" t="str">
        <f>IFERROR(HLOOKUP(AV621,'Calc|Weightings'!$U$5:$W$5,1,0),"Excl")</f>
        <v>Contracts</v>
      </c>
      <c r="AY621" s="7" t="str">
        <f>VLOOKUP(AO621,Mapping!$E$11:$I$204,5,0)</f>
        <v>SCS</v>
      </c>
    </row>
    <row r="622" spans="1:51" x14ac:dyDescent="0.3">
      <c r="A622" s="7"/>
      <c r="B622" s="7"/>
      <c r="C622" s="7"/>
      <c r="D622" s="7"/>
      <c r="E622" s="32" t="s">
        <v>123</v>
      </c>
      <c r="F622" s="32"/>
      <c r="G622" s="32">
        <v>71010</v>
      </c>
      <c r="H622" s="32" t="s">
        <v>462</v>
      </c>
      <c r="I622" s="33">
        <v>123.19199999999999</v>
      </c>
      <c r="J622" s="170"/>
      <c r="K622" s="7" t="str">
        <f>VLOOKUP($E622,Mapping!$E$11:$I$204,3,0)</f>
        <v>Augmentation</v>
      </c>
      <c r="L622" s="7" t="str">
        <f>IFERROR(VLOOKUP($G622,Mapping!$E$208:$K$236,5,0),"Contracts")</f>
        <v>Labour</v>
      </c>
      <c r="M622" s="7" t="str">
        <f>IFERROR(VLOOKUP($G622,Mapping!$E$208:$K$236,7,0),"ENDirect")</f>
        <v>ENDirect</v>
      </c>
      <c r="N622" s="7" t="str">
        <f>IFERROR(HLOOKUP(L622,'Calc|Weightings'!$U$5:$W$5,1,0),"Excl")</f>
        <v>Labour</v>
      </c>
      <c r="O622" s="7" t="str">
        <f>VLOOKUP(E622,Mapping!$E$11:$I$204,5,0)</f>
        <v>SCS</v>
      </c>
      <c r="Q622" s="32" t="s">
        <v>199</v>
      </c>
      <c r="R622" s="32"/>
      <c r="S622" s="32">
        <v>71010</v>
      </c>
      <c r="T622" s="32" t="s">
        <v>462</v>
      </c>
      <c r="U622" s="33">
        <v>94.084000000000003</v>
      </c>
      <c r="V622" s="7"/>
      <c r="W622" s="7" t="str">
        <f>VLOOKUP($Q622,Mapping!$E$11:$I$204,3,0)</f>
        <v>Public Lighting</v>
      </c>
      <c r="X622" s="7" t="str">
        <f>IFERROR(VLOOKUP($S622,Mapping!$E$208:$K$236,5,0),"Contracts")</f>
        <v>Labour</v>
      </c>
      <c r="Y622" s="7" t="str">
        <f>IFERROR(VLOOKUP($S622,Mapping!$E$208:$K$236,7,0),"ENDirect")</f>
        <v>ENDirect</v>
      </c>
      <c r="Z622" s="7" t="str">
        <f>IFERROR(HLOOKUP(X622,'Calc|Weightings'!$U$5:$W$5,1,0),"Excl")</f>
        <v>Labour</v>
      </c>
      <c r="AA622" s="7" t="str">
        <f>VLOOKUP(Q622,Mapping!$E$11:$I$204,5,0)</f>
        <v>Public Lighting</v>
      </c>
      <c r="AC622" s="35" t="s">
        <v>190</v>
      </c>
      <c r="AD622" s="35"/>
      <c r="AE622" s="35">
        <v>71055</v>
      </c>
      <c r="AF622" s="35" t="s">
        <v>465</v>
      </c>
      <c r="AG622" s="36">
        <v>300.346</v>
      </c>
      <c r="AI622" s="7" t="str">
        <f>VLOOKUP($AC622,Mapping!$E$11:$I$204,3,0)</f>
        <v>Replacement</v>
      </c>
      <c r="AJ622" s="7" t="str">
        <f>IFERROR(VLOOKUP($AE622,Mapping!$E$208:$K$236,5,0),"Contracts")</f>
        <v>Contracts</v>
      </c>
      <c r="AK622" s="7" t="str">
        <f>IFERROR(VLOOKUP($AE622,Mapping!$E$208:$K$236,7,0),"ENDirect")</f>
        <v>ENDirect</v>
      </c>
      <c r="AL622" s="7" t="str">
        <f>IFERROR(HLOOKUP(AJ622,'Calc|Weightings'!$U$5:$W$5,1,0),"Excl")</f>
        <v>Contracts</v>
      </c>
      <c r="AM622" s="7" t="str">
        <f>VLOOKUP(AC622,Mapping!$E$11:$I$204,5,0)</f>
        <v>SCS</v>
      </c>
      <c r="AO622" s="35" t="s">
        <v>189</v>
      </c>
      <c r="AP622" s="35"/>
      <c r="AQ622" s="35">
        <v>71070</v>
      </c>
      <c r="AR622" s="35" t="s">
        <v>586</v>
      </c>
      <c r="AS622" s="121">
        <v>1.3217000000000001</v>
      </c>
      <c r="AU622" s="7" t="str">
        <f>VLOOKUP($AO622,Mapping!$E$11:$I$204,3,0)</f>
        <v>Replacement</v>
      </c>
      <c r="AV622" s="7" t="str">
        <f>IFERROR(VLOOKUP($AQ622,Mapping!$E$208:$K$236,5,0),"Contracts")</f>
        <v>Contracts</v>
      </c>
      <c r="AW622" s="7" t="str">
        <f>IFERROR(VLOOKUP($AQ622,Mapping!$E$208:$K$236,7,0),"ENDirect")</f>
        <v>ENDirect</v>
      </c>
      <c r="AX622" s="7" t="str">
        <f>IFERROR(HLOOKUP(AV622,'Calc|Weightings'!$U$5:$W$5,1,0),"Excl")</f>
        <v>Contracts</v>
      </c>
      <c r="AY622" s="7" t="str">
        <f>VLOOKUP(AO622,Mapping!$E$11:$I$204,5,0)</f>
        <v>SCS</v>
      </c>
    </row>
    <row r="623" spans="1:51" x14ac:dyDescent="0.3">
      <c r="A623" s="7"/>
      <c r="B623" s="7"/>
      <c r="C623" s="7"/>
      <c r="D623" s="7"/>
      <c r="E623" s="32" t="s">
        <v>123</v>
      </c>
      <c r="F623" s="32"/>
      <c r="G623" s="32">
        <v>71015</v>
      </c>
      <c r="H623" s="32" t="s">
        <v>463</v>
      </c>
      <c r="I623" s="33">
        <v>24.327999999999999</v>
      </c>
      <c r="J623" s="170"/>
      <c r="K623" s="7" t="str">
        <f>VLOOKUP($E623,Mapping!$E$11:$I$204,3,0)</f>
        <v>Augmentation</v>
      </c>
      <c r="L623" s="7" t="str">
        <f>IFERROR(VLOOKUP($G623,Mapping!$E$208:$K$236,5,0),"Contracts")</f>
        <v>Materials</v>
      </c>
      <c r="M623" s="7" t="str">
        <f>IFERROR(VLOOKUP($G623,Mapping!$E$208:$K$236,7,0),"ENDirect")</f>
        <v>ENDirect</v>
      </c>
      <c r="N623" s="7" t="str">
        <f>IFERROR(HLOOKUP(L623,'Calc|Weightings'!$U$5:$W$5,1,0),"Excl")</f>
        <v>Materials</v>
      </c>
      <c r="O623" s="7" t="str">
        <f>VLOOKUP(E623,Mapping!$E$11:$I$204,5,0)</f>
        <v>SCS</v>
      </c>
      <c r="Q623" s="32" t="s">
        <v>199</v>
      </c>
      <c r="R623" s="32"/>
      <c r="S623" s="32">
        <v>71015</v>
      </c>
      <c r="T623" s="32" t="s">
        <v>463</v>
      </c>
      <c r="U623" s="33">
        <v>2.0859999999999999</v>
      </c>
      <c r="V623" s="7"/>
      <c r="W623" s="7" t="str">
        <f>VLOOKUP($Q623,Mapping!$E$11:$I$204,3,0)</f>
        <v>Public Lighting</v>
      </c>
      <c r="X623" s="7" t="str">
        <f>IFERROR(VLOOKUP($S623,Mapping!$E$208:$K$236,5,0),"Contracts")</f>
        <v>Materials</v>
      </c>
      <c r="Y623" s="7" t="str">
        <f>IFERROR(VLOOKUP($S623,Mapping!$E$208:$K$236,7,0),"ENDirect")</f>
        <v>ENDirect</v>
      </c>
      <c r="Z623" s="7" t="str">
        <f>IFERROR(HLOOKUP(X623,'Calc|Weightings'!$U$5:$W$5,1,0),"Excl")</f>
        <v>Materials</v>
      </c>
      <c r="AA623" s="7" t="str">
        <f>VLOOKUP(Q623,Mapping!$E$11:$I$204,5,0)</f>
        <v>Public Lighting</v>
      </c>
      <c r="AC623" s="35" t="s">
        <v>190</v>
      </c>
      <c r="AD623" s="35"/>
      <c r="AE623" s="35">
        <v>80000</v>
      </c>
      <c r="AF623" s="35" t="s">
        <v>453</v>
      </c>
      <c r="AG623" s="36">
        <v>231.614</v>
      </c>
      <c r="AI623" s="7" t="str">
        <f>VLOOKUP($AC623,Mapping!$E$11:$I$204,3,0)</f>
        <v>Replacement</v>
      </c>
      <c r="AJ623" s="7" t="str">
        <f>IFERROR(VLOOKUP($AE623,Mapping!$E$208:$K$236,5,0),"Contracts")</f>
        <v>Overhead</v>
      </c>
      <c r="AK623" s="7" t="str">
        <f>IFERROR(VLOOKUP($AE623,Mapping!$E$208:$K$236,7,0),"ENDirect")</f>
        <v>OH</v>
      </c>
      <c r="AL623" s="7" t="str">
        <f>IFERROR(HLOOKUP(AJ623,'Calc|Weightings'!$U$5:$W$5,1,0),"Excl")</f>
        <v>Excl</v>
      </c>
      <c r="AM623" s="7" t="str">
        <f>VLOOKUP(AC623,Mapping!$E$11:$I$204,5,0)</f>
        <v>SCS</v>
      </c>
      <c r="AO623" s="35" t="s">
        <v>189</v>
      </c>
      <c r="AP623" s="35"/>
      <c r="AQ623" s="35">
        <v>71075</v>
      </c>
      <c r="AR623" s="35" t="s">
        <v>587</v>
      </c>
      <c r="AS623" s="121">
        <v>13.074549999999981</v>
      </c>
      <c r="AU623" s="7" t="str">
        <f>VLOOKUP($AO623,Mapping!$E$11:$I$204,3,0)</f>
        <v>Replacement</v>
      </c>
      <c r="AV623" s="7" t="str">
        <f>IFERROR(VLOOKUP($AQ623,Mapping!$E$208:$K$236,5,0),"Contracts")</f>
        <v>Contracts</v>
      </c>
      <c r="AW623" s="7" t="str">
        <f>IFERROR(VLOOKUP($AQ623,Mapping!$E$208:$K$236,7,0),"ENDirect")</f>
        <v>ENDirect</v>
      </c>
      <c r="AX623" s="7" t="str">
        <f>IFERROR(HLOOKUP(AV623,'Calc|Weightings'!$U$5:$W$5,1,0),"Excl")</f>
        <v>Contracts</v>
      </c>
      <c r="AY623" s="7" t="str">
        <f>VLOOKUP(AO623,Mapping!$E$11:$I$204,5,0)</f>
        <v>SCS</v>
      </c>
    </row>
    <row r="624" spans="1:51" x14ac:dyDescent="0.3">
      <c r="A624" s="7"/>
      <c r="B624" s="7"/>
      <c r="C624" s="7"/>
      <c r="D624" s="7"/>
      <c r="E624" s="32" t="s">
        <v>123</v>
      </c>
      <c r="F624" s="32"/>
      <c r="G624" s="32">
        <v>71030</v>
      </c>
      <c r="H624" s="32" t="s">
        <v>464</v>
      </c>
      <c r="I624" s="33">
        <v>21.693999999999999</v>
      </c>
      <c r="J624" s="170"/>
      <c r="K624" s="7" t="str">
        <f>VLOOKUP($E624,Mapping!$E$11:$I$204,3,0)</f>
        <v>Augmentation</v>
      </c>
      <c r="L624" s="7" t="str">
        <f>IFERROR(VLOOKUP($G624,Mapping!$E$208:$K$236,5,0),"Contracts")</f>
        <v>Contracts</v>
      </c>
      <c r="M624" s="7" t="str">
        <f>IFERROR(VLOOKUP($G624,Mapping!$E$208:$K$236,7,0),"ENDirect")</f>
        <v>ENDirect</v>
      </c>
      <c r="N624" s="7" t="str">
        <f>IFERROR(HLOOKUP(L624,'Calc|Weightings'!$U$5:$W$5,1,0),"Excl")</f>
        <v>Contracts</v>
      </c>
      <c r="O624" s="7" t="str">
        <f>VLOOKUP(E624,Mapping!$E$11:$I$204,5,0)</f>
        <v>SCS</v>
      </c>
      <c r="Q624" s="32" t="s">
        <v>199</v>
      </c>
      <c r="R624" s="32"/>
      <c r="S624" s="32">
        <v>71030</v>
      </c>
      <c r="T624" s="32" t="s">
        <v>464</v>
      </c>
      <c r="U624" s="33">
        <v>14.074999999999999</v>
      </c>
      <c r="V624" s="7"/>
      <c r="W624" s="7" t="str">
        <f>VLOOKUP($Q624,Mapping!$E$11:$I$204,3,0)</f>
        <v>Public Lighting</v>
      </c>
      <c r="X624" s="7" t="str">
        <f>IFERROR(VLOOKUP($S624,Mapping!$E$208:$K$236,5,0),"Contracts")</f>
        <v>Contracts</v>
      </c>
      <c r="Y624" s="7" t="str">
        <f>IFERROR(VLOOKUP($S624,Mapping!$E$208:$K$236,7,0),"ENDirect")</f>
        <v>ENDirect</v>
      </c>
      <c r="Z624" s="7" t="str">
        <f>IFERROR(HLOOKUP(X624,'Calc|Weightings'!$U$5:$W$5,1,0),"Excl")</f>
        <v>Contracts</v>
      </c>
      <c r="AA624" s="7" t="str">
        <f>VLOOKUP(Q624,Mapping!$E$11:$I$204,5,0)</f>
        <v>Public Lighting</v>
      </c>
      <c r="AC624" s="35" t="s">
        <v>190</v>
      </c>
      <c r="AD624" s="35"/>
      <c r="AE624" s="35">
        <v>89999</v>
      </c>
      <c r="AF624" s="35" t="s">
        <v>471</v>
      </c>
      <c r="AG624" s="36">
        <v>0</v>
      </c>
      <c r="AI624" s="7" t="str">
        <f>VLOOKUP($AC624,Mapping!$E$11:$I$204,3,0)</f>
        <v>Replacement</v>
      </c>
      <c r="AJ624" s="7" t="str">
        <f>IFERROR(VLOOKUP($AE624,Mapping!$E$208:$K$236,5,0),"Contracts")</f>
        <v>Contracts</v>
      </c>
      <c r="AK624" s="7" t="str">
        <f>IFERROR(VLOOKUP($AE624,Mapping!$E$208:$K$236,7,0),"ENDirect")</f>
        <v>ENDirect</v>
      </c>
      <c r="AL624" s="7" t="str">
        <f>IFERROR(HLOOKUP(AJ624,'Calc|Weightings'!$U$5:$W$5,1,0),"Excl")</f>
        <v>Contracts</v>
      </c>
      <c r="AM624" s="7" t="str">
        <f>VLOOKUP(AC624,Mapping!$E$11:$I$204,5,0)</f>
        <v>SCS</v>
      </c>
      <c r="AO624" s="35" t="s">
        <v>189</v>
      </c>
      <c r="AP624" s="35"/>
      <c r="AQ624" s="35">
        <v>80000</v>
      </c>
      <c r="AR624" s="35" t="s">
        <v>589</v>
      </c>
      <c r="AS624" s="121">
        <v>23.78668</v>
      </c>
      <c r="AU624" s="7" t="str">
        <f>VLOOKUP($AO624,Mapping!$E$11:$I$204,3,0)</f>
        <v>Replacement</v>
      </c>
      <c r="AV624" s="7" t="str">
        <f>IFERROR(VLOOKUP($AQ624,Mapping!$E$208:$K$236,5,0),"Contracts")</f>
        <v>Overhead</v>
      </c>
      <c r="AW624" s="7" t="str">
        <f>IFERROR(VLOOKUP($AQ624,Mapping!$E$208:$K$236,7,0),"ENDirect")</f>
        <v>OH</v>
      </c>
      <c r="AX624" s="7" t="str">
        <f>IFERROR(HLOOKUP(AV624,'Calc|Weightings'!$U$5:$W$5,1,0),"Excl")</f>
        <v>Excl</v>
      </c>
      <c r="AY624" s="7" t="str">
        <f>VLOOKUP(AO624,Mapping!$E$11:$I$204,5,0)</f>
        <v>SCS</v>
      </c>
    </row>
    <row r="625" spans="1:51" x14ac:dyDescent="0.3">
      <c r="A625" s="7"/>
      <c r="B625" s="7"/>
      <c r="C625" s="7"/>
      <c r="D625" s="7"/>
      <c r="E625" s="32" t="s">
        <v>123</v>
      </c>
      <c r="F625" s="32"/>
      <c r="G625" s="32">
        <v>71055</v>
      </c>
      <c r="H625" s="32" t="s">
        <v>465</v>
      </c>
      <c r="I625" s="33">
        <v>26.279</v>
      </c>
      <c r="J625" s="170"/>
      <c r="K625" s="7" t="str">
        <f>VLOOKUP($E625,Mapping!$E$11:$I$204,3,0)</f>
        <v>Augmentation</v>
      </c>
      <c r="L625" s="7" t="str">
        <f>IFERROR(VLOOKUP($G625,Mapping!$E$208:$K$236,5,0),"Contracts")</f>
        <v>Contracts</v>
      </c>
      <c r="M625" s="7" t="str">
        <f>IFERROR(VLOOKUP($G625,Mapping!$E$208:$K$236,7,0),"ENDirect")</f>
        <v>ENDirect</v>
      </c>
      <c r="N625" s="7" t="str">
        <f>IFERROR(HLOOKUP(L625,'Calc|Weightings'!$U$5:$W$5,1,0),"Excl")</f>
        <v>Contracts</v>
      </c>
      <c r="O625" s="7" t="str">
        <f>VLOOKUP(E625,Mapping!$E$11:$I$204,5,0)</f>
        <v>SCS</v>
      </c>
      <c r="Q625" s="32" t="s">
        <v>199</v>
      </c>
      <c r="R625" s="32"/>
      <c r="S625" s="32">
        <v>71055</v>
      </c>
      <c r="T625" s="32" t="s">
        <v>465</v>
      </c>
      <c r="U625" s="33">
        <v>32.055999999999997</v>
      </c>
      <c r="V625" s="7"/>
      <c r="W625" s="7" t="str">
        <f>VLOOKUP($Q625,Mapping!$E$11:$I$204,3,0)</f>
        <v>Public Lighting</v>
      </c>
      <c r="X625" s="7" t="str">
        <f>IFERROR(VLOOKUP($S625,Mapping!$E$208:$K$236,5,0),"Contracts")</f>
        <v>Contracts</v>
      </c>
      <c r="Y625" s="7" t="str">
        <f>IFERROR(VLOOKUP($S625,Mapping!$E$208:$K$236,7,0),"ENDirect")</f>
        <v>ENDirect</v>
      </c>
      <c r="Z625" s="7" t="str">
        <f>IFERROR(HLOOKUP(X625,'Calc|Weightings'!$U$5:$W$5,1,0),"Excl")</f>
        <v>Contracts</v>
      </c>
      <c r="AA625" s="7" t="str">
        <f>VLOOKUP(Q625,Mapping!$E$11:$I$204,5,0)</f>
        <v>Public Lighting</v>
      </c>
      <c r="AC625" s="35" t="s">
        <v>193</v>
      </c>
      <c r="AD625" s="35"/>
      <c r="AE625" s="35">
        <v>71000</v>
      </c>
      <c r="AF625" s="35" t="s">
        <v>457</v>
      </c>
      <c r="AG625" s="36">
        <v>8.2750000000000004</v>
      </c>
      <c r="AI625" s="7" t="str">
        <f>VLOOKUP($AC625,Mapping!$E$11:$I$204,3,0)</f>
        <v>VBRC</v>
      </c>
      <c r="AJ625" s="7" t="str">
        <f>IFERROR(VLOOKUP($AE625,Mapping!$E$208:$K$236,5,0),"Contracts")</f>
        <v>Labour</v>
      </c>
      <c r="AK625" s="7" t="str">
        <f>IFERROR(VLOOKUP($AE625,Mapping!$E$208:$K$236,7,0),"ENDirect")</f>
        <v>ENDirect</v>
      </c>
      <c r="AL625" s="7" t="str">
        <f>IFERROR(HLOOKUP(AJ625,'Calc|Weightings'!$U$5:$W$5,1,0),"Excl")</f>
        <v>Labour</v>
      </c>
      <c r="AM625" s="7" t="str">
        <f>VLOOKUP(AC625,Mapping!$E$11:$I$204,5,0)</f>
        <v>SCS</v>
      </c>
      <c r="AO625" s="35" t="s">
        <v>189</v>
      </c>
      <c r="AP625" s="35"/>
      <c r="AQ625" s="35">
        <v>83010</v>
      </c>
      <c r="AR625" s="35" t="s">
        <v>591</v>
      </c>
      <c r="AS625" s="121">
        <v>99.920519999999343</v>
      </c>
      <c r="AU625" s="7" t="str">
        <f>VLOOKUP($AO625,Mapping!$E$11:$I$204,3,0)</f>
        <v>Replacement</v>
      </c>
      <c r="AV625" s="7" t="str">
        <f>IFERROR(VLOOKUP($AQ625,Mapping!$E$208:$K$236,5,0),"Contracts")</f>
        <v>Contracts</v>
      </c>
      <c r="AW625" s="7" t="str">
        <f>IFERROR(VLOOKUP($AQ625,Mapping!$E$208:$K$236,7,0),"ENDirect")</f>
        <v>ENDirect</v>
      </c>
      <c r="AX625" s="7" t="str">
        <f>IFERROR(HLOOKUP(AV625,'Calc|Weightings'!$U$5:$W$5,1,0),"Excl")</f>
        <v>Contracts</v>
      </c>
      <c r="AY625" s="7" t="str">
        <f>VLOOKUP(AO625,Mapping!$E$11:$I$204,5,0)</f>
        <v>SCS</v>
      </c>
    </row>
    <row r="626" spans="1:51" x14ac:dyDescent="0.3">
      <c r="A626" s="7"/>
      <c r="B626" s="7"/>
      <c r="C626" s="7"/>
      <c r="D626" s="7"/>
      <c r="E626" s="32" t="s">
        <v>123</v>
      </c>
      <c r="F626" s="32"/>
      <c r="G626" s="32">
        <v>80000</v>
      </c>
      <c r="H626" s="32" t="s">
        <v>453</v>
      </c>
      <c r="I626" s="33">
        <v>60.726999999999997</v>
      </c>
      <c r="J626" s="170"/>
      <c r="K626" s="7" t="str">
        <f>VLOOKUP($E626,Mapping!$E$11:$I$204,3,0)</f>
        <v>Augmentation</v>
      </c>
      <c r="L626" s="7" t="str">
        <f>IFERROR(VLOOKUP($G626,Mapping!$E$208:$K$236,5,0),"Contracts")</f>
        <v>Overhead</v>
      </c>
      <c r="M626" s="7" t="str">
        <f>IFERROR(VLOOKUP($G626,Mapping!$E$208:$K$236,7,0),"ENDirect")</f>
        <v>OH</v>
      </c>
      <c r="N626" s="7" t="str">
        <f>IFERROR(HLOOKUP(L626,'Calc|Weightings'!$U$5:$W$5,1,0),"Excl")</f>
        <v>Excl</v>
      </c>
      <c r="O626" s="7" t="str">
        <f>VLOOKUP(E626,Mapping!$E$11:$I$204,5,0)</f>
        <v>SCS</v>
      </c>
      <c r="Q626" s="32" t="s">
        <v>199</v>
      </c>
      <c r="R626" s="32"/>
      <c r="S626" s="32">
        <v>80000</v>
      </c>
      <c r="T626" s="32" t="s">
        <v>453</v>
      </c>
      <c r="U626" s="33">
        <v>26.956</v>
      </c>
      <c r="V626" s="7"/>
      <c r="W626" s="7" t="str">
        <f>VLOOKUP($Q626,Mapping!$E$11:$I$204,3,0)</f>
        <v>Public Lighting</v>
      </c>
      <c r="X626" s="7" t="str">
        <f>IFERROR(VLOOKUP($S626,Mapping!$E$208:$K$236,5,0),"Contracts")</f>
        <v>Overhead</v>
      </c>
      <c r="Y626" s="7" t="str">
        <f>IFERROR(VLOOKUP($S626,Mapping!$E$208:$K$236,7,0),"ENDirect")</f>
        <v>OH</v>
      </c>
      <c r="Z626" s="7" t="str">
        <f>IFERROR(HLOOKUP(X626,'Calc|Weightings'!$U$5:$W$5,1,0),"Excl")</f>
        <v>Excl</v>
      </c>
      <c r="AA626" s="7" t="str">
        <f>VLOOKUP(Q626,Mapping!$E$11:$I$204,5,0)</f>
        <v>Public Lighting</v>
      </c>
      <c r="AC626" s="35" t="s">
        <v>193</v>
      </c>
      <c r="AD626" s="35"/>
      <c r="AE626" s="35">
        <v>71005</v>
      </c>
      <c r="AF626" s="35" t="s">
        <v>461</v>
      </c>
      <c r="AG626" s="36">
        <v>1.742</v>
      </c>
      <c r="AI626" s="7" t="str">
        <f>VLOOKUP($AC626,Mapping!$E$11:$I$204,3,0)</f>
        <v>VBRC</v>
      </c>
      <c r="AJ626" s="7" t="str">
        <f>IFERROR(VLOOKUP($AE626,Mapping!$E$208:$K$236,5,0),"Contracts")</f>
        <v>Materials</v>
      </c>
      <c r="AK626" s="7" t="str">
        <f>IFERROR(VLOOKUP($AE626,Mapping!$E$208:$K$236,7,0),"ENDirect")</f>
        <v>ENDirect</v>
      </c>
      <c r="AL626" s="7" t="str">
        <f>IFERROR(HLOOKUP(AJ626,'Calc|Weightings'!$U$5:$W$5,1,0),"Excl")</f>
        <v>Materials</v>
      </c>
      <c r="AM626" s="7" t="str">
        <f>VLOOKUP(AC626,Mapping!$E$11:$I$204,5,0)</f>
        <v>SCS</v>
      </c>
      <c r="AO626" s="35" t="s">
        <v>190</v>
      </c>
      <c r="AP626" s="35"/>
      <c r="AQ626" s="35">
        <v>70815</v>
      </c>
      <c r="AR626" s="35" t="s">
        <v>594</v>
      </c>
      <c r="AS626" s="121">
        <v>-126.9</v>
      </c>
      <c r="AU626" s="7" t="str">
        <f>VLOOKUP($AO626,Mapping!$E$11:$I$204,3,0)</f>
        <v>Replacement</v>
      </c>
      <c r="AV626" s="7" t="str">
        <f>IFERROR(VLOOKUP($AQ626,Mapping!$E$208:$K$236,5,0),"Contracts")</f>
        <v>Materials</v>
      </c>
      <c r="AW626" s="7" t="str">
        <f>IFERROR(VLOOKUP($AQ626,Mapping!$E$208:$K$236,7,0),"ENDirect")</f>
        <v>ENDirect</v>
      </c>
      <c r="AX626" s="7" t="str">
        <f>IFERROR(HLOOKUP(AV626,'Calc|Weightings'!$U$5:$W$5,1,0),"Excl")</f>
        <v>Materials</v>
      </c>
      <c r="AY626" s="7" t="str">
        <f>VLOOKUP(AO626,Mapping!$E$11:$I$204,5,0)</f>
        <v>SCS</v>
      </c>
    </row>
    <row r="627" spans="1:51" x14ac:dyDescent="0.3">
      <c r="A627" s="7"/>
      <c r="B627" s="7"/>
      <c r="C627" s="7"/>
      <c r="D627" s="7"/>
      <c r="E627" s="32" t="s">
        <v>124</v>
      </c>
      <c r="F627" s="32"/>
      <c r="G627" s="32">
        <v>71000</v>
      </c>
      <c r="H627" s="32" t="s">
        <v>457</v>
      </c>
      <c r="I627" s="33">
        <v>9.0779999999999994</v>
      </c>
      <c r="J627" s="170"/>
      <c r="K627" s="7" t="str">
        <f>VLOOKUP($E627,Mapping!$E$11:$I$204,3,0)</f>
        <v>Augmentation</v>
      </c>
      <c r="L627" s="7" t="str">
        <f>IFERROR(VLOOKUP($G627,Mapping!$E$208:$K$236,5,0),"Contracts")</f>
        <v>Labour</v>
      </c>
      <c r="M627" s="7" t="str">
        <f>IFERROR(VLOOKUP($G627,Mapping!$E$208:$K$236,7,0),"ENDirect")</f>
        <v>ENDirect</v>
      </c>
      <c r="N627" s="7" t="str">
        <f>IFERROR(HLOOKUP(L627,'Calc|Weightings'!$U$5:$W$5,1,0),"Excl")</f>
        <v>Labour</v>
      </c>
      <c r="O627" s="7" t="str">
        <f>VLOOKUP(E627,Mapping!$E$11:$I$204,5,0)</f>
        <v>SCS</v>
      </c>
      <c r="Q627" s="32" t="s">
        <v>200</v>
      </c>
      <c r="R627" s="32"/>
      <c r="S627" s="32">
        <v>71000</v>
      </c>
      <c r="T627" s="32" t="s">
        <v>457</v>
      </c>
      <c r="U627" s="33">
        <v>37.679000000000002</v>
      </c>
      <c r="V627" s="7"/>
      <c r="W627" s="7" t="str">
        <f>VLOOKUP($Q627,Mapping!$E$11:$I$204,3,0)</f>
        <v>Public Lighting</v>
      </c>
      <c r="X627" s="7" t="str">
        <f>IFERROR(VLOOKUP($S627,Mapping!$E$208:$K$236,5,0),"Contracts")</f>
        <v>Labour</v>
      </c>
      <c r="Y627" s="7" t="str">
        <f>IFERROR(VLOOKUP($S627,Mapping!$E$208:$K$236,7,0),"ENDirect")</f>
        <v>ENDirect</v>
      </c>
      <c r="Z627" s="7" t="str">
        <f>IFERROR(HLOOKUP(X627,'Calc|Weightings'!$U$5:$W$5,1,0),"Excl")</f>
        <v>Labour</v>
      </c>
      <c r="AA627" s="7" t="str">
        <f>VLOOKUP(Q627,Mapping!$E$11:$I$204,5,0)</f>
        <v>Public Lighting</v>
      </c>
      <c r="AC627" s="35" t="s">
        <v>193</v>
      </c>
      <c r="AD627" s="35"/>
      <c r="AE627" s="35">
        <v>71010</v>
      </c>
      <c r="AF627" s="35" t="s">
        <v>462</v>
      </c>
      <c r="AG627" s="36">
        <v>1.623</v>
      </c>
      <c r="AI627" s="7" t="str">
        <f>VLOOKUP($AC627,Mapping!$E$11:$I$204,3,0)</f>
        <v>VBRC</v>
      </c>
      <c r="AJ627" s="7" t="str">
        <f>IFERROR(VLOOKUP($AE627,Mapping!$E$208:$K$236,5,0),"Contracts")</f>
        <v>Labour</v>
      </c>
      <c r="AK627" s="7" t="str">
        <f>IFERROR(VLOOKUP($AE627,Mapping!$E$208:$K$236,7,0),"ENDirect")</f>
        <v>ENDirect</v>
      </c>
      <c r="AL627" s="7" t="str">
        <f>IFERROR(HLOOKUP(AJ627,'Calc|Weightings'!$U$5:$W$5,1,0),"Excl")</f>
        <v>Labour</v>
      </c>
      <c r="AM627" s="7" t="str">
        <f>VLOOKUP(AC627,Mapping!$E$11:$I$204,5,0)</f>
        <v>SCS</v>
      </c>
      <c r="AO627" s="35" t="s">
        <v>190</v>
      </c>
      <c r="AP627" s="35"/>
      <c r="AQ627" s="35">
        <v>71000</v>
      </c>
      <c r="AR627" s="35" t="s">
        <v>457</v>
      </c>
      <c r="AS627" s="121">
        <v>93.345920000000007</v>
      </c>
      <c r="AU627" s="7" t="str">
        <f>VLOOKUP($AO627,Mapping!$E$11:$I$204,3,0)</f>
        <v>Replacement</v>
      </c>
      <c r="AV627" s="7" t="str">
        <f>IFERROR(VLOOKUP($AQ627,Mapping!$E$208:$K$236,5,0),"Contracts")</f>
        <v>Labour</v>
      </c>
      <c r="AW627" s="7" t="str">
        <f>IFERROR(VLOOKUP($AQ627,Mapping!$E$208:$K$236,7,0),"ENDirect")</f>
        <v>ENDirect</v>
      </c>
      <c r="AX627" s="7" t="str">
        <f>IFERROR(HLOOKUP(AV627,'Calc|Weightings'!$U$5:$W$5,1,0),"Excl")</f>
        <v>Labour</v>
      </c>
      <c r="AY627" s="7" t="str">
        <f>VLOOKUP(AO627,Mapping!$E$11:$I$204,5,0)</f>
        <v>SCS</v>
      </c>
    </row>
    <row r="628" spans="1:51" x14ac:dyDescent="0.3">
      <c r="A628" s="7"/>
      <c r="B628" s="7"/>
      <c r="C628" s="7"/>
      <c r="D628" s="7"/>
      <c r="E628" s="32" t="s">
        <v>124</v>
      </c>
      <c r="F628" s="32"/>
      <c r="G628" s="32">
        <v>71005</v>
      </c>
      <c r="H628" s="32" t="s">
        <v>461</v>
      </c>
      <c r="I628" s="33">
        <v>8.6929999999999996</v>
      </c>
      <c r="J628" s="170"/>
      <c r="K628" s="7" t="str">
        <f>VLOOKUP($E628,Mapping!$E$11:$I$204,3,0)</f>
        <v>Augmentation</v>
      </c>
      <c r="L628" s="7" t="str">
        <f>IFERROR(VLOOKUP($G628,Mapping!$E$208:$K$236,5,0),"Contracts")</f>
        <v>Materials</v>
      </c>
      <c r="M628" s="7" t="str">
        <f>IFERROR(VLOOKUP($G628,Mapping!$E$208:$K$236,7,0),"ENDirect")</f>
        <v>ENDirect</v>
      </c>
      <c r="N628" s="7" t="str">
        <f>IFERROR(HLOOKUP(L628,'Calc|Weightings'!$U$5:$W$5,1,0),"Excl")</f>
        <v>Materials</v>
      </c>
      <c r="O628" s="7" t="str">
        <f>VLOOKUP(E628,Mapping!$E$11:$I$204,5,0)</f>
        <v>SCS</v>
      </c>
      <c r="Q628" s="32" t="s">
        <v>200</v>
      </c>
      <c r="R628" s="32"/>
      <c r="S628" s="32">
        <v>71005</v>
      </c>
      <c r="T628" s="32" t="s">
        <v>461</v>
      </c>
      <c r="U628" s="33">
        <v>46.628999999999998</v>
      </c>
      <c r="V628" s="7"/>
      <c r="W628" s="7" t="str">
        <f>VLOOKUP($Q628,Mapping!$E$11:$I$204,3,0)</f>
        <v>Public Lighting</v>
      </c>
      <c r="X628" s="7" t="str">
        <f>IFERROR(VLOOKUP($S628,Mapping!$E$208:$K$236,5,0),"Contracts")</f>
        <v>Materials</v>
      </c>
      <c r="Y628" s="7" t="str">
        <f>IFERROR(VLOOKUP($S628,Mapping!$E$208:$K$236,7,0),"ENDirect")</f>
        <v>ENDirect</v>
      </c>
      <c r="Z628" s="7" t="str">
        <f>IFERROR(HLOOKUP(X628,'Calc|Weightings'!$U$5:$W$5,1,0),"Excl")</f>
        <v>Materials</v>
      </c>
      <c r="AA628" s="7" t="str">
        <f>VLOOKUP(Q628,Mapping!$E$11:$I$204,5,0)</f>
        <v>Public Lighting</v>
      </c>
      <c r="AC628" s="35" t="s">
        <v>193</v>
      </c>
      <c r="AD628" s="35"/>
      <c r="AE628" s="35">
        <v>71015</v>
      </c>
      <c r="AF628" s="35" t="s">
        <v>463</v>
      </c>
      <c r="AG628" s="36">
        <v>1.413</v>
      </c>
      <c r="AI628" s="7" t="str">
        <f>VLOOKUP($AC628,Mapping!$E$11:$I$204,3,0)</f>
        <v>VBRC</v>
      </c>
      <c r="AJ628" s="7" t="str">
        <f>IFERROR(VLOOKUP($AE628,Mapping!$E$208:$K$236,5,0),"Contracts")</f>
        <v>Materials</v>
      </c>
      <c r="AK628" s="7" t="str">
        <f>IFERROR(VLOOKUP($AE628,Mapping!$E$208:$K$236,7,0),"ENDirect")</f>
        <v>ENDirect</v>
      </c>
      <c r="AL628" s="7" t="str">
        <f>IFERROR(HLOOKUP(AJ628,'Calc|Weightings'!$U$5:$W$5,1,0),"Excl")</f>
        <v>Materials</v>
      </c>
      <c r="AM628" s="7" t="str">
        <f>VLOOKUP(AC628,Mapping!$E$11:$I$204,5,0)</f>
        <v>SCS</v>
      </c>
      <c r="AO628" s="35" t="s">
        <v>190</v>
      </c>
      <c r="AP628" s="35"/>
      <c r="AQ628" s="35">
        <v>71005</v>
      </c>
      <c r="AR628" s="35" t="s">
        <v>461</v>
      </c>
      <c r="AS628" s="121">
        <v>22.508799999999997</v>
      </c>
      <c r="AU628" s="7" t="str">
        <f>VLOOKUP($AO628,Mapping!$E$11:$I$204,3,0)</f>
        <v>Replacement</v>
      </c>
      <c r="AV628" s="7" t="str">
        <f>IFERROR(VLOOKUP($AQ628,Mapping!$E$208:$K$236,5,0),"Contracts")</f>
        <v>Materials</v>
      </c>
      <c r="AW628" s="7" t="str">
        <f>IFERROR(VLOOKUP($AQ628,Mapping!$E$208:$K$236,7,0),"ENDirect")</f>
        <v>ENDirect</v>
      </c>
      <c r="AX628" s="7" t="str">
        <f>IFERROR(HLOOKUP(AV628,'Calc|Weightings'!$U$5:$W$5,1,0),"Excl")</f>
        <v>Materials</v>
      </c>
      <c r="AY628" s="7" t="str">
        <f>VLOOKUP(AO628,Mapping!$E$11:$I$204,5,0)</f>
        <v>SCS</v>
      </c>
    </row>
    <row r="629" spans="1:51" x14ac:dyDescent="0.3">
      <c r="A629" s="7"/>
      <c r="B629" s="7"/>
      <c r="C629" s="7"/>
      <c r="D629" s="7"/>
      <c r="E629" s="32" t="s">
        <v>124</v>
      </c>
      <c r="F629" s="32"/>
      <c r="G629" s="32">
        <v>71006</v>
      </c>
      <c r="H629" s="32" t="s">
        <v>468</v>
      </c>
      <c r="I629" s="33">
        <v>15.116</v>
      </c>
      <c r="J629" s="170"/>
      <c r="K629" s="7" t="str">
        <f>VLOOKUP($E629,Mapping!$E$11:$I$204,3,0)</f>
        <v>Augmentation</v>
      </c>
      <c r="L629" s="7" t="str">
        <f>IFERROR(VLOOKUP($G629,Mapping!$E$208:$K$236,5,0),"Contracts")</f>
        <v>Materials</v>
      </c>
      <c r="M629" s="7" t="str">
        <f>IFERROR(VLOOKUP($G629,Mapping!$E$208:$K$236,7,0),"ENDirect")</f>
        <v>ENDirect</v>
      </c>
      <c r="N629" s="7" t="str">
        <f>IFERROR(HLOOKUP(L629,'Calc|Weightings'!$U$5:$W$5,1,0),"Excl")</f>
        <v>Materials</v>
      </c>
      <c r="O629" s="7" t="str">
        <f>VLOOKUP(E629,Mapping!$E$11:$I$204,5,0)</f>
        <v>SCS</v>
      </c>
      <c r="Q629" s="32" t="s">
        <v>200</v>
      </c>
      <c r="R629" s="32"/>
      <c r="S629" s="32">
        <v>71010</v>
      </c>
      <c r="T629" s="32" t="s">
        <v>462</v>
      </c>
      <c r="U629" s="33">
        <v>70.942999999999998</v>
      </c>
      <c r="V629" s="7"/>
      <c r="W629" s="7" t="str">
        <f>VLOOKUP($Q629,Mapping!$E$11:$I$204,3,0)</f>
        <v>Public Lighting</v>
      </c>
      <c r="X629" s="7" t="str">
        <f>IFERROR(VLOOKUP($S629,Mapping!$E$208:$K$236,5,0),"Contracts")</f>
        <v>Labour</v>
      </c>
      <c r="Y629" s="7" t="str">
        <f>IFERROR(VLOOKUP($S629,Mapping!$E$208:$K$236,7,0),"ENDirect")</f>
        <v>ENDirect</v>
      </c>
      <c r="Z629" s="7" t="str">
        <f>IFERROR(HLOOKUP(X629,'Calc|Weightings'!$U$5:$W$5,1,0),"Excl")</f>
        <v>Labour</v>
      </c>
      <c r="AA629" s="7" t="str">
        <f>VLOOKUP(Q629,Mapping!$E$11:$I$204,5,0)</f>
        <v>Public Lighting</v>
      </c>
      <c r="AC629" s="35" t="s">
        <v>193</v>
      </c>
      <c r="AD629" s="35"/>
      <c r="AE629" s="35">
        <v>71030</v>
      </c>
      <c r="AF629" s="35" t="s">
        <v>464</v>
      </c>
      <c r="AG629" s="36">
        <v>1.0640000000000001</v>
      </c>
      <c r="AI629" s="7" t="str">
        <f>VLOOKUP($AC629,Mapping!$E$11:$I$204,3,0)</f>
        <v>VBRC</v>
      </c>
      <c r="AJ629" s="7" t="str">
        <f>IFERROR(VLOOKUP($AE629,Mapping!$E$208:$K$236,5,0),"Contracts")</f>
        <v>Contracts</v>
      </c>
      <c r="AK629" s="7" t="str">
        <f>IFERROR(VLOOKUP($AE629,Mapping!$E$208:$K$236,7,0),"ENDirect")</f>
        <v>ENDirect</v>
      </c>
      <c r="AL629" s="7" t="str">
        <f>IFERROR(HLOOKUP(AJ629,'Calc|Weightings'!$U$5:$W$5,1,0),"Excl")</f>
        <v>Contracts</v>
      </c>
      <c r="AM629" s="7" t="str">
        <f>VLOOKUP(AC629,Mapping!$E$11:$I$204,5,0)</f>
        <v>SCS</v>
      </c>
      <c r="AO629" s="35" t="s">
        <v>190</v>
      </c>
      <c r="AP629" s="35"/>
      <c r="AQ629" s="35">
        <v>71010</v>
      </c>
      <c r="AR629" s="35" t="s">
        <v>487</v>
      </c>
      <c r="AS629" s="121">
        <v>15.26357</v>
      </c>
      <c r="AU629" s="7" t="str">
        <f>VLOOKUP($AO629,Mapping!$E$11:$I$204,3,0)</f>
        <v>Replacement</v>
      </c>
      <c r="AV629" s="7" t="str">
        <f>IFERROR(VLOOKUP($AQ629,Mapping!$E$208:$K$236,5,0),"Contracts")</f>
        <v>Labour</v>
      </c>
      <c r="AW629" s="7" t="str">
        <f>IFERROR(VLOOKUP($AQ629,Mapping!$E$208:$K$236,7,0),"ENDirect")</f>
        <v>ENDirect</v>
      </c>
      <c r="AX629" s="7" t="str">
        <f>IFERROR(HLOOKUP(AV629,'Calc|Weightings'!$U$5:$W$5,1,0),"Excl")</f>
        <v>Labour</v>
      </c>
      <c r="AY629" s="7" t="str">
        <f>VLOOKUP(AO629,Mapping!$E$11:$I$204,5,0)</f>
        <v>SCS</v>
      </c>
    </row>
    <row r="630" spans="1:51" x14ac:dyDescent="0.3">
      <c r="A630" s="7"/>
      <c r="B630" s="7"/>
      <c r="C630" s="7"/>
      <c r="D630" s="7"/>
      <c r="E630" s="32" t="s">
        <v>124</v>
      </c>
      <c r="F630" s="32"/>
      <c r="G630" s="32">
        <v>71010</v>
      </c>
      <c r="H630" s="32" t="s">
        <v>462</v>
      </c>
      <c r="I630" s="33">
        <v>8.8889999999999993</v>
      </c>
      <c r="J630" s="170"/>
      <c r="K630" s="7" t="str">
        <f>VLOOKUP($E630,Mapping!$E$11:$I$204,3,0)</f>
        <v>Augmentation</v>
      </c>
      <c r="L630" s="7" t="str">
        <f>IFERROR(VLOOKUP($G630,Mapping!$E$208:$K$236,5,0),"Contracts")</f>
        <v>Labour</v>
      </c>
      <c r="M630" s="7" t="str">
        <f>IFERROR(VLOOKUP($G630,Mapping!$E$208:$K$236,7,0),"ENDirect")</f>
        <v>ENDirect</v>
      </c>
      <c r="N630" s="7" t="str">
        <f>IFERROR(HLOOKUP(L630,'Calc|Weightings'!$U$5:$W$5,1,0),"Excl")</f>
        <v>Labour</v>
      </c>
      <c r="O630" s="7" t="str">
        <f>VLOOKUP(E630,Mapping!$E$11:$I$204,5,0)</f>
        <v>SCS</v>
      </c>
      <c r="Q630" s="32" t="s">
        <v>200</v>
      </c>
      <c r="R630" s="32"/>
      <c r="S630" s="32">
        <v>71015</v>
      </c>
      <c r="T630" s="32" t="s">
        <v>463</v>
      </c>
      <c r="U630" s="33">
        <v>6.2350000000000003</v>
      </c>
      <c r="V630" s="7"/>
      <c r="W630" s="7" t="str">
        <f>VLOOKUP($Q630,Mapping!$E$11:$I$204,3,0)</f>
        <v>Public Lighting</v>
      </c>
      <c r="X630" s="7" t="str">
        <f>IFERROR(VLOOKUP($S630,Mapping!$E$208:$K$236,5,0),"Contracts")</f>
        <v>Materials</v>
      </c>
      <c r="Y630" s="7" t="str">
        <f>IFERROR(VLOOKUP($S630,Mapping!$E$208:$K$236,7,0),"ENDirect")</f>
        <v>ENDirect</v>
      </c>
      <c r="Z630" s="7" t="str">
        <f>IFERROR(HLOOKUP(X630,'Calc|Weightings'!$U$5:$W$5,1,0),"Excl")</f>
        <v>Materials</v>
      </c>
      <c r="AA630" s="7" t="str">
        <f>VLOOKUP(Q630,Mapping!$E$11:$I$204,5,0)</f>
        <v>Public Lighting</v>
      </c>
      <c r="AC630" s="35" t="s">
        <v>193</v>
      </c>
      <c r="AD630" s="35"/>
      <c r="AE630" s="35">
        <v>71055</v>
      </c>
      <c r="AF630" s="35" t="s">
        <v>465</v>
      </c>
      <c r="AG630" s="36">
        <v>2.129</v>
      </c>
      <c r="AI630" s="7" t="str">
        <f>VLOOKUP($AC630,Mapping!$E$11:$I$204,3,0)</f>
        <v>VBRC</v>
      </c>
      <c r="AJ630" s="7" t="str">
        <f>IFERROR(VLOOKUP($AE630,Mapping!$E$208:$K$236,5,0),"Contracts")</f>
        <v>Contracts</v>
      </c>
      <c r="AK630" s="7" t="str">
        <f>IFERROR(VLOOKUP($AE630,Mapping!$E$208:$K$236,7,0),"ENDirect")</f>
        <v>ENDirect</v>
      </c>
      <c r="AL630" s="7" t="str">
        <f>IFERROR(HLOOKUP(AJ630,'Calc|Weightings'!$U$5:$W$5,1,0),"Excl")</f>
        <v>Contracts</v>
      </c>
      <c r="AM630" s="7" t="str">
        <f>VLOOKUP(AC630,Mapping!$E$11:$I$204,5,0)</f>
        <v>SCS</v>
      </c>
      <c r="AO630" s="35" t="s">
        <v>190</v>
      </c>
      <c r="AP630" s="35"/>
      <c r="AQ630" s="35">
        <v>71015</v>
      </c>
      <c r="AR630" s="35" t="s">
        <v>585</v>
      </c>
      <c r="AS630" s="121">
        <v>16.182529999999996</v>
      </c>
      <c r="AU630" s="7" t="str">
        <f>VLOOKUP($AO630,Mapping!$E$11:$I$204,3,0)</f>
        <v>Replacement</v>
      </c>
      <c r="AV630" s="7" t="str">
        <f>IFERROR(VLOOKUP($AQ630,Mapping!$E$208:$K$236,5,0),"Contracts")</f>
        <v>Materials</v>
      </c>
      <c r="AW630" s="7" t="str">
        <f>IFERROR(VLOOKUP($AQ630,Mapping!$E$208:$K$236,7,0),"ENDirect")</f>
        <v>ENDirect</v>
      </c>
      <c r="AX630" s="7" t="str">
        <f>IFERROR(HLOOKUP(AV630,'Calc|Weightings'!$U$5:$W$5,1,0),"Excl")</f>
        <v>Materials</v>
      </c>
      <c r="AY630" s="7" t="str">
        <f>VLOOKUP(AO630,Mapping!$E$11:$I$204,5,0)</f>
        <v>SCS</v>
      </c>
    </row>
    <row r="631" spans="1:51" x14ac:dyDescent="0.3">
      <c r="A631" s="7"/>
      <c r="B631" s="7"/>
      <c r="C631" s="7"/>
      <c r="D631" s="7"/>
      <c r="E631" s="32" t="s">
        <v>124</v>
      </c>
      <c r="F631" s="32"/>
      <c r="G631" s="32">
        <v>71015</v>
      </c>
      <c r="H631" s="32" t="s">
        <v>463</v>
      </c>
      <c r="I631" s="33">
        <v>1.9690000000000001</v>
      </c>
      <c r="J631" s="170"/>
      <c r="K631" s="7" t="str">
        <f>VLOOKUP($E631,Mapping!$E$11:$I$204,3,0)</f>
        <v>Augmentation</v>
      </c>
      <c r="L631" s="7" t="str">
        <f>IFERROR(VLOOKUP($G631,Mapping!$E$208:$K$236,5,0),"Contracts")</f>
        <v>Materials</v>
      </c>
      <c r="M631" s="7" t="str">
        <f>IFERROR(VLOOKUP($G631,Mapping!$E$208:$K$236,7,0),"ENDirect")</f>
        <v>ENDirect</v>
      </c>
      <c r="N631" s="7" t="str">
        <f>IFERROR(HLOOKUP(L631,'Calc|Weightings'!$U$5:$W$5,1,0),"Excl")</f>
        <v>Materials</v>
      </c>
      <c r="O631" s="7" t="str">
        <f>VLOOKUP(E631,Mapping!$E$11:$I$204,5,0)</f>
        <v>SCS</v>
      </c>
      <c r="Q631" s="32" t="s">
        <v>200</v>
      </c>
      <c r="R631" s="32"/>
      <c r="S631" s="32">
        <v>71030</v>
      </c>
      <c r="T631" s="32" t="s">
        <v>464</v>
      </c>
      <c r="U631" s="33">
        <v>12.798999999999999</v>
      </c>
      <c r="V631" s="7"/>
      <c r="W631" s="7" t="str">
        <f>VLOOKUP($Q631,Mapping!$E$11:$I$204,3,0)</f>
        <v>Public Lighting</v>
      </c>
      <c r="X631" s="7" t="str">
        <f>IFERROR(VLOOKUP($S631,Mapping!$E$208:$K$236,5,0),"Contracts")</f>
        <v>Contracts</v>
      </c>
      <c r="Y631" s="7" t="str">
        <f>IFERROR(VLOOKUP($S631,Mapping!$E$208:$K$236,7,0),"ENDirect")</f>
        <v>ENDirect</v>
      </c>
      <c r="Z631" s="7" t="str">
        <f>IFERROR(HLOOKUP(X631,'Calc|Weightings'!$U$5:$W$5,1,0),"Excl")</f>
        <v>Contracts</v>
      </c>
      <c r="AA631" s="7" t="str">
        <f>VLOOKUP(Q631,Mapping!$E$11:$I$204,5,0)</f>
        <v>Public Lighting</v>
      </c>
      <c r="AC631" s="35" t="s">
        <v>193</v>
      </c>
      <c r="AD631" s="35"/>
      <c r="AE631" s="35">
        <v>80000</v>
      </c>
      <c r="AF631" s="35" t="s">
        <v>453</v>
      </c>
      <c r="AG631" s="36">
        <v>1.6990000000000001</v>
      </c>
      <c r="AI631" s="7" t="str">
        <f>VLOOKUP($AC631,Mapping!$E$11:$I$204,3,0)</f>
        <v>VBRC</v>
      </c>
      <c r="AJ631" s="7" t="str">
        <f>IFERROR(VLOOKUP($AE631,Mapping!$E$208:$K$236,5,0),"Contracts")</f>
        <v>Overhead</v>
      </c>
      <c r="AK631" s="7" t="str">
        <f>IFERROR(VLOOKUP($AE631,Mapping!$E$208:$K$236,7,0),"ENDirect")</f>
        <v>OH</v>
      </c>
      <c r="AL631" s="7" t="str">
        <f>IFERROR(HLOOKUP(AJ631,'Calc|Weightings'!$U$5:$W$5,1,0),"Excl")</f>
        <v>Excl</v>
      </c>
      <c r="AM631" s="7" t="str">
        <f>VLOOKUP(AC631,Mapping!$E$11:$I$204,5,0)</f>
        <v>SCS</v>
      </c>
      <c r="AO631" s="35" t="s">
        <v>190</v>
      </c>
      <c r="AP631" s="35"/>
      <c r="AQ631" s="35">
        <v>71030</v>
      </c>
      <c r="AR631" s="35" t="s">
        <v>464</v>
      </c>
      <c r="AS631" s="121">
        <v>12.307930000000006</v>
      </c>
      <c r="AU631" s="7" t="str">
        <f>VLOOKUP($AO631,Mapping!$E$11:$I$204,3,0)</f>
        <v>Replacement</v>
      </c>
      <c r="AV631" s="7" t="str">
        <f>IFERROR(VLOOKUP($AQ631,Mapping!$E$208:$K$236,5,0),"Contracts")</f>
        <v>Contracts</v>
      </c>
      <c r="AW631" s="7" t="str">
        <f>IFERROR(VLOOKUP($AQ631,Mapping!$E$208:$K$236,7,0),"ENDirect")</f>
        <v>ENDirect</v>
      </c>
      <c r="AX631" s="7" t="str">
        <f>IFERROR(HLOOKUP(AV631,'Calc|Weightings'!$U$5:$W$5,1,0),"Excl")</f>
        <v>Contracts</v>
      </c>
      <c r="AY631" s="7" t="str">
        <f>VLOOKUP(AO631,Mapping!$E$11:$I$204,5,0)</f>
        <v>SCS</v>
      </c>
    </row>
    <row r="632" spans="1:51" x14ac:dyDescent="0.3">
      <c r="A632" s="7"/>
      <c r="B632" s="7"/>
      <c r="C632" s="7"/>
      <c r="D632" s="7"/>
      <c r="E632" s="32" t="s">
        <v>124</v>
      </c>
      <c r="F632" s="32"/>
      <c r="G632" s="32">
        <v>71030</v>
      </c>
      <c r="H632" s="32" t="s">
        <v>464</v>
      </c>
      <c r="I632" s="33">
        <v>2.2069999999999999</v>
      </c>
      <c r="J632" s="170"/>
      <c r="K632" s="7" t="str">
        <f>VLOOKUP($E632,Mapping!$E$11:$I$204,3,0)</f>
        <v>Augmentation</v>
      </c>
      <c r="L632" s="7" t="str">
        <f>IFERROR(VLOOKUP($G632,Mapping!$E$208:$K$236,5,0),"Contracts")</f>
        <v>Contracts</v>
      </c>
      <c r="M632" s="7" t="str">
        <f>IFERROR(VLOOKUP($G632,Mapping!$E$208:$K$236,7,0),"ENDirect")</f>
        <v>ENDirect</v>
      </c>
      <c r="N632" s="7" t="str">
        <f>IFERROR(HLOOKUP(L632,'Calc|Weightings'!$U$5:$W$5,1,0),"Excl")</f>
        <v>Contracts</v>
      </c>
      <c r="O632" s="7" t="str">
        <f>VLOOKUP(E632,Mapping!$E$11:$I$204,5,0)</f>
        <v>SCS</v>
      </c>
      <c r="Q632" s="32" t="s">
        <v>200</v>
      </c>
      <c r="R632" s="32"/>
      <c r="S632" s="32">
        <v>71055</v>
      </c>
      <c r="T632" s="32" t="s">
        <v>465</v>
      </c>
      <c r="U632" s="33">
        <v>21.359000000000002</v>
      </c>
      <c r="V632" s="7"/>
      <c r="W632" s="7" t="str">
        <f>VLOOKUP($Q632,Mapping!$E$11:$I$204,3,0)</f>
        <v>Public Lighting</v>
      </c>
      <c r="X632" s="7" t="str">
        <f>IFERROR(VLOOKUP($S632,Mapping!$E$208:$K$236,5,0),"Contracts")</f>
        <v>Contracts</v>
      </c>
      <c r="Y632" s="7" t="str">
        <f>IFERROR(VLOOKUP($S632,Mapping!$E$208:$K$236,7,0),"ENDirect")</f>
        <v>ENDirect</v>
      </c>
      <c r="Z632" s="7" t="str">
        <f>IFERROR(HLOOKUP(X632,'Calc|Weightings'!$U$5:$W$5,1,0),"Excl")</f>
        <v>Contracts</v>
      </c>
      <c r="AA632" s="7" t="str">
        <f>VLOOKUP(Q632,Mapping!$E$11:$I$204,5,0)</f>
        <v>Public Lighting</v>
      </c>
      <c r="AC632" s="35" t="s">
        <v>193</v>
      </c>
      <c r="AD632" s="35"/>
      <c r="AE632" s="35">
        <v>89999</v>
      </c>
      <c r="AF632" s="35" t="s">
        <v>471</v>
      </c>
      <c r="AG632" s="36">
        <v>0</v>
      </c>
      <c r="AI632" s="7" t="str">
        <f>VLOOKUP($AC632,Mapping!$E$11:$I$204,3,0)</f>
        <v>VBRC</v>
      </c>
      <c r="AJ632" s="7" t="str">
        <f>IFERROR(VLOOKUP($AE632,Mapping!$E$208:$K$236,5,0),"Contracts")</f>
        <v>Contracts</v>
      </c>
      <c r="AK632" s="7" t="str">
        <f>IFERROR(VLOOKUP($AE632,Mapping!$E$208:$K$236,7,0),"ENDirect")</f>
        <v>ENDirect</v>
      </c>
      <c r="AL632" s="7" t="str">
        <f>IFERROR(HLOOKUP(AJ632,'Calc|Weightings'!$U$5:$W$5,1,0),"Excl")</f>
        <v>Contracts</v>
      </c>
      <c r="AM632" s="7" t="str">
        <f>VLOOKUP(AC632,Mapping!$E$11:$I$204,5,0)</f>
        <v>SCS</v>
      </c>
      <c r="AO632" s="35" t="s">
        <v>190</v>
      </c>
      <c r="AP632" s="35"/>
      <c r="AQ632" s="35">
        <v>71055</v>
      </c>
      <c r="AR632" s="35" t="s">
        <v>465</v>
      </c>
      <c r="AS632" s="121">
        <v>28.526010000000003</v>
      </c>
      <c r="AU632" s="7" t="str">
        <f>VLOOKUP($AO632,Mapping!$E$11:$I$204,3,0)</f>
        <v>Replacement</v>
      </c>
      <c r="AV632" s="7" t="str">
        <f>IFERROR(VLOOKUP($AQ632,Mapping!$E$208:$K$236,5,0),"Contracts")</f>
        <v>Contracts</v>
      </c>
      <c r="AW632" s="7" t="str">
        <f>IFERROR(VLOOKUP($AQ632,Mapping!$E$208:$K$236,7,0),"ENDirect")</f>
        <v>ENDirect</v>
      </c>
      <c r="AX632" s="7" t="str">
        <f>IFERROR(HLOOKUP(AV632,'Calc|Weightings'!$U$5:$W$5,1,0),"Excl")</f>
        <v>Contracts</v>
      </c>
      <c r="AY632" s="7" t="str">
        <f>VLOOKUP(AO632,Mapping!$E$11:$I$204,5,0)</f>
        <v>SCS</v>
      </c>
    </row>
    <row r="633" spans="1:51" x14ac:dyDescent="0.3">
      <c r="A633" s="7"/>
      <c r="B633" s="7"/>
      <c r="C633" s="7"/>
      <c r="D633" s="7"/>
      <c r="E633" s="32" t="s">
        <v>124</v>
      </c>
      <c r="F633" s="32"/>
      <c r="G633" s="32">
        <v>71055</v>
      </c>
      <c r="H633" s="32" t="s">
        <v>465</v>
      </c>
      <c r="I633" s="33">
        <v>3.52</v>
      </c>
      <c r="J633" s="170"/>
      <c r="K633" s="7" t="str">
        <f>VLOOKUP($E633,Mapping!$E$11:$I$204,3,0)</f>
        <v>Augmentation</v>
      </c>
      <c r="L633" s="7" t="str">
        <f>IFERROR(VLOOKUP($G633,Mapping!$E$208:$K$236,5,0),"Contracts")</f>
        <v>Contracts</v>
      </c>
      <c r="M633" s="7" t="str">
        <f>IFERROR(VLOOKUP($G633,Mapping!$E$208:$K$236,7,0),"ENDirect")</f>
        <v>ENDirect</v>
      </c>
      <c r="N633" s="7" t="str">
        <f>IFERROR(HLOOKUP(L633,'Calc|Weightings'!$U$5:$W$5,1,0),"Excl")</f>
        <v>Contracts</v>
      </c>
      <c r="O633" s="7" t="str">
        <f>VLOOKUP(E633,Mapping!$E$11:$I$204,5,0)</f>
        <v>SCS</v>
      </c>
      <c r="Q633" s="32" t="s">
        <v>200</v>
      </c>
      <c r="R633" s="32"/>
      <c r="S633" s="32">
        <v>80000</v>
      </c>
      <c r="T633" s="32" t="s">
        <v>453</v>
      </c>
      <c r="U633" s="33">
        <v>25.300999999999998</v>
      </c>
      <c r="V633" s="7"/>
      <c r="W633" s="7" t="str">
        <f>VLOOKUP($Q633,Mapping!$E$11:$I$204,3,0)</f>
        <v>Public Lighting</v>
      </c>
      <c r="X633" s="7" t="str">
        <f>IFERROR(VLOOKUP($S633,Mapping!$E$208:$K$236,5,0),"Contracts")</f>
        <v>Overhead</v>
      </c>
      <c r="Y633" s="7" t="str">
        <f>IFERROR(VLOOKUP($S633,Mapping!$E$208:$K$236,7,0),"ENDirect")</f>
        <v>OH</v>
      </c>
      <c r="Z633" s="7" t="str">
        <f>IFERROR(HLOOKUP(X633,'Calc|Weightings'!$U$5:$W$5,1,0),"Excl")</f>
        <v>Excl</v>
      </c>
      <c r="AA633" s="7" t="str">
        <f>VLOOKUP(Q633,Mapping!$E$11:$I$204,5,0)</f>
        <v>Public Lighting</v>
      </c>
      <c r="AC633" s="35" t="s">
        <v>194</v>
      </c>
      <c r="AD633" s="35"/>
      <c r="AE633" s="35">
        <v>89999</v>
      </c>
      <c r="AF633" s="35" t="s">
        <v>471</v>
      </c>
      <c r="AG633" s="36">
        <v>0</v>
      </c>
      <c r="AI633" s="7" t="str">
        <f>VLOOKUP($AC633,Mapping!$E$11:$I$204,3,0)</f>
        <v>Replacement</v>
      </c>
      <c r="AJ633" s="7" t="str">
        <f>IFERROR(VLOOKUP($AE633,Mapping!$E$208:$K$236,5,0),"Contracts")</f>
        <v>Contracts</v>
      </c>
      <c r="AK633" s="7" t="str">
        <f>IFERROR(VLOOKUP($AE633,Mapping!$E$208:$K$236,7,0),"ENDirect")</f>
        <v>ENDirect</v>
      </c>
      <c r="AL633" s="7" t="str">
        <f>IFERROR(HLOOKUP(AJ633,'Calc|Weightings'!$U$5:$W$5,1,0),"Excl")</f>
        <v>Contracts</v>
      </c>
      <c r="AM633" s="7" t="str">
        <f>VLOOKUP(AC633,Mapping!$E$11:$I$204,5,0)</f>
        <v>SCS</v>
      </c>
      <c r="AO633" s="35" t="s">
        <v>190</v>
      </c>
      <c r="AP633" s="35"/>
      <c r="AQ633" s="35">
        <v>71070</v>
      </c>
      <c r="AR633" s="35" t="s">
        <v>586</v>
      </c>
      <c r="AS633" s="121">
        <v>14.431500000000003</v>
      </c>
      <c r="AU633" s="7" t="str">
        <f>VLOOKUP($AO633,Mapping!$E$11:$I$204,3,0)</f>
        <v>Replacement</v>
      </c>
      <c r="AV633" s="7" t="str">
        <f>IFERROR(VLOOKUP($AQ633,Mapping!$E$208:$K$236,5,0),"Contracts")</f>
        <v>Contracts</v>
      </c>
      <c r="AW633" s="7" t="str">
        <f>IFERROR(VLOOKUP($AQ633,Mapping!$E$208:$K$236,7,0),"ENDirect")</f>
        <v>ENDirect</v>
      </c>
      <c r="AX633" s="7" t="str">
        <f>IFERROR(HLOOKUP(AV633,'Calc|Weightings'!$U$5:$W$5,1,0),"Excl")</f>
        <v>Contracts</v>
      </c>
      <c r="AY633" s="7" t="str">
        <f>VLOOKUP(AO633,Mapping!$E$11:$I$204,5,0)</f>
        <v>SCS</v>
      </c>
    </row>
    <row r="634" spans="1:51" x14ac:dyDescent="0.3">
      <c r="A634" s="7"/>
      <c r="B634" s="7"/>
      <c r="C634" s="7"/>
      <c r="D634" s="7"/>
      <c r="E634" s="32" t="s">
        <v>124</v>
      </c>
      <c r="F634" s="32"/>
      <c r="G634" s="32">
        <v>80000</v>
      </c>
      <c r="H634" s="32" t="s">
        <v>453</v>
      </c>
      <c r="I634" s="33">
        <v>3.8359999999999999</v>
      </c>
      <c r="J634" s="170"/>
      <c r="K634" s="7" t="str">
        <f>VLOOKUP($E634,Mapping!$E$11:$I$204,3,0)</f>
        <v>Augmentation</v>
      </c>
      <c r="L634" s="7" t="str">
        <f>IFERROR(VLOOKUP($G634,Mapping!$E$208:$K$236,5,0),"Contracts")</f>
        <v>Overhead</v>
      </c>
      <c r="M634" s="7" t="str">
        <f>IFERROR(VLOOKUP($G634,Mapping!$E$208:$K$236,7,0),"ENDirect")</f>
        <v>OH</v>
      </c>
      <c r="N634" s="7" t="str">
        <f>IFERROR(HLOOKUP(L634,'Calc|Weightings'!$U$5:$W$5,1,0),"Excl")</f>
        <v>Excl</v>
      </c>
      <c r="O634" s="7" t="str">
        <f>VLOOKUP(E634,Mapping!$E$11:$I$204,5,0)</f>
        <v>SCS</v>
      </c>
      <c r="Q634" s="32" t="s">
        <v>201</v>
      </c>
      <c r="R634" s="32"/>
      <c r="S634" s="32">
        <v>71000</v>
      </c>
      <c r="T634" s="32" t="s">
        <v>457</v>
      </c>
      <c r="U634" s="33">
        <v>1793.3440000000001</v>
      </c>
      <c r="V634" s="7"/>
      <c r="W634" s="7" t="str">
        <f>VLOOKUP($Q634,Mapping!$E$11:$I$204,3,0)</f>
        <v>Replacement</v>
      </c>
      <c r="X634" s="7" t="str">
        <f>IFERROR(VLOOKUP($S634,Mapping!$E$208:$K$236,5,0),"Contracts")</f>
        <v>Labour</v>
      </c>
      <c r="Y634" s="7" t="str">
        <f>IFERROR(VLOOKUP($S634,Mapping!$E$208:$K$236,7,0),"ENDirect")</f>
        <v>ENDirect</v>
      </c>
      <c r="Z634" s="7" t="str">
        <f>IFERROR(HLOOKUP(X634,'Calc|Weightings'!$U$5:$W$5,1,0),"Excl")</f>
        <v>Labour</v>
      </c>
      <c r="AA634" s="7" t="str">
        <f>VLOOKUP(Q634,Mapping!$E$11:$I$204,5,0)</f>
        <v>SCS</v>
      </c>
      <c r="AC634" s="35" t="s">
        <v>197</v>
      </c>
      <c r="AD634" s="35"/>
      <c r="AE634" s="35">
        <v>71005</v>
      </c>
      <c r="AF634" s="35" t="s">
        <v>461</v>
      </c>
      <c r="AG634" s="36">
        <v>9.3379999999999992</v>
      </c>
      <c r="AI634" s="7" t="str">
        <f>VLOOKUP($AC634,Mapping!$E$11:$I$204,3,0)</f>
        <v>Replacement</v>
      </c>
      <c r="AJ634" s="7" t="str">
        <f>IFERROR(VLOOKUP($AE634,Mapping!$E$208:$K$236,5,0),"Contracts")</f>
        <v>Materials</v>
      </c>
      <c r="AK634" s="7" t="str">
        <f>IFERROR(VLOOKUP($AE634,Mapping!$E$208:$K$236,7,0),"ENDirect")</f>
        <v>ENDirect</v>
      </c>
      <c r="AL634" s="7" t="str">
        <f>IFERROR(HLOOKUP(AJ634,'Calc|Weightings'!$U$5:$W$5,1,0),"Excl")</f>
        <v>Materials</v>
      </c>
      <c r="AM634" s="7" t="str">
        <f>VLOOKUP(AC634,Mapping!$E$11:$I$204,5,0)</f>
        <v>SCS</v>
      </c>
      <c r="AO634" s="35" t="s">
        <v>190</v>
      </c>
      <c r="AP634" s="35"/>
      <c r="AQ634" s="35">
        <v>71075</v>
      </c>
      <c r="AR634" s="35" t="s">
        <v>587</v>
      </c>
      <c r="AS634" s="121">
        <v>191.44545000000022</v>
      </c>
      <c r="AU634" s="7" t="str">
        <f>VLOOKUP($AO634,Mapping!$E$11:$I$204,3,0)</f>
        <v>Replacement</v>
      </c>
      <c r="AV634" s="7" t="str">
        <f>IFERROR(VLOOKUP($AQ634,Mapping!$E$208:$K$236,5,0),"Contracts")</f>
        <v>Contracts</v>
      </c>
      <c r="AW634" s="7" t="str">
        <f>IFERROR(VLOOKUP($AQ634,Mapping!$E$208:$K$236,7,0),"ENDirect")</f>
        <v>ENDirect</v>
      </c>
      <c r="AX634" s="7" t="str">
        <f>IFERROR(HLOOKUP(AV634,'Calc|Weightings'!$U$5:$W$5,1,0),"Excl")</f>
        <v>Contracts</v>
      </c>
      <c r="AY634" s="7" t="str">
        <f>VLOOKUP(AO634,Mapping!$E$11:$I$204,5,0)</f>
        <v>SCS</v>
      </c>
    </row>
    <row r="635" spans="1:51" x14ac:dyDescent="0.3">
      <c r="A635" s="7"/>
      <c r="B635" s="7"/>
      <c r="C635" s="7"/>
      <c r="D635" s="7"/>
      <c r="E635" s="32" t="s">
        <v>153</v>
      </c>
      <c r="F635" s="32"/>
      <c r="G635" s="32">
        <v>71000</v>
      </c>
      <c r="H635" s="32" t="s">
        <v>457</v>
      </c>
      <c r="I635" s="33">
        <v>2.5430000000000001</v>
      </c>
      <c r="J635" s="170"/>
      <c r="K635" s="7" t="str">
        <f>VLOOKUP($E635,Mapping!$E$11:$I$204,3,0)</f>
        <v>Augmentation</v>
      </c>
      <c r="L635" s="7" t="str">
        <f>IFERROR(VLOOKUP($G635,Mapping!$E$208:$K$236,5,0),"Contracts")</f>
        <v>Labour</v>
      </c>
      <c r="M635" s="7" t="str">
        <f>IFERROR(VLOOKUP($G635,Mapping!$E$208:$K$236,7,0),"ENDirect")</f>
        <v>ENDirect</v>
      </c>
      <c r="N635" s="7" t="str">
        <f>IFERROR(HLOOKUP(L635,'Calc|Weightings'!$U$5:$W$5,1,0),"Excl")</f>
        <v>Labour</v>
      </c>
      <c r="O635" s="7" t="str">
        <f>VLOOKUP(E635,Mapping!$E$11:$I$204,5,0)</f>
        <v>SCS</v>
      </c>
      <c r="Q635" s="32" t="s">
        <v>201</v>
      </c>
      <c r="R635" s="32"/>
      <c r="S635" s="32">
        <v>71005</v>
      </c>
      <c r="T635" s="32" t="s">
        <v>461</v>
      </c>
      <c r="U635" s="33">
        <v>874.16200000000003</v>
      </c>
      <c r="V635" s="7"/>
      <c r="W635" s="7" t="str">
        <f>VLOOKUP($Q635,Mapping!$E$11:$I$204,3,0)</f>
        <v>Replacement</v>
      </c>
      <c r="X635" s="7" t="str">
        <f>IFERROR(VLOOKUP($S635,Mapping!$E$208:$K$236,5,0),"Contracts")</f>
        <v>Materials</v>
      </c>
      <c r="Y635" s="7" t="str">
        <f>IFERROR(VLOOKUP($S635,Mapping!$E$208:$K$236,7,0),"ENDirect")</f>
        <v>ENDirect</v>
      </c>
      <c r="Z635" s="7" t="str">
        <f>IFERROR(HLOOKUP(X635,'Calc|Weightings'!$U$5:$W$5,1,0),"Excl")</f>
        <v>Materials</v>
      </c>
      <c r="AA635" s="7" t="str">
        <f>VLOOKUP(Q635,Mapping!$E$11:$I$204,5,0)</f>
        <v>SCS</v>
      </c>
      <c r="AC635" s="35" t="s">
        <v>197</v>
      </c>
      <c r="AD635" s="35"/>
      <c r="AE635" s="35">
        <v>71015</v>
      </c>
      <c r="AF635" s="35" t="s">
        <v>463</v>
      </c>
      <c r="AG635" s="36">
        <v>18.21</v>
      </c>
      <c r="AI635" s="7" t="str">
        <f>VLOOKUP($AC635,Mapping!$E$11:$I$204,3,0)</f>
        <v>Replacement</v>
      </c>
      <c r="AJ635" s="7" t="str">
        <f>IFERROR(VLOOKUP($AE635,Mapping!$E$208:$K$236,5,0),"Contracts")</f>
        <v>Materials</v>
      </c>
      <c r="AK635" s="7" t="str">
        <f>IFERROR(VLOOKUP($AE635,Mapping!$E$208:$K$236,7,0),"ENDirect")</f>
        <v>ENDirect</v>
      </c>
      <c r="AL635" s="7" t="str">
        <f>IFERROR(HLOOKUP(AJ635,'Calc|Weightings'!$U$5:$W$5,1,0),"Excl")</f>
        <v>Materials</v>
      </c>
      <c r="AM635" s="7" t="str">
        <f>VLOOKUP(AC635,Mapping!$E$11:$I$204,5,0)</f>
        <v>SCS</v>
      </c>
      <c r="AO635" s="35" t="s">
        <v>190</v>
      </c>
      <c r="AP635" s="35"/>
      <c r="AQ635" s="35">
        <v>80000</v>
      </c>
      <c r="AR635" s="35" t="s">
        <v>589</v>
      </c>
      <c r="AS635" s="121">
        <v>308.04086000000001</v>
      </c>
      <c r="AU635" s="7" t="str">
        <f>VLOOKUP($AO635,Mapping!$E$11:$I$204,3,0)</f>
        <v>Replacement</v>
      </c>
      <c r="AV635" s="7" t="str">
        <f>IFERROR(VLOOKUP($AQ635,Mapping!$E$208:$K$236,5,0),"Contracts")</f>
        <v>Overhead</v>
      </c>
      <c r="AW635" s="7" t="str">
        <f>IFERROR(VLOOKUP($AQ635,Mapping!$E$208:$K$236,7,0),"ENDirect")</f>
        <v>OH</v>
      </c>
      <c r="AX635" s="7" t="str">
        <f>IFERROR(HLOOKUP(AV635,'Calc|Weightings'!$U$5:$W$5,1,0),"Excl")</f>
        <v>Excl</v>
      </c>
      <c r="AY635" s="7" t="str">
        <f>VLOOKUP(AO635,Mapping!$E$11:$I$204,5,0)</f>
        <v>SCS</v>
      </c>
    </row>
    <row r="636" spans="1:51" x14ac:dyDescent="0.3">
      <c r="A636" s="7"/>
      <c r="B636" s="7"/>
      <c r="C636" s="7"/>
      <c r="D636" s="7"/>
      <c r="E636" s="32" t="s">
        <v>153</v>
      </c>
      <c r="F636" s="32"/>
      <c r="G636" s="32">
        <v>71010</v>
      </c>
      <c r="H636" s="32" t="s">
        <v>462</v>
      </c>
      <c r="I636" s="33">
        <v>0.55800000000000005</v>
      </c>
      <c r="J636" s="170"/>
      <c r="K636" s="7" t="str">
        <f>VLOOKUP($E636,Mapping!$E$11:$I$204,3,0)</f>
        <v>Augmentation</v>
      </c>
      <c r="L636" s="7" t="str">
        <f>IFERROR(VLOOKUP($G636,Mapping!$E$208:$K$236,5,0),"Contracts")</f>
        <v>Labour</v>
      </c>
      <c r="M636" s="7" t="str">
        <f>IFERROR(VLOOKUP($G636,Mapping!$E$208:$K$236,7,0),"ENDirect")</f>
        <v>ENDirect</v>
      </c>
      <c r="N636" s="7" t="str">
        <f>IFERROR(HLOOKUP(L636,'Calc|Weightings'!$U$5:$W$5,1,0),"Excl")</f>
        <v>Labour</v>
      </c>
      <c r="O636" s="7" t="str">
        <f>VLOOKUP(E636,Mapping!$E$11:$I$204,5,0)</f>
        <v>SCS</v>
      </c>
      <c r="Q636" s="32" t="s">
        <v>201</v>
      </c>
      <c r="R636" s="32"/>
      <c r="S636" s="32">
        <v>71010</v>
      </c>
      <c r="T636" s="32" t="s">
        <v>462</v>
      </c>
      <c r="U636" s="33">
        <v>1657.5650000000001</v>
      </c>
      <c r="V636" s="7"/>
      <c r="W636" s="7" t="str">
        <f>VLOOKUP($Q636,Mapping!$E$11:$I$204,3,0)</f>
        <v>Replacement</v>
      </c>
      <c r="X636" s="7" t="str">
        <f>IFERROR(VLOOKUP($S636,Mapping!$E$208:$K$236,5,0),"Contracts")</f>
        <v>Labour</v>
      </c>
      <c r="Y636" s="7" t="str">
        <f>IFERROR(VLOOKUP($S636,Mapping!$E$208:$K$236,7,0),"ENDirect")</f>
        <v>ENDirect</v>
      </c>
      <c r="Z636" s="7" t="str">
        <f>IFERROR(HLOOKUP(X636,'Calc|Weightings'!$U$5:$W$5,1,0),"Excl")</f>
        <v>Labour</v>
      </c>
      <c r="AA636" s="7" t="str">
        <f>VLOOKUP(Q636,Mapping!$E$11:$I$204,5,0)</f>
        <v>SCS</v>
      </c>
      <c r="AC636" s="35" t="s">
        <v>197</v>
      </c>
      <c r="AD636" s="35"/>
      <c r="AE636" s="35">
        <v>89999</v>
      </c>
      <c r="AF636" s="35" t="s">
        <v>471</v>
      </c>
      <c r="AG636" s="36">
        <v>0</v>
      </c>
      <c r="AI636" s="7" t="str">
        <f>VLOOKUP($AC636,Mapping!$E$11:$I$204,3,0)</f>
        <v>Replacement</v>
      </c>
      <c r="AJ636" s="7" t="str">
        <f>IFERROR(VLOOKUP($AE636,Mapping!$E$208:$K$236,5,0),"Contracts")</f>
        <v>Contracts</v>
      </c>
      <c r="AK636" s="7" t="str">
        <f>IFERROR(VLOOKUP($AE636,Mapping!$E$208:$K$236,7,0),"ENDirect")</f>
        <v>ENDirect</v>
      </c>
      <c r="AL636" s="7" t="str">
        <f>IFERROR(HLOOKUP(AJ636,'Calc|Weightings'!$U$5:$W$5,1,0),"Excl")</f>
        <v>Contracts</v>
      </c>
      <c r="AM636" s="7" t="str">
        <f>VLOOKUP(AC636,Mapping!$E$11:$I$204,5,0)</f>
        <v>SCS</v>
      </c>
      <c r="AO636" s="35" t="s">
        <v>190</v>
      </c>
      <c r="AP636" s="35"/>
      <c r="AQ636" s="35">
        <v>83010</v>
      </c>
      <c r="AR636" s="35" t="s">
        <v>591</v>
      </c>
      <c r="AS636" s="121">
        <v>1577.6515800000138</v>
      </c>
      <c r="AU636" s="7" t="str">
        <f>VLOOKUP($AO636,Mapping!$E$11:$I$204,3,0)</f>
        <v>Replacement</v>
      </c>
      <c r="AV636" s="7" t="str">
        <f>IFERROR(VLOOKUP($AQ636,Mapping!$E$208:$K$236,5,0),"Contracts")</f>
        <v>Contracts</v>
      </c>
      <c r="AW636" s="7" t="str">
        <f>IFERROR(VLOOKUP($AQ636,Mapping!$E$208:$K$236,7,0),"ENDirect")</f>
        <v>ENDirect</v>
      </c>
      <c r="AX636" s="7" t="str">
        <f>IFERROR(HLOOKUP(AV636,'Calc|Weightings'!$U$5:$W$5,1,0),"Excl")</f>
        <v>Contracts</v>
      </c>
      <c r="AY636" s="7" t="str">
        <f>VLOOKUP(AO636,Mapping!$E$11:$I$204,5,0)</f>
        <v>SCS</v>
      </c>
    </row>
    <row r="637" spans="1:51" x14ac:dyDescent="0.3">
      <c r="A637" s="7"/>
      <c r="B637" s="7"/>
      <c r="C637" s="7"/>
      <c r="D637" s="7"/>
      <c r="E637" s="32" t="s">
        <v>153</v>
      </c>
      <c r="F637" s="32"/>
      <c r="G637" s="32">
        <v>71015</v>
      </c>
      <c r="H637" s="32" t="s">
        <v>463</v>
      </c>
      <c r="I637" s="33">
        <v>0.64900000000000002</v>
      </c>
      <c r="J637" s="170"/>
      <c r="K637" s="7" t="str">
        <f>VLOOKUP($E637,Mapping!$E$11:$I$204,3,0)</f>
        <v>Augmentation</v>
      </c>
      <c r="L637" s="7" t="str">
        <f>IFERROR(VLOOKUP($G637,Mapping!$E$208:$K$236,5,0),"Contracts")</f>
        <v>Materials</v>
      </c>
      <c r="M637" s="7" t="str">
        <f>IFERROR(VLOOKUP($G637,Mapping!$E$208:$K$236,7,0),"ENDirect")</f>
        <v>ENDirect</v>
      </c>
      <c r="N637" s="7" t="str">
        <f>IFERROR(HLOOKUP(L637,'Calc|Weightings'!$U$5:$W$5,1,0),"Excl")</f>
        <v>Materials</v>
      </c>
      <c r="O637" s="7" t="str">
        <f>VLOOKUP(E637,Mapping!$E$11:$I$204,5,0)</f>
        <v>SCS</v>
      </c>
      <c r="Q637" s="32" t="s">
        <v>201</v>
      </c>
      <c r="R637" s="32"/>
      <c r="S637" s="32">
        <v>71015</v>
      </c>
      <c r="T637" s="32" t="s">
        <v>463</v>
      </c>
      <c r="U637" s="33">
        <v>552.51700000000005</v>
      </c>
      <c r="V637" s="7"/>
      <c r="W637" s="7" t="str">
        <f>VLOOKUP($Q637,Mapping!$E$11:$I$204,3,0)</f>
        <v>Replacement</v>
      </c>
      <c r="X637" s="7" t="str">
        <f>IFERROR(VLOOKUP($S637,Mapping!$E$208:$K$236,5,0),"Contracts")</f>
        <v>Materials</v>
      </c>
      <c r="Y637" s="7" t="str">
        <f>IFERROR(VLOOKUP($S637,Mapping!$E$208:$K$236,7,0),"ENDirect")</f>
        <v>ENDirect</v>
      </c>
      <c r="Z637" s="7" t="str">
        <f>IFERROR(HLOOKUP(X637,'Calc|Weightings'!$U$5:$W$5,1,0),"Excl")</f>
        <v>Materials</v>
      </c>
      <c r="AA637" s="7" t="str">
        <f>VLOOKUP(Q637,Mapping!$E$11:$I$204,5,0)</f>
        <v>SCS</v>
      </c>
      <c r="AC637" s="35" t="s">
        <v>199</v>
      </c>
      <c r="AD637" s="35"/>
      <c r="AE637" s="35">
        <v>71000</v>
      </c>
      <c r="AF637" s="35" t="s">
        <v>457</v>
      </c>
      <c r="AG637" s="36">
        <v>61.927999999999997</v>
      </c>
      <c r="AI637" s="7" t="str">
        <f>VLOOKUP($AC637,Mapping!$E$11:$I$204,3,0)</f>
        <v>Public Lighting</v>
      </c>
      <c r="AJ637" s="7" t="str">
        <f>IFERROR(VLOOKUP($AE637,Mapping!$E$208:$K$236,5,0),"Contracts")</f>
        <v>Labour</v>
      </c>
      <c r="AK637" s="7" t="str">
        <f>IFERROR(VLOOKUP($AE637,Mapping!$E$208:$K$236,7,0),"ENDirect")</f>
        <v>ENDirect</v>
      </c>
      <c r="AL637" s="7" t="str">
        <f>IFERROR(HLOOKUP(AJ637,'Calc|Weightings'!$U$5:$W$5,1,0),"Excl")</f>
        <v>Labour</v>
      </c>
      <c r="AM637" s="7" t="str">
        <f>VLOOKUP(AC637,Mapping!$E$11:$I$204,5,0)</f>
        <v>Public Lighting</v>
      </c>
      <c r="AO637" s="35" t="s">
        <v>191</v>
      </c>
      <c r="AP637" s="35"/>
      <c r="AQ637" s="35">
        <v>71000</v>
      </c>
      <c r="AR637" s="35" t="s">
        <v>457</v>
      </c>
      <c r="AS637" s="121">
        <v>1.12605</v>
      </c>
      <c r="AU637" s="7" t="str">
        <f>VLOOKUP($AO637,Mapping!$E$11:$I$204,3,0)</f>
        <v>Replacement</v>
      </c>
      <c r="AV637" s="7" t="str">
        <f>IFERROR(VLOOKUP($AQ637,Mapping!$E$208:$K$236,5,0),"Contracts")</f>
        <v>Labour</v>
      </c>
      <c r="AW637" s="7" t="str">
        <f>IFERROR(VLOOKUP($AQ637,Mapping!$E$208:$K$236,7,0),"ENDirect")</f>
        <v>ENDirect</v>
      </c>
      <c r="AX637" s="7" t="str">
        <f>IFERROR(HLOOKUP(AV637,'Calc|Weightings'!$U$5:$W$5,1,0),"Excl")</f>
        <v>Labour</v>
      </c>
      <c r="AY637" s="7" t="str">
        <f>VLOOKUP(AO637,Mapping!$E$11:$I$204,5,0)</f>
        <v>SCS</v>
      </c>
    </row>
    <row r="638" spans="1:51" x14ac:dyDescent="0.3">
      <c r="A638" s="7"/>
      <c r="B638" s="7"/>
      <c r="C638" s="7"/>
      <c r="D638" s="7"/>
      <c r="E638" s="32" t="s">
        <v>153</v>
      </c>
      <c r="F638" s="32"/>
      <c r="G638" s="32">
        <v>71030</v>
      </c>
      <c r="H638" s="32" t="s">
        <v>464</v>
      </c>
      <c r="I638" s="33">
        <v>0.315</v>
      </c>
      <c r="J638" s="170"/>
      <c r="K638" s="7" t="str">
        <f>VLOOKUP($E638,Mapping!$E$11:$I$204,3,0)</f>
        <v>Augmentation</v>
      </c>
      <c r="L638" s="7" t="str">
        <f>IFERROR(VLOOKUP($G638,Mapping!$E$208:$K$236,5,0),"Contracts")</f>
        <v>Contracts</v>
      </c>
      <c r="M638" s="7" t="str">
        <f>IFERROR(VLOOKUP($G638,Mapping!$E$208:$K$236,7,0),"ENDirect")</f>
        <v>ENDirect</v>
      </c>
      <c r="N638" s="7" t="str">
        <f>IFERROR(HLOOKUP(L638,'Calc|Weightings'!$U$5:$W$5,1,0),"Excl")</f>
        <v>Contracts</v>
      </c>
      <c r="O638" s="7" t="str">
        <f>VLOOKUP(E638,Mapping!$E$11:$I$204,5,0)</f>
        <v>SCS</v>
      </c>
      <c r="Q638" s="32" t="s">
        <v>201</v>
      </c>
      <c r="R638" s="32"/>
      <c r="S638" s="32">
        <v>71020</v>
      </c>
      <c r="T638" s="32" t="s">
        <v>459</v>
      </c>
      <c r="U638" s="33">
        <v>-16.841000000000001</v>
      </c>
      <c r="V638" s="7"/>
      <c r="W638" s="7" t="str">
        <f>VLOOKUP($Q638,Mapping!$E$11:$I$204,3,0)</f>
        <v>Replacement</v>
      </c>
      <c r="X638" s="7" t="str">
        <f>IFERROR(VLOOKUP($S638,Mapping!$E$208:$K$236,5,0),"Contracts")</f>
        <v>Contracts</v>
      </c>
      <c r="Y638" s="7" t="str">
        <f>IFERROR(VLOOKUP($S638,Mapping!$E$208:$K$236,7,0),"ENDirect")</f>
        <v>ENDirect</v>
      </c>
      <c r="Z638" s="7" t="str">
        <f>IFERROR(HLOOKUP(X638,'Calc|Weightings'!$U$5:$W$5,1,0),"Excl")</f>
        <v>Contracts</v>
      </c>
      <c r="AA638" s="7" t="str">
        <f>VLOOKUP(Q638,Mapping!$E$11:$I$204,5,0)</f>
        <v>SCS</v>
      </c>
      <c r="AC638" s="35" t="s">
        <v>199</v>
      </c>
      <c r="AD638" s="35"/>
      <c r="AE638" s="35">
        <v>71005</v>
      </c>
      <c r="AF638" s="35" t="s">
        <v>461</v>
      </c>
      <c r="AG638" s="36">
        <v>150.83500000000001</v>
      </c>
      <c r="AI638" s="7" t="str">
        <f>VLOOKUP($AC638,Mapping!$E$11:$I$204,3,0)</f>
        <v>Public Lighting</v>
      </c>
      <c r="AJ638" s="7" t="str">
        <f>IFERROR(VLOOKUP($AE638,Mapping!$E$208:$K$236,5,0),"Contracts")</f>
        <v>Materials</v>
      </c>
      <c r="AK638" s="7" t="str">
        <f>IFERROR(VLOOKUP($AE638,Mapping!$E$208:$K$236,7,0),"ENDirect")</f>
        <v>ENDirect</v>
      </c>
      <c r="AL638" s="7" t="str">
        <f>IFERROR(HLOOKUP(AJ638,'Calc|Weightings'!$U$5:$W$5,1,0),"Excl")</f>
        <v>Materials</v>
      </c>
      <c r="AM638" s="7" t="str">
        <f>VLOOKUP(AC638,Mapping!$E$11:$I$204,5,0)</f>
        <v>Public Lighting</v>
      </c>
      <c r="AO638" s="35" t="s">
        <v>191</v>
      </c>
      <c r="AP638" s="35"/>
      <c r="AQ638" s="35">
        <v>71005</v>
      </c>
      <c r="AR638" s="35" t="s">
        <v>461</v>
      </c>
      <c r="AS638" s="121">
        <v>1.73573</v>
      </c>
      <c r="AU638" s="7" t="str">
        <f>VLOOKUP($AO638,Mapping!$E$11:$I$204,3,0)</f>
        <v>Replacement</v>
      </c>
      <c r="AV638" s="7" t="str">
        <f>IFERROR(VLOOKUP($AQ638,Mapping!$E$208:$K$236,5,0),"Contracts")</f>
        <v>Materials</v>
      </c>
      <c r="AW638" s="7" t="str">
        <f>IFERROR(VLOOKUP($AQ638,Mapping!$E$208:$K$236,7,0),"ENDirect")</f>
        <v>ENDirect</v>
      </c>
      <c r="AX638" s="7" t="str">
        <f>IFERROR(HLOOKUP(AV638,'Calc|Weightings'!$U$5:$W$5,1,0),"Excl")</f>
        <v>Materials</v>
      </c>
      <c r="AY638" s="7" t="str">
        <f>VLOOKUP(AO638,Mapping!$E$11:$I$204,5,0)</f>
        <v>SCS</v>
      </c>
    </row>
    <row r="639" spans="1:51" x14ac:dyDescent="0.3">
      <c r="A639" s="7"/>
      <c r="B639" s="7"/>
      <c r="C639" s="7"/>
      <c r="D639" s="7"/>
      <c r="E639" s="32" t="s">
        <v>153</v>
      </c>
      <c r="F639" s="32"/>
      <c r="G639" s="32">
        <v>71055</v>
      </c>
      <c r="H639" s="32" t="s">
        <v>465</v>
      </c>
      <c r="I639" s="33">
        <v>0.53300000000000003</v>
      </c>
      <c r="J639" s="170"/>
      <c r="K639" s="7" t="str">
        <f>VLOOKUP($E639,Mapping!$E$11:$I$204,3,0)</f>
        <v>Augmentation</v>
      </c>
      <c r="L639" s="7" t="str">
        <f>IFERROR(VLOOKUP($G639,Mapping!$E$208:$K$236,5,0),"Contracts")</f>
        <v>Contracts</v>
      </c>
      <c r="M639" s="7" t="str">
        <f>IFERROR(VLOOKUP($G639,Mapping!$E$208:$K$236,7,0),"ENDirect")</f>
        <v>ENDirect</v>
      </c>
      <c r="N639" s="7" t="str">
        <f>IFERROR(HLOOKUP(L639,'Calc|Weightings'!$U$5:$W$5,1,0),"Excl")</f>
        <v>Contracts</v>
      </c>
      <c r="O639" s="7" t="str">
        <f>VLOOKUP(E639,Mapping!$E$11:$I$204,5,0)</f>
        <v>SCS</v>
      </c>
      <c r="Q639" s="32" t="s">
        <v>201</v>
      </c>
      <c r="R639" s="32"/>
      <c r="S639" s="32">
        <v>71030</v>
      </c>
      <c r="T639" s="32" t="s">
        <v>464</v>
      </c>
      <c r="U639" s="33">
        <v>386.94900000000001</v>
      </c>
      <c r="V639" s="7"/>
      <c r="W639" s="7" t="str">
        <f>VLOOKUP($Q639,Mapping!$E$11:$I$204,3,0)</f>
        <v>Replacement</v>
      </c>
      <c r="X639" s="7" t="str">
        <f>IFERROR(VLOOKUP($S639,Mapping!$E$208:$K$236,5,0),"Contracts")</f>
        <v>Contracts</v>
      </c>
      <c r="Y639" s="7" t="str">
        <f>IFERROR(VLOOKUP($S639,Mapping!$E$208:$K$236,7,0),"ENDirect")</f>
        <v>ENDirect</v>
      </c>
      <c r="Z639" s="7" t="str">
        <f>IFERROR(HLOOKUP(X639,'Calc|Weightings'!$U$5:$W$5,1,0),"Excl")</f>
        <v>Contracts</v>
      </c>
      <c r="AA639" s="7" t="str">
        <f>VLOOKUP(Q639,Mapping!$E$11:$I$204,5,0)</f>
        <v>SCS</v>
      </c>
      <c r="AC639" s="35" t="s">
        <v>199</v>
      </c>
      <c r="AD639" s="35"/>
      <c r="AE639" s="35">
        <v>71010</v>
      </c>
      <c r="AF639" s="35" t="s">
        <v>462</v>
      </c>
      <c r="AG639" s="36">
        <v>167.86799999999999</v>
      </c>
      <c r="AI639" s="7" t="str">
        <f>VLOOKUP($AC639,Mapping!$E$11:$I$204,3,0)</f>
        <v>Public Lighting</v>
      </c>
      <c r="AJ639" s="7" t="str">
        <f>IFERROR(VLOOKUP($AE639,Mapping!$E$208:$K$236,5,0),"Contracts")</f>
        <v>Labour</v>
      </c>
      <c r="AK639" s="7" t="str">
        <f>IFERROR(VLOOKUP($AE639,Mapping!$E$208:$K$236,7,0),"ENDirect")</f>
        <v>ENDirect</v>
      </c>
      <c r="AL639" s="7" t="str">
        <f>IFERROR(HLOOKUP(AJ639,'Calc|Weightings'!$U$5:$W$5,1,0),"Excl")</f>
        <v>Labour</v>
      </c>
      <c r="AM639" s="7" t="str">
        <f>VLOOKUP(AC639,Mapping!$E$11:$I$204,5,0)</f>
        <v>Public Lighting</v>
      </c>
      <c r="AO639" s="35" t="s">
        <v>191</v>
      </c>
      <c r="AP639" s="35"/>
      <c r="AQ639" s="35">
        <v>71010</v>
      </c>
      <c r="AR639" s="35" t="s">
        <v>487</v>
      </c>
      <c r="AS639" s="121">
        <v>6.12</v>
      </c>
      <c r="AU639" s="7" t="str">
        <f>VLOOKUP($AO639,Mapping!$E$11:$I$204,3,0)</f>
        <v>Replacement</v>
      </c>
      <c r="AV639" s="7" t="str">
        <f>IFERROR(VLOOKUP($AQ639,Mapping!$E$208:$K$236,5,0),"Contracts")</f>
        <v>Labour</v>
      </c>
      <c r="AW639" s="7" t="str">
        <f>IFERROR(VLOOKUP($AQ639,Mapping!$E$208:$K$236,7,0),"ENDirect")</f>
        <v>ENDirect</v>
      </c>
      <c r="AX639" s="7" t="str">
        <f>IFERROR(HLOOKUP(AV639,'Calc|Weightings'!$U$5:$W$5,1,0),"Excl")</f>
        <v>Labour</v>
      </c>
      <c r="AY639" s="7" t="str">
        <f>VLOOKUP(AO639,Mapping!$E$11:$I$204,5,0)</f>
        <v>SCS</v>
      </c>
    </row>
    <row r="640" spans="1:51" x14ac:dyDescent="0.3">
      <c r="A640" s="7"/>
      <c r="B640" s="7"/>
      <c r="C640" s="7"/>
      <c r="D640" s="7"/>
      <c r="E640" s="32" t="s">
        <v>153</v>
      </c>
      <c r="F640" s="32"/>
      <c r="G640" s="32">
        <v>80000</v>
      </c>
      <c r="H640" s="32" t="s">
        <v>453</v>
      </c>
      <c r="I640" s="33">
        <v>0.42299999999999999</v>
      </c>
      <c r="J640" s="170"/>
      <c r="K640" s="7" t="str">
        <f>VLOOKUP($E640,Mapping!$E$11:$I$204,3,0)</f>
        <v>Augmentation</v>
      </c>
      <c r="L640" s="7" t="str">
        <f>IFERROR(VLOOKUP($G640,Mapping!$E$208:$K$236,5,0),"Contracts")</f>
        <v>Overhead</v>
      </c>
      <c r="M640" s="7" t="str">
        <f>IFERROR(VLOOKUP($G640,Mapping!$E$208:$K$236,7,0),"ENDirect")</f>
        <v>OH</v>
      </c>
      <c r="N640" s="7" t="str">
        <f>IFERROR(HLOOKUP(L640,'Calc|Weightings'!$U$5:$W$5,1,0),"Excl")</f>
        <v>Excl</v>
      </c>
      <c r="O640" s="7" t="str">
        <f>VLOOKUP(E640,Mapping!$E$11:$I$204,5,0)</f>
        <v>SCS</v>
      </c>
      <c r="Q640" s="32" t="s">
        <v>201</v>
      </c>
      <c r="R640" s="32"/>
      <c r="S640" s="32">
        <v>71055</v>
      </c>
      <c r="T640" s="32" t="s">
        <v>465</v>
      </c>
      <c r="U640" s="33">
        <v>667.08600000000001</v>
      </c>
      <c r="V640" s="7"/>
      <c r="W640" s="7" t="str">
        <f>VLOOKUP($Q640,Mapping!$E$11:$I$204,3,0)</f>
        <v>Replacement</v>
      </c>
      <c r="X640" s="7" t="str">
        <f>IFERROR(VLOOKUP($S640,Mapping!$E$208:$K$236,5,0),"Contracts")</f>
        <v>Contracts</v>
      </c>
      <c r="Y640" s="7" t="str">
        <f>IFERROR(VLOOKUP($S640,Mapping!$E$208:$K$236,7,0),"ENDirect")</f>
        <v>ENDirect</v>
      </c>
      <c r="Z640" s="7" t="str">
        <f>IFERROR(HLOOKUP(X640,'Calc|Weightings'!$U$5:$W$5,1,0),"Excl")</f>
        <v>Contracts</v>
      </c>
      <c r="AA640" s="7" t="str">
        <f>VLOOKUP(Q640,Mapping!$E$11:$I$204,5,0)</f>
        <v>SCS</v>
      </c>
      <c r="AC640" s="35" t="s">
        <v>199</v>
      </c>
      <c r="AD640" s="35"/>
      <c r="AE640" s="35">
        <v>71015</v>
      </c>
      <c r="AF640" s="35" t="s">
        <v>463</v>
      </c>
      <c r="AG640" s="36">
        <v>5.3730000000000002</v>
      </c>
      <c r="AI640" s="7" t="str">
        <f>VLOOKUP($AC640,Mapping!$E$11:$I$204,3,0)</f>
        <v>Public Lighting</v>
      </c>
      <c r="AJ640" s="7" t="str">
        <f>IFERROR(VLOOKUP($AE640,Mapping!$E$208:$K$236,5,0),"Contracts")</f>
        <v>Materials</v>
      </c>
      <c r="AK640" s="7" t="str">
        <f>IFERROR(VLOOKUP($AE640,Mapping!$E$208:$K$236,7,0),"ENDirect")</f>
        <v>ENDirect</v>
      </c>
      <c r="AL640" s="7" t="str">
        <f>IFERROR(HLOOKUP(AJ640,'Calc|Weightings'!$U$5:$W$5,1,0),"Excl")</f>
        <v>Materials</v>
      </c>
      <c r="AM640" s="7" t="str">
        <f>VLOOKUP(AC640,Mapping!$E$11:$I$204,5,0)</f>
        <v>Public Lighting</v>
      </c>
      <c r="AO640" s="35" t="s">
        <v>191</v>
      </c>
      <c r="AP640" s="35"/>
      <c r="AQ640" s="35">
        <v>71015</v>
      </c>
      <c r="AR640" s="35" t="s">
        <v>585</v>
      </c>
      <c r="AS640" s="121">
        <v>0.40249000000000001</v>
      </c>
      <c r="AU640" s="7" t="str">
        <f>VLOOKUP($AO640,Mapping!$E$11:$I$204,3,0)</f>
        <v>Replacement</v>
      </c>
      <c r="AV640" s="7" t="str">
        <f>IFERROR(VLOOKUP($AQ640,Mapping!$E$208:$K$236,5,0),"Contracts")</f>
        <v>Materials</v>
      </c>
      <c r="AW640" s="7" t="str">
        <f>IFERROR(VLOOKUP($AQ640,Mapping!$E$208:$K$236,7,0),"ENDirect")</f>
        <v>ENDirect</v>
      </c>
      <c r="AX640" s="7" t="str">
        <f>IFERROR(HLOOKUP(AV640,'Calc|Weightings'!$U$5:$W$5,1,0),"Excl")</f>
        <v>Materials</v>
      </c>
      <c r="AY640" s="7" t="str">
        <f>VLOOKUP(AO640,Mapping!$E$11:$I$204,5,0)</f>
        <v>SCS</v>
      </c>
    </row>
    <row r="641" spans="1:51" x14ac:dyDescent="0.3">
      <c r="A641" s="7"/>
      <c r="B641" s="7"/>
      <c r="C641" s="7"/>
      <c r="D641" s="7"/>
      <c r="E641" s="32" t="s">
        <v>155</v>
      </c>
      <c r="F641" s="32"/>
      <c r="G641" s="32">
        <v>71000</v>
      </c>
      <c r="H641" s="32" t="s">
        <v>457</v>
      </c>
      <c r="I641" s="33">
        <v>209.15299999999999</v>
      </c>
      <c r="J641" s="170"/>
      <c r="K641" s="7" t="str">
        <f>VLOOKUP($E641,Mapping!$E$11:$I$204,3,0)</f>
        <v>Replacement</v>
      </c>
      <c r="L641" s="7" t="str">
        <f>IFERROR(VLOOKUP($G641,Mapping!$E$208:$K$236,5,0),"Contracts")</f>
        <v>Labour</v>
      </c>
      <c r="M641" s="7" t="str">
        <f>IFERROR(VLOOKUP($G641,Mapping!$E$208:$K$236,7,0),"ENDirect")</f>
        <v>ENDirect</v>
      </c>
      <c r="N641" s="7" t="str">
        <f>IFERROR(HLOOKUP(L641,'Calc|Weightings'!$U$5:$W$5,1,0),"Excl")</f>
        <v>Labour</v>
      </c>
      <c r="O641" s="7" t="str">
        <f>VLOOKUP(E641,Mapping!$E$11:$I$204,5,0)</f>
        <v>SCS</v>
      </c>
      <c r="Q641" s="32" t="s">
        <v>201</v>
      </c>
      <c r="R641" s="32"/>
      <c r="S641" s="32">
        <v>80000</v>
      </c>
      <c r="T641" s="32" t="s">
        <v>453</v>
      </c>
      <c r="U641" s="33">
        <v>743.43100000000004</v>
      </c>
      <c r="V641" s="7"/>
      <c r="W641" s="7" t="str">
        <f>VLOOKUP($Q641,Mapping!$E$11:$I$204,3,0)</f>
        <v>Replacement</v>
      </c>
      <c r="X641" s="7" t="str">
        <f>IFERROR(VLOOKUP($S641,Mapping!$E$208:$K$236,5,0),"Contracts")</f>
        <v>Overhead</v>
      </c>
      <c r="Y641" s="7" t="str">
        <f>IFERROR(VLOOKUP($S641,Mapping!$E$208:$K$236,7,0),"ENDirect")</f>
        <v>OH</v>
      </c>
      <c r="Z641" s="7" t="str">
        <f>IFERROR(HLOOKUP(X641,'Calc|Weightings'!$U$5:$W$5,1,0),"Excl")</f>
        <v>Excl</v>
      </c>
      <c r="AA641" s="7" t="str">
        <f>VLOOKUP(Q641,Mapping!$E$11:$I$204,5,0)</f>
        <v>SCS</v>
      </c>
      <c r="AC641" s="35" t="s">
        <v>199</v>
      </c>
      <c r="AD641" s="35"/>
      <c r="AE641" s="35">
        <v>71020</v>
      </c>
      <c r="AF641" s="35" t="s">
        <v>459</v>
      </c>
      <c r="AG641" s="36">
        <v>0</v>
      </c>
      <c r="AI641" s="7" t="str">
        <f>VLOOKUP($AC641,Mapping!$E$11:$I$204,3,0)</f>
        <v>Public Lighting</v>
      </c>
      <c r="AJ641" s="7" t="str">
        <f>IFERROR(VLOOKUP($AE641,Mapping!$E$208:$K$236,5,0),"Contracts")</f>
        <v>Contracts</v>
      </c>
      <c r="AK641" s="7" t="str">
        <f>IFERROR(VLOOKUP($AE641,Mapping!$E$208:$K$236,7,0),"ENDirect")</f>
        <v>ENDirect</v>
      </c>
      <c r="AL641" s="7" t="str">
        <f>IFERROR(HLOOKUP(AJ641,'Calc|Weightings'!$U$5:$W$5,1,0),"Excl")</f>
        <v>Contracts</v>
      </c>
      <c r="AM641" s="7" t="str">
        <f>VLOOKUP(AC641,Mapping!$E$11:$I$204,5,0)</f>
        <v>Public Lighting</v>
      </c>
      <c r="AO641" s="35" t="s">
        <v>191</v>
      </c>
      <c r="AP641" s="35"/>
      <c r="AQ641" s="35">
        <v>71030</v>
      </c>
      <c r="AR641" s="35" t="s">
        <v>464</v>
      </c>
      <c r="AS641" s="121">
        <v>0.74533999999999989</v>
      </c>
      <c r="AU641" s="7" t="str">
        <f>VLOOKUP($AO641,Mapping!$E$11:$I$204,3,0)</f>
        <v>Replacement</v>
      </c>
      <c r="AV641" s="7" t="str">
        <f>IFERROR(VLOOKUP($AQ641,Mapping!$E$208:$K$236,5,0),"Contracts")</f>
        <v>Contracts</v>
      </c>
      <c r="AW641" s="7" t="str">
        <f>IFERROR(VLOOKUP($AQ641,Mapping!$E$208:$K$236,7,0),"ENDirect")</f>
        <v>ENDirect</v>
      </c>
      <c r="AX641" s="7" t="str">
        <f>IFERROR(HLOOKUP(AV641,'Calc|Weightings'!$U$5:$W$5,1,0),"Excl")</f>
        <v>Contracts</v>
      </c>
      <c r="AY641" s="7" t="str">
        <f>VLOOKUP(AO641,Mapping!$E$11:$I$204,5,0)</f>
        <v>SCS</v>
      </c>
    </row>
    <row r="642" spans="1:51" x14ac:dyDescent="0.3">
      <c r="A642" s="7"/>
      <c r="B642" s="7"/>
      <c r="C642" s="7"/>
      <c r="D642" s="7"/>
      <c r="E642" s="32" t="s">
        <v>155</v>
      </c>
      <c r="F642" s="32"/>
      <c r="G642" s="32">
        <v>71005</v>
      </c>
      <c r="H642" s="32" t="s">
        <v>461</v>
      </c>
      <c r="I642" s="33">
        <v>123.148</v>
      </c>
      <c r="J642" s="170"/>
      <c r="K642" s="7" t="str">
        <f>VLOOKUP($E642,Mapping!$E$11:$I$204,3,0)</f>
        <v>Replacement</v>
      </c>
      <c r="L642" s="7" t="str">
        <f>IFERROR(VLOOKUP($G642,Mapping!$E$208:$K$236,5,0),"Contracts")</f>
        <v>Materials</v>
      </c>
      <c r="M642" s="7" t="str">
        <f>IFERROR(VLOOKUP($G642,Mapping!$E$208:$K$236,7,0),"ENDirect")</f>
        <v>ENDirect</v>
      </c>
      <c r="N642" s="7" t="str">
        <f>IFERROR(HLOOKUP(L642,'Calc|Weightings'!$U$5:$W$5,1,0),"Excl")</f>
        <v>Materials</v>
      </c>
      <c r="O642" s="7" t="str">
        <f>VLOOKUP(E642,Mapping!$E$11:$I$204,5,0)</f>
        <v>SCS</v>
      </c>
      <c r="Q642" s="32" t="s">
        <v>201</v>
      </c>
      <c r="R642" s="32"/>
      <c r="S642" s="32">
        <v>89999</v>
      </c>
      <c r="T642" s="32" t="s">
        <v>471</v>
      </c>
      <c r="U642" s="33">
        <v>0</v>
      </c>
      <c r="V642" s="7"/>
      <c r="W642" s="7" t="str">
        <f>VLOOKUP($Q642,Mapping!$E$11:$I$204,3,0)</f>
        <v>Replacement</v>
      </c>
      <c r="X642" s="7" t="str">
        <f>IFERROR(VLOOKUP($S642,Mapping!$E$208:$K$236,5,0),"Contracts")</f>
        <v>Contracts</v>
      </c>
      <c r="Y642" s="7" t="str">
        <f>IFERROR(VLOOKUP($S642,Mapping!$E$208:$K$236,7,0),"ENDirect")</f>
        <v>ENDirect</v>
      </c>
      <c r="Z642" s="7" t="str">
        <f>IFERROR(HLOOKUP(X642,'Calc|Weightings'!$U$5:$W$5,1,0),"Excl")</f>
        <v>Contracts</v>
      </c>
      <c r="AA642" s="7" t="str">
        <f>VLOOKUP(Q642,Mapping!$E$11:$I$204,5,0)</f>
        <v>SCS</v>
      </c>
      <c r="AC642" s="35" t="s">
        <v>199</v>
      </c>
      <c r="AD642" s="35"/>
      <c r="AE642" s="35">
        <v>71030</v>
      </c>
      <c r="AF642" s="35" t="s">
        <v>464</v>
      </c>
      <c r="AG642" s="36">
        <v>30.928999999999998</v>
      </c>
      <c r="AI642" s="7" t="str">
        <f>VLOOKUP($AC642,Mapping!$E$11:$I$204,3,0)</f>
        <v>Public Lighting</v>
      </c>
      <c r="AJ642" s="7" t="str">
        <f>IFERROR(VLOOKUP($AE642,Mapping!$E$208:$K$236,5,0),"Contracts")</f>
        <v>Contracts</v>
      </c>
      <c r="AK642" s="7" t="str">
        <f>IFERROR(VLOOKUP($AE642,Mapping!$E$208:$K$236,7,0),"ENDirect")</f>
        <v>ENDirect</v>
      </c>
      <c r="AL642" s="7" t="str">
        <f>IFERROR(HLOOKUP(AJ642,'Calc|Weightings'!$U$5:$W$5,1,0),"Excl")</f>
        <v>Contracts</v>
      </c>
      <c r="AM642" s="7" t="str">
        <f>VLOOKUP(AC642,Mapping!$E$11:$I$204,5,0)</f>
        <v>Public Lighting</v>
      </c>
      <c r="AO642" s="35" t="s">
        <v>191</v>
      </c>
      <c r="AP642" s="35"/>
      <c r="AQ642" s="35">
        <v>71055</v>
      </c>
      <c r="AR642" s="35" t="s">
        <v>465</v>
      </c>
      <c r="AS642" s="121">
        <v>1.26319</v>
      </c>
      <c r="AU642" s="7" t="str">
        <f>VLOOKUP($AO642,Mapping!$E$11:$I$204,3,0)</f>
        <v>Replacement</v>
      </c>
      <c r="AV642" s="7" t="str">
        <f>IFERROR(VLOOKUP($AQ642,Mapping!$E$208:$K$236,5,0),"Contracts")</f>
        <v>Contracts</v>
      </c>
      <c r="AW642" s="7" t="str">
        <f>IFERROR(VLOOKUP($AQ642,Mapping!$E$208:$K$236,7,0),"ENDirect")</f>
        <v>ENDirect</v>
      </c>
      <c r="AX642" s="7" t="str">
        <f>IFERROR(HLOOKUP(AV642,'Calc|Weightings'!$U$5:$W$5,1,0),"Excl")</f>
        <v>Contracts</v>
      </c>
      <c r="AY642" s="7" t="str">
        <f>VLOOKUP(AO642,Mapping!$E$11:$I$204,5,0)</f>
        <v>SCS</v>
      </c>
    </row>
    <row r="643" spans="1:51" x14ac:dyDescent="0.3">
      <c r="A643" s="7"/>
      <c r="B643" s="7"/>
      <c r="C643" s="7"/>
      <c r="D643" s="7"/>
      <c r="E643" s="32" t="s">
        <v>155</v>
      </c>
      <c r="F643" s="32"/>
      <c r="G643" s="32">
        <v>71006</v>
      </c>
      <c r="H643" s="32" t="s">
        <v>468</v>
      </c>
      <c r="I643" s="33">
        <v>10.106999999999999</v>
      </c>
      <c r="J643" s="170"/>
      <c r="K643" s="7" t="str">
        <f>VLOOKUP($E643,Mapping!$E$11:$I$204,3,0)</f>
        <v>Replacement</v>
      </c>
      <c r="L643" s="7" t="str">
        <f>IFERROR(VLOOKUP($G643,Mapping!$E$208:$K$236,5,0),"Contracts")</f>
        <v>Materials</v>
      </c>
      <c r="M643" s="7" t="str">
        <f>IFERROR(VLOOKUP($G643,Mapping!$E$208:$K$236,7,0),"ENDirect")</f>
        <v>ENDirect</v>
      </c>
      <c r="N643" s="7" t="str">
        <f>IFERROR(HLOOKUP(L643,'Calc|Weightings'!$U$5:$W$5,1,0),"Excl")</f>
        <v>Materials</v>
      </c>
      <c r="O643" s="7" t="str">
        <f>VLOOKUP(E643,Mapping!$E$11:$I$204,5,0)</f>
        <v>SCS</v>
      </c>
      <c r="Q643" s="32" t="s">
        <v>202</v>
      </c>
      <c r="R643" s="32"/>
      <c r="S643" s="32">
        <v>71000</v>
      </c>
      <c r="T643" s="32" t="s">
        <v>457</v>
      </c>
      <c r="U643" s="33">
        <v>853.625</v>
      </c>
      <c r="V643" s="7"/>
      <c r="W643" s="7" t="str">
        <f>VLOOKUP($Q643,Mapping!$E$11:$I$204,3,0)</f>
        <v>Replacement</v>
      </c>
      <c r="X643" s="7" t="str">
        <f>IFERROR(VLOOKUP($S643,Mapping!$E$208:$K$236,5,0),"Contracts")</f>
        <v>Labour</v>
      </c>
      <c r="Y643" s="7" t="str">
        <f>IFERROR(VLOOKUP($S643,Mapping!$E$208:$K$236,7,0),"ENDirect")</f>
        <v>ENDirect</v>
      </c>
      <c r="Z643" s="7" t="str">
        <f>IFERROR(HLOOKUP(X643,'Calc|Weightings'!$U$5:$W$5,1,0),"Excl")</f>
        <v>Labour</v>
      </c>
      <c r="AA643" s="7" t="str">
        <f>VLOOKUP(Q643,Mapping!$E$11:$I$204,5,0)</f>
        <v>SCS</v>
      </c>
      <c r="AC643" s="35" t="s">
        <v>199</v>
      </c>
      <c r="AD643" s="35"/>
      <c r="AE643" s="35">
        <v>71055</v>
      </c>
      <c r="AF643" s="35" t="s">
        <v>465</v>
      </c>
      <c r="AG643" s="36">
        <v>60.759</v>
      </c>
      <c r="AI643" s="7" t="str">
        <f>VLOOKUP($AC643,Mapping!$E$11:$I$204,3,0)</f>
        <v>Public Lighting</v>
      </c>
      <c r="AJ643" s="7" t="str">
        <f>IFERROR(VLOOKUP($AE643,Mapping!$E$208:$K$236,5,0),"Contracts")</f>
        <v>Contracts</v>
      </c>
      <c r="AK643" s="7" t="str">
        <f>IFERROR(VLOOKUP($AE643,Mapping!$E$208:$K$236,7,0),"ENDirect")</f>
        <v>ENDirect</v>
      </c>
      <c r="AL643" s="7" t="str">
        <f>IFERROR(HLOOKUP(AJ643,'Calc|Weightings'!$U$5:$W$5,1,0),"Excl")</f>
        <v>Contracts</v>
      </c>
      <c r="AM643" s="7" t="str">
        <f>VLOOKUP(AC643,Mapping!$E$11:$I$204,5,0)</f>
        <v>Public Lighting</v>
      </c>
      <c r="AO643" s="35" t="s">
        <v>191</v>
      </c>
      <c r="AP643" s="35"/>
      <c r="AQ643" s="35">
        <v>80000</v>
      </c>
      <c r="AR643" s="35" t="s">
        <v>589</v>
      </c>
      <c r="AS643" s="121">
        <v>2.1448499999999999</v>
      </c>
      <c r="AU643" s="7" t="str">
        <f>VLOOKUP($AO643,Mapping!$E$11:$I$204,3,0)</f>
        <v>Replacement</v>
      </c>
      <c r="AV643" s="7" t="str">
        <f>IFERROR(VLOOKUP($AQ643,Mapping!$E$208:$K$236,5,0),"Contracts")</f>
        <v>Overhead</v>
      </c>
      <c r="AW643" s="7" t="str">
        <f>IFERROR(VLOOKUP($AQ643,Mapping!$E$208:$K$236,7,0),"ENDirect")</f>
        <v>OH</v>
      </c>
      <c r="AX643" s="7" t="str">
        <f>IFERROR(HLOOKUP(AV643,'Calc|Weightings'!$U$5:$W$5,1,0),"Excl")</f>
        <v>Excl</v>
      </c>
      <c r="AY643" s="7" t="str">
        <f>VLOOKUP(AO643,Mapping!$E$11:$I$204,5,0)</f>
        <v>SCS</v>
      </c>
    </row>
    <row r="644" spans="1:51" x14ac:dyDescent="0.3">
      <c r="A644" s="7"/>
      <c r="B644" s="7"/>
      <c r="C644" s="7"/>
      <c r="D644" s="7"/>
      <c r="E644" s="32" t="s">
        <v>155</v>
      </c>
      <c r="F644" s="32"/>
      <c r="G644" s="32">
        <v>71010</v>
      </c>
      <c r="H644" s="32" t="s">
        <v>462</v>
      </c>
      <c r="I644" s="33">
        <v>96.516999999999996</v>
      </c>
      <c r="J644" s="170"/>
      <c r="K644" s="7" t="str">
        <f>VLOOKUP($E644,Mapping!$E$11:$I$204,3,0)</f>
        <v>Replacement</v>
      </c>
      <c r="L644" s="7" t="str">
        <f>IFERROR(VLOOKUP($G644,Mapping!$E$208:$K$236,5,0),"Contracts")</f>
        <v>Labour</v>
      </c>
      <c r="M644" s="7" t="str">
        <f>IFERROR(VLOOKUP($G644,Mapping!$E$208:$K$236,7,0),"ENDirect")</f>
        <v>ENDirect</v>
      </c>
      <c r="N644" s="7" t="str">
        <f>IFERROR(HLOOKUP(L644,'Calc|Weightings'!$U$5:$W$5,1,0),"Excl")</f>
        <v>Labour</v>
      </c>
      <c r="O644" s="7" t="str">
        <f>VLOOKUP(E644,Mapping!$E$11:$I$204,5,0)</f>
        <v>SCS</v>
      </c>
      <c r="Q644" s="32" t="s">
        <v>202</v>
      </c>
      <c r="R644" s="32"/>
      <c r="S644" s="32">
        <v>71005</v>
      </c>
      <c r="T644" s="32" t="s">
        <v>461</v>
      </c>
      <c r="U644" s="33">
        <v>329.904</v>
      </c>
      <c r="V644" s="7"/>
      <c r="W644" s="7" t="str">
        <f>VLOOKUP($Q644,Mapping!$E$11:$I$204,3,0)</f>
        <v>Replacement</v>
      </c>
      <c r="X644" s="7" t="str">
        <f>IFERROR(VLOOKUP($S644,Mapping!$E$208:$K$236,5,0),"Contracts")</f>
        <v>Materials</v>
      </c>
      <c r="Y644" s="7" t="str">
        <f>IFERROR(VLOOKUP($S644,Mapping!$E$208:$K$236,7,0),"ENDirect")</f>
        <v>ENDirect</v>
      </c>
      <c r="Z644" s="7" t="str">
        <f>IFERROR(HLOOKUP(X644,'Calc|Weightings'!$U$5:$W$5,1,0),"Excl")</f>
        <v>Materials</v>
      </c>
      <c r="AA644" s="7" t="str">
        <f>VLOOKUP(Q644,Mapping!$E$11:$I$204,5,0)</f>
        <v>SCS</v>
      </c>
      <c r="AC644" s="35" t="s">
        <v>199</v>
      </c>
      <c r="AD644" s="35"/>
      <c r="AE644" s="35">
        <v>80000</v>
      </c>
      <c r="AF644" s="35" t="s">
        <v>453</v>
      </c>
      <c r="AG644" s="36">
        <v>54.366999999999997</v>
      </c>
      <c r="AI644" s="7" t="str">
        <f>VLOOKUP($AC644,Mapping!$E$11:$I$204,3,0)</f>
        <v>Public Lighting</v>
      </c>
      <c r="AJ644" s="7" t="str">
        <f>IFERROR(VLOOKUP($AE644,Mapping!$E$208:$K$236,5,0),"Contracts")</f>
        <v>Overhead</v>
      </c>
      <c r="AK644" s="7" t="str">
        <f>IFERROR(VLOOKUP($AE644,Mapping!$E$208:$K$236,7,0),"ENDirect")</f>
        <v>OH</v>
      </c>
      <c r="AL644" s="7" t="str">
        <f>IFERROR(HLOOKUP(AJ644,'Calc|Weightings'!$U$5:$W$5,1,0),"Excl")</f>
        <v>Excl</v>
      </c>
      <c r="AM644" s="7" t="str">
        <f>VLOOKUP(AC644,Mapping!$E$11:$I$204,5,0)</f>
        <v>Public Lighting</v>
      </c>
      <c r="AO644" s="35" t="s">
        <v>192</v>
      </c>
      <c r="AP644" s="35"/>
      <c r="AQ644" s="35">
        <v>70815</v>
      </c>
      <c r="AR644" s="35" t="s">
        <v>594</v>
      </c>
      <c r="AS644" s="121">
        <v>12.375000000000014</v>
      </c>
      <c r="AU644" s="171" t="s">
        <v>8</v>
      </c>
      <c r="AV644" s="7" t="str">
        <f>IFERROR(VLOOKUP($AQ644,Mapping!$E$208:$K$236,5,0),"Contracts")</f>
        <v>Materials</v>
      </c>
      <c r="AW644" s="7" t="str">
        <f>IFERROR(VLOOKUP($AQ644,Mapping!$E$208:$K$236,7,0),"ENDirect")</f>
        <v>ENDirect</v>
      </c>
      <c r="AX644" s="7" t="str">
        <f>IFERROR(HLOOKUP(AV644,'Calc|Weightings'!$U$5:$W$5,1,0),"Excl")</f>
        <v>Materials</v>
      </c>
      <c r="AY644" s="7" t="str">
        <f>VLOOKUP(AO644,Mapping!$E$11:$I$204,5,0)</f>
        <v>SCS</v>
      </c>
    </row>
    <row r="645" spans="1:51" x14ac:dyDescent="0.3">
      <c r="A645" s="7"/>
      <c r="B645" s="7"/>
      <c r="C645" s="7"/>
      <c r="D645" s="7"/>
      <c r="E645" s="32" t="s">
        <v>155</v>
      </c>
      <c r="F645" s="32"/>
      <c r="G645" s="32">
        <v>71015</v>
      </c>
      <c r="H645" s="32" t="s">
        <v>463</v>
      </c>
      <c r="I645" s="33">
        <v>47.067</v>
      </c>
      <c r="J645" s="170"/>
      <c r="K645" s="7" t="str">
        <f>VLOOKUP($E645,Mapping!$E$11:$I$204,3,0)</f>
        <v>Replacement</v>
      </c>
      <c r="L645" s="7" t="str">
        <f>IFERROR(VLOOKUP($G645,Mapping!$E$208:$K$236,5,0),"Contracts")</f>
        <v>Materials</v>
      </c>
      <c r="M645" s="7" t="str">
        <f>IFERROR(VLOOKUP($G645,Mapping!$E$208:$K$236,7,0),"ENDirect")</f>
        <v>ENDirect</v>
      </c>
      <c r="N645" s="7" t="str">
        <f>IFERROR(HLOOKUP(L645,'Calc|Weightings'!$U$5:$W$5,1,0),"Excl")</f>
        <v>Materials</v>
      </c>
      <c r="O645" s="7" t="str">
        <f>VLOOKUP(E645,Mapping!$E$11:$I$204,5,0)</f>
        <v>SCS</v>
      </c>
      <c r="Q645" s="32" t="s">
        <v>202</v>
      </c>
      <c r="R645" s="32"/>
      <c r="S645" s="32">
        <v>71010</v>
      </c>
      <c r="T645" s="32" t="s">
        <v>462</v>
      </c>
      <c r="U645" s="33">
        <v>689.36300000000006</v>
      </c>
      <c r="V645" s="7"/>
      <c r="W645" s="7" t="str">
        <f>VLOOKUP($Q645,Mapping!$E$11:$I$204,3,0)</f>
        <v>Replacement</v>
      </c>
      <c r="X645" s="7" t="str">
        <f>IFERROR(VLOOKUP($S645,Mapping!$E$208:$K$236,5,0),"Contracts")</f>
        <v>Labour</v>
      </c>
      <c r="Y645" s="7" t="str">
        <f>IFERROR(VLOOKUP($S645,Mapping!$E$208:$K$236,7,0),"ENDirect")</f>
        <v>ENDirect</v>
      </c>
      <c r="Z645" s="7" t="str">
        <f>IFERROR(HLOOKUP(X645,'Calc|Weightings'!$U$5:$W$5,1,0),"Excl")</f>
        <v>Labour</v>
      </c>
      <c r="AA645" s="7" t="str">
        <f>VLOOKUP(Q645,Mapping!$E$11:$I$204,5,0)</f>
        <v>SCS</v>
      </c>
      <c r="AC645" s="35" t="s">
        <v>199</v>
      </c>
      <c r="AD645" s="35"/>
      <c r="AE645" s="35">
        <v>89999</v>
      </c>
      <c r="AF645" s="35" t="s">
        <v>471</v>
      </c>
      <c r="AG645" s="36">
        <v>0</v>
      </c>
      <c r="AI645" s="7" t="str">
        <f>VLOOKUP($AC645,Mapping!$E$11:$I$204,3,0)</f>
        <v>Public Lighting</v>
      </c>
      <c r="AJ645" s="7" t="str">
        <f>IFERROR(VLOOKUP($AE645,Mapping!$E$208:$K$236,5,0),"Contracts")</f>
        <v>Contracts</v>
      </c>
      <c r="AK645" s="7" t="str">
        <f>IFERROR(VLOOKUP($AE645,Mapping!$E$208:$K$236,7,0),"ENDirect")</f>
        <v>ENDirect</v>
      </c>
      <c r="AL645" s="7" t="str">
        <f>IFERROR(HLOOKUP(AJ645,'Calc|Weightings'!$U$5:$W$5,1,0),"Excl")</f>
        <v>Contracts</v>
      </c>
      <c r="AM645" s="7" t="str">
        <f>VLOOKUP(AC645,Mapping!$E$11:$I$204,5,0)</f>
        <v>Public Lighting</v>
      </c>
      <c r="AO645" s="35" t="s">
        <v>192</v>
      </c>
      <c r="AP645" s="35"/>
      <c r="AQ645" s="35">
        <v>71000</v>
      </c>
      <c r="AR645" s="35" t="s">
        <v>457</v>
      </c>
      <c r="AS645" s="121">
        <v>20.47466</v>
      </c>
      <c r="AU645" s="171" t="s">
        <v>8</v>
      </c>
      <c r="AV645" s="7" t="str">
        <f>IFERROR(VLOOKUP($AQ645,Mapping!$E$208:$K$236,5,0),"Contracts")</f>
        <v>Labour</v>
      </c>
      <c r="AW645" s="7" t="str">
        <f>IFERROR(VLOOKUP($AQ645,Mapping!$E$208:$K$236,7,0),"ENDirect")</f>
        <v>ENDirect</v>
      </c>
      <c r="AX645" s="7" t="str">
        <f>IFERROR(HLOOKUP(AV645,'Calc|Weightings'!$U$5:$W$5,1,0),"Excl")</f>
        <v>Labour</v>
      </c>
      <c r="AY645" s="7" t="str">
        <f>VLOOKUP(AO645,Mapping!$E$11:$I$204,5,0)</f>
        <v>SCS</v>
      </c>
    </row>
    <row r="646" spans="1:51" x14ac:dyDescent="0.3">
      <c r="A646" s="7"/>
      <c r="B646" s="7"/>
      <c r="C646" s="7"/>
      <c r="D646" s="7"/>
      <c r="E646" s="32" t="s">
        <v>155</v>
      </c>
      <c r="F646" s="32"/>
      <c r="G646" s="32">
        <v>71030</v>
      </c>
      <c r="H646" s="32" t="s">
        <v>464</v>
      </c>
      <c r="I646" s="33">
        <v>38.320999999999998</v>
      </c>
      <c r="J646" s="170"/>
      <c r="K646" s="7" t="str">
        <f>VLOOKUP($E646,Mapping!$E$11:$I$204,3,0)</f>
        <v>Replacement</v>
      </c>
      <c r="L646" s="7" t="str">
        <f>IFERROR(VLOOKUP($G646,Mapping!$E$208:$K$236,5,0),"Contracts")</f>
        <v>Contracts</v>
      </c>
      <c r="M646" s="7" t="str">
        <f>IFERROR(VLOOKUP($G646,Mapping!$E$208:$K$236,7,0),"ENDirect")</f>
        <v>ENDirect</v>
      </c>
      <c r="N646" s="7" t="str">
        <f>IFERROR(HLOOKUP(L646,'Calc|Weightings'!$U$5:$W$5,1,0),"Excl")</f>
        <v>Contracts</v>
      </c>
      <c r="O646" s="7" t="str">
        <f>VLOOKUP(E646,Mapping!$E$11:$I$204,5,0)</f>
        <v>SCS</v>
      </c>
      <c r="Q646" s="32" t="s">
        <v>202</v>
      </c>
      <c r="R646" s="32"/>
      <c r="S646" s="32">
        <v>71015</v>
      </c>
      <c r="T646" s="32" t="s">
        <v>463</v>
      </c>
      <c r="U646" s="33">
        <v>270.51</v>
      </c>
      <c r="V646" s="7"/>
      <c r="W646" s="7" t="str">
        <f>VLOOKUP($Q646,Mapping!$E$11:$I$204,3,0)</f>
        <v>Replacement</v>
      </c>
      <c r="X646" s="7" t="str">
        <f>IFERROR(VLOOKUP($S646,Mapping!$E$208:$K$236,5,0),"Contracts")</f>
        <v>Materials</v>
      </c>
      <c r="Y646" s="7" t="str">
        <f>IFERROR(VLOOKUP($S646,Mapping!$E$208:$K$236,7,0),"ENDirect")</f>
        <v>ENDirect</v>
      </c>
      <c r="Z646" s="7" t="str">
        <f>IFERROR(HLOOKUP(X646,'Calc|Weightings'!$U$5:$W$5,1,0),"Excl")</f>
        <v>Materials</v>
      </c>
      <c r="AA646" s="7" t="str">
        <f>VLOOKUP(Q646,Mapping!$E$11:$I$204,5,0)</f>
        <v>SCS</v>
      </c>
      <c r="AC646" s="35" t="s">
        <v>200</v>
      </c>
      <c r="AD646" s="35"/>
      <c r="AE646" s="35">
        <v>71000</v>
      </c>
      <c r="AF646" s="35" t="s">
        <v>457</v>
      </c>
      <c r="AG646" s="36">
        <v>32.283999999999999</v>
      </c>
      <c r="AI646" s="7" t="str">
        <f>VLOOKUP($AC646,Mapping!$E$11:$I$204,3,0)</f>
        <v>Public Lighting</v>
      </c>
      <c r="AJ646" s="7" t="str">
        <f>IFERROR(VLOOKUP($AE646,Mapping!$E$208:$K$236,5,0),"Contracts")</f>
        <v>Labour</v>
      </c>
      <c r="AK646" s="7" t="str">
        <f>IFERROR(VLOOKUP($AE646,Mapping!$E$208:$K$236,7,0),"ENDirect")</f>
        <v>ENDirect</v>
      </c>
      <c r="AL646" s="7" t="str">
        <f>IFERROR(HLOOKUP(AJ646,'Calc|Weightings'!$U$5:$W$5,1,0),"Excl")</f>
        <v>Labour</v>
      </c>
      <c r="AM646" s="7" t="str">
        <f>VLOOKUP(AC646,Mapping!$E$11:$I$204,5,0)</f>
        <v>Public Lighting</v>
      </c>
      <c r="AO646" s="35" t="s">
        <v>192</v>
      </c>
      <c r="AP646" s="35"/>
      <c r="AQ646" s="35">
        <v>71010</v>
      </c>
      <c r="AR646" s="35" t="s">
        <v>487</v>
      </c>
      <c r="AS646" s="121">
        <v>8.1430000000000007</v>
      </c>
      <c r="AU646" s="171" t="s">
        <v>8</v>
      </c>
      <c r="AV646" s="7" t="str">
        <f>IFERROR(VLOOKUP($AQ646,Mapping!$E$208:$K$236,5,0),"Contracts")</f>
        <v>Labour</v>
      </c>
      <c r="AW646" s="7" t="str">
        <f>IFERROR(VLOOKUP($AQ646,Mapping!$E$208:$K$236,7,0),"ENDirect")</f>
        <v>ENDirect</v>
      </c>
      <c r="AX646" s="7" t="str">
        <f>IFERROR(HLOOKUP(AV646,'Calc|Weightings'!$U$5:$W$5,1,0),"Excl")</f>
        <v>Labour</v>
      </c>
      <c r="AY646" s="7" t="str">
        <f>VLOOKUP(AO646,Mapping!$E$11:$I$204,5,0)</f>
        <v>SCS</v>
      </c>
    </row>
    <row r="647" spans="1:51" x14ac:dyDescent="0.3">
      <c r="A647" s="7"/>
      <c r="B647" s="7"/>
      <c r="C647" s="7"/>
      <c r="D647" s="7"/>
      <c r="E647" s="32" t="s">
        <v>155</v>
      </c>
      <c r="F647" s="32"/>
      <c r="G647" s="32">
        <v>71040</v>
      </c>
      <c r="H647" s="32" t="s">
        <v>460</v>
      </c>
      <c r="I647" s="33">
        <v>-3.2850000000000001</v>
      </c>
      <c r="J647" s="170"/>
      <c r="K647" s="7" t="str">
        <f>VLOOKUP($E647,Mapping!$E$11:$I$204,3,0)</f>
        <v>Replacement</v>
      </c>
      <c r="L647" s="7" t="str">
        <f>IFERROR(VLOOKUP($G647,Mapping!$E$208:$K$236,5,0),"Contracts")</f>
        <v>Contracts</v>
      </c>
      <c r="M647" s="7" t="str">
        <f>IFERROR(VLOOKUP($G647,Mapping!$E$208:$K$236,7,0),"ENDirect")</f>
        <v>ENDirect</v>
      </c>
      <c r="N647" s="7" t="str">
        <f>IFERROR(HLOOKUP(L647,'Calc|Weightings'!$U$5:$W$5,1,0),"Excl")</f>
        <v>Contracts</v>
      </c>
      <c r="O647" s="7" t="str">
        <f>VLOOKUP(E647,Mapping!$E$11:$I$204,5,0)</f>
        <v>SCS</v>
      </c>
      <c r="Q647" s="32" t="s">
        <v>202</v>
      </c>
      <c r="R647" s="32"/>
      <c r="S647" s="32">
        <v>71020</v>
      </c>
      <c r="T647" s="32" t="s">
        <v>459</v>
      </c>
      <c r="U647" s="33">
        <v>-0.55900000000000005</v>
      </c>
      <c r="V647" s="7"/>
      <c r="W647" s="7" t="str">
        <f>VLOOKUP($Q647,Mapping!$E$11:$I$204,3,0)</f>
        <v>Replacement</v>
      </c>
      <c r="X647" s="7" t="str">
        <f>IFERROR(VLOOKUP($S647,Mapping!$E$208:$K$236,5,0),"Contracts")</f>
        <v>Contracts</v>
      </c>
      <c r="Y647" s="7" t="str">
        <f>IFERROR(VLOOKUP($S647,Mapping!$E$208:$K$236,7,0),"ENDirect")</f>
        <v>ENDirect</v>
      </c>
      <c r="Z647" s="7" t="str">
        <f>IFERROR(HLOOKUP(X647,'Calc|Weightings'!$U$5:$W$5,1,0),"Excl")</f>
        <v>Contracts</v>
      </c>
      <c r="AA647" s="7" t="str">
        <f>VLOOKUP(Q647,Mapping!$E$11:$I$204,5,0)</f>
        <v>SCS</v>
      </c>
      <c r="AC647" s="35" t="s">
        <v>200</v>
      </c>
      <c r="AD647" s="35"/>
      <c r="AE647" s="35">
        <v>71005</v>
      </c>
      <c r="AF647" s="35" t="s">
        <v>461</v>
      </c>
      <c r="AG647" s="36">
        <v>47.195999999999998</v>
      </c>
      <c r="AI647" s="7" t="str">
        <f>VLOOKUP($AC647,Mapping!$E$11:$I$204,3,0)</f>
        <v>Public Lighting</v>
      </c>
      <c r="AJ647" s="7" t="str">
        <f>IFERROR(VLOOKUP($AE647,Mapping!$E$208:$K$236,5,0),"Contracts")</f>
        <v>Materials</v>
      </c>
      <c r="AK647" s="7" t="str">
        <f>IFERROR(VLOOKUP($AE647,Mapping!$E$208:$K$236,7,0),"ENDirect")</f>
        <v>ENDirect</v>
      </c>
      <c r="AL647" s="7" t="str">
        <f>IFERROR(HLOOKUP(AJ647,'Calc|Weightings'!$U$5:$W$5,1,0),"Excl")</f>
        <v>Materials</v>
      </c>
      <c r="AM647" s="7" t="str">
        <f>VLOOKUP(AC647,Mapping!$E$11:$I$204,5,0)</f>
        <v>Public Lighting</v>
      </c>
      <c r="AO647" s="35" t="s">
        <v>192</v>
      </c>
      <c r="AP647" s="35"/>
      <c r="AQ647" s="35">
        <v>71015</v>
      </c>
      <c r="AR647" s="35" t="s">
        <v>585</v>
      </c>
      <c r="AS647" s="121">
        <v>6.4727099999999993</v>
      </c>
      <c r="AU647" s="171" t="s">
        <v>8</v>
      </c>
      <c r="AV647" s="7" t="str">
        <f>IFERROR(VLOOKUP($AQ647,Mapping!$E$208:$K$236,5,0),"Contracts")</f>
        <v>Materials</v>
      </c>
      <c r="AW647" s="7" t="str">
        <f>IFERROR(VLOOKUP($AQ647,Mapping!$E$208:$K$236,7,0),"ENDirect")</f>
        <v>ENDirect</v>
      </c>
      <c r="AX647" s="7" t="str">
        <f>IFERROR(HLOOKUP(AV647,'Calc|Weightings'!$U$5:$W$5,1,0),"Excl")</f>
        <v>Materials</v>
      </c>
      <c r="AY647" s="7" t="str">
        <f>VLOOKUP(AO647,Mapping!$E$11:$I$204,5,0)</f>
        <v>SCS</v>
      </c>
    </row>
    <row r="648" spans="1:51" x14ac:dyDescent="0.3">
      <c r="A648" s="7"/>
      <c r="B648" s="7"/>
      <c r="C648" s="7"/>
      <c r="D648" s="7"/>
      <c r="E648" s="32" t="s">
        <v>155</v>
      </c>
      <c r="F648" s="32"/>
      <c r="G648" s="32">
        <v>71055</v>
      </c>
      <c r="H648" s="32" t="s">
        <v>465</v>
      </c>
      <c r="I648" s="33">
        <v>72.772000000000006</v>
      </c>
      <c r="J648" s="170"/>
      <c r="K648" s="7" t="str">
        <f>VLOOKUP($E648,Mapping!$E$11:$I$204,3,0)</f>
        <v>Replacement</v>
      </c>
      <c r="L648" s="7" t="str">
        <f>IFERROR(VLOOKUP($G648,Mapping!$E$208:$K$236,5,0),"Contracts")</f>
        <v>Contracts</v>
      </c>
      <c r="M648" s="7" t="str">
        <f>IFERROR(VLOOKUP($G648,Mapping!$E$208:$K$236,7,0),"ENDirect")</f>
        <v>ENDirect</v>
      </c>
      <c r="N648" s="7" t="str">
        <f>IFERROR(HLOOKUP(L648,'Calc|Weightings'!$U$5:$W$5,1,0),"Excl")</f>
        <v>Contracts</v>
      </c>
      <c r="O648" s="7" t="str">
        <f>VLOOKUP(E648,Mapping!$E$11:$I$204,5,0)</f>
        <v>SCS</v>
      </c>
      <c r="Q648" s="32" t="s">
        <v>202</v>
      </c>
      <c r="R648" s="32"/>
      <c r="S648" s="32">
        <v>71030</v>
      </c>
      <c r="T648" s="32" t="s">
        <v>464</v>
      </c>
      <c r="U648" s="33">
        <v>173.70099999999999</v>
      </c>
      <c r="V648" s="7"/>
      <c r="W648" s="7" t="str">
        <f>VLOOKUP($Q648,Mapping!$E$11:$I$204,3,0)</f>
        <v>Replacement</v>
      </c>
      <c r="X648" s="7" t="str">
        <f>IFERROR(VLOOKUP($S648,Mapping!$E$208:$K$236,5,0),"Contracts")</f>
        <v>Contracts</v>
      </c>
      <c r="Y648" s="7" t="str">
        <f>IFERROR(VLOOKUP($S648,Mapping!$E$208:$K$236,7,0),"ENDirect")</f>
        <v>ENDirect</v>
      </c>
      <c r="Z648" s="7" t="str">
        <f>IFERROR(HLOOKUP(X648,'Calc|Weightings'!$U$5:$W$5,1,0),"Excl")</f>
        <v>Contracts</v>
      </c>
      <c r="AA648" s="7" t="str">
        <f>VLOOKUP(Q648,Mapping!$E$11:$I$204,5,0)</f>
        <v>SCS</v>
      </c>
      <c r="AC648" s="35" t="s">
        <v>200</v>
      </c>
      <c r="AD648" s="35"/>
      <c r="AE648" s="35">
        <v>71010</v>
      </c>
      <c r="AF648" s="35" t="s">
        <v>462</v>
      </c>
      <c r="AG648" s="36">
        <v>46.81</v>
      </c>
      <c r="AI648" s="7" t="str">
        <f>VLOOKUP($AC648,Mapping!$E$11:$I$204,3,0)</f>
        <v>Public Lighting</v>
      </c>
      <c r="AJ648" s="7" t="str">
        <f>IFERROR(VLOOKUP($AE648,Mapping!$E$208:$K$236,5,0),"Contracts")</f>
        <v>Labour</v>
      </c>
      <c r="AK648" s="7" t="str">
        <f>IFERROR(VLOOKUP($AE648,Mapping!$E$208:$K$236,7,0),"ENDirect")</f>
        <v>ENDirect</v>
      </c>
      <c r="AL648" s="7" t="str">
        <f>IFERROR(HLOOKUP(AJ648,'Calc|Weightings'!$U$5:$W$5,1,0),"Excl")</f>
        <v>Labour</v>
      </c>
      <c r="AM648" s="7" t="str">
        <f>VLOOKUP(AC648,Mapping!$E$11:$I$204,5,0)</f>
        <v>Public Lighting</v>
      </c>
      <c r="AO648" s="35" t="s">
        <v>192</v>
      </c>
      <c r="AP648" s="35"/>
      <c r="AQ648" s="35">
        <v>71030</v>
      </c>
      <c r="AR648" s="35" t="s">
        <v>464</v>
      </c>
      <c r="AS648" s="121">
        <v>2.6011000000000002</v>
      </c>
      <c r="AU648" s="171" t="s">
        <v>8</v>
      </c>
      <c r="AV648" s="7" t="str">
        <f>IFERROR(VLOOKUP($AQ648,Mapping!$E$208:$K$236,5,0),"Contracts")</f>
        <v>Contracts</v>
      </c>
      <c r="AW648" s="7" t="str">
        <f>IFERROR(VLOOKUP($AQ648,Mapping!$E$208:$K$236,7,0),"ENDirect")</f>
        <v>ENDirect</v>
      </c>
      <c r="AX648" s="7" t="str">
        <f>IFERROR(HLOOKUP(AV648,'Calc|Weightings'!$U$5:$W$5,1,0),"Excl")</f>
        <v>Contracts</v>
      </c>
      <c r="AY648" s="7" t="str">
        <f>VLOOKUP(AO648,Mapping!$E$11:$I$204,5,0)</f>
        <v>SCS</v>
      </c>
    </row>
    <row r="649" spans="1:51" x14ac:dyDescent="0.3">
      <c r="A649" s="7"/>
      <c r="B649" s="7"/>
      <c r="C649" s="7"/>
      <c r="D649" s="7"/>
      <c r="E649" s="32" t="s">
        <v>155</v>
      </c>
      <c r="F649" s="32"/>
      <c r="G649" s="32">
        <v>80000</v>
      </c>
      <c r="H649" s="32" t="s">
        <v>453</v>
      </c>
      <c r="I649" s="33">
        <v>59.271999999999998</v>
      </c>
      <c r="J649" s="170"/>
      <c r="K649" s="7" t="str">
        <f>VLOOKUP($E649,Mapping!$E$11:$I$204,3,0)</f>
        <v>Replacement</v>
      </c>
      <c r="L649" s="7" t="str">
        <f>IFERROR(VLOOKUP($G649,Mapping!$E$208:$K$236,5,0),"Contracts")</f>
        <v>Overhead</v>
      </c>
      <c r="M649" s="7" t="str">
        <f>IFERROR(VLOOKUP($G649,Mapping!$E$208:$K$236,7,0),"ENDirect")</f>
        <v>OH</v>
      </c>
      <c r="N649" s="7" t="str">
        <f>IFERROR(HLOOKUP(L649,'Calc|Weightings'!$U$5:$W$5,1,0),"Excl")</f>
        <v>Excl</v>
      </c>
      <c r="O649" s="7" t="str">
        <f>VLOOKUP(E649,Mapping!$E$11:$I$204,5,0)</f>
        <v>SCS</v>
      </c>
      <c r="Q649" s="32" t="s">
        <v>202</v>
      </c>
      <c r="R649" s="32"/>
      <c r="S649" s="32">
        <v>71055</v>
      </c>
      <c r="T649" s="32" t="s">
        <v>465</v>
      </c>
      <c r="U649" s="33">
        <v>338.59399999999999</v>
      </c>
      <c r="V649" s="7"/>
      <c r="W649" s="7" t="str">
        <f>VLOOKUP($Q649,Mapping!$E$11:$I$204,3,0)</f>
        <v>Replacement</v>
      </c>
      <c r="X649" s="7" t="str">
        <f>IFERROR(VLOOKUP($S649,Mapping!$E$208:$K$236,5,0),"Contracts")</f>
        <v>Contracts</v>
      </c>
      <c r="Y649" s="7" t="str">
        <f>IFERROR(VLOOKUP($S649,Mapping!$E$208:$K$236,7,0),"ENDirect")</f>
        <v>ENDirect</v>
      </c>
      <c r="Z649" s="7" t="str">
        <f>IFERROR(HLOOKUP(X649,'Calc|Weightings'!$U$5:$W$5,1,0),"Excl")</f>
        <v>Contracts</v>
      </c>
      <c r="AA649" s="7" t="str">
        <f>VLOOKUP(Q649,Mapping!$E$11:$I$204,5,0)</f>
        <v>SCS</v>
      </c>
      <c r="AC649" s="35" t="s">
        <v>200</v>
      </c>
      <c r="AD649" s="35"/>
      <c r="AE649" s="35">
        <v>71015</v>
      </c>
      <c r="AF649" s="35" t="s">
        <v>463</v>
      </c>
      <c r="AG649" s="36">
        <v>5.0659999999999998</v>
      </c>
      <c r="AI649" s="7" t="str">
        <f>VLOOKUP($AC649,Mapping!$E$11:$I$204,3,0)</f>
        <v>Public Lighting</v>
      </c>
      <c r="AJ649" s="7" t="str">
        <f>IFERROR(VLOOKUP($AE649,Mapping!$E$208:$K$236,5,0),"Contracts")</f>
        <v>Materials</v>
      </c>
      <c r="AK649" s="7" t="str">
        <f>IFERROR(VLOOKUP($AE649,Mapping!$E$208:$K$236,7,0),"ENDirect")</f>
        <v>ENDirect</v>
      </c>
      <c r="AL649" s="7" t="str">
        <f>IFERROR(HLOOKUP(AJ649,'Calc|Weightings'!$U$5:$W$5,1,0),"Excl")</f>
        <v>Materials</v>
      </c>
      <c r="AM649" s="7" t="str">
        <f>VLOOKUP(AC649,Mapping!$E$11:$I$204,5,0)</f>
        <v>Public Lighting</v>
      </c>
      <c r="AO649" s="35" t="s">
        <v>192</v>
      </c>
      <c r="AP649" s="35"/>
      <c r="AQ649" s="35">
        <v>71055</v>
      </c>
      <c r="AR649" s="35" t="s">
        <v>465</v>
      </c>
      <c r="AS649" s="121">
        <v>6.0384299999999991</v>
      </c>
      <c r="AU649" s="171" t="s">
        <v>8</v>
      </c>
      <c r="AV649" s="7" t="str">
        <f>IFERROR(VLOOKUP($AQ649,Mapping!$E$208:$K$236,5,0),"Contracts")</f>
        <v>Contracts</v>
      </c>
      <c r="AW649" s="7" t="str">
        <f>IFERROR(VLOOKUP($AQ649,Mapping!$E$208:$K$236,7,0),"ENDirect")</f>
        <v>ENDirect</v>
      </c>
      <c r="AX649" s="7" t="str">
        <f>IFERROR(HLOOKUP(AV649,'Calc|Weightings'!$U$5:$W$5,1,0),"Excl")</f>
        <v>Contracts</v>
      </c>
      <c r="AY649" s="7" t="str">
        <f>VLOOKUP(AO649,Mapping!$E$11:$I$204,5,0)</f>
        <v>SCS</v>
      </c>
    </row>
    <row r="650" spans="1:51" x14ac:dyDescent="0.3">
      <c r="A650" s="7"/>
      <c r="B650" s="7"/>
      <c r="C650" s="7"/>
      <c r="D650" s="7"/>
      <c r="E650" s="32" t="s">
        <v>163</v>
      </c>
      <c r="F650" s="32"/>
      <c r="G650" s="32">
        <v>71000</v>
      </c>
      <c r="H650" s="32" t="s">
        <v>457</v>
      </c>
      <c r="I650" s="33">
        <v>77.581000000000003</v>
      </c>
      <c r="J650" s="170"/>
      <c r="K650" s="7" t="str">
        <f>VLOOKUP($E650,Mapping!$E$11:$I$204,3,0)</f>
        <v>Replacement</v>
      </c>
      <c r="L650" s="7" t="str">
        <f>IFERROR(VLOOKUP($G650,Mapping!$E$208:$K$236,5,0),"Contracts")</f>
        <v>Labour</v>
      </c>
      <c r="M650" s="7" t="str">
        <f>IFERROR(VLOOKUP($G650,Mapping!$E$208:$K$236,7,0),"ENDirect")</f>
        <v>ENDirect</v>
      </c>
      <c r="N650" s="7" t="str">
        <f>IFERROR(HLOOKUP(L650,'Calc|Weightings'!$U$5:$W$5,1,0),"Excl")</f>
        <v>Labour</v>
      </c>
      <c r="O650" s="7" t="str">
        <f>VLOOKUP(E650,Mapping!$E$11:$I$204,5,0)</f>
        <v>SCS</v>
      </c>
      <c r="Q650" s="32" t="s">
        <v>202</v>
      </c>
      <c r="R650" s="32"/>
      <c r="S650" s="32">
        <v>80000</v>
      </c>
      <c r="T650" s="32" t="s">
        <v>453</v>
      </c>
      <c r="U650" s="33">
        <v>332.45400000000001</v>
      </c>
      <c r="V650" s="7"/>
      <c r="W650" s="7" t="str">
        <f>VLOOKUP($Q650,Mapping!$E$11:$I$204,3,0)</f>
        <v>Replacement</v>
      </c>
      <c r="X650" s="7" t="str">
        <f>IFERROR(VLOOKUP($S650,Mapping!$E$208:$K$236,5,0),"Contracts")</f>
        <v>Overhead</v>
      </c>
      <c r="Y650" s="7" t="str">
        <f>IFERROR(VLOOKUP($S650,Mapping!$E$208:$K$236,7,0),"ENDirect")</f>
        <v>OH</v>
      </c>
      <c r="Z650" s="7" t="str">
        <f>IFERROR(HLOOKUP(X650,'Calc|Weightings'!$U$5:$W$5,1,0),"Excl")</f>
        <v>Excl</v>
      </c>
      <c r="AA650" s="7" t="str">
        <f>VLOOKUP(Q650,Mapping!$E$11:$I$204,5,0)</f>
        <v>SCS</v>
      </c>
      <c r="AC650" s="35" t="s">
        <v>200</v>
      </c>
      <c r="AD650" s="35"/>
      <c r="AE650" s="35">
        <v>71030</v>
      </c>
      <c r="AF650" s="35" t="s">
        <v>464</v>
      </c>
      <c r="AG650" s="36">
        <v>10.512</v>
      </c>
      <c r="AI650" s="7" t="str">
        <f>VLOOKUP($AC650,Mapping!$E$11:$I$204,3,0)</f>
        <v>Public Lighting</v>
      </c>
      <c r="AJ650" s="7" t="str">
        <f>IFERROR(VLOOKUP($AE650,Mapping!$E$208:$K$236,5,0),"Contracts")</f>
        <v>Contracts</v>
      </c>
      <c r="AK650" s="7" t="str">
        <f>IFERROR(VLOOKUP($AE650,Mapping!$E$208:$K$236,7,0),"ENDirect")</f>
        <v>ENDirect</v>
      </c>
      <c r="AL650" s="7" t="str">
        <f>IFERROR(HLOOKUP(AJ650,'Calc|Weightings'!$U$5:$W$5,1,0),"Excl")</f>
        <v>Contracts</v>
      </c>
      <c r="AM650" s="7" t="str">
        <f>VLOOKUP(AC650,Mapping!$E$11:$I$204,5,0)</f>
        <v>Public Lighting</v>
      </c>
      <c r="AO650" s="35" t="s">
        <v>192</v>
      </c>
      <c r="AP650" s="35"/>
      <c r="AQ650" s="35">
        <v>71130</v>
      </c>
      <c r="AR650" s="35" t="s">
        <v>592</v>
      </c>
      <c r="AS650" s="121">
        <v>0.91900000000000004</v>
      </c>
      <c r="AU650" s="171" t="s">
        <v>8</v>
      </c>
      <c r="AV650" s="7" t="str">
        <f>IFERROR(VLOOKUP($AQ650,Mapping!$E$208:$K$236,5,0),"Contracts")</f>
        <v>Contracts</v>
      </c>
      <c r="AW650" s="7" t="str">
        <f>IFERROR(VLOOKUP($AQ650,Mapping!$E$208:$K$236,7,0),"ENDirect")</f>
        <v>ENDirect</v>
      </c>
      <c r="AX650" s="7" t="str">
        <f>IFERROR(HLOOKUP(AV650,'Calc|Weightings'!$U$5:$W$5,1,0),"Excl")</f>
        <v>Contracts</v>
      </c>
      <c r="AY650" s="7" t="str">
        <f>VLOOKUP(AO650,Mapping!$E$11:$I$204,5,0)</f>
        <v>SCS</v>
      </c>
    </row>
    <row r="651" spans="1:51" x14ac:dyDescent="0.3">
      <c r="A651" s="7"/>
      <c r="B651" s="7"/>
      <c r="C651" s="7"/>
      <c r="D651" s="7"/>
      <c r="E651" s="32" t="s">
        <v>163</v>
      </c>
      <c r="F651" s="32"/>
      <c r="G651" s="32">
        <v>71005</v>
      </c>
      <c r="H651" s="32" t="s">
        <v>461</v>
      </c>
      <c r="I651" s="33">
        <v>47.448</v>
      </c>
      <c r="J651" s="170"/>
      <c r="K651" s="7" t="str">
        <f>VLOOKUP($E651,Mapping!$E$11:$I$204,3,0)</f>
        <v>Replacement</v>
      </c>
      <c r="L651" s="7" t="str">
        <f>IFERROR(VLOOKUP($G651,Mapping!$E$208:$K$236,5,0),"Contracts")</f>
        <v>Materials</v>
      </c>
      <c r="M651" s="7" t="str">
        <f>IFERROR(VLOOKUP($G651,Mapping!$E$208:$K$236,7,0),"ENDirect")</f>
        <v>ENDirect</v>
      </c>
      <c r="N651" s="7" t="str">
        <f>IFERROR(HLOOKUP(L651,'Calc|Weightings'!$U$5:$W$5,1,0),"Excl")</f>
        <v>Materials</v>
      </c>
      <c r="O651" s="7" t="str">
        <f>VLOOKUP(E651,Mapping!$E$11:$I$204,5,0)</f>
        <v>SCS</v>
      </c>
      <c r="Q651" s="32" t="s">
        <v>203</v>
      </c>
      <c r="R651" s="32"/>
      <c r="S651" s="32">
        <v>71000</v>
      </c>
      <c r="T651" s="32" t="s">
        <v>457</v>
      </c>
      <c r="U651" s="33">
        <v>259.23599999999999</v>
      </c>
      <c r="V651" s="7"/>
      <c r="W651" s="7" t="str">
        <f>VLOOKUP($Q651,Mapping!$E$11:$I$204,3,0)</f>
        <v>Replacement</v>
      </c>
      <c r="X651" s="7" t="str">
        <f>IFERROR(VLOOKUP($S651,Mapping!$E$208:$K$236,5,0),"Contracts")</f>
        <v>Labour</v>
      </c>
      <c r="Y651" s="7" t="str">
        <f>IFERROR(VLOOKUP($S651,Mapping!$E$208:$K$236,7,0),"ENDirect")</f>
        <v>ENDirect</v>
      </c>
      <c r="Z651" s="7" t="str">
        <f>IFERROR(HLOOKUP(X651,'Calc|Weightings'!$U$5:$W$5,1,0),"Excl")</f>
        <v>Labour</v>
      </c>
      <c r="AA651" s="7" t="str">
        <f>VLOOKUP(Q651,Mapping!$E$11:$I$204,5,0)</f>
        <v>SCS</v>
      </c>
      <c r="AC651" s="35" t="s">
        <v>200</v>
      </c>
      <c r="AD651" s="35"/>
      <c r="AE651" s="35">
        <v>71055</v>
      </c>
      <c r="AF651" s="35" t="s">
        <v>465</v>
      </c>
      <c r="AG651" s="36">
        <v>19.332000000000001</v>
      </c>
      <c r="AI651" s="7" t="str">
        <f>VLOOKUP($AC651,Mapping!$E$11:$I$204,3,0)</f>
        <v>Public Lighting</v>
      </c>
      <c r="AJ651" s="7" t="str">
        <f>IFERROR(VLOOKUP($AE651,Mapping!$E$208:$K$236,5,0),"Contracts")</f>
        <v>Contracts</v>
      </c>
      <c r="AK651" s="7" t="str">
        <f>IFERROR(VLOOKUP($AE651,Mapping!$E$208:$K$236,7,0),"ENDirect")</f>
        <v>ENDirect</v>
      </c>
      <c r="AL651" s="7" t="str">
        <f>IFERROR(HLOOKUP(AJ651,'Calc|Weightings'!$U$5:$W$5,1,0),"Excl")</f>
        <v>Contracts</v>
      </c>
      <c r="AM651" s="7" t="str">
        <f>VLOOKUP(AC651,Mapping!$E$11:$I$204,5,0)</f>
        <v>Public Lighting</v>
      </c>
      <c r="AO651" s="35" t="s">
        <v>192</v>
      </c>
      <c r="AP651" s="35"/>
      <c r="AQ651" s="35">
        <v>71140</v>
      </c>
      <c r="AR651" s="35" t="s">
        <v>593</v>
      </c>
      <c r="AS651" s="121">
        <v>4.92605</v>
      </c>
      <c r="AU651" s="171" t="s">
        <v>8</v>
      </c>
      <c r="AV651" s="7" t="str">
        <f>IFERROR(VLOOKUP($AQ651,Mapping!$E$208:$K$236,5,0),"Contracts")</f>
        <v>Contracts</v>
      </c>
      <c r="AW651" s="7" t="str">
        <f>IFERROR(VLOOKUP($AQ651,Mapping!$E$208:$K$236,7,0),"ENDirect")</f>
        <v>ENDirect</v>
      </c>
      <c r="AX651" s="7" t="str">
        <f>IFERROR(HLOOKUP(AV651,'Calc|Weightings'!$U$5:$W$5,1,0),"Excl")</f>
        <v>Contracts</v>
      </c>
      <c r="AY651" s="7" t="str">
        <f>VLOOKUP(AO651,Mapping!$E$11:$I$204,5,0)</f>
        <v>SCS</v>
      </c>
    </row>
    <row r="652" spans="1:51" x14ac:dyDescent="0.3">
      <c r="A652" s="7"/>
      <c r="B652" s="7"/>
      <c r="C652" s="7"/>
      <c r="D652" s="7"/>
      <c r="E652" s="32" t="s">
        <v>163</v>
      </c>
      <c r="F652" s="32"/>
      <c r="G652" s="32">
        <v>71010</v>
      </c>
      <c r="H652" s="32" t="s">
        <v>462</v>
      </c>
      <c r="I652" s="33">
        <v>47.749000000000002</v>
      </c>
      <c r="J652" s="170"/>
      <c r="K652" s="7" t="str">
        <f>VLOOKUP($E652,Mapping!$E$11:$I$204,3,0)</f>
        <v>Replacement</v>
      </c>
      <c r="L652" s="7" t="str">
        <f>IFERROR(VLOOKUP($G652,Mapping!$E$208:$K$236,5,0),"Contracts")</f>
        <v>Labour</v>
      </c>
      <c r="M652" s="7" t="str">
        <f>IFERROR(VLOOKUP($G652,Mapping!$E$208:$K$236,7,0),"ENDirect")</f>
        <v>ENDirect</v>
      </c>
      <c r="N652" s="7" t="str">
        <f>IFERROR(HLOOKUP(L652,'Calc|Weightings'!$U$5:$W$5,1,0),"Excl")</f>
        <v>Labour</v>
      </c>
      <c r="O652" s="7" t="str">
        <f>VLOOKUP(E652,Mapping!$E$11:$I$204,5,0)</f>
        <v>SCS</v>
      </c>
      <c r="Q652" s="32" t="s">
        <v>203</v>
      </c>
      <c r="R652" s="32"/>
      <c r="S652" s="32">
        <v>71005</v>
      </c>
      <c r="T652" s="32" t="s">
        <v>461</v>
      </c>
      <c r="U652" s="33">
        <v>100.795</v>
      </c>
      <c r="V652" s="7"/>
      <c r="W652" s="7" t="str">
        <f>VLOOKUP($Q652,Mapping!$E$11:$I$204,3,0)</f>
        <v>Replacement</v>
      </c>
      <c r="X652" s="7" t="str">
        <f>IFERROR(VLOOKUP($S652,Mapping!$E$208:$K$236,5,0),"Contracts")</f>
        <v>Materials</v>
      </c>
      <c r="Y652" s="7" t="str">
        <f>IFERROR(VLOOKUP($S652,Mapping!$E$208:$K$236,7,0),"ENDirect")</f>
        <v>ENDirect</v>
      </c>
      <c r="Z652" s="7" t="str">
        <f>IFERROR(HLOOKUP(X652,'Calc|Weightings'!$U$5:$W$5,1,0),"Excl")</f>
        <v>Materials</v>
      </c>
      <c r="AA652" s="7" t="str">
        <f>VLOOKUP(Q652,Mapping!$E$11:$I$204,5,0)</f>
        <v>SCS</v>
      </c>
      <c r="AC652" s="35" t="s">
        <v>200</v>
      </c>
      <c r="AD652" s="35"/>
      <c r="AE652" s="35">
        <v>80000</v>
      </c>
      <c r="AF652" s="35" t="s">
        <v>453</v>
      </c>
      <c r="AG652" s="36">
        <v>12.804</v>
      </c>
      <c r="AI652" s="7" t="str">
        <f>VLOOKUP($AC652,Mapping!$E$11:$I$204,3,0)</f>
        <v>Public Lighting</v>
      </c>
      <c r="AJ652" s="7" t="str">
        <f>IFERROR(VLOOKUP($AE652,Mapping!$E$208:$K$236,5,0),"Contracts")</f>
        <v>Overhead</v>
      </c>
      <c r="AK652" s="7" t="str">
        <f>IFERROR(VLOOKUP($AE652,Mapping!$E$208:$K$236,7,0),"ENDirect")</f>
        <v>OH</v>
      </c>
      <c r="AL652" s="7" t="str">
        <f>IFERROR(HLOOKUP(AJ652,'Calc|Weightings'!$U$5:$W$5,1,0),"Excl")</f>
        <v>Excl</v>
      </c>
      <c r="AM652" s="7" t="str">
        <f>VLOOKUP(AC652,Mapping!$E$11:$I$204,5,0)</f>
        <v>Public Lighting</v>
      </c>
      <c r="AO652" s="35" t="s">
        <v>192</v>
      </c>
      <c r="AP652" s="35"/>
      <c r="AQ652" s="35">
        <v>80000</v>
      </c>
      <c r="AR652" s="35" t="s">
        <v>589</v>
      </c>
      <c r="AS652" s="121">
        <v>11.778840000000001</v>
      </c>
      <c r="AU652" s="171" t="s">
        <v>8</v>
      </c>
      <c r="AV652" s="7" t="str">
        <f>IFERROR(VLOOKUP($AQ652,Mapping!$E$208:$K$236,5,0),"Contracts")</f>
        <v>Overhead</v>
      </c>
      <c r="AW652" s="7" t="str">
        <f>IFERROR(VLOOKUP($AQ652,Mapping!$E$208:$K$236,7,0),"ENDirect")</f>
        <v>OH</v>
      </c>
      <c r="AX652" s="7" t="str">
        <f>IFERROR(HLOOKUP(AV652,'Calc|Weightings'!$U$5:$W$5,1,0),"Excl")</f>
        <v>Excl</v>
      </c>
      <c r="AY652" s="7" t="str">
        <f>VLOOKUP(AO652,Mapping!$E$11:$I$204,5,0)</f>
        <v>SCS</v>
      </c>
    </row>
    <row r="653" spans="1:51" x14ac:dyDescent="0.3">
      <c r="A653" s="7"/>
      <c r="B653" s="7"/>
      <c r="C653" s="7"/>
      <c r="D653" s="7"/>
      <c r="E653" s="32" t="s">
        <v>163</v>
      </c>
      <c r="F653" s="32"/>
      <c r="G653" s="32">
        <v>71015</v>
      </c>
      <c r="H653" s="32" t="s">
        <v>463</v>
      </c>
      <c r="I653" s="33">
        <v>16.474</v>
      </c>
      <c r="J653" s="170"/>
      <c r="K653" s="7" t="str">
        <f>VLOOKUP($E653,Mapping!$E$11:$I$204,3,0)</f>
        <v>Replacement</v>
      </c>
      <c r="L653" s="7" t="str">
        <f>IFERROR(VLOOKUP($G653,Mapping!$E$208:$K$236,5,0),"Contracts")</f>
        <v>Materials</v>
      </c>
      <c r="M653" s="7" t="str">
        <f>IFERROR(VLOOKUP($G653,Mapping!$E$208:$K$236,7,0),"ENDirect")</f>
        <v>ENDirect</v>
      </c>
      <c r="N653" s="7" t="str">
        <f>IFERROR(HLOOKUP(L653,'Calc|Weightings'!$U$5:$W$5,1,0),"Excl")</f>
        <v>Materials</v>
      </c>
      <c r="O653" s="7" t="str">
        <f>VLOOKUP(E653,Mapping!$E$11:$I$204,5,0)</f>
        <v>SCS</v>
      </c>
      <c r="Q653" s="32" t="s">
        <v>203</v>
      </c>
      <c r="R653" s="32"/>
      <c r="S653" s="32">
        <v>71010</v>
      </c>
      <c r="T653" s="32" t="s">
        <v>462</v>
      </c>
      <c r="U653" s="33">
        <v>135.25200000000001</v>
      </c>
      <c r="V653" s="7"/>
      <c r="W653" s="7" t="str">
        <f>VLOOKUP($Q653,Mapping!$E$11:$I$204,3,0)</f>
        <v>Replacement</v>
      </c>
      <c r="X653" s="7" t="str">
        <f>IFERROR(VLOOKUP($S653,Mapping!$E$208:$K$236,5,0),"Contracts")</f>
        <v>Labour</v>
      </c>
      <c r="Y653" s="7" t="str">
        <f>IFERROR(VLOOKUP($S653,Mapping!$E$208:$K$236,7,0),"ENDirect")</f>
        <v>ENDirect</v>
      </c>
      <c r="Z653" s="7" t="str">
        <f>IFERROR(HLOOKUP(X653,'Calc|Weightings'!$U$5:$W$5,1,0),"Excl")</f>
        <v>Labour</v>
      </c>
      <c r="AA653" s="7" t="str">
        <f>VLOOKUP(Q653,Mapping!$E$11:$I$204,5,0)</f>
        <v>SCS</v>
      </c>
      <c r="AC653" s="35" t="s">
        <v>200</v>
      </c>
      <c r="AD653" s="35"/>
      <c r="AE653" s="35">
        <v>89999</v>
      </c>
      <c r="AF653" s="35" t="s">
        <v>471</v>
      </c>
      <c r="AG653" s="36">
        <v>0</v>
      </c>
      <c r="AI653" s="7" t="str">
        <f>VLOOKUP($AC653,Mapping!$E$11:$I$204,3,0)</f>
        <v>Public Lighting</v>
      </c>
      <c r="AJ653" s="7" t="str">
        <f>IFERROR(VLOOKUP($AE653,Mapping!$E$208:$K$236,5,0),"Contracts")</f>
        <v>Contracts</v>
      </c>
      <c r="AK653" s="7" t="str">
        <f>IFERROR(VLOOKUP($AE653,Mapping!$E$208:$K$236,7,0),"ENDirect")</f>
        <v>ENDirect</v>
      </c>
      <c r="AL653" s="7" t="str">
        <f>IFERROR(HLOOKUP(AJ653,'Calc|Weightings'!$U$5:$W$5,1,0),"Excl")</f>
        <v>Contracts</v>
      </c>
      <c r="AM653" s="7" t="str">
        <f>VLOOKUP(AC653,Mapping!$E$11:$I$204,5,0)</f>
        <v>Public Lighting</v>
      </c>
      <c r="AO653" s="35" t="s">
        <v>193</v>
      </c>
      <c r="AP653" s="35"/>
      <c r="AQ653" s="35">
        <v>71005</v>
      </c>
      <c r="AR653" s="35" t="s">
        <v>461</v>
      </c>
      <c r="AS653" s="121">
        <v>5.5789999999999999E-2</v>
      </c>
      <c r="AU653" s="7" t="str">
        <f>VLOOKUP($AO653,Mapping!$E$11:$I$204,3,0)</f>
        <v>VBRC</v>
      </c>
      <c r="AV653" s="7" t="str">
        <f>IFERROR(VLOOKUP($AQ653,Mapping!$E$208:$K$236,5,0),"Contracts")</f>
        <v>Materials</v>
      </c>
      <c r="AW653" s="7" t="str">
        <f>IFERROR(VLOOKUP($AQ653,Mapping!$E$208:$K$236,7,0),"ENDirect")</f>
        <v>ENDirect</v>
      </c>
      <c r="AX653" s="7" t="str">
        <f>IFERROR(HLOOKUP(AV653,'Calc|Weightings'!$U$5:$W$5,1,0),"Excl")</f>
        <v>Materials</v>
      </c>
      <c r="AY653" s="7" t="str">
        <f>VLOOKUP(AO653,Mapping!$E$11:$I$204,5,0)</f>
        <v>SCS</v>
      </c>
    </row>
    <row r="654" spans="1:51" x14ac:dyDescent="0.3">
      <c r="A654" s="7"/>
      <c r="B654" s="7"/>
      <c r="C654" s="7"/>
      <c r="D654" s="7"/>
      <c r="E654" s="32" t="s">
        <v>163</v>
      </c>
      <c r="F654" s="32"/>
      <c r="G654" s="32">
        <v>71030</v>
      </c>
      <c r="H654" s="32" t="s">
        <v>464</v>
      </c>
      <c r="I654" s="33">
        <v>15.881</v>
      </c>
      <c r="J654" s="170"/>
      <c r="K654" s="7" t="str">
        <f>VLOOKUP($E654,Mapping!$E$11:$I$204,3,0)</f>
        <v>Replacement</v>
      </c>
      <c r="L654" s="7" t="str">
        <f>IFERROR(VLOOKUP($G654,Mapping!$E$208:$K$236,5,0),"Contracts")</f>
        <v>Contracts</v>
      </c>
      <c r="M654" s="7" t="str">
        <f>IFERROR(VLOOKUP($G654,Mapping!$E$208:$K$236,7,0),"ENDirect")</f>
        <v>ENDirect</v>
      </c>
      <c r="N654" s="7" t="str">
        <f>IFERROR(HLOOKUP(L654,'Calc|Weightings'!$U$5:$W$5,1,0),"Excl")</f>
        <v>Contracts</v>
      </c>
      <c r="O654" s="7" t="str">
        <f>VLOOKUP(E654,Mapping!$E$11:$I$204,5,0)</f>
        <v>SCS</v>
      </c>
      <c r="Q654" s="32" t="s">
        <v>203</v>
      </c>
      <c r="R654" s="32"/>
      <c r="S654" s="32">
        <v>71015</v>
      </c>
      <c r="T654" s="32" t="s">
        <v>463</v>
      </c>
      <c r="U654" s="33">
        <v>75.817999999999998</v>
      </c>
      <c r="V654" s="7"/>
      <c r="W654" s="7" t="str">
        <f>VLOOKUP($Q654,Mapping!$E$11:$I$204,3,0)</f>
        <v>Replacement</v>
      </c>
      <c r="X654" s="7" t="str">
        <f>IFERROR(VLOOKUP($S654,Mapping!$E$208:$K$236,5,0),"Contracts")</f>
        <v>Materials</v>
      </c>
      <c r="Y654" s="7" t="str">
        <f>IFERROR(VLOOKUP($S654,Mapping!$E$208:$K$236,7,0),"ENDirect")</f>
        <v>ENDirect</v>
      </c>
      <c r="Z654" s="7" t="str">
        <f>IFERROR(HLOOKUP(X654,'Calc|Weightings'!$U$5:$W$5,1,0),"Excl")</f>
        <v>Materials</v>
      </c>
      <c r="AA654" s="7" t="str">
        <f>VLOOKUP(Q654,Mapping!$E$11:$I$204,5,0)</f>
        <v>SCS</v>
      </c>
      <c r="AC654" s="35" t="s">
        <v>201</v>
      </c>
      <c r="AD654" s="35"/>
      <c r="AE654" s="35">
        <v>71000</v>
      </c>
      <c r="AF654" s="35" t="s">
        <v>457</v>
      </c>
      <c r="AG654" s="36">
        <v>1755.124</v>
      </c>
      <c r="AI654" s="7" t="str">
        <f>VLOOKUP($AC654,Mapping!$E$11:$I$204,3,0)</f>
        <v>Replacement</v>
      </c>
      <c r="AJ654" s="7" t="str">
        <f>IFERROR(VLOOKUP($AE654,Mapping!$E$208:$K$236,5,0),"Contracts")</f>
        <v>Labour</v>
      </c>
      <c r="AK654" s="7" t="str">
        <f>IFERROR(VLOOKUP($AE654,Mapping!$E$208:$K$236,7,0),"ENDirect")</f>
        <v>ENDirect</v>
      </c>
      <c r="AL654" s="7" t="str">
        <f>IFERROR(HLOOKUP(AJ654,'Calc|Weightings'!$U$5:$W$5,1,0),"Excl")</f>
        <v>Labour</v>
      </c>
      <c r="AM654" s="7" t="str">
        <f>VLOOKUP(AC654,Mapping!$E$11:$I$204,5,0)</f>
        <v>SCS</v>
      </c>
      <c r="AO654" s="35" t="s">
        <v>193</v>
      </c>
      <c r="AP654" s="35"/>
      <c r="AQ654" s="35">
        <v>71010</v>
      </c>
      <c r="AR654" s="35" t="s">
        <v>487</v>
      </c>
      <c r="AS654" s="121">
        <v>9.6000000000000002E-2</v>
      </c>
      <c r="AU654" s="7" t="str">
        <f>VLOOKUP($AO654,Mapping!$E$11:$I$204,3,0)</f>
        <v>VBRC</v>
      </c>
      <c r="AV654" s="7" t="str">
        <f>IFERROR(VLOOKUP($AQ654,Mapping!$E$208:$K$236,5,0),"Contracts")</f>
        <v>Labour</v>
      </c>
      <c r="AW654" s="7" t="str">
        <f>IFERROR(VLOOKUP($AQ654,Mapping!$E$208:$K$236,7,0),"ENDirect")</f>
        <v>ENDirect</v>
      </c>
      <c r="AX654" s="7" t="str">
        <f>IFERROR(HLOOKUP(AV654,'Calc|Weightings'!$U$5:$W$5,1,0),"Excl")</f>
        <v>Labour</v>
      </c>
      <c r="AY654" s="7" t="str">
        <f>VLOOKUP(AO654,Mapping!$E$11:$I$204,5,0)</f>
        <v>SCS</v>
      </c>
    </row>
    <row r="655" spans="1:51" x14ac:dyDescent="0.3">
      <c r="A655" s="7"/>
      <c r="B655" s="7"/>
      <c r="C655" s="7"/>
      <c r="D655" s="7"/>
      <c r="E655" s="32" t="s">
        <v>163</v>
      </c>
      <c r="F655" s="32"/>
      <c r="G655" s="32">
        <v>71055</v>
      </c>
      <c r="H655" s="32" t="s">
        <v>465</v>
      </c>
      <c r="I655" s="33">
        <v>40.158000000000001</v>
      </c>
      <c r="J655" s="170"/>
      <c r="K655" s="7" t="str">
        <f>VLOOKUP($E655,Mapping!$E$11:$I$204,3,0)</f>
        <v>Replacement</v>
      </c>
      <c r="L655" s="7" t="str">
        <f>IFERROR(VLOOKUP($G655,Mapping!$E$208:$K$236,5,0),"Contracts")</f>
        <v>Contracts</v>
      </c>
      <c r="M655" s="7" t="str">
        <f>IFERROR(VLOOKUP($G655,Mapping!$E$208:$K$236,7,0),"ENDirect")</f>
        <v>ENDirect</v>
      </c>
      <c r="N655" s="7" t="str">
        <f>IFERROR(HLOOKUP(L655,'Calc|Weightings'!$U$5:$W$5,1,0),"Excl")</f>
        <v>Contracts</v>
      </c>
      <c r="O655" s="7" t="str">
        <f>VLOOKUP(E655,Mapping!$E$11:$I$204,5,0)</f>
        <v>SCS</v>
      </c>
      <c r="Q655" s="32" t="s">
        <v>203</v>
      </c>
      <c r="R655" s="32"/>
      <c r="S655" s="32">
        <v>71020</v>
      </c>
      <c r="T655" s="32" t="s">
        <v>459</v>
      </c>
      <c r="U655" s="33">
        <v>-19.198</v>
      </c>
      <c r="V655" s="7"/>
      <c r="W655" s="7" t="str">
        <f>VLOOKUP($Q655,Mapping!$E$11:$I$204,3,0)</f>
        <v>Replacement</v>
      </c>
      <c r="X655" s="7" t="str">
        <f>IFERROR(VLOOKUP($S655,Mapping!$E$208:$K$236,5,0),"Contracts")</f>
        <v>Contracts</v>
      </c>
      <c r="Y655" s="7" t="str">
        <f>IFERROR(VLOOKUP($S655,Mapping!$E$208:$K$236,7,0),"ENDirect")</f>
        <v>ENDirect</v>
      </c>
      <c r="Z655" s="7" t="str">
        <f>IFERROR(HLOOKUP(X655,'Calc|Weightings'!$U$5:$W$5,1,0),"Excl")</f>
        <v>Contracts</v>
      </c>
      <c r="AA655" s="7" t="str">
        <f>VLOOKUP(Q655,Mapping!$E$11:$I$204,5,0)</f>
        <v>SCS</v>
      </c>
      <c r="AC655" s="35" t="s">
        <v>201</v>
      </c>
      <c r="AD655" s="35"/>
      <c r="AE655" s="35">
        <v>71005</v>
      </c>
      <c r="AF655" s="35" t="s">
        <v>461</v>
      </c>
      <c r="AG655" s="36">
        <v>548.70899999999995</v>
      </c>
      <c r="AI655" s="7" t="str">
        <f>VLOOKUP($AC655,Mapping!$E$11:$I$204,3,0)</f>
        <v>Replacement</v>
      </c>
      <c r="AJ655" s="7" t="str">
        <f>IFERROR(VLOOKUP($AE655,Mapping!$E$208:$K$236,5,0),"Contracts")</f>
        <v>Materials</v>
      </c>
      <c r="AK655" s="7" t="str">
        <f>IFERROR(VLOOKUP($AE655,Mapping!$E$208:$K$236,7,0),"ENDirect")</f>
        <v>ENDirect</v>
      </c>
      <c r="AL655" s="7" t="str">
        <f>IFERROR(HLOOKUP(AJ655,'Calc|Weightings'!$U$5:$W$5,1,0),"Excl")</f>
        <v>Materials</v>
      </c>
      <c r="AM655" s="7" t="str">
        <f>VLOOKUP(AC655,Mapping!$E$11:$I$204,5,0)</f>
        <v>SCS</v>
      </c>
      <c r="AO655" s="35" t="s">
        <v>193</v>
      </c>
      <c r="AP655" s="35"/>
      <c r="AQ655" s="35">
        <v>71030</v>
      </c>
      <c r="AR655" s="35" t="s">
        <v>464</v>
      </c>
      <c r="AS655" s="121">
        <v>1.2039999999999999E-2</v>
      </c>
      <c r="AU655" s="7" t="str">
        <f>VLOOKUP($AO655,Mapping!$E$11:$I$204,3,0)</f>
        <v>VBRC</v>
      </c>
      <c r="AV655" s="7" t="str">
        <f>IFERROR(VLOOKUP($AQ655,Mapping!$E$208:$K$236,5,0),"Contracts")</f>
        <v>Contracts</v>
      </c>
      <c r="AW655" s="7" t="str">
        <f>IFERROR(VLOOKUP($AQ655,Mapping!$E$208:$K$236,7,0),"ENDirect")</f>
        <v>ENDirect</v>
      </c>
      <c r="AX655" s="7" t="str">
        <f>IFERROR(HLOOKUP(AV655,'Calc|Weightings'!$U$5:$W$5,1,0),"Excl")</f>
        <v>Contracts</v>
      </c>
      <c r="AY655" s="7" t="str">
        <f>VLOOKUP(AO655,Mapping!$E$11:$I$204,5,0)</f>
        <v>SCS</v>
      </c>
    </row>
    <row r="656" spans="1:51" x14ac:dyDescent="0.3">
      <c r="A656" s="7"/>
      <c r="B656" s="7"/>
      <c r="C656" s="7"/>
      <c r="D656" s="7"/>
      <c r="E656" s="32" t="s">
        <v>163</v>
      </c>
      <c r="F656" s="32"/>
      <c r="G656" s="32">
        <v>80000</v>
      </c>
      <c r="H656" s="32" t="s">
        <v>453</v>
      </c>
      <c r="I656" s="33">
        <v>40.436999999999998</v>
      </c>
      <c r="J656" s="170"/>
      <c r="K656" s="7" t="str">
        <f>VLOOKUP($E656,Mapping!$E$11:$I$204,3,0)</f>
        <v>Replacement</v>
      </c>
      <c r="L656" s="7" t="str">
        <f>IFERROR(VLOOKUP($G656,Mapping!$E$208:$K$236,5,0),"Contracts")</f>
        <v>Overhead</v>
      </c>
      <c r="M656" s="7" t="str">
        <f>IFERROR(VLOOKUP($G656,Mapping!$E$208:$K$236,7,0),"ENDirect")</f>
        <v>OH</v>
      </c>
      <c r="N656" s="7" t="str">
        <f>IFERROR(HLOOKUP(L656,'Calc|Weightings'!$U$5:$W$5,1,0),"Excl")</f>
        <v>Excl</v>
      </c>
      <c r="O656" s="7" t="str">
        <f>VLOOKUP(E656,Mapping!$E$11:$I$204,5,0)</f>
        <v>SCS</v>
      </c>
      <c r="Q656" s="32" t="s">
        <v>203</v>
      </c>
      <c r="R656" s="32"/>
      <c r="S656" s="32">
        <v>71030</v>
      </c>
      <c r="T656" s="32" t="s">
        <v>464</v>
      </c>
      <c r="U656" s="33">
        <v>42.808999999999997</v>
      </c>
      <c r="V656" s="7"/>
      <c r="W656" s="7" t="str">
        <f>VLOOKUP($Q656,Mapping!$E$11:$I$204,3,0)</f>
        <v>Replacement</v>
      </c>
      <c r="X656" s="7" t="str">
        <f>IFERROR(VLOOKUP($S656,Mapping!$E$208:$K$236,5,0),"Contracts")</f>
        <v>Contracts</v>
      </c>
      <c r="Y656" s="7" t="str">
        <f>IFERROR(VLOOKUP($S656,Mapping!$E$208:$K$236,7,0),"ENDirect")</f>
        <v>ENDirect</v>
      </c>
      <c r="Z656" s="7" t="str">
        <f>IFERROR(HLOOKUP(X656,'Calc|Weightings'!$U$5:$W$5,1,0),"Excl")</f>
        <v>Contracts</v>
      </c>
      <c r="AA656" s="7" t="str">
        <f>VLOOKUP(Q656,Mapping!$E$11:$I$204,5,0)</f>
        <v>SCS</v>
      </c>
      <c r="AC656" s="35" t="s">
        <v>201</v>
      </c>
      <c r="AD656" s="35"/>
      <c r="AE656" s="35">
        <v>71010</v>
      </c>
      <c r="AF656" s="35" t="s">
        <v>462</v>
      </c>
      <c r="AG656" s="36">
        <v>529.87800000000004</v>
      </c>
      <c r="AI656" s="7" t="str">
        <f>VLOOKUP($AC656,Mapping!$E$11:$I$204,3,0)</f>
        <v>Replacement</v>
      </c>
      <c r="AJ656" s="7" t="str">
        <f>IFERROR(VLOOKUP($AE656,Mapping!$E$208:$K$236,5,0),"Contracts")</f>
        <v>Labour</v>
      </c>
      <c r="AK656" s="7" t="str">
        <f>IFERROR(VLOOKUP($AE656,Mapping!$E$208:$K$236,7,0),"ENDirect")</f>
        <v>ENDirect</v>
      </c>
      <c r="AL656" s="7" t="str">
        <f>IFERROR(HLOOKUP(AJ656,'Calc|Weightings'!$U$5:$W$5,1,0),"Excl")</f>
        <v>Labour</v>
      </c>
      <c r="AM656" s="7" t="str">
        <f>VLOOKUP(AC656,Mapping!$E$11:$I$204,5,0)</f>
        <v>SCS</v>
      </c>
      <c r="AO656" s="35" t="s">
        <v>193</v>
      </c>
      <c r="AP656" s="35"/>
      <c r="AQ656" s="35">
        <v>71055</v>
      </c>
      <c r="AR656" s="35" t="s">
        <v>465</v>
      </c>
      <c r="AS656" s="121">
        <v>2.0370000000000003E-2</v>
      </c>
      <c r="AU656" s="7" t="str">
        <f>VLOOKUP($AO656,Mapping!$E$11:$I$204,3,0)</f>
        <v>VBRC</v>
      </c>
      <c r="AV656" s="7" t="str">
        <f>IFERROR(VLOOKUP($AQ656,Mapping!$E$208:$K$236,5,0),"Contracts")</f>
        <v>Contracts</v>
      </c>
      <c r="AW656" s="7" t="str">
        <f>IFERROR(VLOOKUP($AQ656,Mapping!$E$208:$K$236,7,0),"ENDirect")</f>
        <v>ENDirect</v>
      </c>
      <c r="AX656" s="7" t="str">
        <f>IFERROR(HLOOKUP(AV656,'Calc|Weightings'!$U$5:$W$5,1,0),"Excl")</f>
        <v>Contracts</v>
      </c>
      <c r="AY656" s="7" t="str">
        <f>VLOOKUP(AO656,Mapping!$E$11:$I$204,5,0)</f>
        <v>SCS</v>
      </c>
    </row>
    <row r="657" spans="1:51" x14ac:dyDescent="0.3">
      <c r="A657" s="7"/>
      <c r="B657" s="7"/>
      <c r="C657" s="7"/>
      <c r="D657" s="7"/>
      <c r="E657" s="32" t="s">
        <v>164</v>
      </c>
      <c r="F657" s="32"/>
      <c r="G657" s="32">
        <v>71000</v>
      </c>
      <c r="H657" s="32" t="s">
        <v>457</v>
      </c>
      <c r="I657" s="33">
        <v>109.69199999999999</v>
      </c>
      <c r="J657" s="170"/>
      <c r="K657" s="7" t="str">
        <f>VLOOKUP($E657,Mapping!$E$11:$I$204,3,0)</f>
        <v>Replacement</v>
      </c>
      <c r="L657" s="7" t="str">
        <f>IFERROR(VLOOKUP($G657,Mapping!$E$208:$K$236,5,0),"Contracts")</f>
        <v>Labour</v>
      </c>
      <c r="M657" s="7" t="str">
        <f>IFERROR(VLOOKUP($G657,Mapping!$E$208:$K$236,7,0),"ENDirect")</f>
        <v>ENDirect</v>
      </c>
      <c r="N657" s="7" t="str">
        <f>IFERROR(HLOOKUP(L657,'Calc|Weightings'!$U$5:$W$5,1,0),"Excl")</f>
        <v>Labour</v>
      </c>
      <c r="O657" s="7" t="str">
        <f>VLOOKUP(E657,Mapping!$E$11:$I$204,5,0)</f>
        <v>SCS</v>
      </c>
      <c r="Q657" s="32" t="s">
        <v>203</v>
      </c>
      <c r="R657" s="32"/>
      <c r="S657" s="32">
        <v>71055</v>
      </c>
      <c r="T657" s="32" t="s">
        <v>465</v>
      </c>
      <c r="U657" s="33">
        <v>59.643999999999998</v>
      </c>
      <c r="V657" s="7"/>
      <c r="W657" s="7" t="str">
        <f>VLOOKUP($Q657,Mapping!$E$11:$I$204,3,0)</f>
        <v>Replacement</v>
      </c>
      <c r="X657" s="7" t="str">
        <f>IFERROR(VLOOKUP($S657,Mapping!$E$208:$K$236,5,0),"Contracts")</f>
        <v>Contracts</v>
      </c>
      <c r="Y657" s="7" t="str">
        <f>IFERROR(VLOOKUP($S657,Mapping!$E$208:$K$236,7,0),"ENDirect")</f>
        <v>ENDirect</v>
      </c>
      <c r="Z657" s="7" t="str">
        <f>IFERROR(HLOOKUP(X657,'Calc|Weightings'!$U$5:$W$5,1,0),"Excl")</f>
        <v>Contracts</v>
      </c>
      <c r="AA657" s="7" t="str">
        <f>VLOOKUP(Q657,Mapping!$E$11:$I$204,5,0)</f>
        <v>SCS</v>
      </c>
      <c r="AC657" s="35" t="s">
        <v>201</v>
      </c>
      <c r="AD657" s="35"/>
      <c r="AE657" s="35">
        <v>71015</v>
      </c>
      <c r="AF657" s="35" t="s">
        <v>463</v>
      </c>
      <c r="AG657" s="36">
        <v>423.27600000000001</v>
      </c>
      <c r="AI657" s="7" t="str">
        <f>VLOOKUP($AC657,Mapping!$E$11:$I$204,3,0)</f>
        <v>Replacement</v>
      </c>
      <c r="AJ657" s="7" t="str">
        <f>IFERROR(VLOOKUP($AE657,Mapping!$E$208:$K$236,5,0),"Contracts")</f>
        <v>Materials</v>
      </c>
      <c r="AK657" s="7" t="str">
        <f>IFERROR(VLOOKUP($AE657,Mapping!$E$208:$K$236,7,0),"ENDirect")</f>
        <v>ENDirect</v>
      </c>
      <c r="AL657" s="7" t="str">
        <f>IFERROR(HLOOKUP(AJ657,'Calc|Weightings'!$U$5:$W$5,1,0),"Excl")</f>
        <v>Materials</v>
      </c>
      <c r="AM657" s="7" t="str">
        <f>VLOOKUP(AC657,Mapping!$E$11:$I$204,5,0)</f>
        <v>SCS</v>
      </c>
      <c r="AO657" s="35" t="s">
        <v>193</v>
      </c>
      <c r="AP657" s="35"/>
      <c r="AQ657" s="35">
        <v>71075</v>
      </c>
      <c r="AR657" s="35" t="s">
        <v>587</v>
      </c>
      <c r="AS657" s="121">
        <v>3.831020000000001</v>
      </c>
      <c r="AU657" s="7" t="str">
        <f>VLOOKUP($AO657,Mapping!$E$11:$I$204,3,0)</f>
        <v>VBRC</v>
      </c>
      <c r="AV657" s="7" t="str">
        <f>IFERROR(VLOOKUP($AQ657,Mapping!$E$208:$K$236,5,0),"Contracts")</f>
        <v>Contracts</v>
      </c>
      <c r="AW657" s="7" t="str">
        <f>IFERROR(VLOOKUP($AQ657,Mapping!$E$208:$K$236,7,0),"ENDirect")</f>
        <v>ENDirect</v>
      </c>
      <c r="AX657" s="7" t="str">
        <f>IFERROR(HLOOKUP(AV657,'Calc|Weightings'!$U$5:$W$5,1,0),"Excl")</f>
        <v>Contracts</v>
      </c>
      <c r="AY657" s="7" t="str">
        <f>VLOOKUP(AO657,Mapping!$E$11:$I$204,5,0)</f>
        <v>SCS</v>
      </c>
    </row>
    <row r="658" spans="1:51" x14ac:dyDescent="0.3">
      <c r="A658" s="7"/>
      <c r="B658" s="7"/>
      <c r="C658" s="7"/>
      <c r="D658" s="7"/>
      <c r="E658" s="32" t="s">
        <v>164</v>
      </c>
      <c r="F658" s="32"/>
      <c r="G658" s="32">
        <v>71005</v>
      </c>
      <c r="H658" s="32" t="s">
        <v>461</v>
      </c>
      <c r="I658" s="33">
        <v>45.000999999999998</v>
      </c>
      <c r="J658" s="170"/>
      <c r="K658" s="7" t="str">
        <f>VLOOKUP($E658,Mapping!$E$11:$I$204,3,0)</f>
        <v>Replacement</v>
      </c>
      <c r="L658" s="7" t="str">
        <f>IFERROR(VLOOKUP($G658,Mapping!$E$208:$K$236,5,0),"Contracts")</f>
        <v>Materials</v>
      </c>
      <c r="M658" s="7" t="str">
        <f>IFERROR(VLOOKUP($G658,Mapping!$E$208:$K$236,7,0),"ENDirect")</f>
        <v>ENDirect</v>
      </c>
      <c r="N658" s="7" t="str">
        <f>IFERROR(HLOOKUP(L658,'Calc|Weightings'!$U$5:$W$5,1,0),"Excl")</f>
        <v>Materials</v>
      </c>
      <c r="O658" s="7" t="str">
        <f>VLOOKUP(E658,Mapping!$E$11:$I$204,5,0)</f>
        <v>SCS</v>
      </c>
      <c r="Q658" s="32" t="s">
        <v>203</v>
      </c>
      <c r="R658" s="32"/>
      <c r="S658" s="32">
        <v>80000</v>
      </c>
      <c r="T658" s="32" t="s">
        <v>453</v>
      </c>
      <c r="U658" s="33">
        <v>87.483000000000004</v>
      </c>
      <c r="V658" s="7"/>
      <c r="W658" s="7" t="str">
        <f>VLOOKUP($Q658,Mapping!$E$11:$I$204,3,0)</f>
        <v>Replacement</v>
      </c>
      <c r="X658" s="7" t="str">
        <f>IFERROR(VLOOKUP($S658,Mapping!$E$208:$K$236,5,0),"Contracts")</f>
        <v>Overhead</v>
      </c>
      <c r="Y658" s="7" t="str">
        <f>IFERROR(VLOOKUP($S658,Mapping!$E$208:$K$236,7,0),"ENDirect")</f>
        <v>OH</v>
      </c>
      <c r="Z658" s="7" t="str">
        <f>IFERROR(HLOOKUP(X658,'Calc|Weightings'!$U$5:$W$5,1,0),"Excl")</f>
        <v>Excl</v>
      </c>
      <c r="AA658" s="7" t="str">
        <f>VLOOKUP(Q658,Mapping!$E$11:$I$204,5,0)</f>
        <v>SCS</v>
      </c>
      <c r="AC658" s="35" t="s">
        <v>201</v>
      </c>
      <c r="AD658" s="35"/>
      <c r="AE658" s="35">
        <v>71020</v>
      </c>
      <c r="AF658" s="35" t="s">
        <v>459</v>
      </c>
      <c r="AG658" s="36">
        <v>9.9149999999999991</v>
      </c>
      <c r="AI658" s="7" t="str">
        <f>VLOOKUP($AC658,Mapping!$E$11:$I$204,3,0)</f>
        <v>Replacement</v>
      </c>
      <c r="AJ658" s="7" t="str">
        <f>IFERROR(VLOOKUP($AE658,Mapping!$E$208:$K$236,5,0),"Contracts")</f>
        <v>Contracts</v>
      </c>
      <c r="AK658" s="7" t="str">
        <f>IFERROR(VLOOKUP($AE658,Mapping!$E$208:$K$236,7,0),"ENDirect")</f>
        <v>ENDirect</v>
      </c>
      <c r="AL658" s="7" t="str">
        <f>IFERROR(HLOOKUP(AJ658,'Calc|Weightings'!$U$5:$W$5,1,0),"Excl")</f>
        <v>Contracts</v>
      </c>
      <c r="AM658" s="7" t="str">
        <f>VLOOKUP(AC658,Mapping!$E$11:$I$204,5,0)</f>
        <v>SCS</v>
      </c>
      <c r="AO658" s="35" t="s">
        <v>193</v>
      </c>
      <c r="AP658" s="35"/>
      <c r="AQ658" s="35">
        <v>80000</v>
      </c>
      <c r="AR658" s="35" t="s">
        <v>589</v>
      </c>
      <c r="AS658" s="121">
        <v>4.6377100000000002</v>
      </c>
      <c r="AU658" s="7" t="str">
        <f>VLOOKUP($AO658,Mapping!$E$11:$I$204,3,0)</f>
        <v>VBRC</v>
      </c>
      <c r="AV658" s="7" t="str">
        <f>IFERROR(VLOOKUP($AQ658,Mapping!$E$208:$K$236,5,0),"Contracts")</f>
        <v>Overhead</v>
      </c>
      <c r="AW658" s="7" t="str">
        <f>IFERROR(VLOOKUP($AQ658,Mapping!$E$208:$K$236,7,0),"ENDirect")</f>
        <v>OH</v>
      </c>
      <c r="AX658" s="7" t="str">
        <f>IFERROR(HLOOKUP(AV658,'Calc|Weightings'!$U$5:$W$5,1,0),"Excl")</f>
        <v>Excl</v>
      </c>
      <c r="AY658" s="7" t="str">
        <f>VLOOKUP(AO658,Mapping!$E$11:$I$204,5,0)</f>
        <v>SCS</v>
      </c>
    </row>
    <row r="659" spans="1:51" x14ac:dyDescent="0.3">
      <c r="A659" s="7"/>
      <c r="B659" s="7"/>
      <c r="C659" s="7"/>
      <c r="D659" s="7"/>
      <c r="E659" s="32" t="s">
        <v>164</v>
      </c>
      <c r="F659" s="32"/>
      <c r="G659" s="32">
        <v>71006</v>
      </c>
      <c r="H659" s="32" t="s">
        <v>468</v>
      </c>
      <c r="I659" s="33">
        <v>149.06899999999999</v>
      </c>
      <c r="J659" s="170"/>
      <c r="K659" s="7" t="str">
        <f>VLOOKUP($E659,Mapping!$E$11:$I$204,3,0)</f>
        <v>Replacement</v>
      </c>
      <c r="L659" s="7" t="str">
        <f>IFERROR(VLOOKUP($G659,Mapping!$E$208:$K$236,5,0),"Contracts")</f>
        <v>Materials</v>
      </c>
      <c r="M659" s="7" t="str">
        <f>IFERROR(VLOOKUP($G659,Mapping!$E$208:$K$236,7,0),"ENDirect")</f>
        <v>ENDirect</v>
      </c>
      <c r="N659" s="7" t="str">
        <f>IFERROR(HLOOKUP(L659,'Calc|Weightings'!$U$5:$W$5,1,0),"Excl")</f>
        <v>Materials</v>
      </c>
      <c r="O659" s="7" t="str">
        <f>VLOOKUP(E659,Mapping!$E$11:$I$204,5,0)</f>
        <v>SCS</v>
      </c>
      <c r="Q659" s="32" t="s">
        <v>205</v>
      </c>
      <c r="R659" s="32"/>
      <c r="S659" s="32">
        <v>71000</v>
      </c>
      <c r="T659" s="32" t="s">
        <v>457</v>
      </c>
      <c r="U659" s="33">
        <v>0.21199999999999999</v>
      </c>
      <c r="V659" s="7"/>
      <c r="W659" s="7" t="str">
        <f>VLOOKUP($Q659,Mapping!$E$11:$I$204,3,0)</f>
        <v>Replacement</v>
      </c>
      <c r="X659" s="7" t="str">
        <f>IFERROR(VLOOKUP($S659,Mapping!$E$208:$K$236,5,0),"Contracts")</f>
        <v>Labour</v>
      </c>
      <c r="Y659" s="7" t="str">
        <f>IFERROR(VLOOKUP($S659,Mapping!$E$208:$K$236,7,0),"ENDirect")</f>
        <v>ENDirect</v>
      </c>
      <c r="Z659" s="7" t="str">
        <f>IFERROR(HLOOKUP(X659,'Calc|Weightings'!$U$5:$W$5,1,0),"Excl")</f>
        <v>Labour</v>
      </c>
      <c r="AA659" s="7" t="str">
        <f>VLOOKUP(Q659,Mapping!$E$11:$I$204,5,0)</f>
        <v>SCS</v>
      </c>
      <c r="AC659" s="35" t="s">
        <v>201</v>
      </c>
      <c r="AD659" s="35"/>
      <c r="AE659" s="35">
        <v>71030</v>
      </c>
      <c r="AF659" s="35" t="s">
        <v>464</v>
      </c>
      <c r="AG659" s="36">
        <v>262.596</v>
      </c>
      <c r="AI659" s="7" t="str">
        <f>VLOOKUP($AC659,Mapping!$E$11:$I$204,3,0)</f>
        <v>Replacement</v>
      </c>
      <c r="AJ659" s="7" t="str">
        <f>IFERROR(VLOOKUP($AE659,Mapping!$E$208:$K$236,5,0),"Contracts")</f>
        <v>Contracts</v>
      </c>
      <c r="AK659" s="7" t="str">
        <f>IFERROR(VLOOKUP($AE659,Mapping!$E$208:$K$236,7,0),"ENDirect")</f>
        <v>ENDirect</v>
      </c>
      <c r="AL659" s="7" t="str">
        <f>IFERROR(HLOOKUP(AJ659,'Calc|Weightings'!$U$5:$W$5,1,0),"Excl")</f>
        <v>Contracts</v>
      </c>
      <c r="AM659" s="7" t="str">
        <f>VLOOKUP(AC659,Mapping!$E$11:$I$204,5,0)</f>
        <v>SCS</v>
      </c>
      <c r="AO659" s="35" t="s">
        <v>193</v>
      </c>
      <c r="AP659" s="35"/>
      <c r="AQ659" s="35">
        <v>83010</v>
      </c>
      <c r="AR659" s="35" t="s">
        <v>591</v>
      </c>
      <c r="AS659" s="121">
        <v>28.453879999999995</v>
      </c>
      <c r="AU659" s="7" t="str">
        <f>VLOOKUP($AO659,Mapping!$E$11:$I$204,3,0)</f>
        <v>VBRC</v>
      </c>
      <c r="AV659" s="7" t="str">
        <f>IFERROR(VLOOKUP($AQ659,Mapping!$E$208:$K$236,5,0),"Contracts")</f>
        <v>Contracts</v>
      </c>
      <c r="AW659" s="7" t="str">
        <f>IFERROR(VLOOKUP($AQ659,Mapping!$E$208:$K$236,7,0),"ENDirect")</f>
        <v>ENDirect</v>
      </c>
      <c r="AX659" s="7" t="str">
        <f>IFERROR(HLOOKUP(AV659,'Calc|Weightings'!$U$5:$W$5,1,0),"Excl")</f>
        <v>Contracts</v>
      </c>
      <c r="AY659" s="7" t="str">
        <f>VLOOKUP(AO659,Mapping!$E$11:$I$204,5,0)</f>
        <v>SCS</v>
      </c>
    </row>
    <row r="660" spans="1:51" x14ac:dyDescent="0.3">
      <c r="A660" s="7"/>
      <c r="B660" s="7"/>
      <c r="C660" s="7"/>
      <c r="D660" s="7"/>
      <c r="E660" s="32" t="s">
        <v>164</v>
      </c>
      <c r="F660" s="32"/>
      <c r="G660" s="32">
        <v>71010</v>
      </c>
      <c r="H660" s="32" t="s">
        <v>462</v>
      </c>
      <c r="I660" s="33">
        <v>74.212999999999994</v>
      </c>
      <c r="J660" s="170"/>
      <c r="K660" s="7" t="str">
        <f>VLOOKUP($E660,Mapping!$E$11:$I$204,3,0)</f>
        <v>Replacement</v>
      </c>
      <c r="L660" s="7" t="str">
        <f>IFERROR(VLOOKUP($G660,Mapping!$E$208:$K$236,5,0),"Contracts")</f>
        <v>Labour</v>
      </c>
      <c r="M660" s="7" t="str">
        <f>IFERROR(VLOOKUP($G660,Mapping!$E$208:$K$236,7,0),"ENDirect")</f>
        <v>ENDirect</v>
      </c>
      <c r="N660" s="7" t="str">
        <f>IFERROR(HLOOKUP(L660,'Calc|Weightings'!$U$5:$W$5,1,0),"Excl")</f>
        <v>Labour</v>
      </c>
      <c r="O660" s="7" t="str">
        <f>VLOOKUP(E660,Mapping!$E$11:$I$204,5,0)</f>
        <v>SCS</v>
      </c>
      <c r="Q660" s="32" t="s">
        <v>205</v>
      </c>
      <c r="R660" s="32"/>
      <c r="S660" s="32">
        <v>71010</v>
      </c>
      <c r="T660" s="32" t="s">
        <v>462</v>
      </c>
      <c r="U660" s="33">
        <v>264.41699999999997</v>
      </c>
      <c r="V660" s="7"/>
      <c r="W660" s="7" t="str">
        <f>VLOOKUP($Q660,Mapping!$E$11:$I$204,3,0)</f>
        <v>Replacement</v>
      </c>
      <c r="X660" s="7" t="str">
        <f>IFERROR(VLOOKUP($S660,Mapping!$E$208:$K$236,5,0),"Contracts")</f>
        <v>Labour</v>
      </c>
      <c r="Y660" s="7" t="str">
        <f>IFERROR(VLOOKUP($S660,Mapping!$E$208:$K$236,7,0),"ENDirect")</f>
        <v>ENDirect</v>
      </c>
      <c r="Z660" s="7" t="str">
        <f>IFERROR(HLOOKUP(X660,'Calc|Weightings'!$U$5:$W$5,1,0),"Excl")</f>
        <v>Labour</v>
      </c>
      <c r="AA660" s="7" t="str">
        <f>VLOOKUP(Q660,Mapping!$E$11:$I$204,5,0)</f>
        <v>SCS</v>
      </c>
      <c r="AC660" s="35" t="s">
        <v>201</v>
      </c>
      <c r="AD660" s="35"/>
      <c r="AE660" s="35">
        <v>71055</v>
      </c>
      <c r="AF660" s="35" t="s">
        <v>465</v>
      </c>
      <c r="AG660" s="36">
        <v>537.82000000000005</v>
      </c>
      <c r="AI660" s="7" t="str">
        <f>VLOOKUP($AC660,Mapping!$E$11:$I$204,3,0)</f>
        <v>Replacement</v>
      </c>
      <c r="AJ660" s="7" t="str">
        <f>IFERROR(VLOOKUP($AE660,Mapping!$E$208:$K$236,5,0),"Contracts")</f>
        <v>Contracts</v>
      </c>
      <c r="AK660" s="7" t="str">
        <f>IFERROR(VLOOKUP($AE660,Mapping!$E$208:$K$236,7,0),"ENDirect")</f>
        <v>ENDirect</v>
      </c>
      <c r="AL660" s="7" t="str">
        <f>IFERROR(HLOOKUP(AJ660,'Calc|Weightings'!$U$5:$W$5,1,0),"Excl")</f>
        <v>Contracts</v>
      </c>
      <c r="AM660" s="7" t="str">
        <f>VLOOKUP(AC660,Mapping!$E$11:$I$204,5,0)</f>
        <v>SCS</v>
      </c>
      <c r="AO660" s="35" t="s">
        <v>194</v>
      </c>
      <c r="AP660" s="35"/>
      <c r="AQ660" s="35">
        <v>71000</v>
      </c>
      <c r="AR660" s="35" t="s">
        <v>457</v>
      </c>
      <c r="AS660" s="121">
        <v>12.249640000000001</v>
      </c>
      <c r="AU660" s="7" t="str">
        <f>VLOOKUP($AO660,Mapping!$E$11:$I$204,3,0)</f>
        <v>Replacement</v>
      </c>
      <c r="AV660" s="7" t="str">
        <f>IFERROR(VLOOKUP($AQ660,Mapping!$E$208:$K$236,5,0),"Contracts")</f>
        <v>Labour</v>
      </c>
      <c r="AW660" s="7" t="str">
        <f>IFERROR(VLOOKUP($AQ660,Mapping!$E$208:$K$236,7,0),"ENDirect")</f>
        <v>ENDirect</v>
      </c>
      <c r="AX660" s="7" t="str">
        <f>IFERROR(HLOOKUP(AV660,'Calc|Weightings'!$U$5:$W$5,1,0),"Excl")</f>
        <v>Labour</v>
      </c>
      <c r="AY660" s="7" t="str">
        <f>VLOOKUP(AO660,Mapping!$E$11:$I$204,5,0)</f>
        <v>SCS</v>
      </c>
    </row>
    <row r="661" spans="1:51" x14ac:dyDescent="0.3">
      <c r="A661" s="7"/>
      <c r="B661" s="7"/>
      <c r="C661" s="7"/>
      <c r="D661" s="7"/>
      <c r="E661" s="32" t="s">
        <v>164</v>
      </c>
      <c r="F661" s="32"/>
      <c r="G661" s="32">
        <v>71015</v>
      </c>
      <c r="H661" s="32" t="s">
        <v>463</v>
      </c>
      <c r="I661" s="33">
        <v>26.917999999999999</v>
      </c>
      <c r="J661" s="170"/>
      <c r="K661" s="7" t="str">
        <f>VLOOKUP($E661,Mapping!$E$11:$I$204,3,0)</f>
        <v>Replacement</v>
      </c>
      <c r="L661" s="7" t="str">
        <f>IFERROR(VLOOKUP($G661,Mapping!$E$208:$K$236,5,0),"Contracts")</f>
        <v>Materials</v>
      </c>
      <c r="M661" s="7" t="str">
        <f>IFERROR(VLOOKUP($G661,Mapping!$E$208:$K$236,7,0),"ENDirect")</f>
        <v>ENDirect</v>
      </c>
      <c r="N661" s="7" t="str">
        <f>IFERROR(HLOOKUP(L661,'Calc|Weightings'!$U$5:$W$5,1,0),"Excl")</f>
        <v>Materials</v>
      </c>
      <c r="O661" s="7" t="str">
        <f>VLOOKUP(E661,Mapping!$E$11:$I$204,5,0)</f>
        <v>SCS</v>
      </c>
      <c r="Q661" s="32" t="s">
        <v>205</v>
      </c>
      <c r="R661" s="32"/>
      <c r="S661" s="32">
        <v>71015</v>
      </c>
      <c r="T661" s="32" t="s">
        <v>463</v>
      </c>
      <c r="U661" s="33">
        <v>6.8000000000000005E-2</v>
      </c>
      <c r="V661" s="7"/>
      <c r="W661" s="7" t="str">
        <f>VLOOKUP($Q661,Mapping!$E$11:$I$204,3,0)</f>
        <v>Replacement</v>
      </c>
      <c r="X661" s="7" t="str">
        <f>IFERROR(VLOOKUP($S661,Mapping!$E$208:$K$236,5,0),"Contracts")</f>
        <v>Materials</v>
      </c>
      <c r="Y661" s="7" t="str">
        <f>IFERROR(VLOOKUP($S661,Mapping!$E$208:$K$236,7,0),"ENDirect")</f>
        <v>ENDirect</v>
      </c>
      <c r="Z661" s="7" t="str">
        <f>IFERROR(HLOOKUP(X661,'Calc|Weightings'!$U$5:$W$5,1,0),"Excl")</f>
        <v>Materials</v>
      </c>
      <c r="AA661" s="7" t="str">
        <f>VLOOKUP(Q661,Mapping!$E$11:$I$204,5,0)</f>
        <v>SCS</v>
      </c>
      <c r="AC661" s="35" t="s">
        <v>201</v>
      </c>
      <c r="AD661" s="35"/>
      <c r="AE661" s="35">
        <v>80000</v>
      </c>
      <c r="AF661" s="35" t="s">
        <v>453</v>
      </c>
      <c r="AG661" s="36">
        <v>433.99400000000003</v>
      </c>
      <c r="AI661" s="7" t="str">
        <f>VLOOKUP($AC661,Mapping!$E$11:$I$204,3,0)</f>
        <v>Replacement</v>
      </c>
      <c r="AJ661" s="7" t="str">
        <f>IFERROR(VLOOKUP($AE661,Mapping!$E$208:$K$236,5,0),"Contracts")</f>
        <v>Overhead</v>
      </c>
      <c r="AK661" s="7" t="str">
        <f>IFERROR(VLOOKUP($AE661,Mapping!$E$208:$K$236,7,0),"ENDirect")</f>
        <v>OH</v>
      </c>
      <c r="AL661" s="7" t="str">
        <f>IFERROR(HLOOKUP(AJ661,'Calc|Weightings'!$U$5:$W$5,1,0),"Excl")</f>
        <v>Excl</v>
      </c>
      <c r="AM661" s="7" t="str">
        <f>VLOOKUP(AC661,Mapping!$E$11:$I$204,5,0)</f>
        <v>SCS</v>
      </c>
      <c r="AO661" s="35" t="s">
        <v>194</v>
      </c>
      <c r="AP661" s="35"/>
      <c r="AQ661" s="35">
        <v>71005</v>
      </c>
      <c r="AR661" s="35" t="s">
        <v>461</v>
      </c>
      <c r="AS661" s="121">
        <v>2.0087600000000001</v>
      </c>
      <c r="AU661" s="7" t="str">
        <f>VLOOKUP($AO661,Mapping!$E$11:$I$204,3,0)</f>
        <v>Replacement</v>
      </c>
      <c r="AV661" s="7" t="str">
        <f>IFERROR(VLOOKUP($AQ661,Mapping!$E$208:$K$236,5,0),"Contracts")</f>
        <v>Materials</v>
      </c>
      <c r="AW661" s="7" t="str">
        <f>IFERROR(VLOOKUP($AQ661,Mapping!$E$208:$K$236,7,0),"ENDirect")</f>
        <v>ENDirect</v>
      </c>
      <c r="AX661" s="7" t="str">
        <f>IFERROR(HLOOKUP(AV661,'Calc|Weightings'!$U$5:$W$5,1,0),"Excl")</f>
        <v>Materials</v>
      </c>
      <c r="AY661" s="7" t="str">
        <f>VLOOKUP(AO661,Mapping!$E$11:$I$204,5,0)</f>
        <v>SCS</v>
      </c>
    </row>
    <row r="662" spans="1:51" x14ac:dyDescent="0.3">
      <c r="A662" s="7"/>
      <c r="B662" s="7"/>
      <c r="C662" s="7"/>
      <c r="D662" s="7"/>
      <c r="E662" s="32" t="s">
        <v>164</v>
      </c>
      <c r="F662" s="32"/>
      <c r="G662" s="32">
        <v>71030</v>
      </c>
      <c r="H662" s="32" t="s">
        <v>464</v>
      </c>
      <c r="I662" s="33">
        <v>20.369</v>
      </c>
      <c r="J662" s="170"/>
      <c r="K662" s="7" t="str">
        <f>VLOOKUP($E662,Mapping!$E$11:$I$204,3,0)</f>
        <v>Replacement</v>
      </c>
      <c r="L662" s="7" t="str">
        <f>IFERROR(VLOOKUP($G662,Mapping!$E$208:$K$236,5,0),"Contracts")</f>
        <v>Contracts</v>
      </c>
      <c r="M662" s="7" t="str">
        <f>IFERROR(VLOOKUP($G662,Mapping!$E$208:$K$236,7,0),"ENDirect")</f>
        <v>ENDirect</v>
      </c>
      <c r="N662" s="7" t="str">
        <f>IFERROR(HLOOKUP(L662,'Calc|Weightings'!$U$5:$W$5,1,0),"Excl")</f>
        <v>Contracts</v>
      </c>
      <c r="O662" s="7" t="str">
        <f>VLOOKUP(E662,Mapping!$E$11:$I$204,5,0)</f>
        <v>SCS</v>
      </c>
      <c r="Q662" s="32" t="s">
        <v>205</v>
      </c>
      <c r="R662" s="32"/>
      <c r="S662" s="32">
        <v>71030</v>
      </c>
      <c r="T662" s="32" t="s">
        <v>464</v>
      </c>
      <c r="U662" s="33">
        <v>20.727</v>
      </c>
      <c r="V662" s="7"/>
      <c r="W662" s="7" t="str">
        <f>VLOOKUP($Q662,Mapping!$E$11:$I$204,3,0)</f>
        <v>Replacement</v>
      </c>
      <c r="X662" s="7" t="str">
        <f>IFERROR(VLOOKUP($S662,Mapping!$E$208:$K$236,5,0),"Contracts")</f>
        <v>Contracts</v>
      </c>
      <c r="Y662" s="7" t="str">
        <f>IFERROR(VLOOKUP($S662,Mapping!$E$208:$K$236,7,0),"ENDirect")</f>
        <v>ENDirect</v>
      </c>
      <c r="Z662" s="7" t="str">
        <f>IFERROR(HLOOKUP(X662,'Calc|Weightings'!$U$5:$W$5,1,0),"Excl")</f>
        <v>Contracts</v>
      </c>
      <c r="AA662" s="7" t="str">
        <f>VLOOKUP(Q662,Mapping!$E$11:$I$204,5,0)</f>
        <v>SCS</v>
      </c>
      <c r="AC662" s="35" t="s">
        <v>201</v>
      </c>
      <c r="AD662" s="35"/>
      <c r="AE662" s="35">
        <v>89999</v>
      </c>
      <c r="AF662" s="35" t="s">
        <v>471</v>
      </c>
      <c r="AG662" s="36">
        <v>0</v>
      </c>
      <c r="AI662" s="7" t="str">
        <f>VLOOKUP($AC662,Mapping!$E$11:$I$204,3,0)</f>
        <v>Replacement</v>
      </c>
      <c r="AJ662" s="7" t="str">
        <f>IFERROR(VLOOKUP($AE662,Mapping!$E$208:$K$236,5,0),"Contracts")</f>
        <v>Contracts</v>
      </c>
      <c r="AK662" s="7" t="str">
        <f>IFERROR(VLOOKUP($AE662,Mapping!$E$208:$K$236,7,0),"ENDirect")</f>
        <v>ENDirect</v>
      </c>
      <c r="AL662" s="7" t="str">
        <f>IFERROR(HLOOKUP(AJ662,'Calc|Weightings'!$U$5:$W$5,1,0),"Excl")</f>
        <v>Contracts</v>
      </c>
      <c r="AM662" s="7" t="str">
        <f>VLOOKUP(AC662,Mapping!$E$11:$I$204,5,0)</f>
        <v>SCS</v>
      </c>
      <c r="AO662" s="35" t="s">
        <v>194</v>
      </c>
      <c r="AP662" s="35"/>
      <c r="AQ662" s="35">
        <v>71010</v>
      </c>
      <c r="AR662" s="35" t="s">
        <v>487</v>
      </c>
      <c r="AS662" s="121">
        <v>2.4245199999999998</v>
      </c>
      <c r="AU662" s="7" t="str">
        <f>VLOOKUP($AO662,Mapping!$E$11:$I$204,3,0)</f>
        <v>Replacement</v>
      </c>
      <c r="AV662" s="7" t="str">
        <f>IFERROR(VLOOKUP($AQ662,Mapping!$E$208:$K$236,5,0),"Contracts")</f>
        <v>Labour</v>
      </c>
      <c r="AW662" s="7" t="str">
        <f>IFERROR(VLOOKUP($AQ662,Mapping!$E$208:$K$236,7,0),"ENDirect")</f>
        <v>ENDirect</v>
      </c>
      <c r="AX662" s="7" t="str">
        <f>IFERROR(HLOOKUP(AV662,'Calc|Weightings'!$U$5:$W$5,1,0),"Excl")</f>
        <v>Labour</v>
      </c>
      <c r="AY662" s="7" t="str">
        <f>VLOOKUP(AO662,Mapping!$E$11:$I$204,5,0)</f>
        <v>SCS</v>
      </c>
    </row>
    <row r="663" spans="1:51" x14ac:dyDescent="0.3">
      <c r="A663" s="7"/>
      <c r="B663" s="7"/>
      <c r="C663" s="7"/>
      <c r="D663" s="7"/>
      <c r="E663" s="32" t="s">
        <v>164</v>
      </c>
      <c r="F663" s="32"/>
      <c r="G663" s="32">
        <v>71040</v>
      </c>
      <c r="H663" s="32" t="s">
        <v>460</v>
      </c>
      <c r="I663" s="33">
        <v>-2.7029999999999998</v>
      </c>
      <c r="J663" s="170"/>
      <c r="K663" s="7" t="str">
        <f>VLOOKUP($E663,Mapping!$E$11:$I$204,3,0)</f>
        <v>Replacement</v>
      </c>
      <c r="L663" s="7" t="str">
        <f>IFERROR(VLOOKUP($G663,Mapping!$E$208:$K$236,5,0),"Contracts")</f>
        <v>Contracts</v>
      </c>
      <c r="M663" s="7" t="str">
        <f>IFERROR(VLOOKUP($G663,Mapping!$E$208:$K$236,7,0),"ENDirect")</f>
        <v>ENDirect</v>
      </c>
      <c r="N663" s="7" t="str">
        <f>IFERROR(HLOOKUP(L663,'Calc|Weightings'!$U$5:$W$5,1,0),"Excl")</f>
        <v>Contracts</v>
      </c>
      <c r="O663" s="7" t="str">
        <f>VLOOKUP(E663,Mapping!$E$11:$I$204,5,0)</f>
        <v>SCS</v>
      </c>
      <c r="Q663" s="32" t="s">
        <v>205</v>
      </c>
      <c r="R663" s="32"/>
      <c r="S663" s="32">
        <v>71055</v>
      </c>
      <c r="T663" s="32" t="s">
        <v>465</v>
      </c>
      <c r="U663" s="33">
        <v>31.413</v>
      </c>
      <c r="V663" s="7"/>
      <c r="W663" s="7" t="str">
        <f>VLOOKUP($Q663,Mapping!$E$11:$I$204,3,0)</f>
        <v>Replacement</v>
      </c>
      <c r="X663" s="7" t="str">
        <f>IFERROR(VLOOKUP($S663,Mapping!$E$208:$K$236,5,0),"Contracts")</f>
        <v>Contracts</v>
      </c>
      <c r="Y663" s="7" t="str">
        <f>IFERROR(VLOOKUP($S663,Mapping!$E$208:$K$236,7,0),"ENDirect")</f>
        <v>ENDirect</v>
      </c>
      <c r="Z663" s="7" t="str">
        <f>IFERROR(HLOOKUP(X663,'Calc|Weightings'!$U$5:$W$5,1,0),"Excl")</f>
        <v>Contracts</v>
      </c>
      <c r="AA663" s="7" t="str">
        <f>VLOOKUP(Q663,Mapping!$E$11:$I$204,5,0)</f>
        <v>SCS</v>
      </c>
      <c r="AC663" s="35" t="s">
        <v>202</v>
      </c>
      <c r="AD663" s="35"/>
      <c r="AE663" s="35">
        <v>71000</v>
      </c>
      <c r="AF663" s="35" t="s">
        <v>457</v>
      </c>
      <c r="AG663" s="36">
        <v>1363.7619999999999</v>
      </c>
      <c r="AI663" s="7" t="str">
        <f>VLOOKUP($AC663,Mapping!$E$11:$I$204,3,0)</f>
        <v>Replacement</v>
      </c>
      <c r="AJ663" s="7" t="str">
        <f>IFERROR(VLOOKUP($AE663,Mapping!$E$208:$K$236,5,0),"Contracts")</f>
        <v>Labour</v>
      </c>
      <c r="AK663" s="7" t="str">
        <f>IFERROR(VLOOKUP($AE663,Mapping!$E$208:$K$236,7,0),"ENDirect")</f>
        <v>ENDirect</v>
      </c>
      <c r="AL663" s="7" t="str">
        <f>IFERROR(HLOOKUP(AJ663,'Calc|Weightings'!$U$5:$W$5,1,0),"Excl")</f>
        <v>Labour</v>
      </c>
      <c r="AM663" s="7" t="str">
        <f>VLOOKUP(AC663,Mapping!$E$11:$I$204,5,0)</f>
        <v>SCS</v>
      </c>
      <c r="AO663" s="35" t="s">
        <v>194</v>
      </c>
      <c r="AP663" s="35"/>
      <c r="AQ663" s="35">
        <v>71015</v>
      </c>
      <c r="AR663" s="35" t="s">
        <v>585</v>
      </c>
      <c r="AS663" s="121">
        <v>1.9595499999999999</v>
      </c>
      <c r="AU663" s="7" t="str">
        <f>VLOOKUP($AO663,Mapping!$E$11:$I$204,3,0)</f>
        <v>Replacement</v>
      </c>
      <c r="AV663" s="7" t="str">
        <f>IFERROR(VLOOKUP($AQ663,Mapping!$E$208:$K$236,5,0),"Contracts")</f>
        <v>Materials</v>
      </c>
      <c r="AW663" s="7" t="str">
        <f>IFERROR(VLOOKUP($AQ663,Mapping!$E$208:$K$236,7,0),"ENDirect")</f>
        <v>ENDirect</v>
      </c>
      <c r="AX663" s="7" t="str">
        <f>IFERROR(HLOOKUP(AV663,'Calc|Weightings'!$U$5:$W$5,1,0),"Excl")</f>
        <v>Materials</v>
      </c>
      <c r="AY663" s="7" t="str">
        <f>VLOOKUP(AO663,Mapping!$E$11:$I$204,5,0)</f>
        <v>SCS</v>
      </c>
    </row>
    <row r="664" spans="1:51" x14ac:dyDescent="0.3">
      <c r="A664" s="7"/>
      <c r="B664" s="7"/>
      <c r="C664" s="7"/>
      <c r="D664" s="7"/>
      <c r="E664" s="32" t="s">
        <v>164</v>
      </c>
      <c r="F664" s="32"/>
      <c r="G664" s="32">
        <v>71055</v>
      </c>
      <c r="H664" s="32" t="s">
        <v>465</v>
      </c>
      <c r="I664" s="33">
        <v>33.097000000000001</v>
      </c>
      <c r="J664" s="170"/>
      <c r="K664" s="7" t="str">
        <f>VLOOKUP($E664,Mapping!$E$11:$I$204,3,0)</f>
        <v>Replacement</v>
      </c>
      <c r="L664" s="7" t="str">
        <f>IFERROR(VLOOKUP($G664,Mapping!$E$208:$K$236,5,0),"Contracts")</f>
        <v>Contracts</v>
      </c>
      <c r="M664" s="7" t="str">
        <f>IFERROR(VLOOKUP($G664,Mapping!$E$208:$K$236,7,0),"ENDirect")</f>
        <v>ENDirect</v>
      </c>
      <c r="N664" s="7" t="str">
        <f>IFERROR(HLOOKUP(L664,'Calc|Weightings'!$U$5:$W$5,1,0),"Excl")</f>
        <v>Contracts</v>
      </c>
      <c r="O664" s="7" t="str">
        <f>VLOOKUP(E664,Mapping!$E$11:$I$204,5,0)</f>
        <v>SCS</v>
      </c>
      <c r="Q664" s="32" t="s">
        <v>205</v>
      </c>
      <c r="R664" s="32"/>
      <c r="S664" s="32">
        <v>80000</v>
      </c>
      <c r="T664" s="32" t="s">
        <v>453</v>
      </c>
      <c r="U664" s="33">
        <v>39.156999999999996</v>
      </c>
      <c r="V664" s="7"/>
      <c r="W664" s="7" t="str">
        <f>VLOOKUP($Q664,Mapping!$E$11:$I$204,3,0)</f>
        <v>Replacement</v>
      </c>
      <c r="X664" s="7" t="str">
        <f>IFERROR(VLOOKUP($S664,Mapping!$E$208:$K$236,5,0),"Contracts")</f>
        <v>Overhead</v>
      </c>
      <c r="Y664" s="7" t="str">
        <f>IFERROR(VLOOKUP($S664,Mapping!$E$208:$K$236,7,0),"ENDirect")</f>
        <v>OH</v>
      </c>
      <c r="Z664" s="7" t="str">
        <f>IFERROR(HLOOKUP(X664,'Calc|Weightings'!$U$5:$W$5,1,0),"Excl")</f>
        <v>Excl</v>
      </c>
      <c r="AA664" s="7" t="str">
        <f>VLOOKUP(Q664,Mapping!$E$11:$I$204,5,0)</f>
        <v>SCS</v>
      </c>
      <c r="AC664" s="35" t="s">
        <v>202</v>
      </c>
      <c r="AD664" s="35"/>
      <c r="AE664" s="35">
        <v>71005</v>
      </c>
      <c r="AF664" s="35" t="s">
        <v>461</v>
      </c>
      <c r="AG664" s="36">
        <v>375.83</v>
      </c>
      <c r="AI664" s="7" t="str">
        <f>VLOOKUP($AC664,Mapping!$E$11:$I$204,3,0)</f>
        <v>Replacement</v>
      </c>
      <c r="AJ664" s="7" t="str">
        <f>IFERROR(VLOOKUP($AE664,Mapping!$E$208:$K$236,5,0),"Contracts")</f>
        <v>Materials</v>
      </c>
      <c r="AK664" s="7" t="str">
        <f>IFERROR(VLOOKUP($AE664,Mapping!$E$208:$K$236,7,0),"ENDirect")</f>
        <v>ENDirect</v>
      </c>
      <c r="AL664" s="7" t="str">
        <f>IFERROR(HLOOKUP(AJ664,'Calc|Weightings'!$U$5:$W$5,1,0),"Excl")</f>
        <v>Materials</v>
      </c>
      <c r="AM664" s="7" t="str">
        <f>VLOOKUP(AC664,Mapping!$E$11:$I$204,5,0)</f>
        <v>SCS</v>
      </c>
      <c r="AO664" s="35" t="s">
        <v>194</v>
      </c>
      <c r="AP664" s="35"/>
      <c r="AQ664" s="35">
        <v>71030</v>
      </c>
      <c r="AR664" s="35" t="s">
        <v>464</v>
      </c>
      <c r="AS664" s="121">
        <v>1.68198</v>
      </c>
      <c r="AU664" s="7" t="str">
        <f>VLOOKUP($AO664,Mapping!$E$11:$I$204,3,0)</f>
        <v>Replacement</v>
      </c>
      <c r="AV664" s="7" t="str">
        <f>IFERROR(VLOOKUP($AQ664,Mapping!$E$208:$K$236,5,0),"Contracts")</f>
        <v>Contracts</v>
      </c>
      <c r="AW664" s="7" t="str">
        <f>IFERROR(VLOOKUP($AQ664,Mapping!$E$208:$K$236,7,0),"ENDirect")</f>
        <v>ENDirect</v>
      </c>
      <c r="AX664" s="7" t="str">
        <f>IFERROR(HLOOKUP(AV664,'Calc|Weightings'!$U$5:$W$5,1,0),"Excl")</f>
        <v>Contracts</v>
      </c>
      <c r="AY664" s="7" t="str">
        <f>VLOOKUP(AO664,Mapping!$E$11:$I$204,5,0)</f>
        <v>SCS</v>
      </c>
    </row>
    <row r="665" spans="1:51" x14ac:dyDescent="0.3">
      <c r="A665" s="7"/>
      <c r="B665" s="7"/>
      <c r="C665" s="7"/>
      <c r="D665" s="7"/>
      <c r="E665" s="32" t="s">
        <v>164</v>
      </c>
      <c r="F665" s="32"/>
      <c r="G665" s="32">
        <v>80000</v>
      </c>
      <c r="H665" s="32" t="s">
        <v>453</v>
      </c>
      <c r="I665" s="33">
        <v>36.457000000000001</v>
      </c>
      <c r="J665" s="170"/>
      <c r="K665" s="7" t="str">
        <f>VLOOKUP($E665,Mapping!$E$11:$I$204,3,0)</f>
        <v>Replacement</v>
      </c>
      <c r="L665" s="7" t="str">
        <f>IFERROR(VLOOKUP($G665,Mapping!$E$208:$K$236,5,0),"Contracts")</f>
        <v>Overhead</v>
      </c>
      <c r="M665" s="7" t="str">
        <f>IFERROR(VLOOKUP($G665,Mapping!$E$208:$K$236,7,0),"ENDirect")</f>
        <v>OH</v>
      </c>
      <c r="N665" s="7" t="str">
        <f>IFERROR(HLOOKUP(L665,'Calc|Weightings'!$U$5:$W$5,1,0),"Excl")</f>
        <v>Excl</v>
      </c>
      <c r="O665" s="7" t="str">
        <f>VLOOKUP(E665,Mapping!$E$11:$I$204,5,0)</f>
        <v>SCS</v>
      </c>
      <c r="Q665" s="32" t="s">
        <v>206</v>
      </c>
      <c r="R665" s="32"/>
      <c r="S665" s="32">
        <v>71000</v>
      </c>
      <c r="T665" s="32" t="s">
        <v>457</v>
      </c>
      <c r="U665" s="33">
        <v>1.51</v>
      </c>
      <c r="V665" s="7"/>
      <c r="W665" s="7" t="str">
        <f>VLOOKUP($Q665,Mapping!$E$11:$I$204,3,0)</f>
        <v>Replacement</v>
      </c>
      <c r="X665" s="7" t="str">
        <f>IFERROR(VLOOKUP($S665,Mapping!$E$208:$K$236,5,0),"Contracts")</f>
        <v>Labour</v>
      </c>
      <c r="Y665" s="7" t="str">
        <f>IFERROR(VLOOKUP($S665,Mapping!$E$208:$K$236,7,0),"ENDirect")</f>
        <v>ENDirect</v>
      </c>
      <c r="Z665" s="7" t="str">
        <f>IFERROR(HLOOKUP(X665,'Calc|Weightings'!$U$5:$W$5,1,0),"Excl")</f>
        <v>Labour</v>
      </c>
      <c r="AA665" s="7" t="str">
        <f>VLOOKUP(Q665,Mapping!$E$11:$I$204,5,0)</f>
        <v>SCS</v>
      </c>
      <c r="AC665" s="35" t="s">
        <v>202</v>
      </c>
      <c r="AD665" s="35"/>
      <c r="AE665" s="35">
        <v>71010</v>
      </c>
      <c r="AF665" s="35" t="s">
        <v>462</v>
      </c>
      <c r="AG665" s="36">
        <v>388.84399999999999</v>
      </c>
      <c r="AI665" s="7" t="str">
        <f>VLOOKUP($AC665,Mapping!$E$11:$I$204,3,0)</f>
        <v>Replacement</v>
      </c>
      <c r="AJ665" s="7" t="str">
        <f>IFERROR(VLOOKUP($AE665,Mapping!$E$208:$K$236,5,0),"Contracts")</f>
        <v>Labour</v>
      </c>
      <c r="AK665" s="7" t="str">
        <f>IFERROR(VLOOKUP($AE665,Mapping!$E$208:$K$236,7,0),"ENDirect")</f>
        <v>ENDirect</v>
      </c>
      <c r="AL665" s="7" t="str">
        <f>IFERROR(HLOOKUP(AJ665,'Calc|Weightings'!$U$5:$W$5,1,0),"Excl")</f>
        <v>Labour</v>
      </c>
      <c r="AM665" s="7" t="str">
        <f>VLOOKUP(AC665,Mapping!$E$11:$I$204,5,0)</f>
        <v>SCS</v>
      </c>
      <c r="AO665" s="35" t="s">
        <v>194</v>
      </c>
      <c r="AP665" s="35"/>
      <c r="AQ665" s="35">
        <v>71055</v>
      </c>
      <c r="AR665" s="35" t="s">
        <v>465</v>
      </c>
      <c r="AS665" s="121">
        <v>5.3864000000000001</v>
      </c>
      <c r="AU665" s="7" t="str">
        <f>VLOOKUP($AO665,Mapping!$E$11:$I$204,3,0)</f>
        <v>Replacement</v>
      </c>
      <c r="AV665" s="7" t="str">
        <f>IFERROR(VLOOKUP($AQ665,Mapping!$E$208:$K$236,5,0),"Contracts")</f>
        <v>Contracts</v>
      </c>
      <c r="AW665" s="7" t="str">
        <f>IFERROR(VLOOKUP($AQ665,Mapping!$E$208:$K$236,7,0),"ENDirect")</f>
        <v>ENDirect</v>
      </c>
      <c r="AX665" s="7" t="str">
        <f>IFERROR(HLOOKUP(AV665,'Calc|Weightings'!$U$5:$W$5,1,0),"Excl")</f>
        <v>Contracts</v>
      </c>
      <c r="AY665" s="7" t="str">
        <f>VLOOKUP(AO665,Mapping!$E$11:$I$204,5,0)</f>
        <v>SCS</v>
      </c>
    </row>
    <row r="666" spans="1:51" x14ac:dyDescent="0.3">
      <c r="A666" s="7"/>
      <c r="B666" s="7"/>
      <c r="C666" s="7"/>
      <c r="D666" s="7"/>
      <c r="E666" s="32" t="s">
        <v>165</v>
      </c>
      <c r="F666" s="32"/>
      <c r="G666" s="32">
        <v>71000</v>
      </c>
      <c r="H666" s="32" t="s">
        <v>457</v>
      </c>
      <c r="I666" s="33">
        <v>89.516000000000005</v>
      </c>
      <c r="J666" s="170"/>
      <c r="K666" s="7" t="str">
        <f>VLOOKUP($E666,Mapping!$E$11:$I$204,3,0)</f>
        <v>Replacement</v>
      </c>
      <c r="L666" s="7" t="str">
        <f>IFERROR(VLOOKUP($G666,Mapping!$E$208:$K$236,5,0),"Contracts")</f>
        <v>Labour</v>
      </c>
      <c r="M666" s="7" t="str">
        <f>IFERROR(VLOOKUP($G666,Mapping!$E$208:$K$236,7,0),"ENDirect")</f>
        <v>ENDirect</v>
      </c>
      <c r="N666" s="7" t="str">
        <f>IFERROR(HLOOKUP(L666,'Calc|Weightings'!$U$5:$W$5,1,0),"Excl")</f>
        <v>Labour</v>
      </c>
      <c r="O666" s="7" t="str">
        <f>VLOOKUP(E666,Mapping!$E$11:$I$204,5,0)</f>
        <v>SCS</v>
      </c>
      <c r="Q666" s="32" t="s">
        <v>206</v>
      </c>
      <c r="R666" s="32"/>
      <c r="S666" s="32">
        <v>71010</v>
      </c>
      <c r="T666" s="32" t="s">
        <v>462</v>
      </c>
      <c r="U666" s="33">
        <v>365.40199999999999</v>
      </c>
      <c r="V666" s="7"/>
      <c r="W666" s="7" t="str">
        <f>VLOOKUP($Q666,Mapping!$E$11:$I$204,3,0)</f>
        <v>Replacement</v>
      </c>
      <c r="X666" s="7" t="str">
        <f>IFERROR(VLOOKUP($S666,Mapping!$E$208:$K$236,5,0),"Contracts")</f>
        <v>Labour</v>
      </c>
      <c r="Y666" s="7" t="str">
        <f>IFERROR(VLOOKUP($S666,Mapping!$E$208:$K$236,7,0),"ENDirect")</f>
        <v>ENDirect</v>
      </c>
      <c r="Z666" s="7" t="str">
        <f>IFERROR(HLOOKUP(X666,'Calc|Weightings'!$U$5:$W$5,1,0),"Excl")</f>
        <v>Labour</v>
      </c>
      <c r="AA666" s="7" t="str">
        <f>VLOOKUP(Q666,Mapping!$E$11:$I$204,5,0)</f>
        <v>SCS</v>
      </c>
      <c r="AC666" s="35" t="s">
        <v>202</v>
      </c>
      <c r="AD666" s="35"/>
      <c r="AE666" s="35">
        <v>71015</v>
      </c>
      <c r="AF666" s="35" t="s">
        <v>463</v>
      </c>
      <c r="AG666" s="36">
        <v>341.79399999999998</v>
      </c>
      <c r="AI666" s="7" t="str">
        <f>VLOOKUP($AC666,Mapping!$E$11:$I$204,3,0)</f>
        <v>Replacement</v>
      </c>
      <c r="AJ666" s="7" t="str">
        <f>IFERROR(VLOOKUP($AE666,Mapping!$E$208:$K$236,5,0),"Contracts")</f>
        <v>Materials</v>
      </c>
      <c r="AK666" s="7" t="str">
        <f>IFERROR(VLOOKUP($AE666,Mapping!$E$208:$K$236,7,0),"ENDirect")</f>
        <v>ENDirect</v>
      </c>
      <c r="AL666" s="7" t="str">
        <f>IFERROR(HLOOKUP(AJ666,'Calc|Weightings'!$U$5:$W$5,1,0),"Excl")</f>
        <v>Materials</v>
      </c>
      <c r="AM666" s="7" t="str">
        <f>VLOOKUP(AC666,Mapping!$E$11:$I$204,5,0)</f>
        <v>SCS</v>
      </c>
      <c r="AO666" s="35" t="s">
        <v>194</v>
      </c>
      <c r="AP666" s="35"/>
      <c r="AQ666" s="35">
        <v>71075</v>
      </c>
      <c r="AR666" s="35" t="s">
        <v>587</v>
      </c>
      <c r="AS666" s="121">
        <v>76.060100000000006</v>
      </c>
      <c r="AU666" s="7" t="str">
        <f>VLOOKUP($AO666,Mapping!$E$11:$I$204,3,0)</f>
        <v>Replacement</v>
      </c>
      <c r="AV666" s="7" t="str">
        <f>IFERROR(VLOOKUP($AQ666,Mapping!$E$208:$K$236,5,0),"Contracts")</f>
        <v>Contracts</v>
      </c>
      <c r="AW666" s="7" t="str">
        <f>IFERROR(VLOOKUP($AQ666,Mapping!$E$208:$K$236,7,0),"ENDirect")</f>
        <v>ENDirect</v>
      </c>
      <c r="AX666" s="7" t="str">
        <f>IFERROR(HLOOKUP(AV666,'Calc|Weightings'!$U$5:$W$5,1,0),"Excl")</f>
        <v>Contracts</v>
      </c>
      <c r="AY666" s="7" t="str">
        <f>VLOOKUP(AO666,Mapping!$E$11:$I$204,5,0)</f>
        <v>SCS</v>
      </c>
    </row>
    <row r="667" spans="1:51" x14ac:dyDescent="0.3">
      <c r="A667" s="7"/>
      <c r="B667" s="7"/>
      <c r="C667" s="7"/>
      <c r="D667" s="7"/>
      <c r="E667" s="32" t="s">
        <v>165</v>
      </c>
      <c r="F667" s="32"/>
      <c r="G667" s="32">
        <v>71005</v>
      </c>
      <c r="H667" s="32" t="s">
        <v>461</v>
      </c>
      <c r="I667" s="33">
        <v>10.545</v>
      </c>
      <c r="J667" s="170"/>
      <c r="K667" s="7" t="str">
        <f>VLOOKUP($E667,Mapping!$E$11:$I$204,3,0)</f>
        <v>Replacement</v>
      </c>
      <c r="L667" s="7" t="str">
        <f>IFERROR(VLOOKUP($G667,Mapping!$E$208:$K$236,5,0),"Contracts")</f>
        <v>Materials</v>
      </c>
      <c r="M667" s="7" t="str">
        <f>IFERROR(VLOOKUP($G667,Mapping!$E$208:$K$236,7,0),"ENDirect")</f>
        <v>ENDirect</v>
      </c>
      <c r="N667" s="7" t="str">
        <f>IFERROR(HLOOKUP(L667,'Calc|Weightings'!$U$5:$W$5,1,0),"Excl")</f>
        <v>Materials</v>
      </c>
      <c r="O667" s="7" t="str">
        <f>VLOOKUP(E667,Mapping!$E$11:$I$204,5,0)</f>
        <v>SCS</v>
      </c>
      <c r="Q667" s="32" t="s">
        <v>206</v>
      </c>
      <c r="R667" s="32"/>
      <c r="S667" s="32">
        <v>71015</v>
      </c>
      <c r="T667" s="32" t="s">
        <v>463</v>
      </c>
      <c r="U667" s="33">
        <v>0.28899999999999998</v>
      </c>
      <c r="V667" s="7"/>
      <c r="W667" s="7" t="str">
        <f>VLOOKUP($Q667,Mapping!$E$11:$I$204,3,0)</f>
        <v>Replacement</v>
      </c>
      <c r="X667" s="7" t="str">
        <f>IFERROR(VLOOKUP($S667,Mapping!$E$208:$K$236,5,0),"Contracts")</f>
        <v>Materials</v>
      </c>
      <c r="Y667" s="7" t="str">
        <f>IFERROR(VLOOKUP($S667,Mapping!$E$208:$K$236,7,0),"ENDirect")</f>
        <v>ENDirect</v>
      </c>
      <c r="Z667" s="7" t="str">
        <f>IFERROR(HLOOKUP(X667,'Calc|Weightings'!$U$5:$W$5,1,0),"Excl")</f>
        <v>Materials</v>
      </c>
      <c r="AA667" s="7" t="str">
        <f>VLOOKUP(Q667,Mapping!$E$11:$I$204,5,0)</f>
        <v>SCS</v>
      </c>
      <c r="AC667" s="35" t="s">
        <v>202</v>
      </c>
      <c r="AD667" s="35"/>
      <c r="AE667" s="35">
        <v>71020</v>
      </c>
      <c r="AF667" s="35" t="s">
        <v>459</v>
      </c>
      <c r="AG667" s="36">
        <v>0.223</v>
      </c>
      <c r="AI667" s="7" t="str">
        <f>VLOOKUP($AC667,Mapping!$E$11:$I$204,3,0)</f>
        <v>Replacement</v>
      </c>
      <c r="AJ667" s="7" t="str">
        <f>IFERROR(VLOOKUP($AE667,Mapping!$E$208:$K$236,5,0),"Contracts")</f>
        <v>Contracts</v>
      </c>
      <c r="AK667" s="7" t="str">
        <f>IFERROR(VLOOKUP($AE667,Mapping!$E$208:$K$236,7,0),"ENDirect")</f>
        <v>ENDirect</v>
      </c>
      <c r="AL667" s="7" t="str">
        <f>IFERROR(HLOOKUP(AJ667,'Calc|Weightings'!$U$5:$W$5,1,0),"Excl")</f>
        <v>Contracts</v>
      </c>
      <c r="AM667" s="7" t="str">
        <f>VLOOKUP(AC667,Mapping!$E$11:$I$204,5,0)</f>
        <v>SCS</v>
      </c>
      <c r="AO667" s="35" t="s">
        <v>194</v>
      </c>
      <c r="AP667" s="35"/>
      <c r="AQ667" s="35">
        <v>80000</v>
      </c>
      <c r="AR667" s="35" t="s">
        <v>589</v>
      </c>
      <c r="AS667" s="121">
        <v>105.06821000000001</v>
      </c>
      <c r="AU667" s="7" t="str">
        <f>VLOOKUP($AO667,Mapping!$E$11:$I$204,3,0)</f>
        <v>Replacement</v>
      </c>
      <c r="AV667" s="7" t="str">
        <f>IFERROR(VLOOKUP($AQ667,Mapping!$E$208:$K$236,5,0),"Contracts")</f>
        <v>Overhead</v>
      </c>
      <c r="AW667" s="7" t="str">
        <f>IFERROR(VLOOKUP($AQ667,Mapping!$E$208:$K$236,7,0),"ENDirect")</f>
        <v>OH</v>
      </c>
      <c r="AX667" s="7" t="str">
        <f>IFERROR(HLOOKUP(AV667,'Calc|Weightings'!$U$5:$W$5,1,0),"Excl")</f>
        <v>Excl</v>
      </c>
      <c r="AY667" s="7" t="str">
        <f>VLOOKUP(AO667,Mapping!$E$11:$I$204,5,0)</f>
        <v>SCS</v>
      </c>
    </row>
    <row r="668" spans="1:51" x14ac:dyDescent="0.3">
      <c r="A668" s="7"/>
      <c r="B668" s="7"/>
      <c r="C668" s="7"/>
      <c r="D668" s="7"/>
      <c r="E668" s="32" t="s">
        <v>165</v>
      </c>
      <c r="F668" s="32"/>
      <c r="G668" s="32">
        <v>71006</v>
      </c>
      <c r="H668" s="32" t="s">
        <v>468</v>
      </c>
      <c r="I668" s="33">
        <v>172.911</v>
      </c>
      <c r="J668" s="170"/>
      <c r="K668" s="7" t="str">
        <f>VLOOKUP($E668,Mapping!$E$11:$I$204,3,0)</f>
        <v>Replacement</v>
      </c>
      <c r="L668" s="7" t="str">
        <f>IFERROR(VLOOKUP($G668,Mapping!$E$208:$K$236,5,0),"Contracts")</f>
        <v>Materials</v>
      </c>
      <c r="M668" s="7" t="str">
        <f>IFERROR(VLOOKUP($G668,Mapping!$E$208:$K$236,7,0),"ENDirect")</f>
        <v>ENDirect</v>
      </c>
      <c r="N668" s="7" t="str">
        <f>IFERROR(HLOOKUP(L668,'Calc|Weightings'!$U$5:$W$5,1,0),"Excl")</f>
        <v>Materials</v>
      </c>
      <c r="O668" s="7" t="str">
        <f>VLOOKUP(E668,Mapping!$E$11:$I$204,5,0)</f>
        <v>SCS</v>
      </c>
      <c r="Q668" s="32" t="s">
        <v>206</v>
      </c>
      <c r="R668" s="32"/>
      <c r="S668" s="32">
        <v>71030</v>
      </c>
      <c r="T668" s="32" t="s">
        <v>464</v>
      </c>
      <c r="U668" s="33">
        <v>29.219000000000001</v>
      </c>
      <c r="V668" s="7"/>
      <c r="W668" s="7" t="str">
        <f>VLOOKUP($Q668,Mapping!$E$11:$I$204,3,0)</f>
        <v>Replacement</v>
      </c>
      <c r="X668" s="7" t="str">
        <f>IFERROR(VLOOKUP($S668,Mapping!$E$208:$K$236,5,0),"Contracts")</f>
        <v>Contracts</v>
      </c>
      <c r="Y668" s="7" t="str">
        <f>IFERROR(VLOOKUP($S668,Mapping!$E$208:$K$236,7,0),"ENDirect")</f>
        <v>ENDirect</v>
      </c>
      <c r="Z668" s="7" t="str">
        <f>IFERROR(HLOOKUP(X668,'Calc|Weightings'!$U$5:$W$5,1,0),"Excl")</f>
        <v>Contracts</v>
      </c>
      <c r="AA668" s="7" t="str">
        <f>VLOOKUP(Q668,Mapping!$E$11:$I$204,5,0)</f>
        <v>SCS</v>
      </c>
      <c r="AC668" s="35" t="s">
        <v>202</v>
      </c>
      <c r="AD668" s="35"/>
      <c r="AE668" s="35">
        <v>71030</v>
      </c>
      <c r="AF668" s="35" t="s">
        <v>464</v>
      </c>
      <c r="AG668" s="36">
        <v>199.77099999999999</v>
      </c>
      <c r="AI668" s="7" t="str">
        <f>VLOOKUP($AC668,Mapping!$E$11:$I$204,3,0)</f>
        <v>Replacement</v>
      </c>
      <c r="AJ668" s="7" t="str">
        <f>IFERROR(VLOOKUP($AE668,Mapping!$E$208:$K$236,5,0),"Contracts")</f>
        <v>Contracts</v>
      </c>
      <c r="AK668" s="7" t="str">
        <f>IFERROR(VLOOKUP($AE668,Mapping!$E$208:$K$236,7,0),"ENDirect")</f>
        <v>ENDirect</v>
      </c>
      <c r="AL668" s="7" t="str">
        <f>IFERROR(HLOOKUP(AJ668,'Calc|Weightings'!$U$5:$W$5,1,0),"Excl")</f>
        <v>Contracts</v>
      </c>
      <c r="AM668" s="7" t="str">
        <f>VLOOKUP(AC668,Mapping!$E$11:$I$204,5,0)</f>
        <v>SCS</v>
      </c>
      <c r="AO668" s="35" t="s">
        <v>194</v>
      </c>
      <c r="AP668" s="35"/>
      <c r="AQ668" s="35">
        <v>83010</v>
      </c>
      <c r="AR668" s="35" t="s">
        <v>591</v>
      </c>
      <c r="AS668" s="121">
        <v>573.29727000000003</v>
      </c>
      <c r="AU668" s="7" t="str">
        <f>VLOOKUP($AO668,Mapping!$E$11:$I$204,3,0)</f>
        <v>Replacement</v>
      </c>
      <c r="AV668" s="7" t="str">
        <f>IFERROR(VLOOKUP($AQ668,Mapping!$E$208:$K$236,5,0),"Contracts")</f>
        <v>Contracts</v>
      </c>
      <c r="AW668" s="7" t="str">
        <f>IFERROR(VLOOKUP($AQ668,Mapping!$E$208:$K$236,7,0),"ENDirect")</f>
        <v>ENDirect</v>
      </c>
      <c r="AX668" s="7" t="str">
        <f>IFERROR(HLOOKUP(AV668,'Calc|Weightings'!$U$5:$W$5,1,0),"Excl")</f>
        <v>Contracts</v>
      </c>
      <c r="AY668" s="7" t="str">
        <f>VLOOKUP(AO668,Mapping!$E$11:$I$204,5,0)</f>
        <v>SCS</v>
      </c>
    </row>
    <row r="669" spans="1:51" x14ac:dyDescent="0.3">
      <c r="A669" s="7"/>
      <c r="B669" s="7"/>
      <c r="C669" s="7"/>
      <c r="D669" s="7"/>
      <c r="E669" s="32" t="s">
        <v>165</v>
      </c>
      <c r="F669" s="32"/>
      <c r="G669" s="32">
        <v>71010</v>
      </c>
      <c r="H669" s="32" t="s">
        <v>462</v>
      </c>
      <c r="I669" s="33">
        <v>52.472000000000001</v>
      </c>
      <c r="J669" s="170"/>
      <c r="K669" s="7" t="str">
        <f>VLOOKUP($E669,Mapping!$E$11:$I$204,3,0)</f>
        <v>Replacement</v>
      </c>
      <c r="L669" s="7" t="str">
        <f>IFERROR(VLOOKUP($G669,Mapping!$E$208:$K$236,5,0),"Contracts")</f>
        <v>Labour</v>
      </c>
      <c r="M669" s="7" t="str">
        <f>IFERROR(VLOOKUP($G669,Mapping!$E$208:$K$236,7,0),"ENDirect")</f>
        <v>ENDirect</v>
      </c>
      <c r="N669" s="7" t="str">
        <f>IFERROR(HLOOKUP(L669,'Calc|Weightings'!$U$5:$W$5,1,0),"Excl")</f>
        <v>Labour</v>
      </c>
      <c r="O669" s="7" t="str">
        <f>VLOOKUP(E669,Mapping!$E$11:$I$204,5,0)</f>
        <v>SCS</v>
      </c>
      <c r="Q669" s="32" t="s">
        <v>206</v>
      </c>
      <c r="R669" s="32"/>
      <c r="S669" s="32">
        <v>71055</v>
      </c>
      <c r="T669" s="32" t="s">
        <v>465</v>
      </c>
      <c r="U669" s="33">
        <v>50.201999999999998</v>
      </c>
      <c r="V669" s="7"/>
      <c r="W669" s="7" t="str">
        <f>VLOOKUP($Q669,Mapping!$E$11:$I$204,3,0)</f>
        <v>Replacement</v>
      </c>
      <c r="X669" s="7" t="str">
        <f>IFERROR(VLOOKUP($S669,Mapping!$E$208:$K$236,5,0),"Contracts")</f>
        <v>Contracts</v>
      </c>
      <c r="Y669" s="7" t="str">
        <f>IFERROR(VLOOKUP($S669,Mapping!$E$208:$K$236,7,0),"ENDirect")</f>
        <v>ENDirect</v>
      </c>
      <c r="Z669" s="7" t="str">
        <f>IFERROR(HLOOKUP(X669,'Calc|Weightings'!$U$5:$W$5,1,0),"Excl")</f>
        <v>Contracts</v>
      </c>
      <c r="AA669" s="7" t="str">
        <f>VLOOKUP(Q669,Mapping!$E$11:$I$204,5,0)</f>
        <v>SCS</v>
      </c>
      <c r="AC669" s="35" t="s">
        <v>202</v>
      </c>
      <c r="AD669" s="35"/>
      <c r="AE669" s="35">
        <v>71055</v>
      </c>
      <c r="AF669" s="35" t="s">
        <v>465</v>
      </c>
      <c r="AG669" s="36">
        <v>420.392</v>
      </c>
      <c r="AI669" s="7" t="str">
        <f>VLOOKUP($AC669,Mapping!$E$11:$I$204,3,0)</f>
        <v>Replacement</v>
      </c>
      <c r="AJ669" s="7" t="str">
        <f>IFERROR(VLOOKUP($AE669,Mapping!$E$208:$K$236,5,0),"Contracts")</f>
        <v>Contracts</v>
      </c>
      <c r="AK669" s="7" t="str">
        <f>IFERROR(VLOOKUP($AE669,Mapping!$E$208:$K$236,7,0),"ENDirect")</f>
        <v>ENDirect</v>
      </c>
      <c r="AL669" s="7" t="str">
        <f>IFERROR(HLOOKUP(AJ669,'Calc|Weightings'!$U$5:$W$5,1,0),"Excl")</f>
        <v>Contracts</v>
      </c>
      <c r="AM669" s="7" t="str">
        <f>VLOOKUP(AC669,Mapping!$E$11:$I$204,5,0)</f>
        <v>SCS</v>
      </c>
      <c r="AO669" s="35" t="s">
        <v>195</v>
      </c>
      <c r="AP669" s="35"/>
      <c r="AQ669" s="35">
        <v>71000</v>
      </c>
      <c r="AR669" s="35" t="s">
        <v>457</v>
      </c>
      <c r="AS669" s="121">
        <v>1.1830099999999999</v>
      </c>
      <c r="AU669" s="171" t="s">
        <v>8</v>
      </c>
      <c r="AV669" s="7" t="str">
        <f>IFERROR(VLOOKUP($AQ669,Mapping!$E$208:$K$236,5,0),"Contracts")</f>
        <v>Labour</v>
      </c>
      <c r="AW669" s="7" t="str">
        <f>IFERROR(VLOOKUP($AQ669,Mapping!$E$208:$K$236,7,0),"ENDirect")</f>
        <v>ENDirect</v>
      </c>
      <c r="AX669" s="7" t="str">
        <f>IFERROR(HLOOKUP(AV669,'Calc|Weightings'!$U$5:$W$5,1,0),"Excl")</f>
        <v>Labour</v>
      </c>
      <c r="AY669" s="7" t="str">
        <f>VLOOKUP(AO669,Mapping!$E$11:$I$204,5,0)</f>
        <v>SCS</v>
      </c>
    </row>
    <row r="670" spans="1:51" x14ac:dyDescent="0.3">
      <c r="A670" s="7"/>
      <c r="B670" s="7"/>
      <c r="C670" s="7"/>
      <c r="D670" s="7"/>
      <c r="E670" s="32" t="s">
        <v>165</v>
      </c>
      <c r="F670" s="32"/>
      <c r="G670" s="32">
        <v>71015</v>
      </c>
      <c r="H670" s="32" t="s">
        <v>463</v>
      </c>
      <c r="I670" s="33">
        <v>32.209000000000003</v>
      </c>
      <c r="J670" s="170"/>
      <c r="K670" s="7" t="str">
        <f>VLOOKUP($E670,Mapping!$E$11:$I$204,3,0)</f>
        <v>Replacement</v>
      </c>
      <c r="L670" s="7" t="str">
        <f>IFERROR(VLOOKUP($G670,Mapping!$E$208:$K$236,5,0),"Contracts")</f>
        <v>Materials</v>
      </c>
      <c r="M670" s="7" t="str">
        <f>IFERROR(VLOOKUP($G670,Mapping!$E$208:$K$236,7,0),"ENDirect")</f>
        <v>ENDirect</v>
      </c>
      <c r="N670" s="7" t="str">
        <f>IFERROR(HLOOKUP(L670,'Calc|Weightings'!$U$5:$W$5,1,0),"Excl")</f>
        <v>Materials</v>
      </c>
      <c r="O670" s="7" t="str">
        <f>VLOOKUP(E670,Mapping!$E$11:$I$204,5,0)</f>
        <v>SCS</v>
      </c>
      <c r="Q670" s="32" t="s">
        <v>206</v>
      </c>
      <c r="R670" s="32"/>
      <c r="S670" s="32">
        <v>80000</v>
      </c>
      <c r="T670" s="32" t="s">
        <v>453</v>
      </c>
      <c r="U670" s="33">
        <v>54.801000000000002</v>
      </c>
      <c r="V670" s="7"/>
      <c r="W670" s="7" t="str">
        <f>VLOOKUP($Q670,Mapping!$E$11:$I$204,3,0)</f>
        <v>Replacement</v>
      </c>
      <c r="X670" s="7" t="str">
        <f>IFERROR(VLOOKUP($S670,Mapping!$E$208:$K$236,5,0),"Contracts")</f>
        <v>Overhead</v>
      </c>
      <c r="Y670" s="7" t="str">
        <f>IFERROR(VLOOKUP($S670,Mapping!$E$208:$K$236,7,0),"ENDirect")</f>
        <v>OH</v>
      </c>
      <c r="Z670" s="7" t="str">
        <f>IFERROR(HLOOKUP(X670,'Calc|Weightings'!$U$5:$W$5,1,0),"Excl")</f>
        <v>Excl</v>
      </c>
      <c r="AA670" s="7" t="str">
        <f>VLOOKUP(Q670,Mapping!$E$11:$I$204,5,0)</f>
        <v>SCS</v>
      </c>
      <c r="AC670" s="35" t="s">
        <v>202</v>
      </c>
      <c r="AD670" s="35"/>
      <c r="AE670" s="35">
        <v>80000</v>
      </c>
      <c r="AF670" s="35" t="s">
        <v>453</v>
      </c>
      <c r="AG670" s="36">
        <v>356.738</v>
      </c>
      <c r="AI670" s="7" t="str">
        <f>VLOOKUP($AC670,Mapping!$E$11:$I$204,3,0)</f>
        <v>Replacement</v>
      </c>
      <c r="AJ670" s="7" t="str">
        <f>IFERROR(VLOOKUP($AE670,Mapping!$E$208:$K$236,5,0),"Contracts")</f>
        <v>Overhead</v>
      </c>
      <c r="AK670" s="7" t="str">
        <f>IFERROR(VLOOKUP($AE670,Mapping!$E$208:$K$236,7,0),"ENDirect")</f>
        <v>OH</v>
      </c>
      <c r="AL670" s="7" t="str">
        <f>IFERROR(HLOOKUP(AJ670,'Calc|Weightings'!$U$5:$W$5,1,0),"Excl")</f>
        <v>Excl</v>
      </c>
      <c r="AM670" s="7" t="str">
        <f>VLOOKUP(AC670,Mapping!$E$11:$I$204,5,0)</f>
        <v>SCS</v>
      </c>
      <c r="AO670" s="35" t="s">
        <v>195</v>
      </c>
      <c r="AP670" s="35"/>
      <c r="AQ670" s="35">
        <v>71005</v>
      </c>
      <c r="AR670" s="35" t="s">
        <v>461</v>
      </c>
      <c r="AS670" s="121">
        <v>1.495E-2</v>
      </c>
      <c r="AU670" s="171" t="s">
        <v>8</v>
      </c>
      <c r="AV670" s="7" t="str">
        <f>IFERROR(VLOOKUP($AQ670,Mapping!$E$208:$K$236,5,0),"Contracts")</f>
        <v>Materials</v>
      </c>
      <c r="AW670" s="7" t="str">
        <f>IFERROR(VLOOKUP($AQ670,Mapping!$E$208:$K$236,7,0),"ENDirect")</f>
        <v>ENDirect</v>
      </c>
      <c r="AX670" s="7" t="str">
        <f>IFERROR(HLOOKUP(AV670,'Calc|Weightings'!$U$5:$W$5,1,0),"Excl")</f>
        <v>Materials</v>
      </c>
      <c r="AY670" s="7" t="str">
        <f>VLOOKUP(AO670,Mapping!$E$11:$I$204,5,0)</f>
        <v>SCS</v>
      </c>
    </row>
    <row r="671" spans="1:51" x14ac:dyDescent="0.3">
      <c r="A671" s="7"/>
      <c r="B671" s="7"/>
      <c r="C671" s="7"/>
      <c r="D671" s="7"/>
      <c r="E671" s="32" t="s">
        <v>165</v>
      </c>
      <c r="F671" s="32"/>
      <c r="G671" s="32">
        <v>71030</v>
      </c>
      <c r="H671" s="32" t="s">
        <v>464</v>
      </c>
      <c r="I671" s="33">
        <v>15.441000000000001</v>
      </c>
      <c r="J671" s="170"/>
      <c r="K671" s="7" t="str">
        <f>VLOOKUP($E671,Mapping!$E$11:$I$204,3,0)</f>
        <v>Replacement</v>
      </c>
      <c r="L671" s="7" t="str">
        <f>IFERROR(VLOOKUP($G671,Mapping!$E$208:$K$236,5,0),"Contracts")</f>
        <v>Contracts</v>
      </c>
      <c r="M671" s="7" t="str">
        <f>IFERROR(VLOOKUP($G671,Mapping!$E$208:$K$236,7,0),"ENDirect")</f>
        <v>ENDirect</v>
      </c>
      <c r="N671" s="7" t="str">
        <f>IFERROR(HLOOKUP(L671,'Calc|Weightings'!$U$5:$W$5,1,0),"Excl")</f>
        <v>Contracts</v>
      </c>
      <c r="O671" s="7" t="str">
        <f>VLOOKUP(E671,Mapping!$E$11:$I$204,5,0)</f>
        <v>SCS</v>
      </c>
      <c r="Q671" s="32" t="s">
        <v>209</v>
      </c>
      <c r="R671" s="32"/>
      <c r="S671" s="32">
        <v>71010</v>
      </c>
      <c r="T671" s="32" t="s">
        <v>462</v>
      </c>
      <c r="U671" s="33">
        <v>25.033999999999999</v>
      </c>
      <c r="V671" s="7"/>
      <c r="W671" s="7" t="str">
        <f>VLOOKUP($Q671,Mapping!$E$11:$I$204,3,0)</f>
        <v>Replacement</v>
      </c>
      <c r="X671" s="7" t="str">
        <f>IFERROR(VLOOKUP($S671,Mapping!$E$208:$K$236,5,0),"Contracts")</f>
        <v>Labour</v>
      </c>
      <c r="Y671" s="7" t="str">
        <f>IFERROR(VLOOKUP($S671,Mapping!$E$208:$K$236,7,0),"ENDirect")</f>
        <v>ENDirect</v>
      </c>
      <c r="Z671" s="7" t="str">
        <f>IFERROR(HLOOKUP(X671,'Calc|Weightings'!$U$5:$W$5,1,0),"Excl")</f>
        <v>Labour</v>
      </c>
      <c r="AA671" s="7" t="str">
        <f>VLOOKUP(Q671,Mapping!$E$11:$I$204,5,0)</f>
        <v>SCS</v>
      </c>
      <c r="AC671" s="35" t="s">
        <v>202</v>
      </c>
      <c r="AD671" s="35"/>
      <c r="AE671" s="35">
        <v>89999</v>
      </c>
      <c r="AF671" s="35" t="s">
        <v>471</v>
      </c>
      <c r="AG671" s="36">
        <v>0</v>
      </c>
      <c r="AI671" s="7" t="str">
        <f>VLOOKUP($AC671,Mapping!$E$11:$I$204,3,0)</f>
        <v>Replacement</v>
      </c>
      <c r="AJ671" s="7" t="str">
        <f>IFERROR(VLOOKUP($AE671,Mapping!$E$208:$K$236,5,0),"Contracts")</f>
        <v>Contracts</v>
      </c>
      <c r="AK671" s="7" t="str">
        <f>IFERROR(VLOOKUP($AE671,Mapping!$E$208:$K$236,7,0),"ENDirect")</f>
        <v>ENDirect</v>
      </c>
      <c r="AL671" s="7" t="str">
        <f>IFERROR(HLOOKUP(AJ671,'Calc|Weightings'!$U$5:$W$5,1,0),"Excl")</f>
        <v>Contracts</v>
      </c>
      <c r="AM671" s="7" t="str">
        <f>VLOOKUP(AC671,Mapping!$E$11:$I$204,5,0)</f>
        <v>SCS</v>
      </c>
      <c r="AO671" s="35" t="s">
        <v>195</v>
      </c>
      <c r="AP671" s="35"/>
      <c r="AQ671" s="35">
        <v>71010</v>
      </c>
      <c r="AR671" s="35" t="s">
        <v>487</v>
      </c>
      <c r="AS671" s="121">
        <v>0.13538999999999998</v>
      </c>
      <c r="AU671" s="171" t="s">
        <v>8</v>
      </c>
      <c r="AV671" s="7" t="str">
        <f>IFERROR(VLOOKUP($AQ671,Mapping!$E$208:$K$236,5,0),"Contracts")</f>
        <v>Labour</v>
      </c>
      <c r="AW671" s="7" t="str">
        <f>IFERROR(VLOOKUP($AQ671,Mapping!$E$208:$K$236,7,0),"ENDirect")</f>
        <v>ENDirect</v>
      </c>
      <c r="AX671" s="7" t="str">
        <f>IFERROR(HLOOKUP(AV671,'Calc|Weightings'!$U$5:$W$5,1,0),"Excl")</f>
        <v>Labour</v>
      </c>
      <c r="AY671" s="7" t="str">
        <f>VLOOKUP(AO671,Mapping!$E$11:$I$204,5,0)</f>
        <v>SCS</v>
      </c>
    </row>
    <row r="672" spans="1:51" x14ac:dyDescent="0.3">
      <c r="A672" s="7"/>
      <c r="B672" s="7"/>
      <c r="C672" s="7"/>
      <c r="D672" s="7"/>
      <c r="E672" s="32" t="s">
        <v>165</v>
      </c>
      <c r="F672" s="32"/>
      <c r="G672" s="32">
        <v>71055</v>
      </c>
      <c r="H672" s="32" t="s">
        <v>465</v>
      </c>
      <c r="I672" s="33">
        <v>30.713000000000001</v>
      </c>
      <c r="J672" s="170"/>
      <c r="K672" s="7" t="str">
        <f>VLOOKUP($E672,Mapping!$E$11:$I$204,3,0)</f>
        <v>Replacement</v>
      </c>
      <c r="L672" s="7" t="str">
        <f>IFERROR(VLOOKUP($G672,Mapping!$E$208:$K$236,5,0),"Contracts")</f>
        <v>Contracts</v>
      </c>
      <c r="M672" s="7" t="str">
        <f>IFERROR(VLOOKUP($G672,Mapping!$E$208:$K$236,7,0),"ENDirect")</f>
        <v>ENDirect</v>
      </c>
      <c r="N672" s="7" t="str">
        <f>IFERROR(HLOOKUP(L672,'Calc|Weightings'!$U$5:$W$5,1,0),"Excl")</f>
        <v>Contracts</v>
      </c>
      <c r="O672" s="7" t="str">
        <f>VLOOKUP(E672,Mapping!$E$11:$I$204,5,0)</f>
        <v>SCS</v>
      </c>
      <c r="Q672" s="32" t="s">
        <v>209</v>
      </c>
      <c r="R672" s="32"/>
      <c r="S672" s="32">
        <v>71030</v>
      </c>
      <c r="T672" s="32" t="s">
        <v>464</v>
      </c>
      <c r="U672" s="33">
        <v>1.978</v>
      </c>
      <c r="V672" s="7"/>
      <c r="W672" s="7" t="str">
        <f>VLOOKUP($Q672,Mapping!$E$11:$I$204,3,0)</f>
        <v>Replacement</v>
      </c>
      <c r="X672" s="7" t="str">
        <f>IFERROR(VLOOKUP($S672,Mapping!$E$208:$K$236,5,0),"Contracts")</f>
        <v>Contracts</v>
      </c>
      <c r="Y672" s="7" t="str">
        <f>IFERROR(VLOOKUP($S672,Mapping!$E$208:$K$236,7,0),"ENDirect")</f>
        <v>ENDirect</v>
      </c>
      <c r="Z672" s="7" t="str">
        <f>IFERROR(HLOOKUP(X672,'Calc|Weightings'!$U$5:$W$5,1,0),"Excl")</f>
        <v>Contracts</v>
      </c>
      <c r="AA672" s="7" t="str">
        <f>VLOOKUP(Q672,Mapping!$E$11:$I$204,5,0)</f>
        <v>SCS</v>
      </c>
      <c r="AC672" s="35" t="s">
        <v>203</v>
      </c>
      <c r="AD672" s="35"/>
      <c r="AE672" s="35">
        <v>71000</v>
      </c>
      <c r="AF672" s="35" t="s">
        <v>457</v>
      </c>
      <c r="AG672" s="36">
        <v>335.423</v>
      </c>
      <c r="AI672" s="7" t="str">
        <f>VLOOKUP($AC672,Mapping!$E$11:$I$204,3,0)</f>
        <v>Replacement</v>
      </c>
      <c r="AJ672" s="7" t="str">
        <f>IFERROR(VLOOKUP($AE672,Mapping!$E$208:$K$236,5,0),"Contracts")</f>
        <v>Labour</v>
      </c>
      <c r="AK672" s="7" t="str">
        <f>IFERROR(VLOOKUP($AE672,Mapping!$E$208:$K$236,7,0),"ENDirect")</f>
        <v>ENDirect</v>
      </c>
      <c r="AL672" s="7" t="str">
        <f>IFERROR(HLOOKUP(AJ672,'Calc|Weightings'!$U$5:$W$5,1,0),"Excl")</f>
        <v>Labour</v>
      </c>
      <c r="AM672" s="7" t="str">
        <f>VLOOKUP(AC672,Mapping!$E$11:$I$204,5,0)</f>
        <v>SCS</v>
      </c>
      <c r="AO672" s="35" t="s">
        <v>195</v>
      </c>
      <c r="AP672" s="35"/>
      <c r="AQ672" s="35">
        <v>71015</v>
      </c>
      <c r="AR672" s="35" t="s">
        <v>585</v>
      </c>
      <c r="AS672" s="121">
        <v>6.608E-2</v>
      </c>
      <c r="AU672" s="171" t="s">
        <v>8</v>
      </c>
      <c r="AV672" s="7" t="str">
        <f>IFERROR(VLOOKUP($AQ672,Mapping!$E$208:$K$236,5,0),"Contracts")</f>
        <v>Materials</v>
      </c>
      <c r="AW672" s="7" t="str">
        <f>IFERROR(VLOOKUP($AQ672,Mapping!$E$208:$K$236,7,0),"ENDirect")</f>
        <v>ENDirect</v>
      </c>
      <c r="AX672" s="7" t="str">
        <f>IFERROR(HLOOKUP(AV672,'Calc|Weightings'!$U$5:$W$5,1,0),"Excl")</f>
        <v>Materials</v>
      </c>
      <c r="AY672" s="7" t="str">
        <f>VLOOKUP(AO672,Mapping!$E$11:$I$204,5,0)</f>
        <v>SCS</v>
      </c>
    </row>
    <row r="673" spans="1:51" x14ac:dyDescent="0.3">
      <c r="A673" s="7"/>
      <c r="B673" s="7"/>
      <c r="C673" s="7"/>
      <c r="D673" s="7"/>
      <c r="E673" s="32" t="s">
        <v>165</v>
      </c>
      <c r="F673" s="32"/>
      <c r="G673" s="32">
        <v>80000</v>
      </c>
      <c r="H673" s="32" t="s">
        <v>453</v>
      </c>
      <c r="I673" s="33">
        <v>36.993000000000002</v>
      </c>
      <c r="J673" s="170"/>
      <c r="K673" s="7" t="str">
        <f>VLOOKUP($E673,Mapping!$E$11:$I$204,3,0)</f>
        <v>Replacement</v>
      </c>
      <c r="L673" s="7" t="str">
        <f>IFERROR(VLOOKUP($G673,Mapping!$E$208:$K$236,5,0),"Contracts")</f>
        <v>Overhead</v>
      </c>
      <c r="M673" s="7" t="str">
        <f>IFERROR(VLOOKUP($G673,Mapping!$E$208:$K$236,7,0),"ENDirect")</f>
        <v>OH</v>
      </c>
      <c r="N673" s="7" t="str">
        <f>IFERROR(HLOOKUP(L673,'Calc|Weightings'!$U$5:$W$5,1,0),"Excl")</f>
        <v>Excl</v>
      </c>
      <c r="O673" s="7" t="str">
        <f>VLOOKUP(E673,Mapping!$E$11:$I$204,5,0)</f>
        <v>SCS</v>
      </c>
      <c r="Q673" s="32" t="s">
        <v>209</v>
      </c>
      <c r="R673" s="32"/>
      <c r="S673" s="32">
        <v>71055</v>
      </c>
      <c r="T673" s="32" t="s">
        <v>465</v>
      </c>
      <c r="U673" s="33">
        <v>3.2280000000000002</v>
      </c>
      <c r="V673" s="7"/>
      <c r="W673" s="7" t="str">
        <f>VLOOKUP($Q673,Mapping!$E$11:$I$204,3,0)</f>
        <v>Replacement</v>
      </c>
      <c r="X673" s="7" t="str">
        <f>IFERROR(VLOOKUP($S673,Mapping!$E$208:$K$236,5,0),"Contracts")</f>
        <v>Contracts</v>
      </c>
      <c r="Y673" s="7" t="str">
        <f>IFERROR(VLOOKUP($S673,Mapping!$E$208:$K$236,7,0),"ENDirect")</f>
        <v>ENDirect</v>
      </c>
      <c r="Z673" s="7" t="str">
        <f>IFERROR(HLOOKUP(X673,'Calc|Weightings'!$U$5:$W$5,1,0),"Excl")</f>
        <v>Contracts</v>
      </c>
      <c r="AA673" s="7" t="str">
        <f>VLOOKUP(Q673,Mapping!$E$11:$I$204,5,0)</f>
        <v>SCS</v>
      </c>
      <c r="AC673" s="35" t="s">
        <v>203</v>
      </c>
      <c r="AD673" s="35"/>
      <c r="AE673" s="35">
        <v>71005</v>
      </c>
      <c r="AF673" s="35" t="s">
        <v>461</v>
      </c>
      <c r="AG673" s="36">
        <v>118.52800000000001</v>
      </c>
      <c r="AI673" s="7" t="str">
        <f>VLOOKUP($AC673,Mapping!$E$11:$I$204,3,0)</f>
        <v>Replacement</v>
      </c>
      <c r="AJ673" s="7" t="str">
        <f>IFERROR(VLOOKUP($AE673,Mapping!$E$208:$K$236,5,0),"Contracts")</f>
        <v>Materials</v>
      </c>
      <c r="AK673" s="7" t="str">
        <f>IFERROR(VLOOKUP($AE673,Mapping!$E$208:$K$236,7,0),"ENDirect")</f>
        <v>ENDirect</v>
      </c>
      <c r="AL673" s="7" t="str">
        <f>IFERROR(HLOOKUP(AJ673,'Calc|Weightings'!$U$5:$W$5,1,0),"Excl")</f>
        <v>Materials</v>
      </c>
      <c r="AM673" s="7" t="str">
        <f>VLOOKUP(AC673,Mapping!$E$11:$I$204,5,0)</f>
        <v>SCS</v>
      </c>
      <c r="AO673" s="35" t="s">
        <v>195</v>
      </c>
      <c r="AP673" s="35"/>
      <c r="AQ673" s="35">
        <v>71030</v>
      </c>
      <c r="AR673" s="35" t="s">
        <v>464</v>
      </c>
      <c r="AS673" s="121">
        <v>0.11677999999999999</v>
      </c>
      <c r="AU673" s="171" t="s">
        <v>8</v>
      </c>
      <c r="AV673" s="7" t="str">
        <f>IFERROR(VLOOKUP($AQ673,Mapping!$E$208:$K$236,5,0),"Contracts")</f>
        <v>Contracts</v>
      </c>
      <c r="AW673" s="7" t="str">
        <f>IFERROR(VLOOKUP($AQ673,Mapping!$E$208:$K$236,7,0),"ENDirect")</f>
        <v>ENDirect</v>
      </c>
      <c r="AX673" s="7" t="str">
        <f>IFERROR(HLOOKUP(AV673,'Calc|Weightings'!$U$5:$W$5,1,0),"Excl")</f>
        <v>Contracts</v>
      </c>
      <c r="AY673" s="7" t="str">
        <f>VLOOKUP(AO673,Mapping!$E$11:$I$204,5,0)</f>
        <v>SCS</v>
      </c>
    </row>
    <row r="674" spans="1:51" x14ac:dyDescent="0.3">
      <c r="A674" s="7"/>
      <c r="B674" s="7"/>
      <c r="C674" s="7"/>
      <c r="D674" s="7"/>
      <c r="E674" s="32" t="s">
        <v>166</v>
      </c>
      <c r="F674" s="32"/>
      <c r="G674" s="32">
        <v>71000</v>
      </c>
      <c r="H674" s="32" t="s">
        <v>457</v>
      </c>
      <c r="I674" s="33">
        <v>294.31099999999998</v>
      </c>
      <c r="J674" s="170"/>
      <c r="K674" s="7" t="str">
        <f>VLOOKUP($E674,Mapping!$E$11:$I$204,3,0)</f>
        <v>Replacement</v>
      </c>
      <c r="L674" s="7" t="str">
        <f>IFERROR(VLOOKUP($G674,Mapping!$E$208:$K$236,5,0),"Contracts")</f>
        <v>Labour</v>
      </c>
      <c r="M674" s="7" t="str">
        <f>IFERROR(VLOOKUP($G674,Mapping!$E$208:$K$236,7,0),"ENDirect")</f>
        <v>ENDirect</v>
      </c>
      <c r="N674" s="7" t="str">
        <f>IFERROR(HLOOKUP(L674,'Calc|Weightings'!$U$5:$W$5,1,0),"Excl")</f>
        <v>Labour</v>
      </c>
      <c r="O674" s="7" t="str">
        <f>VLOOKUP(E674,Mapping!$E$11:$I$204,5,0)</f>
        <v>SCS</v>
      </c>
      <c r="Q674" s="32" t="s">
        <v>209</v>
      </c>
      <c r="R674" s="32"/>
      <c r="S674" s="32">
        <v>80000</v>
      </c>
      <c r="T674" s="32" t="s">
        <v>453</v>
      </c>
      <c r="U674" s="33">
        <v>4.3929999999999998</v>
      </c>
      <c r="V674" s="7"/>
      <c r="W674" s="7" t="str">
        <f>VLOOKUP($Q674,Mapping!$E$11:$I$204,3,0)</f>
        <v>Replacement</v>
      </c>
      <c r="X674" s="7" t="str">
        <f>IFERROR(VLOOKUP($S674,Mapping!$E$208:$K$236,5,0),"Contracts")</f>
        <v>Overhead</v>
      </c>
      <c r="Y674" s="7" t="str">
        <f>IFERROR(VLOOKUP($S674,Mapping!$E$208:$K$236,7,0),"ENDirect")</f>
        <v>OH</v>
      </c>
      <c r="Z674" s="7" t="str">
        <f>IFERROR(HLOOKUP(X674,'Calc|Weightings'!$U$5:$W$5,1,0),"Excl")</f>
        <v>Excl</v>
      </c>
      <c r="AA674" s="7" t="str">
        <f>VLOOKUP(Q674,Mapping!$E$11:$I$204,5,0)</f>
        <v>SCS</v>
      </c>
      <c r="AC674" s="35" t="s">
        <v>203</v>
      </c>
      <c r="AD674" s="35"/>
      <c r="AE674" s="35">
        <v>71010</v>
      </c>
      <c r="AF674" s="35" t="s">
        <v>462</v>
      </c>
      <c r="AG674" s="36">
        <v>121.26</v>
      </c>
      <c r="AI674" s="7" t="str">
        <f>VLOOKUP($AC674,Mapping!$E$11:$I$204,3,0)</f>
        <v>Replacement</v>
      </c>
      <c r="AJ674" s="7" t="str">
        <f>IFERROR(VLOOKUP($AE674,Mapping!$E$208:$K$236,5,0),"Contracts")</f>
        <v>Labour</v>
      </c>
      <c r="AK674" s="7" t="str">
        <f>IFERROR(VLOOKUP($AE674,Mapping!$E$208:$K$236,7,0),"ENDirect")</f>
        <v>ENDirect</v>
      </c>
      <c r="AL674" s="7" t="str">
        <f>IFERROR(HLOOKUP(AJ674,'Calc|Weightings'!$U$5:$W$5,1,0),"Excl")</f>
        <v>Labour</v>
      </c>
      <c r="AM674" s="7" t="str">
        <f>VLOOKUP(AC674,Mapping!$E$11:$I$204,5,0)</f>
        <v>SCS</v>
      </c>
      <c r="AO674" s="35" t="s">
        <v>195</v>
      </c>
      <c r="AP674" s="35"/>
      <c r="AQ674" s="35">
        <v>71055</v>
      </c>
      <c r="AR674" s="35" t="s">
        <v>465</v>
      </c>
      <c r="AS674" s="121">
        <v>0.26897000000000004</v>
      </c>
      <c r="AU674" s="171" t="s">
        <v>8</v>
      </c>
      <c r="AV674" s="7" t="str">
        <f>IFERROR(VLOOKUP($AQ674,Mapping!$E$208:$K$236,5,0),"Contracts")</f>
        <v>Contracts</v>
      </c>
      <c r="AW674" s="7" t="str">
        <f>IFERROR(VLOOKUP($AQ674,Mapping!$E$208:$K$236,7,0),"ENDirect")</f>
        <v>ENDirect</v>
      </c>
      <c r="AX674" s="7" t="str">
        <f>IFERROR(HLOOKUP(AV674,'Calc|Weightings'!$U$5:$W$5,1,0),"Excl")</f>
        <v>Contracts</v>
      </c>
      <c r="AY674" s="7" t="str">
        <f>VLOOKUP(AO674,Mapping!$E$11:$I$204,5,0)</f>
        <v>SCS</v>
      </c>
    </row>
    <row r="675" spans="1:51" x14ac:dyDescent="0.3">
      <c r="A675" s="7"/>
      <c r="B675" s="7"/>
      <c r="C675" s="7"/>
      <c r="D675" s="7"/>
      <c r="E675" s="32" t="s">
        <v>166</v>
      </c>
      <c r="F675" s="32"/>
      <c r="G675" s="32">
        <v>71005</v>
      </c>
      <c r="H675" s="32" t="s">
        <v>461</v>
      </c>
      <c r="I675" s="33">
        <v>179.97399999999999</v>
      </c>
      <c r="J675" s="170"/>
      <c r="K675" s="7" t="str">
        <f>VLOOKUP($E675,Mapping!$E$11:$I$204,3,0)</f>
        <v>Replacement</v>
      </c>
      <c r="L675" s="7" t="str">
        <f>IFERROR(VLOOKUP($G675,Mapping!$E$208:$K$236,5,0),"Contracts")</f>
        <v>Materials</v>
      </c>
      <c r="M675" s="7" t="str">
        <f>IFERROR(VLOOKUP($G675,Mapping!$E$208:$K$236,7,0),"ENDirect")</f>
        <v>ENDirect</v>
      </c>
      <c r="N675" s="7" t="str">
        <f>IFERROR(HLOOKUP(L675,'Calc|Weightings'!$U$5:$W$5,1,0),"Excl")</f>
        <v>Materials</v>
      </c>
      <c r="O675" s="7" t="str">
        <f>VLOOKUP(E675,Mapping!$E$11:$I$204,5,0)</f>
        <v>SCS</v>
      </c>
      <c r="Q675" s="32" t="s">
        <v>217</v>
      </c>
      <c r="R675" s="32"/>
      <c r="S675" s="32">
        <v>71000</v>
      </c>
      <c r="T675" s="32" t="s">
        <v>457</v>
      </c>
      <c r="U675" s="33">
        <v>78.088999999999999</v>
      </c>
      <c r="V675" s="7"/>
      <c r="W675" s="7" t="str">
        <f>VLOOKUP($Q675,Mapping!$E$11:$I$204,3,0)</f>
        <v>Replacement</v>
      </c>
      <c r="X675" s="7" t="str">
        <f>IFERROR(VLOOKUP($S675,Mapping!$E$208:$K$236,5,0),"Contracts")</f>
        <v>Labour</v>
      </c>
      <c r="Y675" s="7" t="str">
        <f>IFERROR(VLOOKUP($S675,Mapping!$E$208:$K$236,7,0),"ENDirect")</f>
        <v>ENDirect</v>
      </c>
      <c r="Z675" s="7" t="str">
        <f>IFERROR(HLOOKUP(X675,'Calc|Weightings'!$U$5:$W$5,1,0),"Excl")</f>
        <v>Labour</v>
      </c>
      <c r="AA675" s="7" t="str">
        <f>VLOOKUP(Q675,Mapping!$E$11:$I$204,5,0)</f>
        <v>SCS</v>
      </c>
      <c r="AC675" s="35" t="s">
        <v>203</v>
      </c>
      <c r="AD675" s="35"/>
      <c r="AE675" s="35">
        <v>71015</v>
      </c>
      <c r="AF675" s="35" t="s">
        <v>463</v>
      </c>
      <c r="AG675" s="36">
        <v>84.188000000000002</v>
      </c>
      <c r="AI675" s="7" t="str">
        <f>VLOOKUP($AC675,Mapping!$E$11:$I$204,3,0)</f>
        <v>Replacement</v>
      </c>
      <c r="AJ675" s="7" t="str">
        <f>IFERROR(VLOOKUP($AE675,Mapping!$E$208:$K$236,5,0),"Contracts")</f>
        <v>Materials</v>
      </c>
      <c r="AK675" s="7" t="str">
        <f>IFERROR(VLOOKUP($AE675,Mapping!$E$208:$K$236,7,0),"ENDirect")</f>
        <v>ENDirect</v>
      </c>
      <c r="AL675" s="7" t="str">
        <f>IFERROR(HLOOKUP(AJ675,'Calc|Weightings'!$U$5:$W$5,1,0),"Excl")</f>
        <v>Materials</v>
      </c>
      <c r="AM675" s="7" t="str">
        <f>VLOOKUP(AC675,Mapping!$E$11:$I$204,5,0)</f>
        <v>SCS</v>
      </c>
      <c r="AO675" s="35" t="s">
        <v>195</v>
      </c>
      <c r="AP675" s="35"/>
      <c r="AQ675" s="35">
        <v>71075</v>
      </c>
      <c r="AR675" s="35" t="s">
        <v>587</v>
      </c>
      <c r="AS675" s="121">
        <v>5.3909000000000002</v>
      </c>
      <c r="AU675" s="171" t="s">
        <v>8</v>
      </c>
      <c r="AV675" s="7" t="str">
        <f>IFERROR(VLOOKUP($AQ675,Mapping!$E$208:$K$236,5,0),"Contracts")</f>
        <v>Contracts</v>
      </c>
      <c r="AW675" s="7" t="str">
        <f>IFERROR(VLOOKUP($AQ675,Mapping!$E$208:$K$236,7,0),"ENDirect")</f>
        <v>ENDirect</v>
      </c>
      <c r="AX675" s="7" t="str">
        <f>IFERROR(HLOOKUP(AV675,'Calc|Weightings'!$U$5:$W$5,1,0),"Excl")</f>
        <v>Contracts</v>
      </c>
      <c r="AY675" s="7" t="str">
        <f>VLOOKUP(AO675,Mapping!$E$11:$I$204,5,0)</f>
        <v>SCS</v>
      </c>
    </row>
    <row r="676" spans="1:51" x14ac:dyDescent="0.3">
      <c r="A676" s="7"/>
      <c r="B676" s="7"/>
      <c r="C676" s="7"/>
      <c r="D676" s="7"/>
      <c r="E676" s="32" t="s">
        <v>166</v>
      </c>
      <c r="F676" s="32"/>
      <c r="G676" s="32">
        <v>71006</v>
      </c>
      <c r="H676" s="32" t="s">
        <v>468</v>
      </c>
      <c r="I676" s="33">
        <v>0</v>
      </c>
      <c r="J676" s="170"/>
      <c r="K676" s="7" t="str">
        <f>VLOOKUP($E676,Mapping!$E$11:$I$204,3,0)</f>
        <v>Replacement</v>
      </c>
      <c r="L676" s="7" t="str">
        <f>IFERROR(VLOOKUP($G676,Mapping!$E$208:$K$236,5,0),"Contracts")</f>
        <v>Materials</v>
      </c>
      <c r="M676" s="7" t="str">
        <f>IFERROR(VLOOKUP($G676,Mapping!$E$208:$K$236,7,0),"ENDirect")</f>
        <v>ENDirect</v>
      </c>
      <c r="N676" s="7" t="str">
        <f>IFERROR(HLOOKUP(L676,'Calc|Weightings'!$U$5:$W$5,1,0),"Excl")</f>
        <v>Materials</v>
      </c>
      <c r="O676" s="7" t="str">
        <f>VLOOKUP(E676,Mapping!$E$11:$I$204,5,0)</f>
        <v>SCS</v>
      </c>
      <c r="Q676" s="32" t="s">
        <v>217</v>
      </c>
      <c r="R676" s="32"/>
      <c r="S676" s="32">
        <v>71005</v>
      </c>
      <c r="T676" s="32" t="s">
        <v>461</v>
      </c>
      <c r="U676" s="33">
        <v>60.853999999999999</v>
      </c>
      <c r="V676" s="7"/>
      <c r="W676" s="7" t="str">
        <f>VLOOKUP($Q676,Mapping!$E$11:$I$204,3,0)</f>
        <v>Replacement</v>
      </c>
      <c r="X676" s="7" t="str">
        <f>IFERROR(VLOOKUP($S676,Mapping!$E$208:$K$236,5,0),"Contracts")</f>
        <v>Materials</v>
      </c>
      <c r="Y676" s="7" t="str">
        <f>IFERROR(VLOOKUP($S676,Mapping!$E$208:$K$236,7,0),"ENDirect")</f>
        <v>ENDirect</v>
      </c>
      <c r="Z676" s="7" t="str">
        <f>IFERROR(HLOOKUP(X676,'Calc|Weightings'!$U$5:$W$5,1,0),"Excl")</f>
        <v>Materials</v>
      </c>
      <c r="AA676" s="7" t="str">
        <f>VLOOKUP(Q676,Mapping!$E$11:$I$204,5,0)</f>
        <v>SCS</v>
      </c>
      <c r="AC676" s="35" t="s">
        <v>203</v>
      </c>
      <c r="AD676" s="35"/>
      <c r="AE676" s="35">
        <v>71020</v>
      </c>
      <c r="AF676" s="35" t="s">
        <v>459</v>
      </c>
      <c r="AG676" s="36">
        <v>4.05</v>
      </c>
      <c r="AI676" s="7" t="str">
        <f>VLOOKUP($AC676,Mapping!$E$11:$I$204,3,0)</f>
        <v>Replacement</v>
      </c>
      <c r="AJ676" s="7" t="str">
        <f>IFERROR(VLOOKUP($AE676,Mapping!$E$208:$K$236,5,0),"Contracts")</f>
        <v>Contracts</v>
      </c>
      <c r="AK676" s="7" t="str">
        <f>IFERROR(VLOOKUP($AE676,Mapping!$E$208:$K$236,7,0),"ENDirect")</f>
        <v>ENDirect</v>
      </c>
      <c r="AL676" s="7" t="str">
        <f>IFERROR(HLOOKUP(AJ676,'Calc|Weightings'!$U$5:$W$5,1,0),"Excl")</f>
        <v>Contracts</v>
      </c>
      <c r="AM676" s="7" t="str">
        <f>VLOOKUP(AC676,Mapping!$E$11:$I$204,5,0)</f>
        <v>SCS</v>
      </c>
      <c r="AO676" s="35" t="s">
        <v>195</v>
      </c>
      <c r="AP676" s="35"/>
      <c r="AQ676" s="35">
        <v>80000</v>
      </c>
      <c r="AR676" s="35" t="s">
        <v>589</v>
      </c>
      <c r="AS676" s="121">
        <v>8.3602500000000006</v>
      </c>
      <c r="AU676" s="171" t="s">
        <v>8</v>
      </c>
      <c r="AV676" s="7" t="str">
        <f>IFERROR(VLOOKUP($AQ676,Mapping!$E$208:$K$236,5,0),"Contracts")</f>
        <v>Overhead</v>
      </c>
      <c r="AW676" s="7" t="str">
        <f>IFERROR(VLOOKUP($AQ676,Mapping!$E$208:$K$236,7,0),"ENDirect")</f>
        <v>OH</v>
      </c>
      <c r="AX676" s="7" t="str">
        <f>IFERROR(HLOOKUP(AV676,'Calc|Weightings'!$U$5:$W$5,1,0),"Excl")</f>
        <v>Excl</v>
      </c>
      <c r="AY676" s="7" t="str">
        <f>VLOOKUP(AO676,Mapping!$E$11:$I$204,5,0)</f>
        <v>SCS</v>
      </c>
    </row>
    <row r="677" spans="1:51" x14ac:dyDescent="0.3">
      <c r="A677" s="7"/>
      <c r="B677" s="7"/>
      <c r="C677" s="7"/>
      <c r="D677" s="7"/>
      <c r="E677" s="32" t="s">
        <v>166</v>
      </c>
      <c r="F677" s="32"/>
      <c r="G677" s="32">
        <v>71010</v>
      </c>
      <c r="H677" s="32" t="s">
        <v>462</v>
      </c>
      <c r="I677" s="33">
        <v>81.759</v>
      </c>
      <c r="J677" s="170"/>
      <c r="K677" s="7" t="str">
        <f>VLOOKUP($E677,Mapping!$E$11:$I$204,3,0)</f>
        <v>Replacement</v>
      </c>
      <c r="L677" s="7" t="str">
        <f>IFERROR(VLOOKUP($G677,Mapping!$E$208:$K$236,5,0),"Contracts")</f>
        <v>Labour</v>
      </c>
      <c r="M677" s="7" t="str">
        <f>IFERROR(VLOOKUP($G677,Mapping!$E$208:$K$236,7,0),"ENDirect")</f>
        <v>ENDirect</v>
      </c>
      <c r="N677" s="7" t="str">
        <f>IFERROR(HLOOKUP(L677,'Calc|Weightings'!$U$5:$W$5,1,0),"Excl")</f>
        <v>Labour</v>
      </c>
      <c r="O677" s="7" t="str">
        <f>VLOOKUP(E677,Mapping!$E$11:$I$204,5,0)</f>
        <v>SCS</v>
      </c>
      <c r="Q677" s="32" t="s">
        <v>217</v>
      </c>
      <c r="R677" s="32"/>
      <c r="S677" s="32">
        <v>71010</v>
      </c>
      <c r="T677" s="32" t="s">
        <v>462</v>
      </c>
      <c r="U677" s="33">
        <v>427.666</v>
      </c>
      <c r="V677" s="7"/>
      <c r="W677" s="7" t="str">
        <f>VLOOKUP($Q677,Mapping!$E$11:$I$204,3,0)</f>
        <v>Replacement</v>
      </c>
      <c r="X677" s="7" t="str">
        <f>IFERROR(VLOOKUP($S677,Mapping!$E$208:$K$236,5,0),"Contracts")</f>
        <v>Labour</v>
      </c>
      <c r="Y677" s="7" t="str">
        <f>IFERROR(VLOOKUP($S677,Mapping!$E$208:$K$236,7,0),"ENDirect")</f>
        <v>ENDirect</v>
      </c>
      <c r="Z677" s="7" t="str">
        <f>IFERROR(HLOOKUP(X677,'Calc|Weightings'!$U$5:$W$5,1,0),"Excl")</f>
        <v>Labour</v>
      </c>
      <c r="AA677" s="7" t="str">
        <f>VLOOKUP(Q677,Mapping!$E$11:$I$204,5,0)</f>
        <v>SCS</v>
      </c>
      <c r="AC677" s="35" t="s">
        <v>203</v>
      </c>
      <c r="AD677" s="35"/>
      <c r="AE677" s="35">
        <v>71030</v>
      </c>
      <c r="AF677" s="35" t="s">
        <v>464</v>
      </c>
      <c r="AG677" s="36">
        <v>52.784999999999997</v>
      </c>
      <c r="AI677" s="7" t="str">
        <f>VLOOKUP($AC677,Mapping!$E$11:$I$204,3,0)</f>
        <v>Replacement</v>
      </c>
      <c r="AJ677" s="7" t="str">
        <f>IFERROR(VLOOKUP($AE677,Mapping!$E$208:$K$236,5,0),"Contracts")</f>
        <v>Contracts</v>
      </c>
      <c r="AK677" s="7" t="str">
        <f>IFERROR(VLOOKUP($AE677,Mapping!$E$208:$K$236,7,0),"ENDirect")</f>
        <v>ENDirect</v>
      </c>
      <c r="AL677" s="7" t="str">
        <f>IFERROR(HLOOKUP(AJ677,'Calc|Weightings'!$U$5:$W$5,1,0),"Excl")</f>
        <v>Contracts</v>
      </c>
      <c r="AM677" s="7" t="str">
        <f>VLOOKUP(AC677,Mapping!$E$11:$I$204,5,0)</f>
        <v>SCS</v>
      </c>
      <c r="AO677" s="35" t="s">
        <v>195</v>
      </c>
      <c r="AP677" s="35"/>
      <c r="AQ677" s="35">
        <v>83010</v>
      </c>
      <c r="AR677" s="35" t="s">
        <v>591</v>
      </c>
      <c r="AS677" s="121">
        <v>42.923400000000008</v>
      </c>
      <c r="AU677" s="171" t="s">
        <v>8</v>
      </c>
      <c r="AV677" s="7" t="str">
        <f>IFERROR(VLOOKUP($AQ677,Mapping!$E$208:$K$236,5,0),"Contracts")</f>
        <v>Contracts</v>
      </c>
      <c r="AW677" s="7" t="str">
        <f>IFERROR(VLOOKUP($AQ677,Mapping!$E$208:$K$236,7,0),"ENDirect")</f>
        <v>ENDirect</v>
      </c>
      <c r="AX677" s="7" t="str">
        <f>IFERROR(HLOOKUP(AV677,'Calc|Weightings'!$U$5:$W$5,1,0),"Excl")</f>
        <v>Contracts</v>
      </c>
      <c r="AY677" s="7" t="str">
        <f>VLOOKUP(AO677,Mapping!$E$11:$I$204,5,0)</f>
        <v>SCS</v>
      </c>
    </row>
    <row r="678" spans="1:51" x14ac:dyDescent="0.3">
      <c r="A678" s="7"/>
      <c r="B678" s="7"/>
      <c r="C678" s="7"/>
      <c r="D678" s="7"/>
      <c r="E678" s="32" t="s">
        <v>166</v>
      </c>
      <c r="F678" s="32"/>
      <c r="G678" s="32">
        <v>71015</v>
      </c>
      <c r="H678" s="32" t="s">
        <v>463</v>
      </c>
      <c r="I678" s="33">
        <v>270.71899999999999</v>
      </c>
      <c r="J678" s="170"/>
      <c r="K678" s="7" t="str">
        <f>VLOOKUP($E678,Mapping!$E$11:$I$204,3,0)</f>
        <v>Replacement</v>
      </c>
      <c r="L678" s="7" t="str">
        <f>IFERROR(VLOOKUP($G678,Mapping!$E$208:$K$236,5,0),"Contracts")</f>
        <v>Materials</v>
      </c>
      <c r="M678" s="7" t="str">
        <f>IFERROR(VLOOKUP($G678,Mapping!$E$208:$K$236,7,0),"ENDirect")</f>
        <v>ENDirect</v>
      </c>
      <c r="N678" s="7" t="str">
        <f>IFERROR(HLOOKUP(L678,'Calc|Weightings'!$U$5:$W$5,1,0),"Excl")</f>
        <v>Materials</v>
      </c>
      <c r="O678" s="7" t="str">
        <f>VLOOKUP(E678,Mapping!$E$11:$I$204,5,0)</f>
        <v>SCS</v>
      </c>
      <c r="Q678" s="32" t="s">
        <v>217</v>
      </c>
      <c r="R678" s="32"/>
      <c r="S678" s="32">
        <v>71015</v>
      </c>
      <c r="T678" s="32" t="s">
        <v>463</v>
      </c>
      <c r="U678" s="33">
        <v>15.651999999999999</v>
      </c>
      <c r="V678" s="7"/>
      <c r="W678" s="7" t="str">
        <f>VLOOKUP($Q678,Mapping!$E$11:$I$204,3,0)</f>
        <v>Replacement</v>
      </c>
      <c r="X678" s="7" t="str">
        <f>IFERROR(VLOOKUP($S678,Mapping!$E$208:$K$236,5,0),"Contracts")</f>
        <v>Materials</v>
      </c>
      <c r="Y678" s="7" t="str">
        <f>IFERROR(VLOOKUP($S678,Mapping!$E$208:$K$236,7,0),"ENDirect")</f>
        <v>ENDirect</v>
      </c>
      <c r="Z678" s="7" t="str">
        <f>IFERROR(HLOOKUP(X678,'Calc|Weightings'!$U$5:$W$5,1,0),"Excl")</f>
        <v>Materials</v>
      </c>
      <c r="AA678" s="7" t="str">
        <f>VLOOKUP(Q678,Mapping!$E$11:$I$204,5,0)</f>
        <v>SCS</v>
      </c>
      <c r="AC678" s="35" t="s">
        <v>203</v>
      </c>
      <c r="AD678" s="35"/>
      <c r="AE678" s="35">
        <v>71055</v>
      </c>
      <c r="AF678" s="35" t="s">
        <v>465</v>
      </c>
      <c r="AG678" s="36">
        <v>96.549000000000007</v>
      </c>
      <c r="AI678" s="7" t="str">
        <f>VLOOKUP($AC678,Mapping!$E$11:$I$204,3,0)</f>
        <v>Replacement</v>
      </c>
      <c r="AJ678" s="7" t="str">
        <f>IFERROR(VLOOKUP($AE678,Mapping!$E$208:$K$236,5,0),"Contracts")</f>
        <v>Contracts</v>
      </c>
      <c r="AK678" s="7" t="str">
        <f>IFERROR(VLOOKUP($AE678,Mapping!$E$208:$K$236,7,0),"ENDirect")</f>
        <v>ENDirect</v>
      </c>
      <c r="AL678" s="7" t="str">
        <f>IFERROR(HLOOKUP(AJ678,'Calc|Weightings'!$U$5:$W$5,1,0),"Excl")</f>
        <v>Contracts</v>
      </c>
      <c r="AM678" s="7" t="str">
        <f>VLOOKUP(AC678,Mapping!$E$11:$I$204,5,0)</f>
        <v>SCS</v>
      </c>
      <c r="AO678" s="35" t="s">
        <v>196</v>
      </c>
      <c r="AP678" s="35"/>
      <c r="AQ678" s="35">
        <v>71075</v>
      </c>
      <c r="AR678" s="35" t="s">
        <v>587</v>
      </c>
      <c r="AS678" s="121">
        <v>12.8314</v>
      </c>
      <c r="AU678" s="7" t="str">
        <f>VLOOKUP($AO678,Mapping!$E$11:$I$204,3,0)</f>
        <v>Replacement</v>
      </c>
      <c r="AV678" s="7" t="str">
        <f>IFERROR(VLOOKUP($AQ678,Mapping!$E$208:$K$236,5,0),"Contracts")</f>
        <v>Contracts</v>
      </c>
      <c r="AW678" s="7" t="str">
        <f>IFERROR(VLOOKUP($AQ678,Mapping!$E$208:$K$236,7,0),"ENDirect")</f>
        <v>ENDirect</v>
      </c>
      <c r="AX678" s="7" t="str">
        <f>IFERROR(HLOOKUP(AV678,'Calc|Weightings'!$U$5:$W$5,1,0),"Excl")</f>
        <v>Contracts</v>
      </c>
      <c r="AY678" s="7" t="str">
        <f>VLOOKUP(AO678,Mapping!$E$11:$I$204,5,0)</f>
        <v>SCS</v>
      </c>
    </row>
    <row r="679" spans="1:51" x14ac:dyDescent="0.3">
      <c r="A679" s="7"/>
      <c r="B679" s="7"/>
      <c r="C679" s="7"/>
      <c r="D679" s="7"/>
      <c r="E679" s="32" t="s">
        <v>166</v>
      </c>
      <c r="F679" s="32"/>
      <c r="G679" s="32">
        <v>71030</v>
      </c>
      <c r="H679" s="32" t="s">
        <v>464</v>
      </c>
      <c r="I679" s="33">
        <v>69.882999999999996</v>
      </c>
      <c r="J679" s="170"/>
      <c r="K679" s="7" t="str">
        <f>VLOOKUP($E679,Mapping!$E$11:$I$204,3,0)</f>
        <v>Replacement</v>
      </c>
      <c r="L679" s="7" t="str">
        <f>IFERROR(VLOOKUP($G679,Mapping!$E$208:$K$236,5,0),"Contracts")</f>
        <v>Contracts</v>
      </c>
      <c r="M679" s="7" t="str">
        <f>IFERROR(VLOOKUP($G679,Mapping!$E$208:$K$236,7,0),"ENDirect")</f>
        <v>ENDirect</v>
      </c>
      <c r="N679" s="7" t="str">
        <f>IFERROR(HLOOKUP(L679,'Calc|Weightings'!$U$5:$W$5,1,0),"Excl")</f>
        <v>Contracts</v>
      </c>
      <c r="O679" s="7" t="str">
        <f>VLOOKUP(E679,Mapping!$E$11:$I$204,5,0)</f>
        <v>SCS</v>
      </c>
      <c r="Q679" s="32" t="s">
        <v>217</v>
      </c>
      <c r="R679" s="32"/>
      <c r="S679" s="32">
        <v>71030</v>
      </c>
      <c r="T679" s="32" t="s">
        <v>464</v>
      </c>
      <c r="U679" s="33">
        <v>48.779000000000003</v>
      </c>
      <c r="V679" s="7"/>
      <c r="W679" s="7" t="str">
        <f>VLOOKUP($Q679,Mapping!$E$11:$I$204,3,0)</f>
        <v>Replacement</v>
      </c>
      <c r="X679" s="7" t="str">
        <f>IFERROR(VLOOKUP($S679,Mapping!$E$208:$K$236,5,0),"Contracts")</f>
        <v>Contracts</v>
      </c>
      <c r="Y679" s="7" t="str">
        <f>IFERROR(VLOOKUP($S679,Mapping!$E$208:$K$236,7,0),"ENDirect")</f>
        <v>ENDirect</v>
      </c>
      <c r="Z679" s="7" t="str">
        <f>IFERROR(HLOOKUP(X679,'Calc|Weightings'!$U$5:$W$5,1,0),"Excl")</f>
        <v>Contracts</v>
      </c>
      <c r="AA679" s="7" t="str">
        <f>VLOOKUP(Q679,Mapping!$E$11:$I$204,5,0)</f>
        <v>SCS</v>
      </c>
      <c r="AC679" s="35" t="s">
        <v>203</v>
      </c>
      <c r="AD679" s="35"/>
      <c r="AE679" s="35">
        <v>80000</v>
      </c>
      <c r="AF679" s="35" t="s">
        <v>453</v>
      </c>
      <c r="AG679" s="36">
        <v>81.23</v>
      </c>
      <c r="AI679" s="7" t="str">
        <f>VLOOKUP($AC679,Mapping!$E$11:$I$204,3,0)</f>
        <v>Replacement</v>
      </c>
      <c r="AJ679" s="7" t="str">
        <f>IFERROR(VLOOKUP($AE679,Mapping!$E$208:$K$236,5,0),"Contracts")</f>
        <v>Overhead</v>
      </c>
      <c r="AK679" s="7" t="str">
        <f>IFERROR(VLOOKUP($AE679,Mapping!$E$208:$K$236,7,0),"ENDirect")</f>
        <v>OH</v>
      </c>
      <c r="AL679" s="7" t="str">
        <f>IFERROR(HLOOKUP(AJ679,'Calc|Weightings'!$U$5:$W$5,1,0),"Excl")</f>
        <v>Excl</v>
      </c>
      <c r="AM679" s="7" t="str">
        <f>VLOOKUP(AC679,Mapping!$E$11:$I$204,5,0)</f>
        <v>SCS</v>
      </c>
      <c r="AO679" s="35" t="s">
        <v>196</v>
      </c>
      <c r="AP679" s="35"/>
      <c r="AQ679" s="35">
        <v>80000</v>
      </c>
      <c r="AR679" s="35" t="s">
        <v>589</v>
      </c>
      <c r="AS679" s="121">
        <v>22.28106</v>
      </c>
      <c r="AU679" s="7" t="str">
        <f>VLOOKUP($AO679,Mapping!$E$11:$I$204,3,0)</f>
        <v>Replacement</v>
      </c>
      <c r="AV679" s="7" t="str">
        <f>IFERROR(VLOOKUP($AQ679,Mapping!$E$208:$K$236,5,0),"Contracts")</f>
        <v>Overhead</v>
      </c>
      <c r="AW679" s="7" t="str">
        <f>IFERROR(VLOOKUP($AQ679,Mapping!$E$208:$K$236,7,0),"ENDirect")</f>
        <v>OH</v>
      </c>
      <c r="AX679" s="7" t="str">
        <f>IFERROR(HLOOKUP(AV679,'Calc|Weightings'!$U$5:$W$5,1,0),"Excl")</f>
        <v>Excl</v>
      </c>
      <c r="AY679" s="7" t="str">
        <f>VLOOKUP(AO679,Mapping!$E$11:$I$204,5,0)</f>
        <v>SCS</v>
      </c>
    </row>
    <row r="680" spans="1:51" x14ac:dyDescent="0.3">
      <c r="A680" s="7"/>
      <c r="B680" s="7"/>
      <c r="C680" s="7"/>
      <c r="D680" s="7"/>
      <c r="E680" s="32" t="s">
        <v>166</v>
      </c>
      <c r="F680" s="32"/>
      <c r="G680" s="32">
        <v>71055</v>
      </c>
      <c r="H680" s="32" t="s">
        <v>465</v>
      </c>
      <c r="I680" s="33">
        <v>171.566</v>
      </c>
      <c r="J680" s="170"/>
      <c r="K680" s="7" t="str">
        <f>VLOOKUP($E680,Mapping!$E$11:$I$204,3,0)</f>
        <v>Replacement</v>
      </c>
      <c r="L680" s="7" t="str">
        <f>IFERROR(VLOOKUP($G680,Mapping!$E$208:$K$236,5,0),"Contracts")</f>
        <v>Contracts</v>
      </c>
      <c r="M680" s="7" t="str">
        <f>IFERROR(VLOOKUP($G680,Mapping!$E$208:$K$236,7,0),"ENDirect")</f>
        <v>ENDirect</v>
      </c>
      <c r="N680" s="7" t="str">
        <f>IFERROR(HLOOKUP(L680,'Calc|Weightings'!$U$5:$W$5,1,0),"Excl")</f>
        <v>Contracts</v>
      </c>
      <c r="O680" s="7" t="str">
        <f>VLOOKUP(E680,Mapping!$E$11:$I$204,5,0)</f>
        <v>SCS</v>
      </c>
      <c r="Q680" s="32" t="s">
        <v>217</v>
      </c>
      <c r="R680" s="32"/>
      <c r="S680" s="32">
        <v>71055</v>
      </c>
      <c r="T680" s="32" t="s">
        <v>465</v>
      </c>
      <c r="U680" s="33">
        <v>114.59</v>
      </c>
      <c r="V680" s="7"/>
      <c r="W680" s="7" t="str">
        <f>VLOOKUP($Q680,Mapping!$E$11:$I$204,3,0)</f>
        <v>Replacement</v>
      </c>
      <c r="X680" s="7" t="str">
        <f>IFERROR(VLOOKUP($S680,Mapping!$E$208:$K$236,5,0),"Contracts")</f>
        <v>Contracts</v>
      </c>
      <c r="Y680" s="7" t="str">
        <f>IFERROR(VLOOKUP($S680,Mapping!$E$208:$K$236,7,0),"ENDirect")</f>
        <v>ENDirect</v>
      </c>
      <c r="Z680" s="7" t="str">
        <f>IFERROR(HLOOKUP(X680,'Calc|Weightings'!$U$5:$W$5,1,0),"Excl")</f>
        <v>Contracts</v>
      </c>
      <c r="AA680" s="7" t="str">
        <f>VLOOKUP(Q680,Mapping!$E$11:$I$204,5,0)</f>
        <v>SCS</v>
      </c>
      <c r="AC680" s="35" t="s">
        <v>203</v>
      </c>
      <c r="AD680" s="35"/>
      <c r="AE680" s="35">
        <v>89999</v>
      </c>
      <c r="AF680" s="35" t="s">
        <v>471</v>
      </c>
      <c r="AG680" s="36">
        <v>0</v>
      </c>
      <c r="AI680" s="7" t="str">
        <f>VLOOKUP($AC680,Mapping!$E$11:$I$204,3,0)</f>
        <v>Replacement</v>
      </c>
      <c r="AJ680" s="7" t="str">
        <f>IFERROR(VLOOKUP($AE680,Mapping!$E$208:$K$236,5,0),"Contracts")</f>
        <v>Contracts</v>
      </c>
      <c r="AK680" s="7" t="str">
        <f>IFERROR(VLOOKUP($AE680,Mapping!$E$208:$K$236,7,0),"ENDirect")</f>
        <v>ENDirect</v>
      </c>
      <c r="AL680" s="7" t="str">
        <f>IFERROR(HLOOKUP(AJ680,'Calc|Weightings'!$U$5:$W$5,1,0),"Excl")</f>
        <v>Contracts</v>
      </c>
      <c r="AM680" s="7" t="str">
        <f>VLOOKUP(AC680,Mapping!$E$11:$I$204,5,0)</f>
        <v>SCS</v>
      </c>
      <c r="AO680" s="35" t="s">
        <v>196</v>
      </c>
      <c r="AP680" s="35"/>
      <c r="AQ680" s="35">
        <v>83010</v>
      </c>
      <c r="AR680" s="35" t="s">
        <v>591</v>
      </c>
      <c r="AS680" s="121">
        <v>122.7349</v>
      </c>
      <c r="AU680" s="7" t="str">
        <f>VLOOKUP($AO680,Mapping!$E$11:$I$204,3,0)</f>
        <v>Replacement</v>
      </c>
      <c r="AV680" s="7" t="str">
        <f>IFERROR(VLOOKUP($AQ680,Mapping!$E$208:$K$236,5,0),"Contracts")</f>
        <v>Contracts</v>
      </c>
      <c r="AW680" s="7" t="str">
        <f>IFERROR(VLOOKUP($AQ680,Mapping!$E$208:$K$236,7,0),"ENDirect")</f>
        <v>ENDirect</v>
      </c>
      <c r="AX680" s="7" t="str">
        <f>IFERROR(HLOOKUP(AV680,'Calc|Weightings'!$U$5:$W$5,1,0),"Excl")</f>
        <v>Contracts</v>
      </c>
      <c r="AY680" s="7" t="str">
        <f>VLOOKUP(AO680,Mapping!$E$11:$I$204,5,0)</f>
        <v>SCS</v>
      </c>
    </row>
    <row r="681" spans="1:51" x14ac:dyDescent="0.3">
      <c r="A681" s="7"/>
      <c r="B681" s="7"/>
      <c r="C681" s="7"/>
      <c r="D681" s="7"/>
      <c r="E681" s="32" t="s">
        <v>166</v>
      </c>
      <c r="F681" s="32"/>
      <c r="G681" s="32">
        <v>80000</v>
      </c>
      <c r="H681" s="32" t="s">
        <v>453</v>
      </c>
      <c r="I681" s="33">
        <v>103.009</v>
      </c>
      <c r="J681" s="170"/>
      <c r="K681" s="7" t="str">
        <f>VLOOKUP($E681,Mapping!$E$11:$I$204,3,0)</f>
        <v>Replacement</v>
      </c>
      <c r="L681" s="7" t="str">
        <f>IFERROR(VLOOKUP($G681,Mapping!$E$208:$K$236,5,0),"Contracts")</f>
        <v>Overhead</v>
      </c>
      <c r="M681" s="7" t="str">
        <f>IFERROR(VLOOKUP($G681,Mapping!$E$208:$K$236,7,0),"ENDirect")</f>
        <v>OH</v>
      </c>
      <c r="N681" s="7" t="str">
        <f>IFERROR(HLOOKUP(L681,'Calc|Weightings'!$U$5:$W$5,1,0),"Excl")</f>
        <v>Excl</v>
      </c>
      <c r="O681" s="7" t="str">
        <f>VLOOKUP(E681,Mapping!$E$11:$I$204,5,0)</f>
        <v>SCS</v>
      </c>
      <c r="Q681" s="32" t="s">
        <v>217</v>
      </c>
      <c r="R681" s="32"/>
      <c r="S681" s="32">
        <v>80000</v>
      </c>
      <c r="T681" s="32" t="s">
        <v>453</v>
      </c>
      <c r="U681" s="33">
        <v>112.46</v>
      </c>
      <c r="V681" s="7"/>
      <c r="W681" s="7" t="str">
        <f>VLOOKUP($Q681,Mapping!$E$11:$I$204,3,0)</f>
        <v>Replacement</v>
      </c>
      <c r="X681" s="7" t="str">
        <f>IFERROR(VLOOKUP($S681,Mapping!$E$208:$K$236,5,0),"Contracts")</f>
        <v>Overhead</v>
      </c>
      <c r="Y681" s="7" t="str">
        <f>IFERROR(VLOOKUP($S681,Mapping!$E$208:$K$236,7,0),"ENDirect")</f>
        <v>OH</v>
      </c>
      <c r="Z681" s="7" t="str">
        <f>IFERROR(HLOOKUP(X681,'Calc|Weightings'!$U$5:$W$5,1,0),"Excl")</f>
        <v>Excl</v>
      </c>
      <c r="AA681" s="7" t="str">
        <f>VLOOKUP(Q681,Mapping!$E$11:$I$204,5,0)</f>
        <v>SCS</v>
      </c>
      <c r="AC681" s="35" t="s">
        <v>205</v>
      </c>
      <c r="AD681" s="35"/>
      <c r="AE681" s="35">
        <v>71000</v>
      </c>
      <c r="AF681" s="35" t="s">
        <v>457</v>
      </c>
      <c r="AG681" s="36">
        <v>5.98</v>
      </c>
      <c r="AI681" s="7" t="str">
        <f>VLOOKUP($AC681,Mapping!$E$11:$I$204,3,0)</f>
        <v>Replacement</v>
      </c>
      <c r="AJ681" s="7" t="str">
        <f>IFERROR(VLOOKUP($AE681,Mapping!$E$208:$K$236,5,0),"Contracts")</f>
        <v>Labour</v>
      </c>
      <c r="AK681" s="7" t="str">
        <f>IFERROR(VLOOKUP($AE681,Mapping!$E$208:$K$236,7,0),"ENDirect")</f>
        <v>ENDirect</v>
      </c>
      <c r="AL681" s="7" t="str">
        <f>IFERROR(HLOOKUP(AJ681,'Calc|Weightings'!$U$5:$W$5,1,0),"Excl")</f>
        <v>Labour</v>
      </c>
      <c r="AM681" s="7" t="str">
        <f>VLOOKUP(AC681,Mapping!$E$11:$I$204,5,0)</f>
        <v>SCS</v>
      </c>
      <c r="AO681" s="35" t="s">
        <v>197</v>
      </c>
      <c r="AP681" s="35"/>
      <c r="AQ681" s="35">
        <v>71000</v>
      </c>
      <c r="AR681" s="35" t="s">
        <v>457</v>
      </c>
      <c r="AS681" s="121">
        <v>13.103659999999998</v>
      </c>
      <c r="AU681" s="7" t="str">
        <f>VLOOKUP($AO681,Mapping!$E$11:$I$204,3,0)</f>
        <v>Replacement</v>
      </c>
      <c r="AV681" s="7" t="str">
        <f>IFERROR(VLOOKUP($AQ681,Mapping!$E$208:$K$236,5,0),"Contracts")</f>
        <v>Labour</v>
      </c>
      <c r="AW681" s="7" t="str">
        <f>IFERROR(VLOOKUP($AQ681,Mapping!$E$208:$K$236,7,0),"ENDirect")</f>
        <v>ENDirect</v>
      </c>
      <c r="AX681" s="7" t="str">
        <f>IFERROR(HLOOKUP(AV681,'Calc|Weightings'!$U$5:$W$5,1,0),"Excl")</f>
        <v>Labour</v>
      </c>
      <c r="AY681" s="7" t="str">
        <f>VLOOKUP(AO681,Mapping!$E$11:$I$204,5,0)</f>
        <v>SCS</v>
      </c>
    </row>
    <row r="682" spans="1:51" x14ac:dyDescent="0.3">
      <c r="A682" s="7"/>
      <c r="B682" s="7"/>
      <c r="C682" s="7"/>
      <c r="D682" s="7"/>
      <c r="E682" s="32" t="s">
        <v>167</v>
      </c>
      <c r="F682" s="32"/>
      <c r="G682" s="32">
        <v>71000</v>
      </c>
      <c r="H682" s="32" t="s">
        <v>457</v>
      </c>
      <c r="I682" s="33">
        <v>50</v>
      </c>
      <c r="J682" s="170"/>
      <c r="K682" s="7" t="str">
        <f>VLOOKUP($E682,Mapping!$E$11:$I$204,3,0)</f>
        <v>Replacement</v>
      </c>
      <c r="L682" s="7" t="str">
        <f>IFERROR(VLOOKUP($G682,Mapping!$E$208:$K$236,5,0),"Contracts")</f>
        <v>Labour</v>
      </c>
      <c r="M682" s="7" t="str">
        <f>IFERROR(VLOOKUP($G682,Mapping!$E$208:$K$236,7,0),"ENDirect")</f>
        <v>ENDirect</v>
      </c>
      <c r="N682" s="7" t="str">
        <f>IFERROR(HLOOKUP(L682,'Calc|Weightings'!$U$5:$W$5,1,0),"Excl")</f>
        <v>Labour</v>
      </c>
      <c r="O682" s="7" t="str">
        <f>VLOOKUP(E682,Mapping!$E$11:$I$204,5,0)</f>
        <v>SCS</v>
      </c>
      <c r="Q682" s="32" t="s">
        <v>218</v>
      </c>
      <c r="R682" s="32"/>
      <c r="S682" s="32">
        <v>71000</v>
      </c>
      <c r="T682" s="32" t="s">
        <v>457</v>
      </c>
      <c r="U682" s="33">
        <v>84.891999999999996</v>
      </c>
      <c r="V682" s="7"/>
      <c r="W682" s="7" t="str">
        <f>VLOOKUP($Q682,Mapping!$E$11:$I$204,3,0)</f>
        <v>Replacement</v>
      </c>
      <c r="X682" s="7" t="str">
        <f>IFERROR(VLOOKUP($S682,Mapping!$E$208:$K$236,5,0),"Contracts")</f>
        <v>Labour</v>
      </c>
      <c r="Y682" s="7" t="str">
        <f>IFERROR(VLOOKUP($S682,Mapping!$E$208:$K$236,7,0),"ENDirect")</f>
        <v>ENDirect</v>
      </c>
      <c r="Z682" s="7" t="str">
        <f>IFERROR(HLOOKUP(X682,'Calc|Weightings'!$U$5:$W$5,1,0),"Excl")</f>
        <v>Labour</v>
      </c>
      <c r="AA682" s="7" t="str">
        <f>VLOOKUP(Q682,Mapping!$E$11:$I$204,5,0)</f>
        <v>SCS</v>
      </c>
      <c r="AC682" s="35" t="s">
        <v>205</v>
      </c>
      <c r="AD682" s="35"/>
      <c r="AE682" s="35">
        <v>71010</v>
      </c>
      <c r="AF682" s="35" t="s">
        <v>462</v>
      </c>
      <c r="AG682" s="36">
        <v>385.29199999999997</v>
      </c>
      <c r="AI682" s="7" t="str">
        <f>VLOOKUP($AC682,Mapping!$E$11:$I$204,3,0)</f>
        <v>Replacement</v>
      </c>
      <c r="AJ682" s="7" t="str">
        <f>IFERROR(VLOOKUP($AE682,Mapping!$E$208:$K$236,5,0),"Contracts")</f>
        <v>Labour</v>
      </c>
      <c r="AK682" s="7" t="str">
        <f>IFERROR(VLOOKUP($AE682,Mapping!$E$208:$K$236,7,0),"ENDirect")</f>
        <v>ENDirect</v>
      </c>
      <c r="AL682" s="7" t="str">
        <f>IFERROR(HLOOKUP(AJ682,'Calc|Weightings'!$U$5:$W$5,1,0),"Excl")</f>
        <v>Labour</v>
      </c>
      <c r="AM682" s="7" t="str">
        <f>VLOOKUP(AC682,Mapping!$E$11:$I$204,5,0)</f>
        <v>SCS</v>
      </c>
      <c r="AO682" s="35" t="s">
        <v>197</v>
      </c>
      <c r="AP682" s="35"/>
      <c r="AQ682" s="35">
        <v>71005</v>
      </c>
      <c r="AR682" s="35" t="s">
        <v>461</v>
      </c>
      <c r="AS682" s="121">
        <v>1.05403</v>
      </c>
      <c r="AU682" s="7" t="str">
        <f>VLOOKUP($AO682,Mapping!$E$11:$I$204,3,0)</f>
        <v>Replacement</v>
      </c>
      <c r="AV682" s="7" t="str">
        <f>IFERROR(VLOOKUP($AQ682,Mapping!$E$208:$K$236,5,0),"Contracts")</f>
        <v>Materials</v>
      </c>
      <c r="AW682" s="7" t="str">
        <f>IFERROR(VLOOKUP($AQ682,Mapping!$E$208:$K$236,7,0),"ENDirect")</f>
        <v>ENDirect</v>
      </c>
      <c r="AX682" s="7" t="str">
        <f>IFERROR(HLOOKUP(AV682,'Calc|Weightings'!$U$5:$W$5,1,0),"Excl")</f>
        <v>Materials</v>
      </c>
      <c r="AY682" s="7" t="str">
        <f>VLOOKUP(AO682,Mapping!$E$11:$I$204,5,0)</f>
        <v>SCS</v>
      </c>
    </row>
    <row r="683" spans="1:51" x14ac:dyDescent="0.3">
      <c r="A683" s="7"/>
      <c r="B683" s="7"/>
      <c r="C683" s="7"/>
      <c r="D683" s="7"/>
      <c r="E683" s="32" t="s">
        <v>167</v>
      </c>
      <c r="F683" s="32"/>
      <c r="G683" s="32">
        <v>71005</v>
      </c>
      <c r="H683" s="32" t="s">
        <v>461</v>
      </c>
      <c r="I683" s="33">
        <v>29.215</v>
      </c>
      <c r="J683" s="170"/>
      <c r="K683" s="7" t="str">
        <f>VLOOKUP($E683,Mapping!$E$11:$I$204,3,0)</f>
        <v>Replacement</v>
      </c>
      <c r="L683" s="7" t="str">
        <f>IFERROR(VLOOKUP($G683,Mapping!$E$208:$K$236,5,0),"Contracts")</f>
        <v>Materials</v>
      </c>
      <c r="M683" s="7" t="str">
        <f>IFERROR(VLOOKUP($G683,Mapping!$E$208:$K$236,7,0),"ENDirect")</f>
        <v>ENDirect</v>
      </c>
      <c r="N683" s="7" t="str">
        <f>IFERROR(HLOOKUP(L683,'Calc|Weightings'!$U$5:$W$5,1,0),"Excl")</f>
        <v>Materials</v>
      </c>
      <c r="O683" s="7" t="str">
        <f>VLOOKUP(E683,Mapping!$E$11:$I$204,5,0)</f>
        <v>SCS</v>
      </c>
      <c r="Q683" s="32" t="s">
        <v>218</v>
      </c>
      <c r="R683" s="32"/>
      <c r="S683" s="32">
        <v>71005</v>
      </c>
      <c r="T683" s="32" t="s">
        <v>461</v>
      </c>
      <c r="U683" s="33">
        <v>48.457000000000001</v>
      </c>
      <c r="V683" s="7"/>
      <c r="W683" s="7" t="str">
        <f>VLOOKUP($Q683,Mapping!$E$11:$I$204,3,0)</f>
        <v>Replacement</v>
      </c>
      <c r="X683" s="7" t="str">
        <f>IFERROR(VLOOKUP($S683,Mapping!$E$208:$K$236,5,0),"Contracts")</f>
        <v>Materials</v>
      </c>
      <c r="Y683" s="7" t="str">
        <f>IFERROR(VLOOKUP($S683,Mapping!$E$208:$K$236,7,0),"ENDirect")</f>
        <v>ENDirect</v>
      </c>
      <c r="Z683" s="7" t="str">
        <f>IFERROR(HLOOKUP(X683,'Calc|Weightings'!$U$5:$W$5,1,0),"Excl")</f>
        <v>Materials</v>
      </c>
      <c r="AA683" s="7" t="str">
        <f>VLOOKUP(Q683,Mapping!$E$11:$I$204,5,0)</f>
        <v>SCS</v>
      </c>
      <c r="AC683" s="35" t="s">
        <v>205</v>
      </c>
      <c r="AD683" s="35"/>
      <c r="AE683" s="35">
        <v>71030</v>
      </c>
      <c r="AF683" s="35" t="s">
        <v>464</v>
      </c>
      <c r="AG683" s="36">
        <v>31.812999999999999</v>
      </c>
      <c r="AI683" s="7" t="str">
        <f>VLOOKUP($AC683,Mapping!$E$11:$I$204,3,0)</f>
        <v>Replacement</v>
      </c>
      <c r="AJ683" s="7" t="str">
        <f>IFERROR(VLOOKUP($AE683,Mapping!$E$208:$K$236,5,0),"Contracts")</f>
        <v>Contracts</v>
      </c>
      <c r="AK683" s="7" t="str">
        <f>IFERROR(VLOOKUP($AE683,Mapping!$E$208:$K$236,7,0),"ENDirect")</f>
        <v>ENDirect</v>
      </c>
      <c r="AL683" s="7" t="str">
        <f>IFERROR(HLOOKUP(AJ683,'Calc|Weightings'!$U$5:$W$5,1,0),"Excl")</f>
        <v>Contracts</v>
      </c>
      <c r="AM683" s="7" t="str">
        <f>VLOOKUP(AC683,Mapping!$E$11:$I$204,5,0)</f>
        <v>SCS</v>
      </c>
      <c r="AO683" s="35" t="s">
        <v>197</v>
      </c>
      <c r="AP683" s="35"/>
      <c r="AQ683" s="35">
        <v>71010</v>
      </c>
      <c r="AR683" s="35" t="s">
        <v>487</v>
      </c>
      <c r="AS683" s="121">
        <v>0.27143</v>
      </c>
      <c r="AU683" s="7" t="str">
        <f>VLOOKUP($AO683,Mapping!$E$11:$I$204,3,0)</f>
        <v>Replacement</v>
      </c>
      <c r="AV683" s="7" t="str">
        <f>IFERROR(VLOOKUP($AQ683,Mapping!$E$208:$K$236,5,0),"Contracts")</f>
        <v>Labour</v>
      </c>
      <c r="AW683" s="7" t="str">
        <f>IFERROR(VLOOKUP($AQ683,Mapping!$E$208:$K$236,7,0),"ENDirect")</f>
        <v>ENDirect</v>
      </c>
      <c r="AX683" s="7" t="str">
        <f>IFERROR(HLOOKUP(AV683,'Calc|Weightings'!$U$5:$W$5,1,0),"Excl")</f>
        <v>Labour</v>
      </c>
      <c r="AY683" s="7" t="str">
        <f>VLOOKUP(AO683,Mapping!$E$11:$I$204,5,0)</f>
        <v>SCS</v>
      </c>
    </row>
    <row r="684" spans="1:51" x14ac:dyDescent="0.3">
      <c r="A684" s="7"/>
      <c r="B684" s="7"/>
      <c r="C684" s="7"/>
      <c r="D684" s="7"/>
      <c r="E684" s="32" t="s">
        <v>167</v>
      </c>
      <c r="F684" s="32"/>
      <c r="G684" s="32">
        <v>71010</v>
      </c>
      <c r="H684" s="32" t="s">
        <v>462</v>
      </c>
      <c r="I684" s="33">
        <v>16.053000000000001</v>
      </c>
      <c r="J684" s="170"/>
      <c r="K684" s="7" t="str">
        <f>VLOOKUP($E684,Mapping!$E$11:$I$204,3,0)</f>
        <v>Replacement</v>
      </c>
      <c r="L684" s="7" t="str">
        <f>IFERROR(VLOOKUP($G684,Mapping!$E$208:$K$236,5,0),"Contracts")</f>
        <v>Labour</v>
      </c>
      <c r="M684" s="7" t="str">
        <f>IFERROR(VLOOKUP($G684,Mapping!$E$208:$K$236,7,0),"ENDirect")</f>
        <v>ENDirect</v>
      </c>
      <c r="N684" s="7" t="str">
        <f>IFERROR(HLOOKUP(L684,'Calc|Weightings'!$U$5:$W$5,1,0),"Excl")</f>
        <v>Labour</v>
      </c>
      <c r="O684" s="7" t="str">
        <f>VLOOKUP(E684,Mapping!$E$11:$I$204,5,0)</f>
        <v>SCS</v>
      </c>
      <c r="Q684" s="32" t="s">
        <v>218</v>
      </c>
      <c r="R684" s="32"/>
      <c r="S684" s="32">
        <v>71010</v>
      </c>
      <c r="T684" s="32" t="s">
        <v>462</v>
      </c>
      <c r="U684" s="33">
        <v>123.348</v>
      </c>
      <c r="V684" s="7"/>
      <c r="W684" s="7" t="str">
        <f>VLOOKUP($Q684,Mapping!$E$11:$I$204,3,0)</f>
        <v>Replacement</v>
      </c>
      <c r="X684" s="7" t="str">
        <f>IFERROR(VLOOKUP($S684,Mapping!$E$208:$K$236,5,0),"Contracts")</f>
        <v>Labour</v>
      </c>
      <c r="Y684" s="7" t="str">
        <f>IFERROR(VLOOKUP($S684,Mapping!$E$208:$K$236,7,0),"ENDirect")</f>
        <v>ENDirect</v>
      </c>
      <c r="Z684" s="7" t="str">
        <f>IFERROR(HLOOKUP(X684,'Calc|Weightings'!$U$5:$W$5,1,0),"Excl")</f>
        <v>Labour</v>
      </c>
      <c r="AA684" s="7" t="str">
        <f>VLOOKUP(Q684,Mapping!$E$11:$I$204,5,0)</f>
        <v>SCS</v>
      </c>
      <c r="AC684" s="35" t="s">
        <v>205</v>
      </c>
      <c r="AD684" s="35"/>
      <c r="AE684" s="35">
        <v>71055</v>
      </c>
      <c r="AF684" s="35" t="s">
        <v>465</v>
      </c>
      <c r="AG684" s="36">
        <v>69.186999999999998</v>
      </c>
      <c r="AI684" s="7" t="str">
        <f>VLOOKUP($AC684,Mapping!$E$11:$I$204,3,0)</f>
        <v>Replacement</v>
      </c>
      <c r="AJ684" s="7" t="str">
        <f>IFERROR(VLOOKUP($AE684,Mapping!$E$208:$K$236,5,0),"Contracts")</f>
        <v>Contracts</v>
      </c>
      <c r="AK684" s="7" t="str">
        <f>IFERROR(VLOOKUP($AE684,Mapping!$E$208:$K$236,7,0),"ENDirect")</f>
        <v>ENDirect</v>
      </c>
      <c r="AL684" s="7" t="str">
        <f>IFERROR(HLOOKUP(AJ684,'Calc|Weightings'!$U$5:$W$5,1,0),"Excl")</f>
        <v>Contracts</v>
      </c>
      <c r="AM684" s="7" t="str">
        <f>VLOOKUP(AC684,Mapping!$E$11:$I$204,5,0)</f>
        <v>SCS</v>
      </c>
      <c r="AO684" s="35" t="s">
        <v>197</v>
      </c>
      <c r="AP684" s="35"/>
      <c r="AQ684" s="35">
        <v>71015</v>
      </c>
      <c r="AR684" s="35" t="s">
        <v>585</v>
      </c>
      <c r="AS684" s="121">
        <v>2.78823</v>
      </c>
      <c r="AU684" s="7" t="str">
        <f>VLOOKUP($AO684,Mapping!$E$11:$I$204,3,0)</f>
        <v>Replacement</v>
      </c>
      <c r="AV684" s="7" t="str">
        <f>IFERROR(VLOOKUP($AQ684,Mapping!$E$208:$K$236,5,0),"Contracts")</f>
        <v>Materials</v>
      </c>
      <c r="AW684" s="7" t="str">
        <f>IFERROR(VLOOKUP($AQ684,Mapping!$E$208:$K$236,7,0),"ENDirect")</f>
        <v>ENDirect</v>
      </c>
      <c r="AX684" s="7" t="str">
        <f>IFERROR(HLOOKUP(AV684,'Calc|Weightings'!$U$5:$W$5,1,0),"Excl")</f>
        <v>Materials</v>
      </c>
      <c r="AY684" s="7" t="str">
        <f>VLOOKUP(AO684,Mapping!$E$11:$I$204,5,0)</f>
        <v>SCS</v>
      </c>
    </row>
    <row r="685" spans="1:51" x14ac:dyDescent="0.3">
      <c r="A685" s="7"/>
      <c r="B685" s="7"/>
      <c r="C685" s="7"/>
      <c r="D685" s="7"/>
      <c r="E685" s="32" t="s">
        <v>167</v>
      </c>
      <c r="F685" s="32"/>
      <c r="G685" s="32">
        <v>71015</v>
      </c>
      <c r="H685" s="32" t="s">
        <v>463</v>
      </c>
      <c r="I685" s="33">
        <v>10.627000000000001</v>
      </c>
      <c r="J685" s="170"/>
      <c r="K685" s="7" t="str">
        <f>VLOOKUP($E685,Mapping!$E$11:$I$204,3,0)</f>
        <v>Replacement</v>
      </c>
      <c r="L685" s="7" t="str">
        <f>IFERROR(VLOOKUP($G685,Mapping!$E$208:$K$236,5,0),"Contracts")</f>
        <v>Materials</v>
      </c>
      <c r="M685" s="7" t="str">
        <f>IFERROR(VLOOKUP($G685,Mapping!$E$208:$K$236,7,0),"ENDirect")</f>
        <v>ENDirect</v>
      </c>
      <c r="N685" s="7" t="str">
        <f>IFERROR(HLOOKUP(L685,'Calc|Weightings'!$U$5:$W$5,1,0),"Excl")</f>
        <v>Materials</v>
      </c>
      <c r="O685" s="7" t="str">
        <f>VLOOKUP(E685,Mapping!$E$11:$I$204,5,0)</f>
        <v>SCS</v>
      </c>
      <c r="Q685" s="32" t="s">
        <v>218</v>
      </c>
      <c r="R685" s="32"/>
      <c r="S685" s="32">
        <v>71015</v>
      </c>
      <c r="T685" s="32" t="s">
        <v>463</v>
      </c>
      <c r="U685" s="33">
        <v>13.414999999999999</v>
      </c>
      <c r="V685" s="7"/>
      <c r="W685" s="7" t="str">
        <f>VLOOKUP($Q685,Mapping!$E$11:$I$204,3,0)</f>
        <v>Replacement</v>
      </c>
      <c r="X685" s="7" t="str">
        <f>IFERROR(VLOOKUP($S685,Mapping!$E$208:$K$236,5,0),"Contracts")</f>
        <v>Materials</v>
      </c>
      <c r="Y685" s="7" t="str">
        <f>IFERROR(VLOOKUP($S685,Mapping!$E$208:$K$236,7,0),"ENDirect")</f>
        <v>ENDirect</v>
      </c>
      <c r="Z685" s="7" t="str">
        <f>IFERROR(HLOOKUP(X685,'Calc|Weightings'!$U$5:$W$5,1,0),"Excl")</f>
        <v>Materials</v>
      </c>
      <c r="AA685" s="7" t="str">
        <f>VLOOKUP(Q685,Mapping!$E$11:$I$204,5,0)</f>
        <v>SCS</v>
      </c>
      <c r="AC685" s="35" t="s">
        <v>205</v>
      </c>
      <c r="AD685" s="35"/>
      <c r="AE685" s="35">
        <v>80000</v>
      </c>
      <c r="AF685" s="35" t="s">
        <v>453</v>
      </c>
      <c r="AG685" s="36">
        <v>24.068999999999999</v>
      </c>
      <c r="AI685" s="7" t="str">
        <f>VLOOKUP($AC685,Mapping!$E$11:$I$204,3,0)</f>
        <v>Replacement</v>
      </c>
      <c r="AJ685" s="7" t="str">
        <f>IFERROR(VLOOKUP($AE685,Mapping!$E$208:$K$236,5,0),"Contracts")</f>
        <v>Overhead</v>
      </c>
      <c r="AK685" s="7" t="str">
        <f>IFERROR(VLOOKUP($AE685,Mapping!$E$208:$K$236,7,0),"ENDirect")</f>
        <v>OH</v>
      </c>
      <c r="AL685" s="7" t="str">
        <f>IFERROR(HLOOKUP(AJ685,'Calc|Weightings'!$U$5:$W$5,1,0),"Excl")</f>
        <v>Excl</v>
      </c>
      <c r="AM685" s="7" t="str">
        <f>VLOOKUP(AC685,Mapping!$E$11:$I$204,5,0)</f>
        <v>SCS</v>
      </c>
      <c r="AO685" s="35" t="s">
        <v>197</v>
      </c>
      <c r="AP685" s="35"/>
      <c r="AQ685" s="35">
        <v>71030</v>
      </c>
      <c r="AR685" s="35" t="s">
        <v>464</v>
      </c>
      <c r="AS685" s="121">
        <v>1.48942</v>
      </c>
      <c r="AU685" s="7" t="str">
        <f>VLOOKUP($AO685,Mapping!$E$11:$I$204,3,0)</f>
        <v>Replacement</v>
      </c>
      <c r="AV685" s="7" t="str">
        <f>IFERROR(VLOOKUP($AQ685,Mapping!$E$208:$K$236,5,0),"Contracts")</f>
        <v>Contracts</v>
      </c>
      <c r="AW685" s="7" t="str">
        <f>IFERROR(VLOOKUP($AQ685,Mapping!$E$208:$K$236,7,0),"ENDirect")</f>
        <v>ENDirect</v>
      </c>
      <c r="AX685" s="7" t="str">
        <f>IFERROR(HLOOKUP(AV685,'Calc|Weightings'!$U$5:$W$5,1,0),"Excl")</f>
        <v>Contracts</v>
      </c>
      <c r="AY685" s="7" t="str">
        <f>VLOOKUP(AO685,Mapping!$E$11:$I$204,5,0)</f>
        <v>SCS</v>
      </c>
    </row>
    <row r="686" spans="1:51" x14ac:dyDescent="0.3">
      <c r="A686" s="7"/>
      <c r="B686" s="7"/>
      <c r="C686" s="7"/>
      <c r="D686" s="7"/>
      <c r="E686" s="32" t="s">
        <v>167</v>
      </c>
      <c r="F686" s="32"/>
      <c r="G686" s="32">
        <v>71030</v>
      </c>
      <c r="H686" s="32" t="s">
        <v>464</v>
      </c>
      <c r="I686" s="33">
        <v>7.1980000000000004</v>
      </c>
      <c r="J686" s="170"/>
      <c r="K686" s="7" t="str">
        <f>VLOOKUP($E686,Mapping!$E$11:$I$204,3,0)</f>
        <v>Replacement</v>
      </c>
      <c r="L686" s="7" t="str">
        <f>IFERROR(VLOOKUP($G686,Mapping!$E$208:$K$236,5,0),"Contracts")</f>
        <v>Contracts</v>
      </c>
      <c r="M686" s="7" t="str">
        <f>IFERROR(VLOOKUP($G686,Mapping!$E$208:$K$236,7,0),"ENDirect")</f>
        <v>ENDirect</v>
      </c>
      <c r="N686" s="7" t="str">
        <f>IFERROR(HLOOKUP(L686,'Calc|Weightings'!$U$5:$W$5,1,0),"Excl")</f>
        <v>Contracts</v>
      </c>
      <c r="O686" s="7" t="str">
        <f>VLOOKUP(E686,Mapping!$E$11:$I$204,5,0)</f>
        <v>SCS</v>
      </c>
      <c r="Q686" s="32" t="s">
        <v>218</v>
      </c>
      <c r="R686" s="32"/>
      <c r="S686" s="32">
        <v>71030</v>
      </c>
      <c r="T686" s="32" t="s">
        <v>464</v>
      </c>
      <c r="U686" s="33">
        <v>22.161999999999999</v>
      </c>
      <c r="V686" s="7"/>
      <c r="W686" s="7" t="str">
        <f>VLOOKUP($Q686,Mapping!$E$11:$I$204,3,0)</f>
        <v>Replacement</v>
      </c>
      <c r="X686" s="7" t="str">
        <f>IFERROR(VLOOKUP($S686,Mapping!$E$208:$K$236,5,0),"Contracts")</f>
        <v>Contracts</v>
      </c>
      <c r="Y686" s="7" t="str">
        <f>IFERROR(VLOOKUP($S686,Mapping!$E$208:$K$236,7,0),"ENDirect")</f>
        <v>ENDirect</v>
      </c>
      <c r="Z686" s="7" t="str">
        <f>IFERROR(HLOOKUP(X686,'Calc|Weightings'!$U$5:$W$5,1,0),"Excl")</f>
        <v>Contracts</v>
      </c>
      <c r="AA686" s="7" t="str">
        <f>VLOOKUP(Q686,Mapping!$E$11:$I$204,5,0)</f>
        <v>SCS</v>
      </c>
      <c r="AC686" s="35" t="s">
        <v>205</v>
      </c>
      <c r="AD686" s="35"/>
      <c r="AE686" s="35">
        <v>89999</v>
      </c>
      <c r="AF686" s="35" t="s">
        <v>471</v>
      </c>
      <c r="AG686" s="36">
        <v>0</v>
      </c>
      <c r="AI686" s="7" t="str">
        <f>VLOOKUP($AC686,Mapping!$E$11:$I$204,3,0)</f>
        <v>Replacement</v>
      </c>
      <c r="AJ686" s="7" t="str">
        <f>IFERROR(VLOOKUP($AE686,Mapping!$E$208:$K$236,5,0),"Contracts")</f>
        <v>Contracts</v>
      </c>
      <c r="AK686" s="7" t="str">
        <f>IFERROR(VLOOKUP($AE686,Mapping!$E$208:$K$236,7,0),"ENDirect")</f>
        <v>ENDirect</v>
      </c>
      <c r="AL686" s="7" t="str">
        <f>IFERROR(HLOOKUP(AJ686,'Calc|Weightings'!$U$5:$W$5,1,0),"Excl")</f>
        <v>Contracts</v>
      </c>
      <c r="AM686" s="7" t="str">
        <f>VLOOKUP(AC686,Mapping!$E$11:$I$204,5,0)</f>
        <v>SCS</v>
      </c>
      <c r="AO686" s="35" t="s">
        <v>197</v>
      </c>
      <c r="AP686" s="35"/>
      <c r="AQ686" s="35">
        <v>71055</v>
      </c>
      <c r="AR686" s="35" t="s">
        <v>465</v>
      </c>
      <c r="AS686" s="121">
        <v>4.0601500000000001</v>
      </c>
      <c r="AU686" s="7" t="str">
        <f>VLOOKUP($AO686,Mapping!$E$11:$I$204,3,0)</f>
        <v>Replacement</v>
      </c>
      <c r="AV686" s="7" t="str">
        <f>IFERROR(VLOOKUP($AQ686,Mapping!$E$208:$K$236,5,0),"Contracts")</f>
        <v>Contracts</v>
      </c>
      <c r="AW686" s="7" t="str">
        <f>IFERROR(VLOOKUP($AQ686,Mapping!$E$208:$K$236,7,0),"ENDirect")</f>
        <v>ENDirect</v>
      </c>
      <c r="AX686" s="7" t="str">
        <f>IFERROR(HLOOKUP(AV686,'Calc|Weightings'!$U$5:$W$5,1,0),"Excl")</f>
        <v>Contracts</v>
      </c>
      <c r="AY686" s="7" t="str">
        <f>VLOOKUP(AO686,Mapping!$E$11:$I$204,5,0)</f>
        <v>SCS</v>
      </c>
    </row>
    <row r="687" spans="1:51" x14ac:dyDescent="0.3">
      <c r="A687" s="7"/>
      <c r="B687" s="7"/>
      <c r="C687" s="7"/>
      <c r="D687" s="7"/>
      <c r="E687" s="32" t="s">
        <v>167</v>
      </c>
      <c r="F687" s="32"/>
      <c r="G687" s="32">
        <v>71055</v>
      </c>
      <c r="H687" s="32" t="s">
        <v>465</v>
      </c>
      <c r="I687" s="33">
        <v>2.7839999999999998</v>
      </c>
      <c r="J687" s="170"/>
      <c r="K687" s="7" t="str">
        <f>VLOOKUP($E687,Mapping!$E$11:$I$204,3,0)</f>
        <v>Replacement</v>
      </c>
      <c r="L687" s="7" t="str">
        <f>IFERROR(VLOOKUP($G687,Mapping!$E$208:$K$236,5,0),"Contracts")</f>
        <v>Contracts</v>
      </c>
      <c r="M687" s="7" t="str">
        <f>IFERROR(VLOOKUP($G687,Mapping!$E$208:$K$236,7,0),"ENDirect")</f>
        <v>ENDirect</v>
      </c>
      <c r="N687" s="7" t="str">
        <f>IFERROR(HLOOKUP(L687,'Calc|Weightings'!$U$5:$W$5,1,0),"Excl")</f>
        <v>Contracts</v>
      </c>
      <c r="O687" s="7" t="str">
        <f>VLOOKUP(E687,Mapping!$E$11:$I$204,5,0)</f>
        <v>SCS</v>
      </c>
      <c r="Q687" s="32" t="s">
        <v>218</v>
      </c>
      <c r="R687" s="32"/>
      <c r="S687" s="32">
        <v>71055</v>
      </c>
      <c r="T687" s="32" t="s">
        <v>465</v>
      </c>
      <c r="U687" s="33">
        <v>46.472000000000001</v>
      </c>
      <c r="V687" s="7"/>
      <c r="W687" s="7" t="str">
        <f>VLOOKUP($Q687,Mapping!$E$11:$I$204,3,0)</f>
        <v>Replacement</v>
      </c>
      <c r="X687" s="7" t="str">
        <f>IFERROR(VLOOKUP($S687,Mapping!$E$208:$K$236,5,0),"Contracts")</f>
        <v>Contracts</v>
      </c>
      <c r="Y687" s="7" t="str">
        <f>IFERROR(VLOOKUP($S687,Mapping!$E$208:$K$236,7,0),"ENDirect")</f>
        <v>ENDirect</v>
      </c>
      <c r="Z687" s="7" t="str">
        <f>IFERROR(HLOOKUP(X687,'Calc|Weightings'!$U$5:$W$5,1,0),"Excl")</f>
        <v>Contracts</v>
      </c>
      <c r="AA687" s="7" t="str">
        <f>VLOOKUP(Q687,Mapping!$E$11:$I$204,5,0)</f>
        <v>SCS</v>
      </c>
      <c r="AC687" s="35" t="s">
        <v>206</v>
      </c>
      <c r="AD687" s="35"/>
      <c r="AE687" s="35">
        <v>71000</v>
      </c>
      <c r="AF687" s="35" t="s">
        <v>457</v>
      </c>
      <c r="AG687" s="36">
        <v>7.9779999999999998</v>
      </c>
      <c r="AI687" s="7" t="str">
        <f>VLOOKUP($AC687,Mapping!$E$11:$I$204,3,0)</f>
        <v>Replacement</v>
      </c>
      <c r="AJ687" s="7" t="str">
        <f>IFERROR(VLOOKUP($AE687,Mapping!$E$208:$K$236,5,0),"Contracts")</f>
        <v>Labour</v>
      </c>
      <c r="AK687" s="7" t="str">
        <f>IFERROR(VLOOKUP($AE687,Mapping!$E$208:$K$236,7,0),"ENDirect")</f>
        <v>ENDirect</v>
      </c>
      <c r="AL687" s="7" t="str">
        <f>IFERROR(HLOOKUP(AJ687,'Calc|Weightings'!$U$5:$W$5,1,0),"Excl")</f>
        <v>Labour</v>
      </c>
      <c r="AM687" s="7" t="str">
        <f>VLOOKUP(AC687,Mapping!$E$11:$I$204,5,0)</f>
        <v>SCS</v>
      </c>
      <c r="AO687" s="35" t="s">
        <v>197</v>
      </c>
      <c r="AP687" s="35"/>
      <c r="AQ687" s="35">
        <v>71075</v>
      </c>
      <c r="AR687" s="35" t="s">
        <v>587</v>
      </c>
      <c r="AS687" s="121">
        <v>12.968109999999999</v>
      </c>
      <c r="AU687" s="7" t="str">
        <f>VLOOKUP($AO687,Mapping!$E$11:$I$204,3,0)</f>
        <v>Replacement</v>
      </c>
      <c r="AV687" s="7" t="str">
        <f>IFERROR(VLOOKUP($AQ687,Mapping!$E$208:$K$236,5,0),"Contracts")</f>
        <v>Contracts</v>
      </c>
      <c r="AW687" s="7" t="str">
        <f>IFERROR(VLOOKUP($AQ687,Mapping!$E$208:$K$236,7,0),"ENDirect")</f>
        <v>ENDirect</v>
      </c>
      <c r="AX687" s="7" t="str">
        <f>IFERROR(HLOOKUP(AV687,'Calc|Weightings'!$U$5:$W$5,1,0),"Excl")</f>
        <v>Contracts</v>
      </c>
      <c r="AY687" s="7" t="str">
        <f>VLOOKUP(AO687,Mapping!$E$11:$I$204,5,0)</f>
        <v>SCS</v>
      </c>
    </row>
    <row r="688" spans="1:51" x14ac:dyDescent="0.3">
      <c r="A688" s="7"/>
      <c r="B688" s="7"/>
      <c r="C688" s="7"/>
      <c r="D688" s="7"/>
      <c r="E688" s="32" t="s">
        <v>167</v>
      </c>
      <c r="F688" s="32"/>
      <c r="G688" s="32">
        <v>80000</v>
      </c>
      <c r="H688" s="32" t="s">
        <v>453</v>
      </c>
      <c r="I688" s="33">
        <v>9.8369999999999997</v>
      </c>
      <c r="J688" s="170"/>
      <c r="K688" s="7" t="str">
        <f>VLOOKUP($E688,Mapping!$E$11:$I$204,3,0)</f>
        <v>Replacement</v>
      </c>
      <c r="L688" s="7" t="str">
        <f>IFERROR(VLOOKUP($G688,Mapping!$E$208:$K$236,5,0),"Contracts")</f>
        <v>Overhead</v>
      </c>
      <c r="M688" s="7" t="str">
        <f>IFERROR(VLOOKUP($G688,Mapping!$E$208:$K$236,7,0),"ENDirect")</f>
        <v>OH</v>
      </c>
      <c r="N688" s="7" t="str">
        <f>IFERROR(HLOOKUP(L688,'Calc|Weightings'!$U$5:$W$5,1,0),"Excl")</f>
        <v>Excl</v>
      </c>
      <c r="O688" s="7" t="str">
        <f>VLOOKUP(E688,Mapping!$E$11:$I$204,5,0)</f>
        <v>SCS</v>
      </c>
      <c r="Q688" s="32" t="s">
        <v>218</v>
      </c>
      <c r="R688" s="32"/>
      <c r="S688" s="32">
        <v>80000</v>
      </c>
      <c r="T688" s="32" t="s">
        <v>453</v>
      </c>
      <c r="U688" s="33">
        <v>45.087000000000003</v>
      </c>
      <c r="V688" s="7"/>
      <c r="W688" s="7" t="str">
        <f>VLOOKUP($Q688,Mapping!$E$11:$I$204,3,0)</f>
        <v>Replacement</v>
      </c>
      <c r="X688" s="7" t="str">
        <f>IFERROR(VLOOKUP($S688,Mapping!$E$208:$K$236,5,0),"Contracts")</f>
        <v>Overhead</v>
      </c>
      <c r="Y688" s="7" t="str">
        <f>IFERROR(VLOOKUP($S688,Mapping!$E$208:$K$236,7,0),"ENDirect")</f>
        <v>OH</v>
      </c>
      <c r="Z688" s="7" t="str">
        <f>IFERROR(HLOOKUP(X688,'Calc|Weightings'!$U$5:$W$5,1,0),"Excl")</f>
        <v>Excl</v>
      </c>
      <c r="AA688" s="7" t="str">
        <f>VLOOKUP(Q688,Mapping!$E$11:$I$204,5,0)</f>
        <v>SCS</v>
      </c>
      <c r="AC688" s="35" t="s">
        <v>206</v>
      </c>
      <c r="AD688" s="35"/>
      <c r="AE688" s="35">
        <v>71010</v>
      </c>
      <c r="AF688" s="35" t="s">
        <v>462</v>
      </c>
      <c r="AG688" s="36">
        <v>450.14</v>
      </c>
      <c r="AI688" s="7" t="str">
        <f>VLOOKUP($AC688,Mapping!$E$11:$I$204,3,0)</f>
        <v>Replacement</v>
      </c>
      <c r="AJ688" s="7" t="str">
        <f>IFERROR(VLOOKUP($AE688,Mapping!$E$208:$K$236,5,0),"Contracts")</f>
        <v>Labour</v>
      </c>
      <c r="AK688" s="7" t="str">
        <f>IFERROR(VLOOKUP($AE688,Mapping!$E$208:$K$236,7,0),"ENDirect")</f>
        <v>ENDirect</v>
      </c>
      <c r="AL688" s="7" t="str">
        <f>IFERROR(HLOOKUP(AJ688,'Calc|Weightings'!$U$5:$W$5,1,0),"Excl")</f>
        <v>Labour</v>
      </c>
      <c r="AM688" s="7" t="str">
        <f>VLOOKUP(AC688,Mapping!$E$11:$I$204,5,0)</f>
        <v>SCS</v>
      </c>
      <c r="AO688" s="35" t="s">
        <v>197</v>
      </c>
      <c r="AP688" s="35"/>
      <c r="AQ688" s="35">
        <v>80000</v>
      </c>
      <c r="AR688" s="35" t="s">
        <v>589</v>
      </c>
      <c r="AS688" s="121">
        <v>23.66339</v>
      </c>
      <c r="AU688" s="7" t="str">
        <f>VLOOKUP($AO688,Mapping!$E$11:$I$204,3,0)</f>
        <v>Replacement</v>
      </c>
      <c r="AV688" s="7" t="str">
        <f>IFERROR(VLOOKUP($AQ688,Mapping!$E$208:$K$236,5,0),"Contracts")</f>
        <v>Overhead</v>
      </c>
      <c r="AW688" s="7" t="str">
        <f>IFERROR(VLOOKUP($AQ688,Mapping!$E$208:$K$236,7,0),"ENDirect")</f>
        <v>OH</v>
      </c>
      <c r="AX688" s="7" t="str">
        <f>IFERROR(HLOOKUP(AV688,'Calc|Weightings'!$U$5:$W$5,1,0),"Excl")</f>
        <v>Excl</v>
      </c>
      <c r="AY688" s="7" t="str">
        <f>VLOOKUP(AO688,Mapping!$E$11:$I$204,5,0)</f>
        <v>SCS</v>
      </c>
    </row>
    <row r="689" spans="1:51" x14ac:dyDescent="0.3">
      <c r="A689" s="7"/>
      <c r="B689" s="7"/>
      <c r="C689" s="7"/>
      <c r="D689" s="7"/>
      <c r="E689" s="32" t="s">
        <v>168</v>
      </c>
      <c r="F689" s="32"/>
      <c r="G689" s="32">
        <v>71000</v>
      </c>
      <c r="H689" s="32" t="s">
        <v>457</v>
      </c>
      <c r="I689" s="33">
        <v>393.17599999999999</v>
      </c>
      <c r="J689" s="170"/>
      <c r="K689" s="7" t="str">
        <f>VLOOKUP($E689,Mapping!$E$11:$I$204,3,0)</f>
        <v>Replacement</v>
      </c>
      <c r="L689" s="7" t="str">
        <f>IFERROR(VLOOKUP($G689,Mapping!$E$208:$K$236,5,0),"Contracts")</f>
        <v>Labour</v>
      </c>
      <c r="M689" s="7" t="str">
        <f>IFERROR(VLOOKUP($G689,Mapping!$E$208:$K$236,7,0),"ENDirect")</f>
        <v>ENDirect</v>
      </c>
      <c r="N689" s="7" t="str">
        <f>IFERROR(HLOOKUP(L689,'Calc|Weightings'!$U$5:$W$5,1,0),"Excl")</f>
        <v>Labour</v>
      </c>
      <c r="O689" s="7" t="str">
        <f>VLOOKUP(E689,Mapping!$E$11:$I$204,5,0)</f>
        <v>SCS</v>
      </c>
      <c r="Q689" s="32" t="s">
        <v>218</v>
      </c>
      <c r="R689" s="32"/>
      <c r="S689" s="32">
        <v>89999</v>
      </c>
      <c r="T689" s="32" t="s">
        <v>471</v>
      </c>
      <c r="U689" s="33">
        <v>0</v>
      </c>
      <c r="V689" s="7"/>
      <c r="W689" s="7" t="str">
        <f>VLOOKUP($Q689,Mapping!$E$11:$I$204,3,0)</f>
        <v>Replacement</v>
      </c>
      <c r="X689" s="7" t="str">
        <f>IFERROR(VLOOKUP($S689,Mapping!$E$208:$K$236,5,0),"Contracts")</f>
        <v>Contracts</v>
      </c>
      <c r="Y689" s="7" t="str">
        <f>IFERROR(VLOOKUP($S689,Mapping!$E$208:$K$236,7,0),"ENDirect")</f>
        <v>ENDirect</v>
      </c>
      <c r="Z689" s="7" t="str">
        <f>IFERROR(HLOOKUP(X689,'Calc|Weightings'!$U$5:$W$5,1,0),"Excl")</f>
        <v>Contracts</v>
      </c>
      <c r="AA689" s="7" t="str">
        <f>VLOOKUP(Q689,Mapping!$E$11:$I$204,5,0)</f>
        <v>SCS</v>
      </c>
      <c r="AC689" s="35" t="s">
        <v>206</v>
      </c>
      <c r="AD689" s="35"/>
      <c r="AE689" s="35">
        <v>71015</v>
      </c>
      <c r="AF689" s="35" t="s">
        <v>463</v>
      </c>
      <c r="AG689" s="36">
        <v>0.38300000000000001</v>
      </c>
      <c r="AI689" s="7" t="str">
        <f>VLOOKUP($AC689,Mapping!$E$11:$I$204,3,0)</f>
        <v>Replacement</v>
      </c>
      <c r="AJ689" s="7" t="str">
        <f>IFERROR(VLOOKUP($AE689,Mapping!$E$208:$K$236,5,0),"Contracts")</f>
        <v>Materials</v>
      </c>
      <c r="AK689" s="7" t="str">
        <f>IFERROR(VLOOKUP($AE689,Mapping!$E$208:$K$236,7,0),"ENDirect")</f>
        <v>ENDirect</v>
      </c>
      <c r="AL689" s="7" t="str">
        <f>IFERROR(HLOOKUP(AJ689,'Calc|Weightings'!$U$5:$W$5,1,0),"Excl")</f>
        <v>Materials</v>
      </c>
      <c r="AM689" s="7" t="str">
        <f>VLOOKUP(AC689,Mapping!$E$11:$I$204,5,0)</f>
        <v>SCS</v>
      </c>
      <c r="AO689" s="35" t="s">
        <v>197</v>
      </c>
      <c r="AP689" s="35"/>
      <c r="AQ689" s="35">
        <v>83010</v>
      </c>
      <c r="AR689" s="35" t="s">
        <v>591</v>
      </c>
      <c r="AS689" s="121">
        <v>104.64707000000001</v>
      </c>
      <c r="AU689" s="7" t="str">
        <f>VLOOKUP($AO689,Mapping!$E$11:$I$204,3,0)</f>
        <v>Replacement</v>
      </c>
      <c r="AV689" s="7" t="str">
        <f>IFERROR(VLOOKUP($AQ689,Mapping!$E$208:$K$236,5,0),"Contracts")</f>
        <v>Contracts</v>
      </c>
      <c r="AW689" s="7" t="str">
        <f>IFERROR(VLOOKUP($AQ689,Mapping!$E$208:$K$236,7,0),"ENDirect")</f>
        <v>ENDirect</v>
      </c>
      <c r="AX689" s="7" t="str">
        <f>IFERROR(HLOOKUP(AV689,'Calc|Weightings'!$U$5:$W$5,1,0),"Excl")</f>
        <v>Contracts</v>
      </c>
      <c r="AY689" s="7" t="str">
        <f>VLOOKUP(AO689,Mapping!$E$11:$I$204,5,0)</f>
        <v>SCS</v>
      </c>
    </row>
    <row r="690" spans="1:51" x14ac:dyDescent="0.3">
      <c r="A690" s="7"/>
      <c r="B690" s="7"/>
      <c r="C690" s="7"/>
      <c r="D690" s="7"/>
      <c r="E690" s="32" t="s">
        <v>168</v>
      </c>
      <c r="F690" s="32"/>
      <c r="G690" s="32">
        <v>71005</v>
      </c>
      <c r="H690" s="32" t="s">
        <v>461</v>
      </c>
      <c r="I690" s="33">
        <v>580.09400000000005</v>
      </c>
      <c r="J690" s="170"/>
      <c r="K690" s="7" t="str">
        <f>VLOOKUP($E690,Mapping!$E$11:$I$204,3,0)</f>
        <v>Replacement</v>
      </c>
      <c r="L690" s="7" t="str">
        <f>IFERROR(VLOOKUP($G690,Mapping!$E$208:$K$236,5,0),"Contracts")</f>
        <v>Materials</v>
      </c>
      <c r="M690" s="7" t="str">
        <f>IFERROR(VLOOKUP($G690,Mapping!$E$208:$K$236,7,0),"ENDirect")</f>
        <v>ENDirect</v>
      </c>
      <c r="N690" s="7" t="str">
        <f>IFERROR(HLOOKUP(L690,'Calc|Weightings'!$U$5:$W$5,1,0),"Excl")</f>
        <v>Materials</v>
      </c>
      <c r="O690" s="7" t="str">
        <f>VLOOKUP(E690,Mapping!$E$11:$I$204,5,0)</f>
        <v>SCS</v>
      </c>
      <c r="Q690" s="32" t="s">
        <v>219</v>
      </c>
      <c r="R690" s="32"/>
      <c r="S690" s="32">
        <v>71000</v>
      </c>
      <c r="T690" s="32" t="s">
        <v>457</v>
      </c>
      <c r="U690" s="33">
        <v>56.95</v>
      </c>
      <c r="V690" s="7"/>
      <c r="W690" s="7" t="str">
        <f>VLOOKUP($Q690,Mapping!$E$11:$I$204,3,0)</f>
        <v>Replacement</v>
      </c>
      <c r="X690" s="7" t="str">
        <f>IFERROR(VLOOKUP($S690,Mapping!$E$208:$K$236,5,0),"Contracts")</f>
        <v>Labour</v>
      </c>
      <c r="Y690" s="7" t="str">
        <f>IFERROR(VLOOKUP($S690,Mapping!$E$208:$K$236,7,0),"ENDirect")</f>
        <v>ENDirect</v>
      </c>
      <c r="Z690" s="7" t="str">
        <f>IFERROR(HLOOKUP(X690,'Calc|Weightings'!$U$5:$W$5,1,0),"Excl")</f>
        <v>Labour</v>
      </c>
      <c r="AA690" s="7" t="str">
        <f>VLOOKUP(Q690,Mapping!$E$11:$I$204,5,0)</f>
        <v>SCS</v>
      </c>
      <c r="AC690" s="35" t="s">
        <v>206</v>
      </c>
      <c r="AD690" s="35"/>
      <c r="AE690" s="35">
        <v>71030</v>
      </c>
      <c r="AF690" s="35" t="s">
        <v>464</v>
      </c>
      <c r="AG690" s="36">
        <v>37.47</v>
      </c>
      <c r="AI690" s="7" t="str">
        <f>VLOOKUP($AC690,Mapping!$E$11:$I$204,3,0)</f>
        <v>Replacement</v>
      </c>
      <c r="AJ690" s="7" t="str">
        <f>IFERROR(VLOOKUP($AE690,Mapping!$E$208:$K$236,5,0),"Contracts")</f>
        <v>Contracts</v>
      </c>
      <c r="AK690" s="7" t="str">
        <f>IFERROR(VLOOKUP($AE690,Mapping!$E$208:$K$236,7,0),"ENDirect")</f>
        <v>ENDirect</v>
      </c>
      <c r="AL690" s="7" t="str">
        <f>IFERROR(HLOOKUP(AJ690,'Calc|Weightings'!$U$5:$W$5,1,0),"Excl")</f>
        <v>Contracts</v>
      </c>
      <c r="AM690" s="7" t="str">
        <f>VLOOKUP(AC690,Mapping!$E$11:$I$204,5,0)</f>
        <v>SCS</v>
      </c>
      <c r="AO690" s="35" t="s">
        <v>198</v>
      </c>
      <c r="AP690" s="35"/>
      <c r="AQ690" s="35">
        <v>71000</v>
      </c>
      <c r="AR690" s="35" t="s">
        <v>457</v>
      </c>
      <c r="AS690" s="121">
        <v>2.6185700000000001</v>
      </c>
      <c r="AU690" s="7" t="str">
        <f>VLOOKUP($AO690,Mapping!$E$11:$I$204,3,0)</f>
        <v>Replacement</v>
      </c>
      <c r="AV690" s="7" t="str">
        <f>IFERROR(VLOOKUP($AQ690,Mapping!$E$208:$K$236,5,0),"Contracts")</f>
        <v>Labour</v>
      </c>
      <c r="AW690" s="7" t="str">
        <f>IFERROR(VLOOKUP($AQ690,Mapping!$E$208:$K$236,7,0),"ENDirect")</f>
        <v>ENDirect</v>
      </c>
      <c r="AX690" s="7" t="str">
        <f>IFERROR(HLOOKUP(AV690,'Calc|Weightings'!$U$5:$W$5,1,0),"Excl")</f>
        <v>Labour</v>
      </c>
      <c r="AY690" s="7" t="str">
        <f>VLOOKUP(AO690,Mapping!$E$11:$I$204,5,0)</f>
        <v>SCS</v>
      </c>
    </row>
    <row r="691" spans="1:51" x14ac:dyDescent="0.3">
      <c r="A691" s="7"/>
      <c r="B691" s="7"/>
      <c r="C691" s="7"/>
      <c r="D691" s="7"/>
      <c r="E691" s="32" t="s">
        <v>168</v>
      </c>
      <c r="F691" s="32"/>
      <c r="G691" s="32">
        <v>71010</v>
      </c>
      <c r="H691" s="32" t="s">
        <v>462</v>
      </c>
      <c r="I691" s="33">
        <v>223.01900000000001</v>
      </c>
      <c r="J691" s="170"/>
      <c r="K691" s="7" t="str">
        <f>VLOOKUP($E691,Mapping!$E$11:$I$204,3,0)</f>
        <v>Replacement</v>
      </c>
      <c r="L691" s="7" t="str">
        <f>IFERROR(VLOOKUP($G691,Mapping!$E$208:$K$236,5,0),"Contracts")</f>
        <v>Labour</v>
      </c>
      <c r="M691" s="7" t="str">
        <f>IFERROR(VLOOKUP($G691,Mapping!$E$208:$K$236,7,0),"ENDirect")</f>
        <v>ENDirect</v>
      </c>
      <c r="N691" s="7" t="str">
        <f>IFERROR(HLOOKUP(L691,'Calc|Weightings'!$U$5:$W$5,1,0),"Excl")</f>
        <v>Labour</v>
      </c>
      <c r="O691" s="7" t="str">
        <f>VLOOKUP(E691,Mapping!$E$11:$I$204,5,0)</f>
        <v>SCS</v>
      </c>
      <c r="Q691" s="32" t="s">
        <v>219</v>
      </c>
      <c r="R691" s="32"/>
      <c r="S691" s="32">
        <v>71005</v>
      </c>
      <c r="T691" s="32" t="s">
        <v>461</v>
      </c>
      <c r="U691" s="33">
        <v>12.428000000000001</v>
      </c>
      <c r="V691" s="7"/>
      <c r="W691" s="7" t="str">
        <f>VLOOKUP($Q691,Mapping!$E$11:$I$204,3,0)</f>
        <v>Replacement</v>
      </c>
      <c r="X691" s="7" t="str">
        <f>IFERROR(VLOOKUP($S691,Mapping!$E$208:$K$236,5,0),"Contracts")</f>
        <v>Materials</v>
      </c>
      <c r="Y691" s="7" t="str">
        <f>IFERROR(VLOOKUP($S691,Mapping!$E$208:$K$236,7,0),"ENDirect")</f>
        <v>ENDirect</v>
      </c>
      <c r="Z691" s="7" t="str">
        <f>IFERROR(HLOOKUP(X691,'Calc|Weightings'!$U$5:$W$5,1,0),"Excl")</f>
        <v>Materials</v>
      </c>
      <c r="AA691" s="7" t="str">
        <f>VLOOKUP(Q691,Mapping!$E$11:$I$204,5,0)</f>
        <v>SCS</v>
      </c>
      <c r="AC691" s="35" t="s">
        <v>206</v>
      </c>
      <c r="AD691" s="35"/>
      <c r="AE691" s="35">
        <v>71055</v>
      </c>
      <c r="AF691" s="35" t="s">
        <v>465</v>
      </c>
      <c r="AG691" s="36">
        <v>83.295000000000002</v>
      </c>
      <c r="AI691" s="7" t="str">
        <f>VLOOKUP($AC691,Mapping!$E$11:$I$204,3,0)</f>
        <v>Replacement</v>
      </c>
      <c r="AJ691" s="7" t="str">
        <f>IFERROR(VLOOKUP($AE691,Mapping!$E$208:$K$236,5,0),"Contracts")</f>
        <v>Contracts</v>
      </c>
      <c r="AK691" s="7" t="str">
        <f>IFERROR(VLOOKUP($AE691,Mapping!$E$208:$K$236,7,0),"ENDirect")</f>
        <v>ENDirect</v>
      </c>
      <c r="AL691" s="7" t="str">
        <f>IFERROR(HLOOKUP(AJ691,'Calc|Weightings'!$U$5:$W$5,1,0),"Excl")</f>
        <v>Contracts</v>
      </c>
      <c r="AM691" s="7" t="str">
        <f>VLOOKUP(AC691,Mapping!$E$11:$I$204,5,0)</f>
        <v>SCS</v>
      </c>
      <c r="AO691" s="35" t="s">
        <v>198</v>
      </c>
      <c r="AP691" s="35"/>
      <c r="AQ691" s="35">
        <v>71010</v>
      </c>
      <c r="AR691" s="35" t="s">
        <v>487</v>
      </c>
      <c r="AS691" s="121">
        <v>4.5454499999999998</v>
      </c>
      <c r="AU691" s="7" t="str">
        <f>VLOOKUP($AO691,Mapping!$E$11:$I$204,3,0)</f>
        <v>Replacement</v>
      </c>
      <c r="AV691" s="7" t="str">
        <f>IFERROR(VLOOKUP($AQ691,Mapping!$E$208:$K$236,5,0),"Contracts")</f>
        <v>Labour</v>
      </c>
      <c r="AW691" s="7" t="str">
        <f>IFERROR(VLOOKUP($AQ691,Mapping!$E$208:$K$236,7,0),"ENDirect")</f>
        <v>ENDirect</v>
      </c>
      <c r="AX691" s="7" t="str">
        <f>IFERROR(HLOOKUP(AV691,'Calc|Weightings'!$U$5:$W$5,1,0),"Excl")</f>
        <v>Labour</v>
      </c>
      <c r="AY691" s="7" t="str">
        <f>VLOOKUP(AO691,Mapping!$E$11:$I$204,5,0)</f>
        <v>SCS</v>
      </c>
    </row>
    <row r="692" spans="1:51" x14ac:dyDescent="0.3">
      <c r="A692" s="7"/>
      <c r="B692" s="7"/>
      <c r="C692" s="7"/>
      <c r="D692" s="7"/>
      <c r="E692" s="32" t="s">
        <v>168</v>
      </c>
      <c r="F692" s="32"/>
      <c r="G692" s="32">
        <v>71015</v>
      </c>
      <c r="H692" s="32" t="s">
        <v>463</v>
      </c>
      <c r="I692" s="33">
        <v>115.009</v>
      </c>
      <c r="J692" s="170"/>
      <c r="K692" s="7" t="str">
        <f>VLOOKUP($E692,Mapping!$E$11:$I$204,3,0)</f>
        <v>Replacement</v>
      </c>
      <c r="L692" s="7" t="str">
        <f>IFERROR(VLOOKUP($G692,Mapping!$E$208:$K$236,5,0),"Contracts")</f>
        <v>Materials</v>
      </c>
      <c r="M692" s="7" t="str">
        <f>IFERROR(VLOOKUP($G692,Mapping!$E$208:$K$236,7,0),"ENDirect")</f>
        <v>ENDirect</v>
      </c>
      <c r="N692" s="7" t="str">
        <f>IFERROR(HLOOKUP(L692,'Calc|Weightings'!$U$5:$W$5,1,0),"Excl")</f>
        <v>Materials</v>
      </c>
      <c r="O692" s="7" t="str">
        <f>VLOOKUP(E692,Mapping!$E$11:$I$204,5,0)</f>
        <v>SCS</v>
      </c>
      <c r="Q692" s="32" t="s">
        <v>219</v>
      </c>
      <c r="R692" s="32"/>
      <c r="S692" s="32">
        <v>71010</v>
      </c>
      <c r="T692" s="32" t="s">
        <v>462</v>
      </c>
      <c r="U692" s="33">
        <v>87.277000000000001</v>
      </c>
      <c r="V692" s="7"/>
      <c r="W692" s="7" t="str">
        <f>VLOOKUP($Q692,Mapping!$E$11:$I$204,3,0)</f>
        <v>Replacement</v>
      </c>
      <c r="X692" s="7" t="str">
        <f>IFERROR(VLOOKUP($S692,Mapping!$E$208:$K$236,5,0),"Contracts")</f>
        <v>Labour</v>
      </c>
      <c r="Y692" s="7" t="str">
        <f>IFERROR(VLOOKUP($S692,Mapping!$E$208:$K$236,7,0),"ENDirect")</f>
        <v>ENDirect</v>
      </c>
      <c r="Z692" s="7" t="str">
        <f>IFERROR(HLOOKUP(X692,'Calc|Weightings'!$U$5:$W$5,1,0),"Excl")</f>
        <v>Labour</v>
      </c>
      <c r="AA692" s="7" t="str">
        <f>VLOOKUP(Q692,Mapping!$E$11:$I$204,5,0)</f>
        <v>SCS</v>
      </c>
      <c r="AC692" s="35" t="s">
        <v>206</v>
      </c>
      <c r="AD692" s="35"/>
      <c r="AE692" s="35">
        <v>80000</v>
      </c>
      <c r="AF692" s="35" t="s">
        <v>453</v>
      </c>
      <c r="AG692" s="36">
        <v>53.692999999999998</v>
      </c>
      <c r="AI692" s="7" t="str">
        <f>VLOOKUP($AC692,Mapping!$E$11:$I$204,3,0)</f>
        <v>Replacement</v>
      </c>
      <c r="AJ692" s="7" t="str">
        <f>IFERROR(VLOOKUP($AE692,Mapping!$E$208:$K$236,5,0),"Contracts")</f>
        <v>Overhead</v>
      </c>
      <c r="AK692" s="7" t="str">
        <f>IFERROR(VLOOKUP($AE692,Mapping!$E$208:$K$236,7,0),"ENDirect")</f>
        <v>OH</v>
      </c>
      <c r="AL692" s="7" t="str">
        <f>IFERROR(HLOOKUP(AJ692,'Calc|Weightings'!$U$5:$W$5,1,0),"Excl")</f>
        <v>Excl</v>
      </c>
      <c r="AM692" s="7" t="str">
        <f>VLOOKUP(AC692,Mapping!$E$11:$I$204,5,0)</f>
        <v>SCS</v>
      </c>
      <c r="AO692" s="35" t="s">
        <v>198</v>
      </c>
      <c r="AP692" s="35"/>
      <c r="AQ692" s="35">
        <v>71015</v>
      </c>
      <c r="AR692" s="35" t="s">
        <v>585</v>
      </c>
      <c r="AS692" s="121">
        <v>0.35343000000000002</v>
      </c>
      <c r="AU692" s="7" t="str">
        <f>VLOOKUP($AO692,Mapping!$E$11:$I$204,3,0)</f>
        <v>Replacement</v>
      </c>
      <c r="AV692" s="7" t="str">
        <f>IFERROR(VLOOKUP($AQ692,Mapping!$E$208:$K$236,5,0),"Contracts")</f>
        <v>Materials</v>
      </c>
      <c r="AW692" s="7" t="str">
        <f>IFERROR(VLOOKUP($AQ692,Mapping!$E$208:$K$236,7,0),"ENDirect")</f>
        <v>ENDirect</v>
      </c>
      <c r="AX692" s="7" t="str">
        <f>IFERROR(HLOOKUP(AV692,'Calc|Weightings'!$U$5:$W$5,1,0),"Excl")</f>
        <v>Materials</v>
      </c>
      <c r="AY692" s="7" t="str">
        <f>VLOOKUP(AO692,Mapping!$E$11:$I$204,5,0)</f>
        <v>SCS</v>
      </c>
    </row>
    <row r="693" spans="1:51" x14ac:dyDescent="0.3">
      <c r="A693" s="7"/>
      <c r="B693" s="7"/>
      <c r="C693" s="7"/>
      <c r="D693" s="7"/>
      <c r="E693" s="32" t="s">
        <v>168</v>
      </c>
      <c r="F693" s="32"/>
      <c r="G693" s="32">
        <v>71030</v>
      </c>
      <c r="H693" s="32" t="s">
        <v>464</v>
      </c>
      <c r="I693" s="33">
        <v>108.048</v>
      </c>
      <c r="J693" s="170"/>
      <c r="K693" s="7" t="str">
        <f>VLOOKUP($E693,Mapping!$E$11:$I$204,3,0)</f>
        <v>Replacement</v>
      </c>
      <c r="L693" s="7" t="str">
        <f>IFERROR(VLOOKUP($G693,Mapping!$E$208:$K$236,5,0),"Contracts")</f>
        <v>Contracts</v>
      </c>
      <c r="M693" s="7" t="str">
        <f>IFERROR(VLOOKUP($G693,Mapping!$E$208:$K$236,7,0),"ENDirect")</f>
        <v>ENDirect</v>
      </c>
      <c r="N693" s="7" t="str">
        <f>IFERROR(HLOOKUP(L693,'Calc|Weightings'!$U$5:$W$5,1,0),"Excl")</f>
        <v>Contracts</v>
      </c>
      <c r="O693" s="7" t="str">
        <f>VLOOKUP(E693,Mapping!$E$11:$I$204,5,0)</f>
        <v>SCS</v>
      </c>
      <c r="Q693" s="32" t="s">
        <v>219</v>
      </c>
      <c r="R693" s="32"/>
      <c r="S693" s="32">
        <v>71015</v>
      </c>
      <c r="T693" s="32" t="s">
        <v>463</v>
      </c>
      <c r="U693" s="33">
        <v>11.052</v>
      </c>
      <c r="V693" s="7"/>
      <c r="W693" s="7" t="str">
        <f>VLOOKUP($Q693,Mapping!$E$11:$I$204,3,0)</f>
        <v>Replacement</v>
      </c>
      <c r="X693" s="7" t="str">
        <f>IFERROR(VLOOKUP($S693,Mapping!$E$208:$K$236,5,0),"Contracts")</f>
        <v>Materials</v>
      </c>
      <c r="Y693" s="7" t="str">
        <f>IFERROR(VLOOKUP($S693,Mapping!$E$208:$K$236,7,0),"ENDirect")</f>
        <v>ENDirect</v>
      </c>
      <c r="Z693" s="7" t="str">
        <f>IFERROR(HLOOKUP(X693,'Calc|Weightings'!$U$5:$W$5,1,0),"Excl")</f>
        <v>Materials</v>
      </c>
      <c r="AA693" s="7" t="str">
        <f>VLOOKUP(Q693,Mapping!$E$11:$I$204,5,0)</f>
        <v>SCS</v>
      </c>
      <c r="AC693" s="35" t="s">
        <v>206</v>
      </c>
      <c r="AD693" s="35"/>
      <c r="AE693" s="35">
        <v>89999</v>
      </c>
      <c r="AF693" s="35" t="s">
        <v>471</v>
      </c>
      <c r="AG693" s="36">
        <v>0</v>
      </c>
      <c r="AI693" s="7" t="str">
        <f>VLOOKUP($AC693,Mapping!$E$11:$I$204,3,0)</f>
        <v>Replacement</v>
      </c>
      <c r="AJ693" s="7" t="str">
        <f>IFERROR(VLOOKUP($AE693,Mapping!$E$208:$K$236,5,0),"Contracts")</f>
        <v>Contracts</v>
      </c>
      <c r="AK693" s="7" t="str">
        <f>IFERROR(VLOOKUP($AE693,Mapping!$E$208:$K$236,7,0),"ENDirect")</f>
        <v>ENDirect</v>
      </c>
      <c r="AL693" s="7" t="str">
        <f>IFERROR(HLOOKUP(AJ693,'Calc|Weightings'!$U$5:$W$5,1,0),"Excl")</f>
        <v>Contracts</v>
      </c>
      <c r="AM693" s="7" t="str">
        <f>VLOOKUP(AC693,Mapping!$E$11:$I$204,5,0)</f>
        <v>SCS</v>
      </c>
      <c r="AO693" s="35" t="s">
        <v>198</v>
      </c>
      <c r="AP693" s="35"/>
      <c r="AQ693" s="35">
        <v>71130</v>
      </c>
      <c r="AR693" s="35" t="s">
        <v>592</v>
      </c>
      <c r="AS693" s="121">
        <v>1.3305899999999999</v>
      </c>
      <c r="AU693" s="7" t="str">
        <f>VLOOKUP($AO693,Mapping!$E$11:$I$204,3,0)</f>
        <v>Replacement</v>
      </c>
      <c r="AV693" s="7" t="str">
        <f>IFERROR(VLOOKUP($AQ693,Mapping!$E$208:$K$236,5,0),"Contracts")</f>
        <v>Contracts</v>
      </c>
      <c r="AW693" s="7" t="str">
        <f>IFERROR(VLOOKUP($AQ693,Mapping!$E$208:$K$236,7,0),"ENDirect")</f>
        <v>ENDirect</v>
      </c>
      <c r="AX693" s="7" t="str">
        <f>IFERROR(HLOOKUP(AV693,'Calc|Weightings'!$U$5:$W$5,1,0),"Excl")</f>
        <v>Contracts</v>
      </c>
      <c r="AY693" s="7" t="str">
        <f>VLOOKUP(AO693,Mapping!$E$11:$I$204,5,0)</f>
        <v>SCS</v>
      </c>
    </row>
    <row r="694" spans="1:51" x14ac:dyDescent="0.3">
      <c r="A694" s="7"/>
      <c r="B694" s="7"/>
      <c r="C694" s="7"/>
      <c r="D694" s="7"/>
      <c r="E694" s="32" t="s">
        <v>168</v>
      </c>
      <c r="F694" s="32"/>
      <c r="G694" s="32">
        <v>71055</v>
      </c>
      <c r="H694" s="32" t="s">
        <v>465</v>
      </c>
      <c r="I694" s="33">
        <v>223.416</v>
      </c>
      <c r="J694" s="170"/>
      <c r="K694" s="7" t="str">
        <f>VLOOKUP($E694,Mapping!$E$11:$I$204,3,0)</f>
        <v>Replacement</v>
      </c>
      <c r="L694" s="7" t="str">
        <f>IFERROR(VLOOKUP($G694,Mapping!$E$208:$K$236,5,0),"Contracts")</f>
        <v>Contracts</v>
      </c>
      <c r="M694" s="7" t="str">
        <f>IFERROR(VLOOKUP($G694,Mapping!$E$208:$K$236,7,0),"ENDirect")</f>
        <v>ENDirect</v>
      </c>
      <c r="N694" s="7" t="str">
        <f>IFERROR(HLOOKUP(L694,'Calc|Weightings'!$U$5:$W$5,1,0),"Excl")</f>
        <v>Contracts</v>
      </c>
      <c r="O694" s="7" t="str">
        <f>VLOOKUP(E694,Mapping!$E$11:$I$204,5,0)</f>
        <v>SCS</v>
      </c>
      <c r="Q694" s="32" t="s">
        <v>219</v>
      </c>
      <c r="R694" s="32"/>
      <c r="S694" s="32">
        <v>71030</v>
      </c>
      <c r="T694" s="32" t="s">
        <v>464</v>
      </c>
      <c r="U694" s="33">
        <v>13.746</v>
      </c>
      <c r="V694" s="7"/>
      <c r="W694" s="7" t="str">
        <f>VLOOKUP($Q694,Mapping!$E$11:$I$204,3,0)</f>
        <v>Replacement</v>
      </c>
      <c r="X694" s="7" t="str">
        <f>IFERROR(VLOOKUP($S694,Mapping!$E$208:$K$236,5,0),"Contracts")</f>
        <v>Contracts</v>
      </c>
      <c r="Y694" s="7" t="str">
        <f>IFERROR(VLOOKUP($S694,Mapping!$E$208:$K$236,7,0),"ENDirect")</f>
        <v>ENDirect</v>
      </c>
      <c r="Z694" s="7" t="str">
        <f>IFERROR(HLOOKUP(X694,'Calc|Weightings'!$U$5:$W$5,1,0),"Excl")</f>
        <v>Contracts</v>
      </c>
      <c r="AA694" s="7" t="str">
        <f>VLOOKUP(Q694,Mapping!$E$11:$I$204,5,0)</f>
        <v>SCS</v>
      </c>
      <c r="AC694" s="35" t="s">
        <v>209</v>
      </c>
      <c r="AD694" s="35"/>
      <c r="AE694" s="35">
        <v>71000</v>
      </c>
      <c r="AF694" s="35" t="s">
        <v>457</v>
      </c>
      <c r="AG694" s="36">
        <v>0.54800000000000004</v>
      </c>
      <c r="AI694" s="7" t="str">
        <f>VLOOKUP($AC694,Mapping!$E$11:$I$204,3,0)</f>
        <v>Replacement</v>
      </c>
      <c r="AJ694" s="7" t="str">
        <f>IFERROR(VLOOKUP($AE694,Mapping!$E$208:$K$236,5,0),"Contracts")</f>
        <v>Labour</v>
      </c>
      <c r="AK694" s="7" t="str">
        <f>IFERROR(VLOOKUP($AE694,Mapping!$E$208:$K$236,7,0),"ENDirect")</f>
        <v>ENDirect</v>
      </c>
      <c r="AL694" s="7" t="str">
        <f>IFERROR(HLOOKUP(AJ694,'Calc|Weightings'!$U$5:$W$5,1,0),"Excl")</f>
        <v>Labour</v>
      </c>
      <c r="AM694" s="7" t="str">
        <f>VLOOKUP(AC694,Mapping!$E$11:$I$204,5,0)</f>
        <v>SCS</v>
      </c>
      <c r="AO694" s="35" t="s">
        <v>198</v>
      </c>
      <c r="AP694" s="35"/>
      <c r="AQ694" s="35">
        <v>80000</v>
      </c>
      <c r="AR694" s="35" t="s">
        <v>589</v>
      </c>
      <c r="AS694" s="121">
        <v>1.36721</v>
      </c>
      <c r="AU694" s="7" t="str">
        <f>VLOOKUP($AO694,Mapping!$E$11:$I$204,3,0)</f>
        <v>Replacement</v>
      </c>
      <c r="AV694" s="7" t="str">
        <f>IFERROR(VLOOKUP($AQ694,Mapping!$E$208:$K$236,5,0),"Contracts")</f>
        <v>Overhead</v>
      </c>
      <c r="AW694" s="7" t="str">
        <f>IFERROR(VLOOKUP($AQ694,Mapping!$E$208:$K$236,7,0),"ENDirect")</f>
        <v>OH</v>
      </c>
      <c r="AX694" s="7" t="str">
        <f>IFERROR(HLOOKUP(AV694,'Calc|Weightings'!$U$5:$W$5,1,0),"Excl")</f>
        <v>Excl</v>
      </c>
      <c r="AY694" s="7" t="str">
        <f>VLOOKUP(AO694,Mapping!$E$11:$I$204,5,0)</f>
        <v>SCS</v>
      </c>
    </row>
    <row r="695" spans="1:51" x14ac:dyDescent="0.3">
      <c r="A695" s="7"/>
      <c r="B695" s="7"/>
      <c r="C695" s="7"/>
      <c r="D695" s="7"/>
      <c r="E695" s="32" t="s">
        <v>168</v>
      </c>
      <c r="F695" s="32"/>
      <c r="G695" s="32">
        <v>80000</v>
      </c>
      <c r="H695" s="32" t="s">
        <v>453</v>
      </c>
      <c r="I695" s="33">
        <v>158.364</v>
      </c>
      <c r="J695" s="170"/>
      <c r="K695" s="7" t="str">
        <f>VLOOKUP($E695,Mapping!$E$11:$I$204,3,0)</f>
        <v>Replacement</v>
      </c>
      <c r="L695" s="7" t="str">
        <f>IFERROR(VLOOKUP($G695,Mapping!$E$208:$K$236,5,0),"Contracts")</f>
        <v>Overhead</v>
      </c>
      <c r="M695" s="7" t="str">
        <f>IFERROR(VLOOKUP($G695,Mapping!$E$208:$K$236,7,0),"ENDirect")</f>
        <v>OH</v>
      </c>
      <c r="N695" s="7" t="str">
        <f>IFERROR(HLOOKUP(L695,'Calc|Weightings'!$U$5:$W$5,1,0),"Excl")</f>
        <v>Excl</v>
      </c>
      <c r="O695" s="7" t="str">
        <f>VLOOKUP(E695,Mapping!$E$11:$I$204,5,0)</f>
        <v>SCS</v>
      </c>
      <c r="Q695" s="32" t="s">
        <v>219</v>
      </c>
      <c r="R695" s="32"/>
      <c r="S695" s="32">
        <v>71055</v>
      </c>
      <c r="T695" s="32" t="s">
        <v>465</v>
      </c>
      <c r="U695" s="33">
        <v>28.677</v>
      </c>
      <c r="V695" s="7"/>
      <c r="W695" s="7" t="str">
        <f>VLOOKUP($Q695,Mapping!$E$11:$I$204,3,0)</f>
        <v>Replacement</v>
      </c>
      <c r="X695" s="7" t="str">
        <f>IFERROR(VLOOKUP($S695,Mapping!$E$208:$K$236,5,0),"Contracts")</f>
        <v>Contracts</v>
      </c>
      <c r="Y695" s="7" t="str">
        <f>IFERROR(VLOOKUP($S695,Mapping!$E$208:$K$236,7,0),"ENDirect")</f>
        <v>ENDirect</v>
      </c>
      <c r="Z695" s="7" t="str">
        <f>IFERROR(HLOOKUP(X695,'Calc|Weightings'!$U$5:$W$5,1,0),"Excl")</f>
        <v>Contracts</v>
      </c>
      <c r="AA695" s="7" t="str">
        <f>VLOOKUP(Q695,Mapping!$E$11:$I$204,5,0)</f>
        <v>SCS</v>
      </c>
      <c r="AC695" s="35" t="s">
        <v>209</v>
      </c>
      <c r="AD695" s="35"/>
      <c r="AE695" s="35">
        <v>71010</v>
      </c>
      <c r="AF695" s="35" t="s">
        <v>462</v>
      </c>
      <c r="AG695" s="36">
        <v>62.235999999999997</v>
      </c>
      <c r="AI695" s="7" t="str">
        <f>VLOOKUP($AC695,Mapping!$E$11:$I$204,3,0)</f>
        <v>Replacement</v>
      </c>
      <c r="AJ695" s="7" t="str">
        <f>IFERROR(VLOOKUP($AE695,Mapping!$E$208:$K$236,5,0),"Contracts")</f>
        <v>Labour</v>
      </c>
      <c r="AK695" s="7" t="str">
        <f>IFERROR(VLOOKUP($AE695,Mapping!$E$208:$K$236,7,0),"ENDirect")</f>
        <v>ENDirect</v>
      </c>
      <c r="AL695" s="7" t="str">
        <f>IFERROR(HLOOKUP(AJ695,'Calc|Weightings'!$U$5:$W$5,1,0),"Excl")</f>
        <v>Labour</v>
      </c>
      <c r="AM695" s="7" t="str">
        <f>VLOOKUP(AC695,Mapping!$E$11:$I$204,5,0)</f>
        <v>SCS</v>
      </c>
      <c r="AO695" s="35" t="s">
        <v>201</v>
      </c>
      <c r="AP695" s="35"/>
      <c r="AQ695" s="35">
        <v>70815</v>
      </c>
      <c r="AR695" s="35" t="s">
        <v>594</v>
      </c>
      <c r="AS695" s="121">
        <v>-172.6</v>
      </c>
      <c r="AU695" s="7" t="str">
        <f>VLOOKUP($AO695,Mapping!$E$11:$I$204,3,0)</f>
        <v>Replacement</v>
      </c>
      <c r="AV695" s="7" t="str">
        <f>IFERROR(VLOOKUP($AQ695,Mapping!$E$208:$K$236,5,0),"Contracts")</f>
        <v>Materials</v>
      </c>
      <c r="AW695" s="7" t="str">
        <f>IFERROR(VLOOKUP($AQ695,Mapping!$E$208:$K$236,7,0),"ENDirect")</f>
        <v>ENDirect</v>
      </c>
      <c r="AX695" s="7" t="str">
        <f>IFERROR(HLOOKUP(AV695,'Calc|Weightings'!$U$5:$W$5,1,0),"Excl")</f>
        <v>Materials</v>
      </c>
      <c r="AY695" s="7" t="str">
        <f>VLOOKUP(AO695,Mapping!$E$11:$I$204,5,0)</f>
        <v>SCS</v>
      </c>
    </row>
    <row r="696" spans="1:51" x14ac:dyDescent="0.3">
      <c r="A696" s="7"/>
      <c r="B696" s="7"/>
      <c r="C696" s="7"/>
      <c r="D696" s="7"/>
      <c r="E696" s="32" t="s">
        <v>171</v>
      </c>
      <c r="F696" s="32"/>
      <c r="G696" s="32">
        <v>71005</v>
      </c>
      <c r="H696" s="32" t="s">
        <v>461</v>
      </c>
      <c r="I696" s="33">
        <v>1.109</v>
      </c>
      <c r="J696" s="170"/>
      <c r="K696" s="7" t="str">
        <f>VLOOKUP($E696,Mapping!$E$11:$I$204,3,0)</f>
        <v>Replacement</v>
      </c>
      <c r="L696" s="7" t="str">
        <f>IFERROR(VLOOKUP($G696,Mapping!$E$208:$K$236,5,0),"Contracts")</f>
        <v>Materials</v>
      </c>
      <c r="M696" s="7" t="str">
        <f>IFERROR(VLOOKUP($G696,Mapping!$E$208:$K$236,7,0),"ENDirect")</f>
        <v>ENDirect</v>
      </c>
      <c r="N696" s="7" t="str">
        <f>IFERROR(HLOOKUP(L696,'Calc|Weightings'!$U$5:$W$5,1,0),"Excl")</f>
        <v>Materials</v>
      </c>
      <c r="O696" s="7" t="str">
        <f>VLOOKUP(E696,Mapping!$E$11:$I$204,5,0)</f>
        <v>SCS</v>
      </c>
      <c r="Q696" s="32" t="s">
        <v>219</v>
      </c>
      <c r="R696" s="32"/>
      <c r="S696" s="32">
        <v>80000</v>
      </c>
      <c r="T696" s="32" t="s">
        <v>453</v>
      </c>
      <c r="U696" s="33">
        <v>25.16</v>
      </c>
      <c r="V696" s="7"/>
      <c r="W696" s="7" t="str">
        <f>VLOOKUP($Q696,Mapping!$E$11:$I$204,3,0)</f>
        <v>Replacement</v>
      </c>
      <c r="X696" s="7" t="str">
        <f>IFERROR(VLOOKUP($S696,Mapping!$E$208:$K$236,5,0),"Contracts")</f>
        <v>Overhead</v>
      </c>
      <c r="Y696" s="7" t="str">
        <f>IFERROR(VLOOKUP($S696,Mapping!$E$208:$K$236,7,0),"ENDirect")</f>
        <v>OH</v>
      </c>
      <c r="Z696" s="7" t="str">
        <f>IFERROR(HLOOKUP(X696,'Calc|Weightings'!$U$5:$W$5,1,0),"Excl")</f>
        <v>Excl</v>
      </c>
      <c r="AA696" s="7" t="str">
        <f>VLOOKUP(Q696,Mapping!$E$11:$I$204,5,0)</f>
        <v>SCS</v>
      </c>
      <c r="AC696" s="35" t="s">
        <v>209</v>
      </c>
      <c r="AD696" s="35"/>
      <c r="AE696" s="35">
        <v>71030</v>
      </c>
      <c r="AF696" s="35" t="s">
        <v>464</v>
      </c>
      <c r="AG696" s="36">
        <v>5.0919999999999996</v>
      </c>
      <c r="AI696" s="7" t="str">
        <f>VLOOKUP($AC696,Mapping!$E$11:$I$204,3,0)</f>
        <v>Replacement</v>
      </c>
      <c r="AJ696" s="7" t="str">
        <f>IFERROR(VLOOKUP($AE696,Mapping!$E$208:$K$236,5,0),"Contracts")</f>
        <v>Contracts</v>
      </c>
      <c r="AK696" s="7" t="str">
        <f>IFERROR(VLOOKUP($AE696,Mapping!$E$208:$K$236,7,0),"ENDirect")</f>
        <v>ENDirect</v>
      </c>
      <c r="AL696" s="7" t="str">
        <f>IFERROR(HLOOKUP(AJ696,'Calc|Weightings'!$U$5:$W$5,1,0),"Excl")</f>
        <v>Contracts</v>
      </c>
      <c r="AM696" s="7" t="str">
        <f>VLOOKUP(AC696,Mapping!$E$11:$I$204,5,0)</f>
        <v>SCS</v>
      </c>
      <c r="AO696" s="35" t="s">
        <v>201</v>
      </c>
      <c r="AP696" s="35"/>
      <c r="AQ696" s="35">
        <v>71000</v>
      </c>
      <c r="AR696" s="35" t="s">
        <v>457</v>
      </c>
      <c r="AS696" s="121">
        <v>557.73722000000009</v>
      </c>
      <c r="AU696" s="7" t="str">
        <f>VLOOKUP($AO696,Mapping!$E$11:$I$204,3,0)</f>
        <v>Replacement</v>
      </c>
      <c r="AV696" s="7" t="str">
        <f>IFERROR(VLOOKUP($AQ696,Mapping!$E$208:$K$236,5,0),"Contracts")</f>
        <v>Labour</v>
      </c>
      <c r="AW696" s="7" t="str">
        <f>IFERROR(VLOOKUP($AQ696,Mapping!$E$208:$K$236,7,0),"ENDirect")</f>
        <v>ENDirect</v>
      </c>
      <c r="AX696" s="7" t="str">
        <f>IFERROR(HLOOKUP(AV696,'Calc|Weightings'!$U$5:$W$5,1,0),"Excl")</f>
        <v>Labour</v>
      </c>
      <c r="AY696" s="7" t="str">
        <f>VLOOKUP(AO696,Mapping!$E$11:$I$204,5,0)</f>
        <v>SCS</v>
      </c>
    </row>
    <row r="697" spans="1:51" x14ac:dyDescent="0.3">
      <c r="A697" s="7"/>
      <c r="B697" s="7"/>
      <c r="C697" s="7"/>
      <c r="D697" s="7"/>
      <c r="E697" s="32" t="s">
        <v>171</v>
      </c>
      <c r="F697" s="32"/>
      <c r="G697" s="32">
        <v>71040</v>
      </c>
      <c r="H697" s="32" t="s">
        <v>460</v>
      </c>
      <c r="I697" s="33">
        <v>-1.1839999999999999</v>
      </c>
      <c r="J697" s="170"/>
      <c r="K697" s="7" t="str">
        <f>VLOOKUP($E697,Mapping!$E$11:$I$204,3,0)</f>
        <v>Replacement</v>
      </c>
      <c r="L697" s="7" t="str">
        <f>IFERROR(VLOOKUP($G697,Mapping!$E$208:$K$236,5,0),"Contracts")</f>
        <v>Contracts</v>
      </c>
      <c r="M697" s="7" t="str">
        <f>IFERROR(VLOOKUP($G697,Mapping!$E$208:$K$236,7,0),"ENDirect")</f>
        <v>ENDirect</v>
      </c>
      <c r="N697" s="7" t="str">
        <f>IFERROR(HLOOKUP(L697,'Calc|Weightings'!$U$5:$W$5,1,0),"Excl")</f>
        <v>Contracts</v>
      </c>
      <c r="O697" s="7" t="str">
        <f>VLOOKUP(E697,Mapping!$E$11:$I$204,5,0)</f>
        <v>SCS</v>
      </c>
      <c r="Q697" s="32" t="s">
        <v>220</v>
      </c>
      <c r="R697" s="32"/>
      <c r="S697" s="32">
        <v>71000</v>
      </c>
      <c r="T697" s="32" t="s">
        <v>457</v>
      </c>
      <c r="U697" s="33">
        <v>4.1870000000000003</v>
      </c>
      <c r="V697" s="7"/>
      <c r="W697" s="7" t="str">
        <f>VLOOKUP($Q697,Mapping!$E$11:$I$204,3,0)</f>
        <v>Replacement</v>
      </c>
      <c r="X697" s="7" t="str">
        <f>IFERROR(VLOOKUP($S697,Mapping!$E$208:$K$236,5,0),"Contracts")</f>
        <v>Labour</v>
      </c>
      <c r="Y697" s="7" t="str">
        <f>IFERROR(VLOOKUP($S697,Mapping!$E$208:$K$236,7,0),"ENDirect")</f>
        <v>ENDirect</v>
      </c>
      <c r="Z697" s="7" t="str">
        <f>IFERROR(HLOOKUP(X697,'Calc|Weightings'!$U$5:$W$5,1,0),"Excl")</f>
        <v>Labour</v>
      </c>
      <c r="AA697" s="7" t="str">
        <f>VLOOKUP(Q697,Mapping!$E$11:$I$204,5,0)</f>
        <v>SCS</v>
      </c>
      <c r="AC697" s="35" t="s">
        <v>209</v>
      </c>
      <c r="AD697" s="35"/>
      <c r="AE697" s="35">
        <v>71055</v>
      </c>
      <c r="AF697" s="35" t="s">
        <v>465</v>
      </c>
      <c r="AG697" s="36">
        <v>10.500999999999999</v>
      </c>
      <c r="AI697" s="7" t="str">
        <f>VLOOKUP($AC697,Mapping!$E$11:$I$204,3,0)</f>
        <v>Replacement</v>
      </c>
      <c r="AJ697" s="7" t="str">
        <f>IFERROR(VLOOKUP($AE697,Mapping!$E$208:$K$236,5,0),"Contracts")</f>
        <v>Contracts</v>
      </c>
      <c r="AK697" s="7" t="str">
        <f>IFERROR(VLOOKUP($AE697,Mapping!$E$208:$K$236,7,0),"ENDirect")</f>
        <v>ENDirect</v>
      </c>
      <c r="AL697" s="7" t="str">
        <f>IFERROR(HLOOKUP(AJ697,'Calc|Weightings'!$U$5:$W$5,1,0),"Excl")</f>
        <v>Contracts</v>
      </c>
      <c r="AM697" s="7" t="str">
        <f>VLOOKUP(AC697,Mapping!$E$11:$I$204,5,0)</f>
        <v>SCS</v>
      </c>
      <c r="AO697" s="35" t="s">
        <v>201</v>
      </c>
      <c r="AP697" s="35"/>
      <c r="AQ697" s="35">
        <v>71005</v>
      </c>
      <c r="AR697" s="35" t="s">
        <v>461</v>
      </c>
      <c r="AS697" s="121">
        <v>52.34279999999999</v>
      </c>
      <c r="AU697" s="7" t="str">
        <f>VLOOKUP($AO697,Mapping!$E$11:$I$204,3,0)</f>
        <v>Replacement</v>
      </c>
      <c r="AV697" s="7" t="str">
        <f>IFERROR(VLOOKUP($AQ697,Mapping!$E$208:$K$236,5,0),"Contracts")</f>
        <v>Materials</v>
      </c>
      <c r="AW697" s="7" t="str">
        <f>IFERROR(VLOOKUP($AQ697,Mapping!$E$208:$K$236,7,0),"ENDirect")</f>
        <v>ENDirect</v>
      </c>
      <c r="AX697" s="7" t="str">
        <f>IFERROR(HLOOKUP(AV697,'Calc|Weightings'!$U$5:$W$5,1,0),"Excl")</f>
        <v>Materials</v>
      </c>
      <c r="AY697" s="7" t="str">
        <f>VLOOKUP(AO697,Mapping!$E$11:$I$204,5,0)</f>
        <v>SCS</v>
      </c>
    </row>
    <row r="698" spans="1:51" x14ac:dyDescent="0.3">
      <c r="A698" s="7"/>
      <c r="B698" s="7"/>
      <c r="C698" s="7"/>
      <c r="D698" s="7"/>
      <c r="E698" s="32" t="s">
        <v>171</v>
      </c>
      <c r="F698" s="32"/>
      <c r="G698" s="32">
        <v>80000</v>
      </c>
      <c r="H698" s="32" t="s">
        <v>453</v>
      </c>
      <c r="I698" s="33">
        <v>38.923000000000002</v>
      </c>
      <c r="J698" s="170"/>
      <c r="K698" s="7" t="str">
        <f>VLOOKUP($E698,Mapping!$E$11:$I$204,3,0)</f>
        <v>Replacement</v>
      </c>
      <c r="L698" s="7" t="str">
        <f>IFERROR(VLOOKUP($G698,Mapping!$E$208:$K$236,5,0),"Contracts")</f>
        <v>Overhead</v>
      </c>
      <c r="M698" s="7" t="str">
        <f>IFERROR(VLOOKUP($G698,Mapping!$E$208:$K$236,7,0),"ENDirect")</f>
        <v>OH</v>
      </c>
      <c r="N698" s="7" t="str">
        <f>IFERROR(HLOOKUP(L698,'Calc|Weightings'!$U$5:$W$5,1,0),"Excl")</f>
        <v>Excl</v>
      </c>
      <c r="O698" s="7" t="str">
        <f>VLOOKUP(E698,Mapping!$E$11:$I$204,5,0)</f>
        <v>SCS</v>
      </c>
      <c r="Q698" s="32" t="s">
        <v>220</v>
      </c>
      <c r="R698" s="32"/>
      <c r="S698" s="32">
        <v>71005</v>
      </c>
      <c r="T698" s="32" t="s">
        <v>461</v>
      </c>
      <c r="U698" s="33">
        <v>0.83799999999999997</v>
      </c>
      <c r="V698" s="7"/>
      <c r="W698" s="7" t="str">
        <f>VLOOKUP($Q698,Mapping!$E$11:$I$204,3,0)</f>
        <v>Replacement</v>
      </c>
      <c r="X698" s="7" t="str">
        <f>IFERROR(VLOOKUP($S698,Mapping!$E$208:$K$236,5,0),"Contracts")</f>
        <v>Materials</v>
      </c>
      <c r="Y698" s="7" t="str">
        <f>IFERROR(VLOOKUP($S698,Mapping!$E$208:$K$236,7,0),"ENDirect")</f>
        <v>ENDirect</v>
      </c>
      <c r="Z698" s="7" t="str">
        <f>IFERROR(HLOOKUP(X698,'Calc|Weightings'!$U$5:$W$5,1,0),"Excl")</f>
        <v>Materials</v>
      </c>
      <c r="AA698" s="7" t="str">
        <f>VLOOKUP(Q698,Mapping!$E$11:$I$204,5,0)</f>
        <v>SCS</v>
      </c>
      <c r="AC698" s="35" t="s">
        <v>209</v>
      </c>
      <c r="AD698" s="35"/>
      <c r="AE698" s="35">
        <v>80000</v>
      </c>
      <c r="AF698" s="35" t="s">
        <v>453</v>
      </c>
      <c r="AG698" s="36">
        <v>6.7</v>
      </c>
      <c r="AI698" s="7" t="str">
        <f>VLOOKUP($AC698,Mapping!$E$11:$I$204,3,0)</f>
        <v>Replacement</v>
      </c>
      <c r="AJ698" s="7" t="str">
        <f>IFERROR(VLOOKUP($AE698,Mapping!$E$208:$K$236,5,0),"Contracts")</f>
        <v>Overhead</v>
      </c>
      <c r="AK698" s="7" t="str">
        <f>IFERROR(VLOOKUP($AE698,Mapping!$E$208:$K$236,7,0),"ENDirect")</f>
        <v>OH</v>
      </c>
      <c r="AL698" s="7" t="str">
        <f>IFERROR(HLOOKUP(AJ698,'Calc|Weightings'!$U$5:$W$5,1,0),"Excl")</f>
        <v>Excl</v>
      </c>
      <c r="AM698" s="7" t="str">
        <f>VLOOKUP(AC698,Mapping!$E$11:$I$204,5,0)</f>
        <v>SCS</v>
      </c>
      <c r="AO698" s="35" t="s">
        <v>201</v>
      </c>
      <c r="AP698" s="35"/>
      <c r="AQ698" s="35">
        <v>71010</v>
      </c>
      <c r="AR698" s="35" t="s">
        <v>487</v>
      </c>
      <c r="AS698" s="121">
        <v>59.073490000000007</v>
      </c>
      <c r="AU698" s="7" t="str">
        <f>VLOOKUP($AO698,Mapping!$E$11:$I$204,3,0)</f>
        <v>Replacement</v>
      </c>
      <c r="AV698" s="7" t="str">
        <f>IFERROR(VLOOKUP($AQ698,Mapping!$E$208:$K$236,5,0),"Contracts")</f>
        <v>Labour</v>
      </c>
      <c r="AW698" s="7" t="str">
        <f>IFERROR(VLOOKUP($AQ698,Mapping!$E$208:$K$236,7,0),"ENDirect")</f>
        <v>ENDirect</v>
      </c>
      <c r="AX698" s="7" t="str">
        <f>IFERROR(HLOOKUP(AV698,'Calc|Weightings'!$U$5:$W$5,1,0),"Excl")</f>
        <v>Labour</v>
      </c>
      <c r="AY698" s="7" t="str">
        <f>VLOOKUP(AO698,Mapping!$E$11:$I$204,5,0)</f>
        <v>SCS</v>
      </c>
    </row>
    <row r="699" spans="1:51" x14ac:dyDescent="0.3">
      <c r="A699" s="7"/>
      <c r="B699" s="7"/>
      <c r="C699" s="7"/>
      <c r="D699" s="7"/>
      <c r="E699" s="32" t="s">
        <v>173</v>
      </c>
      <c r="F699" s="32"/>
      <c r="G699" s="32">
        <v>71000</v>
      </c>
      <c r="H699" s="32" t="s">
        <v>457</v>
      </c>
      <c r="I699" s="33">
        <v>5.3810000000000002</v>
      </c>
      <c r="J699" s="170"/>
      <c r="K699" s="7" t="str">
        <f>VLOOKUP($E699,Mapping!$E$11:$I$204,3,0)</f>
        <v>Replacement</v>
      </c>
      <c r="L699" s="7" t="str">
        <f>IFERROR(VLOOKUP($G699,Mapping!$E$208:$K$236,5,0),"Contracts")</f>
        <v>Labour</v>
      </c>
      <c r="M699" s="7" t="str">
        <f>IFERROR(VLOOKUP($G699,Mapping!$E$208:$K$236,7,0),"ENDirect")</f>
        <v>ENDirect</v>
      </c>
      <c r="N699" s="7" t="str">
        <f>IFERROR(HLOOKUP(L699,'Calc|Weightings'!$U$5:$W$5,1,0),"Excl")</f>
        <v>Labour</v>
      </c>
      <c r="O699" s="7" t="str">
        <f>VLOOKUP(E699,Mapping!$E$11:$I$204,5,0)</f>
        <v>SCS</v>
      </c>
      <c r="Q699" s="32" t="s">
        <v>220</v>
      </c>
      <c r="R699" s="32"/>
      <c r="S699" s="32">
        <v>71010</v>
      </c>
      <c r="T699" s="32" t="s">
        <v>462</v>
      </c>
      <c r="U699" s="33">
        <v>-0.90100000000000002</v>
      </c>
      <c r="V699" s="7"/>
      <c r="W699" s="7" t="str">
        <f>VLOOKUP($Q699,Mapping!$E$11:$I$204,3,0)</f>
        <v>Replacement</v>
      </c>
      <c r="X699" s="7" t="str">
        <f>IFERROR(VLOOKUP($S699,Mapping!$E$208:$K$236,5,0),"Contracts")</f>
        <v>Labour</v>
      </c>
      <c r="Y699" s="7" t="str">
        <f>IFERROR(VLOOKUP($S699,Mapping!$E$208:$K$236,7,0),"ENDirect")</f>
        <v>ENDirect</v>
      </c>
      <c r="Z699" s="7" t="str">
        <f>IFERROR(HLOOKUP(X699,'Calc|Weightings'!$U$5:$W$5,1,0),"Excl")</f>
        <v>Labour</v>
      </c>
      <c r="AA699" s="7" t="str">
        <f>VLOOKUP(Q699,Mapping!$E$11:$I$204,5,0)</f>
        <v>SCS</v>
      </c>
      <c r="AC699" s="35" t="s">
        <v>209</v>
      </c>
      <c r="AD699" s="35"/>
      <c r="AE699" s="35">
        <v>89999</v>
      </c>
      <c r="AF699" s="35" t="s">
        <v>471</v>
      </c>
      <c r="AG699" s="36">
        <v>0</v>
      </c>
      <c r="AI699" s="7" t="str">
        <f>VLOOKUP($AC699,Mapping!$E$11:$I$204,3,0)</f>
        <v>Replacement</v>
      </c>
      <c r="AJ699" s="7" t="str">
        <f>IFERROR(VLOOKUP($AE699,Mapping!$E$208:$K$236,5,0),"Contracts")</f>
        <v>Contracts</v>
      </c>
      <c r="AK699" s="7" t="str">
        <f>IFERROR(VLOOKUP($AE699,Mapping!$E$208:$K$236,7,0),"ENDirect")</f>
        <v>ENDirect</v>
      </c>
      <c r="AL699" s="7" t="str">
        <f>IFERROR(HLOOKUP(AJ699,'Calc|Weightings'!$U$5:$W$5,1,0),"Excl")</f>
        <v>Contracts</v>
      </c>
      <c r="AM699" s="7" t="str">
        <f>VLOOKUP(AC699,Mapping!$E$11:$I$204,5,0)</f>
        <v>SCS</v>
      </c>
      <c r="AO699" s="35" t="s">
        <v>201</v>
      </c>
      <c r="AP699" s="35"/>
      <c r="AQ699" s="35">
        <v>71015</v>
      </c>
      <c r="AR699" s="35" t="s">
        <v>585</v>
      </c>
      <c r="AS699" s="121">
        <v>19.411490000000001</v>
      </c>
      <c r="AU699" s="7" t="str">
        <f>VLOOKUP($AO699,Mapping!$E$11:$I$204,3,0)</f>
        <v>Replacement</v>
      </c>
      <c r="AV699" s="7" t="str">
        <f>IFERROR(VLOOKUP($AQ699,Mapping!$E$208:$K$236,5,0),"Contracts")</f>
        <v>Materials</v>
      </c>
      <c r="AW699" s="7" t="str">
        <f>IFERROR(VLOOKUP($AQ699,Mapping!$E$208:$K$236,7,0),"ENDirect")</f>
        <v>ENDirect</v>
      </c>
      <c r="AX699" s="7" t="str">
        <f>IFERROR(HLOOKUP(AV699,'Calc|Weightings'!$U$5:$W$5,1,0),"Excl")</f>
        <v>Materials</v>
      </c>
      <c r="AY699" s="7" t="str">
        <f>VLOOKUP(AO699,Mapping!$E$11:$I$204,5,0)</f>
        <v>SCS</v>
      </c>
    </row>
    <row r="700" spans="1:51" x14ac:dyDescent="0.3">
      <c r="A700" s="7"/>
      <c r="B700" s="7"/>
      <c r="C700" s="7"/>
      <c r="D700" s="7"/>
      <c r="E700" s="32" t="s">
        <v>173</v>
      </c>
      <c r="F700" s="32"/>
      <c r="G700" s="32">
        <v>71010</v>
      </c>
      <c r="H700" s="32" t="s">
        <v>462</v>
      </c>
      <c r="I700" s="33">
        <v>0.01</v>
      </c>
      <c r="J700" s="170"/>
      <c r="K700" s="7" t="str">
        <f>VLOOKUP($E700,Mapping!$E$11:$I$204,3,0)</f>
        <v>Replacement</v>
      </c>
      <c r="L700" s="7" t="str">
        <f>IFERROR(VLOOKUP($G700,Mapping!$E$208:$K$236,5,0),"Contracts")</f>
        <v>Labour</v>
      </c>
      <c r="M700" s="7" t="str">
        <f>IFERROR(VLOOKUP($G700,Mapping!$E$208:$K$236,7,0),"ENDirect")</f>
        <v>ENDirect</v>
      </c>
      <c r="N700" s="7" t="str">
        <f>IFERROR(HLOOKUP(L700,'Calc|Weightings'!$U$5:$W$5,1,0),"Excl")</f>
        <v>Labour</v>
      </c>
      <c r="O700" s="7" t="str">
        <f>VLOOKUP(E700,Mapping!$E$11:$I$204,5,0)</f>
        <v>SCS</v>
      </c>
      <c r="Q700" s="32" t="s">
        <v>220</v>
      </c>
      <c r="R700" s="32"/>
      <c r="S700" s="32">
        <v>71015</v>
      </c>
      <c r="T700" s="32" t="s">
        <v>463</v>
      </c>
      <c r="U700" s="33">
        <v>1.1679999999999999</v>
      </c>
      <c r="V700" s="7"/>
      <c r="W700" s="7" t="str">
        <f>VLOOKUP($Q700,Mapping!$E$11:$I$204,3,0)</f>
        <v>Replacement</v>
      </c>
      <c r="X700" s="7" t="str">
        <f>IFERROR(VLOOKUP($S700,Mapping!$E$208:$K$236,5,0),"Contracts")</f>
        <v>Materials</v>
      </c>
      <c r="Y700" s="7" t="str">
        <f>IFERROR(VLOOKUP($S700,Mapping!$E$208:$K$236,7,0),"ENDirect")</f>
        <v>ENDirect</v>
      </c>
      <c r="Z700" s="7" t="str">
        <f>IFERROR(HLOOKUP(X700,'Calc|Weightings'!$U$5:$W$5,1,0),"Excl")</f>
        <v>Materials</v>
      </c>
      <c r="AA700" s="7" t="str">
        <f>VLOOKUP(Q700,Mapping!$E$11:$I$204,5,0)</f>
        <v>SCS</v>
      </c>
      <c r="AC700" s="35" t="s">
        <v>217</v>
      </c>
      <c r="AD700" s="35"/>
      <c r="AE700" s="35">
        <v>71000</v>
      </c>
      <c r="AF700" s="35" t="s">
        <v>457</v>
      </c>
      <c r="AG700" s="36">
        <v>147.98599999999999</v>
      </c>
      <c r="AI700" s="7" t="str">
        <f>VLOOKUP($AC700,Mapping!$E$11:$I$204,3,0)</f>
        <v>Replacement</v>
      </c>
      <c r="AJ700" s="7" t="str">
        <f>IFERROR(VLOOKUP($AE700,Mapping!$E$208:$K$236,5,0),"Contracts")</f>
        <v>Labour</v>
      </c>
      <c r="AK700" s="7" t="str">
        <f>IFERROR(VLOOKUP($AE700,Mapping!$E$208:$K$236,7,0),"ENDirect")</f>
        <v>ENDirect</v>
      </c>
      <c r="AL700" s="7" t="str">
        <f>IFERROR(HLOOKUP(AJ700,'Calc|Weightings'!$U$5:$W$5,1,0),"Excl")</f>
        <v>Labour</v>
      </c>
      <c r="AM700" s="7" t="str">
        <f>VLOOKUP(AC700,Mapping!$E$11:$I$204,5,0)</f>
        <v>SCS</v>
      </c>
      <c r="AO700" s="35" t="s">
        <v>201</v>
      </c>
      <c r="AP700" s="35"/>
      <c r="AQ700" s="35">
        <v>71030</v>
      </c>
      <c r="AR700" s="35" t="s">
        <v>464</v>
      </c>
      <c r="AS700" s="121">
        <v>23.328290000000003</v>
      </c>
      <c r="AU700" s="7" t="str">
        <f>VLOOKUP($AO700,Mapping!$E$11:$I$204,3,0)</f>
        <v>Replacement</v>
      </c>
      <c r="AV700" s="7" t="str">
        <f>IFERROR(VLOOKUP($AQ700,Mapping!$E$208:$K$236,5,0),"Contracts")</f>
        <v>Contracts</v>
      </c>
      <c r="AW700" s="7" t="str">
        <f>IFERROR(VLOOKUP($AQ700,Mapping!$E$208:$K$236,7,0),"ENDirect")</f>
        <v>ENDirect</v>
      </c>
      <c r="AX700" s="7" t="str">
        <f>IFERROR(HLOOKUP(AV700,'Calc|Weightings'!$U$5:$W$5,1,0),"Excl")</f>
        <v>Contracts</v>
      </c>
      <c r="AY700" s="7" t="str">
        <f>VLOOKUP(AO700,Mapping!$E$11:$I$204,5,0)</f>
        <v>SCS</v>
      </c>
    </row>
    <row r="701" spans="1:51" x14ac:dyDescent="0.3">
      <c r="A701" s="7"/>
      <c r="B701" s="7"/>
      <c r="C701" s="7"/>
      <c r="D701" s="7"/>
      <c r="E701" s="32" t="s">
        <v>173</v>
      </c>
      <c r="F701" s="32"/>
      <c r="G701" s="32">
        <v>71015</v>
      </c>
      <c r="H701" s="32" t="s">
        <v>463</v>
      </c>
      <c r="I701" s="33">
        <v>1.0529999999999999</v>
      </c>
      <c r="J701" s="170"/>
      <c r="K701" s="7" t="str">
        <f>VLOOKUP($E701,Mapping!$E$11:$I$204,3,0)</f>
        <v>Replacement</v>
      </c>
      <c r="L701" s="7" t="str">
        <f>IFERROR(VLOOKUP($G701,Mapping!$E$208:$K$236,5,0),"Contracts")</f>
        <v>Materials</v>
      </c>
      <c r="M701" s="7" t="str">
        <f>IFERROR(VLOOKUP($G701,Mapping!$E$208:$K$236,7,0),"ENDirect")</f>
        <v>ENDirect</v>
      </c>
      <c r="N701" s="7" t="str">
        <f>IFERROR(HLOOKUP(L701,'Calc|Weightings'!$U$5:$W$5,1,0),"Excl")</f>
        <v>Materials</v>
      </c>
      <c r="O701" s="7" t="str">
        <f>VLOOKUP(E701,Mapping!$E$11:$I$204,5,0)</f>
        <v>SCS</v>
      </c>
      <c r="Q701" s="32" t="s">
        <v>220</v>
      </c>
      <c r="R701" s="32"/>
      <c r="S701" s="32">
        <v>71030</v>
      </c>
      <c r="T701" s="32" t="s">
        <v>464</v>
      </c>
      <c r="U701" s="33">
        <v>0.50800000000000001</v>
      </c>
      <c r="V701" s="7"/>
      <c r="W701" s="7" t="str">
        <f>VLOOKUP($Q701,Mapping!$E$11:$I$204,3,0)</f>
        <v>Replacement</v>
      </c>
      <c r="X701" s="7" t="str">
        <f>IFERROR(VLOOKUP($S701,Mapping!$E$208:$K$236,5,0),"Contracts")</f>
        <v>Contracts</v>
      </c>
      <c r="Y701" s="7" t="str">
        <f>IFERROR(VLOOKUP($S701,Mapping!$E$208:$K$236,7,0),"ENDirect")</f>
        <v>ENDirect</v>
      </c>
      <c r="Z701" s="7" t="str">
        <f>IFERROR(HLOOKUP(X701,'Calc|Weightings'!$U$5:$W$5,1,0),"Excl")</f>
        <v>Contracts</v>
      </c>
      <c r="AA701" s="7" t="str">
        <f>VLOOKUP(Q701,Mapping!$E$11:$I$204,5,0)</f>
        <v>SCS</v>
      </c>
      <c r="AC701" s="35" t="s">
        <v>217</v>
      </c>
      <c r="AD701" s="35"/>
      <c r="AE701" s="35">
        <v>71005</v>
      </c>
      <c r="AF701" s="35" t="s">
        <v>461</v>
      </c>
      <c r="AG701" s="36">
        <v>90.108999999999995</v>
      </c>
      <c r="AI701" s="7" t="str">
        <f>VLOOKUP($AC701,Mapping!$E$11:$I$204,3,0)</f>
        <v>Replacement</v>
      </c>
      <c r="AJ701" s="7" t="str">
        <f>IFERROR(VLOOKUP($AE701,Mapping!$E$208:$K$236,5,0),"Contracts")</f>
        <v>Materials</v>
      </c>
      <c r="AK701" s="7" t="str">
        <f>IFERROR(VLOOKUP($AE701,Mapping!$E$208:$K$236,7,0),"ENDirect")</f>
        <v>ENDirect</v>
      </c>
      <c r="AL701" s="7" t="str">
        <f>IFERROR(HLOOKUP(AJ701,'Calc|Weightings'!$U$5:$W$5,1,0),"Excl")</f>
        <v>Materials</v>
      </c>
      <c r="AM701" s="7" t="str">
        <f>VLOOKUP(AC701,Mapping!$E$11:$I$204,5,0)</f>
        <v>SCS</v>
      </c>
      <c r="AO701" s="35" t="s">
        <v>201</v>
      </c>
      <c r="AP701" s="35"/>
      <c r="AQ701" s="35">
        <v>71055</v>
      </c>
      <c r="AR701" s="35" t="s">
        <v>465</v>
      </c>
      <c r="AS701" s="121">
        <v>45.982769999999981</v>
      </c>
      <c r="AU701" s="7" t="str">
        <f>VLOOKUP($AO701,Mapping!$E$11:$I$204,3,0)</f>
        <v>Replacement</v>
      </c>
      <c r="AV701" s="7" t="str">
        <f>IFERROR(VLOOKUP($AQ701,Mapping!$E$208:$K$236,5,0),"Contracts")</f>
        <v>Contracts</v>
      </c>
      <c r="AW701" s="7" t="str">
        <f>IFERROR(VLOOKUP($AQ701,Mapping!$E$208:$K$236,7,0),"ENDirect")</f>
        <v>ENDirect</v>
      </c>
      <c r="AX701" s="7" t="str">
        <f>IFERROR(HLOOKUP(AV701,'Calc|Weightings'!$U$5:$W$5,1,0),"Excl")</f>
        <v>Contracts</v>
      </c>
      <c r="AY701" s="7" t="str">
        <f>VLOOKUP(AO701,Mapping!$E$11:$I$204,5,0)</f>
        <v>SCS</v>
      </c>
    </row>
    <row r="702" spans="1:51" x14ac:dyDescent="0.3">
      <c r="A702" s="7"/>
      <c r="B702" s="7"/>
      <c r="C702" s="7"/>
      <c r="D702" s="7"/>
      <c r="E702" s="32" t="s">
        <v>173</v>
      </c>
      <c r="F702" s="32"/>
      <c r="G702" s="32">
        <v>71030</v>
      </c>
      <c r="H702" s="32" t="s">
        <v>464</v>
      </c>
      <c r="I702" s="33">
        <v>0.38200000000000001</v>
      </c>
      <c r="J702" s="170"/>
      <c r="K702" s="7" t="str">
        <f>VLOOKUP($E702,Mapping!$E$11:$I$204,3,0)</f>
        <v>Replacement</v>
      </c>
      <c r="L702" s="7" t="str">
        <f>IFERROR(VLOOKUP($G702,Mapping!$E$208:$K$236,5,0),"Contracts")</f>
        <v>Contracts</v>
      </c>
      <c r="M702" s="7" t="str">
        <f>IFERROR(VLOOKUP($G702,Mapping!$E$208:$K$236,7,0),"ENDirect")</f>
        <v>ENDirect</v>
      </c>
      <c r="N702" s="7" t="str">
        <f>IFERROR(HLOOKUP(L702,'Calc|Weightings'!$U$5:$W$5,1,0),"Excl")</f>
        <v>Contracts</v>
      </c>
      <c r="O702" s="7" t="str">
        <f>VLOOKUP(E702,Mapping!$E$11:$I$204,5,0)</f>
        <v>SCS</v>
      </c>
      <c r="Q702" s="32" t="s">
        <v>220</v>
      </c>
      <c r="R702" s="32"/>
      <c r="S702" s="32">
        <v>80000</v>
      </c>
      <c r="T702" s="32" t="s">
        <v>453</v>
      </c>
      <c r="U702" s="33">
        <v>0.93600000000000005</v>
      </c>
      <c r="V702" s="7"/>
      <c r="W702" s="7" t="str">
        <f>VLOOKUP($Q702,Mapping!$E$11:$I$204,3,0)</f>
        <v>Replacement</v>
      </c>
      <c r="X702" s="7" t="str">
        <f>IFERROR(VLOOKUP($S702,Mapping!$E$208:$K$236,5,0),"Contracts")</f>
        <v>Overhead</v>
      </c>
      <c r="Y702" s="7" t="str">
        <f>IFERROR(VLOOKUP($S702,Mapping!$E$208:$K$236,7,0),"ENDirect")</f>
        <v>OH</v>
      </c>
      <c r="Z702" s="7" t="str">
        <f>IFERROR(HLOOKUP(X702,'Calc|Weightings'!$U$5:$W$5,1,0),"Excl")</f>
        <v>Excl</v>
      </c>
      <c r="AA702" s="7" t="str">
        <f>VLOOKUP(Q702,Mapping!$E$11:$I$204,5,0)</f>
        <v>SCS</v>
      </c>
      <c r="AC702" s="35" t="s">
        <v>217</v>
      </c>
      <c r="AD702" s="35"/>
      <c r="AE702" s="35">
        <v>71010</v>
      </c>
      <c r="AF702" s="35" t="s">
        <v>462</v>
      </c>
      <c r="AG702" s="36">
        <v>552.91099999999994</v>
      </c>
      <c r="AI702" s="7" t="str">
        <f>VLOOKUP($AC702,Mapping!$E$11:$I$204,3,0)</f>
        <v>Replacement</v>
      </c>
      <c r="AJ702" s="7" t="str">
        <f>IFERROR(VLOOKUP($AE702,Mapping!$E$208:$K$236,5,0),"Contracts")</f>
        <v>Labour</v>
      </c>
      <c r="AK702" s="7" t="str">
        <f>IFERROR(VLOOKUP($AE702,Mapping!$E$208:$K$236,7,0),"ENDirect")</f>
        <v>ENDirect</v>
      </c>
      <c r="AL702" s="7" t="str">
        <f>IFERROR(HLOOKUP(AJ702,'Calc|Weightings'!$U$5:$W$5,1,0),"Excl")</f>
        <v>Labour</v>
      </c>
      <c r="AM702" s="7" t="str">
        <f>VLOOKUP(AC702,Mapping!$E$11:$I$204,5,0)</f>
        <v>SCS</v>
      </c>
      <c r="AO702" s="35" t="s">
        <v>201</v>
      </c>
      <c r="AP702" s="35"/>
      <c r="AQ702" s="35">
        <v>71070</v>
      </c>
      <c r="AR702" s="35" t="s">
        <v>586</v>
      </c>
      <c r="AS702" s="121">
        <v>18.856180000000002</v>
      </c>
      <c r="AU702" s="7" t="str">
        <f>VLOOKUP($AO702,Mapping!$E$11:$I$204,3,0)</f>
        <v>Replacement</v>
      </c>
      <c r="AV702" s="7" t="str">
        <f>IFERROR(VLOOKUP($AQ702,Mapping!$E$208:$K$236,5,0),"Contracts")</f>
        <v>Contracts</v>
      </c>
      <c r="AW702" s="7" t="str">
        <f>IFERROR(VLOOKUP($AQ702,Mapping!$E$208:$K$236,7,0),"ENDirect")</f>
        <v>ENDirect</v>
      </c>
      <c r="AX702" s="7" t="str">
        <f>IFERROR(HLOOKUP(AV702,'Calc|Weightings'!$U$5:$W$5,1,0),"Excl")</f>
        <v>Contracts</v>
      </c>
      <c r="AY702" s="7" t="str">
        <f>VLOOKUP(AO702,Mapping!$E$11:$I$204,5,0)</f>
        <v>SCS</v>
      </c>
    </row>
    <row r="703" spans="1:51" x14ac:dyDescent="0.3">
      <c r="A703" s="7"/>
      <c r="B703" s="7"/>
      <c r="C703" s="7"/>
      <c r="D703" s="7"/>
      <c r="E703" s="32" t="s">
        <v>173</v>
      </c>
      <c r="F703" s="32"/>
      <c r="G703" s="32">
        <v>71055</v>
      </c>
      <c r="H703" s="32" t="s">
        <v>465</v>
      </c>
      <c r="I703" s="33">
        <v>0.57199999999999995</v>
      </c>
      <c r="J703" s="170"/>
      <c r="K703" s="7" t="str">
        <f>VLOOKUP($E703,Mapping!$E$11:$I$204,3,0)</f>
        <v>Replacement</v>
      </c>
      <c r="L703" s="7" t="str">
        <f>IFERROR(VLOOKUP($G703,Mapping!$E$208:$K$236,5,0),"Contracts")</f>
        <v>Contracts</v>
      </c>
      <c r="M703" s="7" t="str">
        <f>IFERROR(VLOOKUP($G703,Mapping!$E$208:$K$236,7,0),"ENDirect")</f>
        <v>ENDirect</v>
      </c>
      <c r="N703" s="7" t="str">
        <f>IFERROR(HLOOKUP(L703,'Calc|Weightings'!$U$5:$W$5,1,0),"Excl")</f>
        <v>Contracts</v>
      </c>
      <c r="O703" s="7" t="str">
        <f>VLOOKUP(E703,Mapping!$E$11:$I$204,5,0)</f>
        <v>SCS</v>
      </c>
      <c r="Q703" s="32" t="s">
        <v>221</v>
      </c>
      <c r="R703" s="32"/>
      <c r="S703" s="32">
        <v>71000</v>
      </c>
      <c r="T703" s="32" t="s">
        <v>457</v>
      </c>
      <c r="U703" s="33">
        <v>96.051000000000002</v>
      </c>
      <c r="V703" s="7"/>
      <c r="W703" s="7" t="str">
        <f>VLOOKUP($Q703,Mapping!$E$11:$I$204,3,0)</f>
        <v>Replacement</v>
      </c>
      <c r="X703" s="7" t="str">
        <f>IFERROR(VLOOKUP($S703,Mapping!$E$208:$K$236,5,0),"Contracts")</f>
        <v>Labour</v>
      </c>
      <c r="Y703" s="7" t="str">
        <f>IFERROR(VLOOKUP($S703,Mapping!$E$208:$K$236,7,0),"ENDirect")</f>
        <v>ENDirect</v>
      </c>
      <c r="Z703" s="7" t="str">
        <f>IFERROR(HLOOKUP(X703,'Calc|Weightings'!$U$5:$W$5,1,0),"Excl")</f>
        <v>Labour</v>
      </c>
      <c r="AA703" s="7" t="str">
        <f>VLOOKUP(Q703,Mapping!$E$11:$I$204,5,0)</f>
        <v>SCS</v>
      </c>
      <c r="AC703" s="35" t="s">
        <v>217</v>
      </c>
      <c r="AD703" s="35"/>
      <c r="AE703" s="35">
        <v>71015</v>
      </c>
      <c r="AF703" s="35" t="s">
        <v>463</v>
      </c>
      <c r="AG703" s="36">
        <v>24.456</v>
      </c>
      <c r="AI703" s="7" t="str">
        <f>VLOOKUP($AC703,Mapping!$E$11:$I$204,3,0)</f>
        <v>Replacement</v>
      </c>
      <c r="AJ703" s="7" t="str">
        <f>IFERROR(VLOOKUP($AE703,Mapping!$E$208:$K$236,5,0),"Contracts")</f>
        <v>Materials</v>
      </c>
      <c r="AK703" s="7" t="str">
        <f>IFERROR(VLOOKUP($AE703,Mapping!$E$208:$K$236,7,0),"ENDirect")</f>
        <v>ENDirect</v>
      </c>
      <c r="AL703" s="7" t="str">
        <f>IFERROR(HLOOKUP(AJ703,'Calc|Weightings'!$U$5:$W$5,1,0),"Excl")</f>
        <v>Materials</v>
      </c>
      <c r="AM703" s="7" t="str">
        <f>VLOOKUP(AC703,Mapping!$E$11:$I$204,5,0)</f>
        <v>SCS</v>
      </c>
      <c r="AO703" s="35" t="s">
        <v>201</v>
      </c>
      <c r="AP703" s="35"/>
      <c r="AQ703" s="35">
        <v>71075</v>
      </c>
      <c r="AR703" s="35" t="s">
        <v>587</v>
      </c>
      <c r="AS703" s="121">
        <v>307.35873000000026</v>
      </c>
      <c r="AU703" s="7" t="str">
        <f>VLOOKUP($AO703,Mapping!$E$11:$I$204,3,0)</f>
        <v>Replacement</v>
      </c>
      <c r="AV703" s="7" t="str">
        <f>IFERROR(VLOOKUP($AQ703,Mapping!$E$208:$K$236,5,0),"Contracts")</f>
        <v>Contracts</v>
      </c>
      <c r="AW703" s="7" t="str">
        <f>IFERROR(VLOOKUP($AQ703,Mapping!$E$208:$K$236,7,0),"ENDirect")</f>
        <v>ENDirect</v>
      </c>
      <c r="AX703" s="7" t="str">
        <f>IFERROR(HLOOKUP(AV703,'Calc|Weightings'!$U$5:$W$5,1,0),"Excl")</f>
        <v>Contracts</v>
      </c>
      <c r="AY703" s="7" t="str">
        <f>VLOOKUP(AO703,Mapping!$E$11:$I$204,5,0)</f>
        <v>SCS</v>
      </c>
    </row>
    <row r="704" spans="1:51" x14ac:dyDescent="0.3">
      <c r="A704" s="7"/>
      <c r="B704" s="7"/>
      <c r="C704" s="7"/>
      <c r="D704" s="7"/>
      <c r="E704" s="32" t="s">
        <v>173</v>
      </c>
      <c r="F704" s="32"/>
      <c r="G704" s="32">
        <v>80000</v>
      </c>
      <c r="H704" s="32" t="s">
        <v>453</v>
      </c>
      <c r="I704" s="33">
        <v>0.48299999999999998</v>
      </c>
      <c r="J704" s="170"/>
      <c r="K704" s="7" t="str">
        <f>VLOOKUP($E704,Mapping!$E$11:$I$204,3,0)</f>
        <v>Replacement</v>
      </c>
      <c r="L704" s="7" t="str">
        <f>IFERROR(VLOOKUP($G704,Mapping!$E$208:$K$236,5,0),"Contracts")</f>
        <v>Overhead</v>
      </c>
      <c r="M704" s="7" t="str">
        <f>IFERROR(VLOOKUP($G704,Mapping!$E$208:$K$236,7,0),"ENDirect")</f>
        <v>OH</v>
      </c>
      <c r="N704" s="7" t="str">
        <f>IFERROR(HLOOKUP(L704,'Calc|Weightings'!$U$5:$W$5,1,0),"Excl")</f>
        <v>Excl</v>
      </c>
      <c r="O704" s="7" t="str">
        <f>VLOOKUP(E704,Mapping!$E$11:$I$204,5,0)</f>
        <v>SCS</v>
      </c>
      <c r="Q704" s="32" t="s">
        <v>221</v>
      </c>
      <c r="R704" s="32"/>
      <c r="S704" s="32">
        <v>71005</v>
      </c>
      <c r="T704" s="32" t="s">
        <v>461</v>
      </c>
      <c r="U704" s="33">
        <v>24.338000000000001</v>
      </c>
      <c r="V704" s="7"/>
      <c r="W704" s="7" t="str">
        <f>VLOOKUP($Q704,Mapping!$E$11:$I$204,3,0)</f>
        <v>Replacement</v>
      </c>
      <c r="X704" s="7" t="str">
        <f>IFERROR(VLOOKUP($S704,Mapping!$E$208:$K$236,5,0),"Contracts")</f>
        <v>Materials</v>
      </c>
      <c r="Y704" s="7" t="str">
        <f>IFERROR(VLOOKUP($S704,Mapping!$E$208:$K$236,7,0),"ENDirect")</f>
        <v>ENDirect</v>
      </c>
      <c r="Z704" s="7" t="str">
        <f>IFERROR(HLOOKUP(X704,'Calc|Weightings'!$U$5:$W$5,1,0),"Excl")</f>
        <v>Materials</v>
      </c>
      <c r="AA704" s="7" t="str">
        <f>VLOOKUP(Q704,Mapping!$E$11:$I$204,5,0)</f>
        <v>SCS</v>
      </c>
      <c r="AC704" s="35" t="s">
        <v>217</v>
      </c>
      <c r="AD704" s="35"/>
      <c r="AE704" s="35">
        <v>71030</v>
      </c>
      <c r="AF704" s="35" t="s">
        <v>464</v>
      </c>
      <c r="AG704" s="36">
        <v>64.706999999999994</v>
      </c>
      <c r="AI704" s="7" t="str">
        <f>VLOOKUP($AC704,Mapping!$E$11:$I$204,3,0)</f>
        <v>Replacement</v>
      </c>
      <c r="AJ704" s="7" t="str">
        <f>IFERROR(VLOOKUP($AE704,Mapping!$E$208:$K$236,5,0),"Contracts")</f>
        <v>Contracts</v>
      </c>
      <c r="AK704" s="7" t="str">
        <f>IFERROR(VLOOKUP($AE704,Mapping!$E$208:$K$236,7,0),"ENDirect")</f>
        <v>ENDirect</v>
      </c>
      <c r="AL704" s="7" t="str">
        <f>IFERROR(HLOOKUP(AJ704,'Calc|Weightings'!$U$5:$W$5,1,0),"Excl")</f>
        <v>Contracts</v>
      </c>
      <c r="AM704" s="7" t="str">
        <f>VLOOKUP(AC704,Mapping!$E$11:$I$204,5,0)</f>
        <v>SCS</v>
      </c>
      <c r="AO704" s="35" t="s">
        <v>201</v>
      </c>
      <c r="AP704" s="35"/>
      <c r="AQ704" s="35">
        <v>80000</v>
      </c>
      <c r="AR704" s="35" t="s">
        <v>589</v>
      </c>
      <c r="AS704" s="121">
        <v>574.2040199999999</v>
      </c>
      <c r="AU704" s="7" t="str">
        <f>VLOOKUP($AO704,Mapping!$E$11:$I$204,3,0)</f>
        <v>Replacement</v>
      </c>
      <c r="AV704" s="7" t="str">
        <f>IFERROR(VLOOKUP($AQ704,Mapping!$E$208:$K$236,5,0),"Contracts")</f>
        <v>Overhead</v>
      </c>
      <c r="AW704" s="7" t="str">
        <f>IFERROR(VLOOKUP($AQ704,Mapping!$E$208:$K$236,7,0),"ENDirect")</f>
        <v>OH</v>
      </c>
      <c r="AX704" s="7" t="str">
        <f>IFERROR(HLOOKUP(AV704,'Calc|Weightings'!$U$5:$W$5,1,0),"Excl")</f>
        <v>Excl</v>
      </c>
      <c r="AY704" s="7" t="str">
        <f>VLOOKUP(AO704,Mapping!$E$11:$I$204,5,0)</f>
        <v>SCS</v>
      </c>
    </row>
    <row r="705" spans="1:51" x14ac:dyDescent="0.3">
      <c r="A705" s="7"/>
      <c r="B705" s="7"/>
      <c r="C705" s="7"/>
      <c r="D705" s="7"/>
      <c r="E705" s="32" t="s">
        <v>187</v>
      </c>
      <c r="F705" s="32"/>
      <c r="G705" s="32">
        <v>71000</v>
      </c>
      <c r="H705" s="32" t="s">
        <v>457</v>
      </c>
      <c r="I705" s="33">
        <v>35.558</v>
      </c>
      <c r="J705" s="170"/>
      <c r="K705" s="7" t="str">
        <f>VLOOKUP($E705,Mapping!$E$11:$I$204,3,0)</f>
        <v>Replacement</v>
      </c>
      <c r="L705" s="7" t="str">
        <f>IFERROR(VLOOKUP($G705,Mapping!$E$208:$K$236,5,0),"Contracts")</f>
        <v>Labour</v>
      </c>
      <c r="M705" s="7" t="str">
        <f>IFERROR(VLOOKUP($G705,Mapping!$E$208:$K$236,7,0),"ENDirect")</f>
        <v>ENDirect</v>
      </c>
      <c r="N705" s="7" t="str">
        <f>IFERROR(HLOOKUP(L705,'Calc|Weightings'!$U$5:$W$5,1,0),"Excl")</f>
        <v>Labour</v>
      </c>
      <c r="O705" s="7" t="str">
        <f>VLOOKUP(E705,Mapping!$E$11:$I$204,5,0)</f>
        <v>SCS</v>
      </c>
      <c r="Q705" s="32" t="s">
        <v>221</v>
      </c>
      <c r="R705" s="32"/>
      <c r="S705" s="32">
        <v>71010</v>
      </c>
      <c r="T705" s="32" t="s">
        <v>462</v>
      </c>
      <c r="U705" s="33">
        <v>33.795000000000002</v>
      </c>
      <c r="V705" s="7"/>
      <c r="W705" s="7" t="str">
        <f>VLOOKUP($Q705,Mapping!$E$11:$I$204,3,0)</f>
        <v>Replacement</v>
      </c>
      <c r="X705" s="7" t="str">
        <f>IFERROR(VLOOKUP($S705,Mapping!$E$208:$K$236,5,0),"Contracts")</f>
        <v>Labour</v>
      </c>
      <c r="Y705" s="7" t="str">
        <f>IFERROR(VLOOKUP($S705,Mapping!$E$208:$K$236,7,0),"ENDirect")</f>
        <v>ENDirect</v>
      </c>
      <c r="Z705" s="7" t="str">
        <f>IFERROR(HLOOKUP(X705,'Calc|Weightings'!$U$5:$W$5,1,0),"Excl")</f>
        <v>Labour</v>
      </c>
      <c r="AA705" s="7" t="str">
        <f>VLOOKUP(Q705,Mapping!$E$11:$I$204,5,0)</f>
        <v>SCS</v>
      </c>
      <c r="AC705" s="35" t="s">
        <v>217</v>
      </c>
      <c r="AD705" s="35"/>
      <c r="AE705" s="35">
        <v>71055</v>
      </c>
      <c r="AF705" s="35" t="s">
        <v>465</v>
      </c>
      <c r="AG705" s="36">
        <v>124.94799999999999</v>
      </c>
      <c r="AI705" s="7" t="str">
        <f>VLOOKUP($AC705,Mapping!$E$11:$I$204,3,0)</f>
        <v>Replacement</v>
      </c>
      <c r="AJ705" s="7" t="str">
        <f>IFERROR(VLOOKUP($AE705,Mapping!$E$208:$K$236,5,0),"Contracts")</f>
        <v>Contracts</v>
      </c>
      <c r="AK705" s="7" t="str">
        <f>IFERROR(VLOOKUP($AE705,Mapping!$E$208:$K$236,7,0),"ENDirect")</f>
        <v>ENDirect</v>
      </c>
      <c r="AL705" s="7" t="str">
        <f>IFERROR(HLOOKUP(AJ705,'Calc|Weightings'!$U$5:$W$5,1,0),"Excl")</f>
        <v>Contracts</v>
      </c>
      <c r="AM705" s="7" t="str">
        <f>VLOOKUP(AC705,Mapping!$E$11:$I$204,5,0)</f>
        <v>SCS</v>
      </c>
      <c r="AO705" s="35" t="s">
        <v>201</v>
      </c>
      <c r="AP705" s="35"/>
      <c r="AQ705" s="35">
        <v>83010</v>
      </c>
      <c r="AR705" s="35" t="s">
        <v>591</v>
      </c>
      <c r="AS705" s="121">
        <v>2545.5843000000013</v>
      </c>
      <c r="AU705" s="7" t="str">
        <f>VLOOKUP($AO705,Mapping!$E$11:$I$204,3,0)</f>
        <v>Replacement</v>
      </c>
      <c r="AV705" s="7" t="str">
        <f>IFERROR(VLOOKUP($AQ705,Mapping!$E$208:$K$236,5,0),"Contracts")</f>
        <v>Contracts</v>
      </c>
      <c r="AW705" s="7" t="str">
        <f>IFERROR(VLOOKUP($AQ705,Mapping!$E$208:$K$236,7,0),"ENDirect")</f>
        <v>ENDirect</v>
      </c>
      <c r="AX705" s="7" t="str">
        <f>IFERROR(HLOOKUP(AV705,'Calc|Weightings'!$U$5:$W$5,1,0),"Excl")</f>
        <v>Contracts</v>
      </c>
      <c r="AY705" s="7" t="str">
        <f>VLOOKUP(AO705,Mapping!$E$11:$I$204,5,0)</f>
        <v>SCS</v>
      </c>
    </row>
    <row r="706" spans="1:51" x14ac:dyDescent="0.3">
      <c r="A706" s="7"/>
      <c r="B706" s="7"/>
      <c r="C706" s="7"/>
      <c r="D706" s="7"/>
      <c r="E706" s="32" t="s">
        <v>187</v>
      </c>
      <c r="F706" s="32"/>
      <c r="G706" s="32">
        <v>71005</v>
      </c>
      <c r="H706" s="32" t="s">
        <v>461</v>
      </c>
      <c r="I706" s="33">
        <v>83.608999999999995</v>
      </c>
      <c r="J706" s="170"/>
      <c r="K706" s="7" t="str">
        <f>VLOOKUP($E706,Mapping!$E$11:$I$204,3,0)</f>
        <v>Replacement</v>
      </c>
      <c r="L706" s="7" t="str">
        <f>IFERROR(VLOOKUP($G706,Mapping!$E$208:$K$236,5,0),"Contracts")</f>
        <v>Materials</v>
      </c>
      <c r="M706" s="7" t="str">
        <f>IFERROR(VLOOKUP($G706,Mapping!$E$208:$K$236,7,0),"ENDirect")</f>
        <v>ENDirect</v>
      </c>
      <c r="N706" s="7" t="str">
        <f>IFERROR(HLOOKUP(L706,'Calc|Weightings'!$U$5:$W$5,1,0),"Excl")</f>
        <v>Materials</v>
      </c>
      <c r="O706" s="7" t="str">
        <f>VLOOKUP(E706,Mapping!$E$11:$I$204,5,0)</f>
        <v>SCS</v>
      </c>
      <c r="Q706" s="32" t="s">
        <v>221</v>
      </c>
      <c r="R706" s="32"/>
      <c r="S706" s="32">
        <v>71015</v>
      </c>
      <c r="T706" s="32" t="s">
        <v>463</v>
      </c>
      <c r="U706" s="33">
        <v>18.024999999999999</v>
      </c>
      <c r="V706" s="7"/>
      <c r="W706" s="7" t="str">
        <f>VLOOKUP($Q706,Mapping!$E$11:$I$204,3,0)</f>
        <v>Replacement</v>
      </c>
      <c r="X706" s="7" t="str">
        <f>IFERROR(VLOOKUP($S706,Mapping!$E$208:$K$236,5,0),"Contracts")</f>
        <v>Materials</v>
      </c>
      <c r="Y706" s="7" t="str">
        <f>IFERROR(VLOOKUP($S706,Mapping!$E$208:$K$236,7,0),"ENDirect")</f>
        <v>ENDirect</v>
      </c>
      <c r="Z706" s="7" t="str">
        <f>IFERROR(HLOOKUP(X706,'Calc|Weightings'!$U$5:$W$5,1,0),"Excl")</f>
        <v>Materials</v>
      </c>
      <c r="AA706" s="7" t="str">
        <f>VLOOKUP(Q706,Mapping!$E$11:$I$204,5,0)</f>
        <v>SCS</v>
      </c>
      <c r="AC706" s="35" t="s">
        <v>217</v>
      </c>
      <c r="AD706" s="35"/>
      <c r="AE706" s="35">
        <v>80000</v>
      </c>
      <c r="AF706" s="35" t="s">
        <v>453</v>
      </c>
      <c r="AG706" s="36">
        <v>129.011</v>
      </c>
      <c r="AI706" s="7" t="str">
        <f>VLOOKUP($AC706,Mapping!$E$11:$I$204,3,0)</f>
        <v>Replacement</v>
      </c>
      <c r="AJ706" s="7" t="str">
        <f>IFERROR(VLOOKUP($AE706,Mapping!$E$208:$K$236,5,0),"Contracts")</f>
        <v>Overhead</v>
      </c>
      <c r="AK706" s="7" t="str">
        <f>IFERROR(VLOOKUP($AE706,Mapping!$E$208:$K$236,7,0),"ENDirect")</f>
        <v>OH</v>
      </c>
      <c r="AL706" s="7" t="str">
        <f>IFERROR(HLOOKUP(AJ706,'Calc|Weightings'!$U$5:$W$5,1,0),"Excl")</f>
        <v>Excl</v>
      </c>
      <c r="AM706" s="7" t="str">
        <f>VLOOKUP(AC706,Mapping!$E$11:$I$204,5,0)</f>
        <v>SCS</v>
      </c>
      <c r="AO706" s="35" t="s">
        <v>202</v>
      </c>
      <c r="AP706" s="35"/>
      <c r="AQ706" s="35">
        <v>71000</v>
      </c>
      <c r="AR706" s="35" t="s">
        <v>457</v>
      </c>
      <c r="AS706" s="121">
        <v>201.5778500000001</v>
      </c>
      <c r="AU706" s="7" t="str">
        <f>VLOOKUP($AO706,Mapping!$E$11:$I$204,3,0)</f>
        <v>Replacement</v>
      </c>
      <c r="AV706" s="7" t="str">
        <f>IFERROR(VLOOKUP($AQ706,Mapping!$E$208:$K$236,5,0),"Contracts")</f>
        <v>Labour</v>
      </c>
      <c r="AW706" s="7" t="str">
        <f>IFERROR(VLOOKUP($AQ706,Mapping!$E$208:$K$236,7,0),"ENDirect")</f>
        <v>ENDirect</v>
      </c>
      <c r="AX706" s="7" t="str">
        <f>IFERROR(HLOOKUP(AV706,'Calc|Weightings'!$U$5:$W$5,1,0),"Excl")</f>
        <v>Labour</v>
      </c>
      <c r="AY706" s="7" t="str">
        <f>VLOOKUP(AO706,Mapping!$E$11:$I$204,5,0)</f>
        <v>SCS</v>
      </c>
    </row>
    <row r="707" spans="1:51" x14ac:dyDescent="0.3">
      <c r="A707" s="7"/>
      <c r="B707" s="7"/>
      <c r="C707" s="7"/>
      <c r="D707" s="7"/>
      <c r="E707" s="32" t="s">
        <v>187</v>
      </c>
      <c r="F707" s="32"/>
      <c r="G707" s="32">
        <v>71010</v>
      </c>
      <c r="H707" s="32" t="s">
        <v>462</v>
      </c>
      <c r="I707" s="33">
        <v>249.053</v>
      </c>
      <c r="J707" s="170"/>
      <c r="K707" s="7" t="str">
        <f>VLOOKUP($E707,Mapping!$E$11:$I$204,3,0)</f>
        <v>Replacement</v>
      </c>
      <c r="L707" s="7" t="str">
        <f>IFERROR(VLOOKUP($G707,Mapping!$E$208:$K$236,5,0),"Contracts")</f>
        <v>Labour</v>
      </c>
      <c r="M707" s="7" t="str">
        <f>IFERROR(VLOOKUP($G707,Mapping!$E$208:$K$236,7,0),"ENDirect")</f>
        <v>ENDirect</v>
      </c>
      <c r="N707" s="7" t="str">
        <f>IFERROR(HLOOKUP(L707,'Calc|Weightings'!$U$5:$W$5,1,0),"Excl")</f>
        <v>Labour</v>
      </c>
      <c r="O707" s="7" t="str">
        <f>VLOOKUP(E707,Mapping!$E$11:$I$204,5,0)</f>
        <v>SCS</v>
      </c>
      <c r="Q707" s="32" t="s">
        <v>221</v>
      </c>
      <c r="R707" s="32"/>
      <c r="S707" s="32">
        <v>71030</v>
      </c>
      <c r="T707" s="32" t="s">
        <v>464</v>
      </c>
      <c r="U707" s="33">
        <v>14.058</v>
      </c>
      <c r="V707" s="7"/>
      <c r="W707" s="7" t="str">
        <f>VLOOKUP($Q707,Mapping!$E$11:$I$204,3,0)</f>
        <v>Replacement</v>
      </c>
      <c r="X707" s="7" t="str">
        <f>IFERROR(VLOOKUP($S707,Mapping!$E$208:$K$236,5,0),"Contracts")</f>
        <v>Contracts</v>
      </c>
      <c r="Y707" s="7" t="str">
        <f>IFERROR(VLOOKUP($S707,Mapping!$E$208:$K$236,7,0),"ENDirect")</f>
        <v>ENDirect</v>
      </c>
      <c r="Z707" s="7" t="str">
        <f>IFERROR(HLOOKUP(X707,'Calc|Weightings'!$U$5:$W$5,1,0),"Excl")</f>
        <v>Contracts</v>
      </c>
      <c r="AA707" s="7" t="str">
        <f>VLOOKUP(Q707,Mapping!$E$11:$I$204,5,0)</f>
        <v>SCS</v>
      </c>
      <c r="AC707" s="35" t="s">
        <v>217</v>
      </c>
      <c r="AD707" s="35"/>
      <c r="AE707" s="35">
        <v>89999</v>
      </c>
      <c r="AF707" s="35" t="s">
        <v>471</v>
      </c>
      <c r="AG707" s="36">
        <v>0</v>
      </c>
      <c r="AI707" s="7" t="str">
        <f>VLOOKUP($AC707,Mapping!$E$11:$I$204,3,0)</f>
        <v>Replacement</v>
      </c>
      <c r="AJ707" s="7" t="str">
        <f>IFERROR(VLOOKUP($AE707,Mapping!$E$208:$K$236,5,0),"Contracts")</f>
        <v>Contracts</v>
      </c>
      <c r="AK707" s="7" t="str">
        <f>IFERROR(VLOOKUP($AE707,Mapping!$E$208:$K$236,7,0),"ENDirect")</f>
        <v>ENDirect</v>
      </c>
      <c r="AL707" s="7" t="str">
        <f>IFERROR(HLOOKUP(AJ707,'Calc|Weightings'!$U$5:$W$5,1,0),"Excl")</f>
        <v>Contracts</v>
      </c>
      <c r="AM707" s="7" t="str">
        <f>VLOOKUP(AC707,Mapping!$E$11:$I$204,5,0)</f>
        <v>SCS</v>
      </c>
      <c r="AO707" s="35" t="s">
        <v>202</v>
      </c>
      <c r="AP707" s="35"/>
      <c r="AQ707" s="35">
        <v>71005</v>
      </c>
      <c r="AR707" s="35" t="s">
        <v>461</v>
      </c>
      <c r="AS707" s="121">
        <v>47.001299999999986</v>
      </c>
      <c r="AU707" s="7" t="str">
        <f>VLOOKUP($AO707,Mapping!$E$11:$I$204,3,0)</f>
        <v>Replacement</v>
      </c>
      <c r="AV707" s="7" t="str">
        <f>IFERROR(VLOOKUP($AQ707,Mapping!$E$208:$K$236,5,0),"Contracts")</f>
        <v>Materials</v>
      </c>
      <c r="AW707" s="7" t="str">
        <f>IFERROR(VLOOKUP($AQ707,Mapping!$E$208:$K$236,7,0),"ENDirect")</f>
        <v>ENDirect</v>
      </c>
      <c r="AX707" s="7" t="str">
        <f>IFERROR(HLOOKUP(AV707,'Calc|Weightings'!$U$5:$W$5,1,0),"Excl")</f>
        <v>Materials</v>
      </c>
      <c r="AY707" s="7" t="str">
        <f>VLOOKUP(AO707,Mapping!$E$11:$I$204,5,0)</f>
        <v>SCS</v>
      </c>
    </row>
    <row r="708" spans="1:51" x14ac:dyDescent="0.3">
      <c r="A708" s="7"/>
      <c r="B708" s="7"/>
      <c r="C708" s="7"/>
      <c r="D708" s="7"/>
      <c r="E708" s="32" t="s">
        <v>187</v>
      </c>
      <c r="F708" s="32"/>
      <c r="G708" s="32">
        <v>71015</v>
      </c>
      <c r="H708" s="32" t="s">
        <v>463</v>
      </c>
      <c r="I708" s="33">
        <v>11.938000000000001</v>
      </c>
      <c r="J708" s="170"/>
      <c r="K708" s="7" t="str">
        <f>VLOOKUP($E708,Mapping!$E$11:$I$204,3,0)</f>
        <v>Replacement</v>
      </c>
      <c r="L708" s="7" t="str">
        <f>IFERROR(VLOOKUP($G708,Mapping!$E$208:$K$236,5,0),"Contracts")</f>
        <v>Materials</v>
      </c>
      <c r="M708" s="7" t="str">
        <f>IFERROR(VLOOKUP($G708,Mapping!$E$208:$K$236,7,0),"ENDirect")</f>
        <v>ENDirect</v>
      </c>
      <c r="N708" s="7" t="str">
        <f>IFERROR(HLOOKUP(L708,'Calc|Weightings'!$U$5:$W$5,1,0),"Excl")</f>
        <v>Materials</v>
      </c>
      <c r="O708" s="7" t="str">
        <f>VLOOKUP(E708,Mapping!$E$11:$I$204,5,0)</f>
        <v>SCS</v>
      </c>
      <c r="Q708" s="32" t="s">
        <v>221</v>
      </c>
      <c r="R708" s="32"/>
      <c r="S708" s="32">
        <v>71055</v>
      </c>
      <c r="T708" s="32" t="s">
        <v>465</v>
      </c>
      <c r="U708" s="33">
        <v>28.62</v>
      </c>
      <c r="V708" s="7"/>
      <c r="W708" s="7" t="str">
        <f>VLOOKUP($Q708,Mapping!$E$11:$I$204,3,0)</f>
        <v>Replacement</v>
      </c>
      <c r="X708" s="7" t="str">
        <f>IFERROR(VLOOKUP($S708,Mapping!$E$208:$K$236,5,0),"Contracts")</f>
        <v>Contracts</v>
      </c>
      <c r="Y708" s="7" t="str">
        <f>IFERROR(VLOOKUP($S708,Mapping!$E$208:$K$236,7,0),"ENDirect")</f>
        <v>ENDirect</v>
      </c>
      <c r="Z708" s="7" t="str">
        <f>IFERROR(HLOOKUP(X708,'Calc|Weightings'!$U$5:$W$5,1,0),"Excl")</f>
        <v>Contracts</v>
      </c>
      <c r="AA708" s="7" t="str">
        <f>VLOOKUP(Q708,Mapping!$E$11:$I$204,5,0)</f>
        <v>SCS</v>
      </c>
      <c r="AC708" s="35" t="s">
        <v>218</v>
      </c>
      <c r="AD708" s="35"/>
      <c r="AE708" s="35">
        <v>71000</v>
      </c>
      <c r="AF708" s="35" t="s">
        <v>457</v>
      </c>
      <c r="AG708" s="36">
        <v>40.402999999999999</v>
      </c>
      <c r="AI708" s="7" t="str">
        <f>VLOOKUP($AC708,Mapping!$E$11:$I$204,3,0)</f>
        <v>Replacement</v>
      </c>
      <c r="AJ708" s="7" t="str">
        <f>IFERROR(VLOOKUP($AE708,Mapping!$E$208:$K$236,5,0),"Contracts")</f>
        <v>Labour</v>
      </c>
      <c r="AK708" s="7" t="str">
        <f>IFERROR(VLOOKUP($AE708,Mapping!$E$208:$K$236,7,0),"ENDirect")</f>
        <v>ENDirect</v>
      </c>
      <c r="AL708" s="7" t="str">
        <f>IFERROR(HLOOKUP(AJ708,'Calc|Weightings'!$U$5:$W$5,1,0),"Excl")</f>
        <v>Labour</v>
      </c>
      <c r="AM708" s="7" t="str">
        <f>VLOOKUP(AC708,Mapping!$E$11:$I$204,5,0)</f>
        <v>SCS</v>
      </c>
      <c r="AO708" s="35" t="s">
        <v>202</v>
      </c>
      <c r="AP708" s="35"/>
      <c r="AQ708" s="35">
        <v>71010</v>
      </c>
      <c r="AR708" s="35" t="s">
        <v>487</v>
      </c>
      <c r="AS708" s="121">
        <v>112.87063000000002</v>
      </c>
      <c r="AU708" s="7" t="str">
        <f>VLOOKUP($AO708,Mapping!$E$11:$I$204,3,0)</f>
        <v>Replacement</v>
      </c>
      <c r="AV708" s="7" t="str">
        <f>IFERROR(VLOOKUP($AQ708,Mapping!$E$208:$K$236,5,0),"Contracts")</f>
        <v>Labour</v>
      </c>
      <c r="AW708" s="7" t="str">
        <f>IFERROR(VLOOKUP($AQ708,Mapping!$E$208:$K$236,7,0),"ENDirect")</f>
        <v>ENDirect</v>
      </c>
      <c r="AX708" s="7" t="str">
        <f>IFERROR(HLOOKUP(AV708,'Calc|Weightings'!$U$5:$W$5,1,0),"Excl")</f>
        <v>Labour</v>
      </c>
      <c r="AY708" s="7" t="str">
        <f>VLOOKUP(AO708,Mapping!$E$11:$I$204,5,0)</f>
        <v>SCS</v>
      </c>
    </row>
    <row r="709" spans="1:51" x14ac:dyDescent="0.3">
      <c r="A709" s="7"/>
      <c r="B709" s="7"/>
      <c r="C709" s="7"/>
      <c r="D709" s="7"/>
      <c r="E709" s="32" t="s">
        <v>187</v>
      </c>
      <c r="F709" s="32"/>
      <c r="G709" s="32">
        <v>71030</v>
      </c>
      <c r="H709" s="32" t="s">
        <v>464</v>
      </c>
      <c r="I709" s="33">
        <v>35.527000000000001</v>
      </c>
      <c r="J709" s="170"/>
      <c r="K709" s="7" t="str">
        <f>VLOOKUP($E709,Mapping!$E$11:$I$204,3,0)</f>
        <v>Replacement</v>
      </c>
      <c r="L709" s="7" t="str">
        <f>IFERROR(VLOOKUP($G709,Mapping!$E$208:$K$236,5,0),"Contracts")</f>
        <v>Contracts</v>
      </c>
      <c r="M709" s="7" t="str">
        <f>IFERROR(VLOOKUP($G709,Mapping!$E$208:$K$236,7,0),"ENDirect")</f>
        <v>ENDirect</v>
      </c>
      <c r="N709" s="7" t="str">
        <f>IFERROR(HLOOKUP(L709,'Calc|Weightings'!$U$5:$W$5,1,0),"Excl")</f>
        <v>Contracts</v>
      </c>
      <c r="O709" s="7" t="str">
        <f>VLOOKUP(E709,Mapping!$E$11:$I$204,5,0)</f>
        <v>SCS</v>
      </c>
      <c r="Q709" s="32" t="s">
        <v>221</v>
      </c>
      <c r="R709" s="32"/>
      <c r="S709" s="32">
        <v>80000</v>
      </c>
      <c r="T709" s="32" t="s">
        <v>453</v>
      </c>
      <c r="U709" s="33">
        <v>24.562999999999999</v>
      </c>
      <c r="V709" s="7"/>
      <c r="W709" s="7" t="str">
        <f>VLOOKUP($Q709,Mapping!$E$11:$I$204,3,0)</f>
        <v>Replacement</v>
      </c>
      <c r="X709" s="7" t="str">
        <f>IFERROR(VLOOKUP($S709,Mapping!$E$208:$K$236,5,0),"Contracts")</f>
        <v>Overhead</v>
      </c>
      <c r="Y709" s="7" t="str">
        <f>IFERROR(VLOOKUP($S709,Mapping!$E$208:$K$236,7,0),"ENDirect")</f>
        <v>OH</v>
      </c>
      <c r="Z709" s="7" t="str">
        <f>IFERROR(HLOOKUP(X709,'Calc|Weightings'!$U$5:$W$5,1,0),"Excl")</f>
        <v>Excl</v>
      </c>
      <c r="AA709" s="7" t="str">
        <f>VLOOKUP(Q709,Mapping!$E$11:$I$204,5,0)</f>
        <v>SCS</v>
      </c>
      <c r="AC709" s="35" t="s">
        <v>218</v>
      </c>
      <c r="AD709" s="35"/>
      <c r="AE709" s="35">
        <v>71005</v>
      </c>
      <c r="AF709" s="35" t="s">
        <v>461</v>
      </c>
      <c r="AG709" s="36">
        <v>23.088999999999999</v>
      </c>
      <c r="AI709" s="7" t="str">
        <f>VLOOKUP($AC709,Mapping!$E$11:$I$204,3,0)</f>
        <v>Replacement</v>
      </c>
      <c r="AJ709" s="7" t="str">
        <f>IFERROR(VLOOKUP($AE709,Mapping!$E$208:$K$236,5,0),"Contracts")</f>
        <v>Materials</v>
      </c>
      <c r="AK709" s="7" t="str">
        <f>IFERROR(VLOOKUP($AE709,Mapping!$E$208:$K$236,7,0),"ENDirect")</f>
        <v>ENDirect</v>
      </c>
      <c r="AL709" s="7" t="str">
        <f>IFERROR(HLOOKUP(AJ709,'Calc|Weightings'!$U$5:$W$5,1,0),"Excl")</f>
        <v>Materials</v>
      </c>
      <c r="AM709" s="7" t="str">
        <f>VLOOKUP(AC709,Mapping!$E$11:$I$204,5,0)</f>
        <v>SCS</v>
      </c>
      <c r="AO709" s="35" t="s">
        <v>202</v>
      </c>
      <c r="AP709" s="35"/>
      <c r="AQ709" s="35">
        <v>71015</v>
      </c>
      <c r="AR709" s="35" t="s">
        <v>585</v>
      </c>
      <c r="AS709" s="121">
        <v>41.385619999999996</v>
      </c>
      <c r="AU709" s="7" t="str">
        <f>VLOOKUP($AO709,Mapping!$E$11:$I$204,3,0)</f>
        <v>Replacement</v>
      </c>
      <c r="AV709" s="7" t="str">
        <f>IFERROR(VLOOKUP($AQ709,Mapping!$E$208:$K$236,5,0),"Contracts")</f>
        <v>Materials</v>
      </c>
      <c r="AW709" s="7" t="str">
        <f>IFERROR(VLOOKUP($AQ709,Mapping!$E$208:$K$236,7,0),"ENDirect")</f>
        <v>ENDirect</v>
      </c>
      <c r="AX709" s="7" t="str">
        <f>IFERROR(HLOOKUP(AV709,'Calc|Weightings'!$U$5:$W$5,1,0),"Excl")</f>
        <v>Materials</v>
      </c>
      <c r="AY709" s="7" t="str">
        <f>VLOOKUP(AO709,Mapping!$E$11:$I$204,5,0)</f>
        <v>SCS</v>
      </c>
    </row>
    <row r="710" spans="1:51" x14ac:dyDescent="0.3">
      <c r="A710" s="7"/>
      <c r="B710" s="7"/>
      <c r="C710" s="7"/>
      <c r="D710" s="7"/>
      <c r="E710" s="32" t="s">
        <v>187</v>
      </c>
      <c r="F710" s="32"/>
      <c r="G710" s="32">
        <v>71040</v>
      </c>
      <c r="H710" s="32" t="s">
        <v>460</v>
      </c>
      <c r="I710" s="33">
        <v>-0.88800000000000001</v>
      </c>
      <c r="J710" s="170"/>
      <c r="K710" s="7" t="str">
        <f>VLOOKUP($E710,Mapping!$E$11:$I$204,3,0)</f>
        <v>Replacement</v>
      </c>
      <c r="L710" s="7" t="str">
        <f>IFERROR(VLOOKUP($G710,Mapping!$E$208:$K$236,5,0),"Contracts")</f>
        <v>Contracts</v>
      </c>
      <c r="M710" s="7" t="str">
        <f>IFERROR(VLOOKUP($G710,Mapping!$E$208:$K$236,7,0),"ENDirect")</f>
        <v>ENDirect</v>
      </c>
      <c r="N710" s="7" t="str">
        <f>IFERROR(HLOOKUP(L710,'Calc|Weightings'!$U$5:$W$5,1,0),"Excl")</f>
        <v>Contracts</v>
      </c>
      <c r="O710" s="7" t="str">
        <f>VLOOKUP(E710,Mapping!$E$11:$I$204,5,0)</f>
        <v>SCS</v>
      </c>
      <c r="Q710" s="32" t="s">
        <v>221</v>
      </c>
      <c r="R710" s="32"/>
      <c r="S710" s="32">
        <v>89999</v>
      </c>
      <c r="T710" s="32" t="s">
        <v>471</v>
      </c>
      <c r="U710" s="33">
        <v>0</v>
      </c>
      <c r="V710" s="7"/>
      <c r="W710" s="7" t="str">
        <f>VLOOKUP($Q710,Mapping!$E$11:$I$204,3,0)</f>
        <v>Replacement</v>
      </c>
      <c r="X710" s="7" t="str">
        <f>IFERROR(VLOOKUP($S710,Mapping!$E$208:$K$236,5,0),"Contracts")</f>
        <v>Contracts</v>
      </c>
      <c r="Y710" s="7" t="str">
        <f>IFERROR(VLOOKUP($S710,Mapping!$E$208:$K$236,7,0),"ENDirect")</f>
        <v>ENDirect</v>
      </c>
      <c r="Z710" s="7" t="str">
        <f>IFERROR(HLOOKUP(X710,'Calc|Weightings'!$U$5:$W$5,1,0),"Excl")</f>
        <v>Contracts</v>
      </c>
      <c r="AA710" s="7" t="str">
        <f>VLOOKUP(Q710,Mapping!$E$11:$I$204,5,0)</f>
        <v>SCS</v>
      </c>
      <c r="AC710" s="35" t="s">
        <v>218</v>
      </c>
      <c r="AD710" s="35"/>
      <c r="AE710" s="35">
        <v>71010</v>
      </c>
      <c r="AF710" s="35" t="s">
        <v>462</v>
      </c>
      <c r="AG710" s="36">
        <v>20.792999999999999</v>
      </c>
      <c r="AI710" s="7" t="str">
        <f>VLOOKUP($AC710,Mapping!$E$11:$I$204,3,0)</f>
        <v>Replacement</v>
      </c>
      <c r="AJ710" s="7" t="str">
        <f>IFERROR(VLOOKUP($AE710,Mapping!$E$208:$K$236,5,0),"Contracts")</f>
        <v>Labour</v>
      </c>
      <c r="AK710" s="7" t="str">
        <f>IFERROR(VLOOKUP($AE710,Mapping!$E$208:$K$236,7,0),"ENDirect")</f>
        <v>ENDirect</v>
      </c>
      <c r="AL710" s="7" t="str">
        <f>IFERROR(HLOOKUP(AJ710,'Calc|Weightings'!$U$5:$W$5,1,0),"Excl")</f>
        <v>Labour</v>
      </c>
      <c r="AM710" s="7" t="str">
        <f>VLOOKUP(AC710,Mapping!$E$11:$I$204,5,0)</f>
        <v>SCS</v>
      </c>
      <c r="AO710" s="35" t="s">
        <v>202</v>
      </c>
      <c r="AP710" s="35"/>
      <c r="AQ710" s="35">
        <v>71030</v>
      </c>
      <c r="AR710" s="35" t="s">
        <v>464</v>
      </c>
      <c r="AS710" s="121">
        <v>32.677739999999993</v>
      </c>
      <c r="AU710" s="7" t="str">
        <f>VLOOKUP($AO710,Mapping!$E$11:$I$204,3,0)</f>
        <v>Replacement</v>
      </c>
      <c r="AV710" s="7" t="str">
        <f>IFERROR(VLOOKUP($AQ710,Mapping!$E$208:$K$236,5,0),"Contracts")</f>
        <v>Contracts</v>
      </c>
      <c r="AW710" s="7" t="str">
        <f>IFERROR(VLOOKUP($AQ710,Mapping!$E$208:$K$236,7,0),"ENDirect")</f>
        <v>ENDirect</v>
      </c>
      <c r="AX710" s="7" t="str">
        <f>IFERROR(HLOOKUP(AV710,'Calc|Weightings'!$U$5:$W$5,1,0),"Excl")</f>
        <v>Contracts</v>
      </c>
      <c r="AY710" s="7" t="str">
        <f>VLOOKUP(AO710,Mapping!$E$11:$I$204,5,0)</f>
        <v>SCS</v>
      </c>
    </row>
    <row r="711" spans="1:51" x14ac:dyDescent="0.3">
      <c r="A711" s="7"/>
      <c r="B711" s="7"/>
      <c r="C711" s="7"/>
      <c r="D711" s="7"/>
      <c r="E711" s="32" t="s">
        <v>187</v>
      </c>
      <c r="F711" s="32"/>
      <c r="G711" s="32">
        <v>71055</v>
      </c>
      <c r="H711" s="32" t="s">
        <v>465</v>
      </c>
      <c r="I711" s="33">
        <v>124.78400000000001</v>
      </c>
      <c r="J711" s="170"/>
      <c r="K711" s="7" t="str">
        <f>VLOOKUP($E711,Mapping!$E$11:$I$204,3,0)</f>
        <v>Replacement</v>
      </c>
      <c r="L711" s="7" t="str">
        <f>IFERROR(VLOOKUP($G711,Mapping!$E$208:$K$236,5,0),"Contracts")</f>
        <v>Contracts</v>
      </c>
      <c r="M711" s="7" t="str">
        <f>IFERROR(VLOOKUP($G711,Mapping!$E$208:$K$236,7,0),"ENDirect")</f>
        <v>ENDirect</v>
      </c>
      <c r="N711" s="7" t="str">
        <f>IFERROR(HLOOKUP(L711,'Calc|Weightings'!$U$5:$W$5,1,0),"Excl")</f>
        <v>Contracts</v>
      </c>
      <c r="O711" s="7" t="str">
        <f>VLOOKUP(E711,Mapping!$E$11:$I$204,5,0)</f>
        <v>SCS</v>
      </c>
      <c r="Q711" s="32" t="s">
        <v>222</v>
      </c>
      <c r="R711" s="32"/>
      <c r="S711" s="32">
        <v>71000</v>
      </c>
      <c r="T711" s="32" t="s">
        <v>457</v>
      </c>
      <c r="U711" s="33">
        <v>592.01599999999996</v>
      </c>
      <c r="V711" s="7"/>
      <c r="W711" s="7" t="str">
        <f>VLOOKUP($Q711,Mapping!$E$11:$I$204,3,0)</f>
        <v>Replacement</v>
      </c>
      <c r="X711" s="7" t="str">
        <f>IFERROR(VLOOKUP($S711,Mapping!$E$208:$K$236,5,0),"Contracts")</f>
        <v>Labour</v>
      </c>
      <c r="Y711" s="7" t="str">
        <f>IFERROR(VLOOKUP($S711,Mapping!$E$208:$K$236,7,0),"ENDirect")</f>
        <v>ENDirect</v>
      </c>
      <c r="Z711" s="7" t="str">
        <f>IFERROR(HLOOKUP(X711,'Calc|Weightings'!$U$5:$W$5,1,0),"Excl")</f>
        <v>Labour</v>
      </c>
      <c r="AA711" s="7" t="str">
        <f>VLOOKUP(Q711,Mapping!$E$11:$I$204,5,0)</f>
        <v>SCS</v>
      </c>
      <c r="AC711" s="35" t="s">
        <v>218</v>
      </c>
      <c r="AD711" s="35"/>
      <c r="AE711" s="35">
        <v>71015</v>
      </c>
      <c r="AF711" s="35" t="s">
        <v>463</v>
      </c>
      <c r="AG711" s="36">
        <v>6.0250000000000004</v>
      </c>
      <c r="AI711" s="7" t="str">
        <f>VLOOKUP($AC711,Mapping!$E$11:$I$204,3,0)</f>
        <v>Replacement</v>
      </c>
      <c r="AJ711" s="7" t="str">
        <f>IFERROR(VLOOKUP($AE711,Mapping!$E$208:$K$236,5,0),"Contracts")</f>
        <v>Materials</v>
      </c>
      <c r="AK711" s="7" t="str">
        <f>IFERROR(VLOOKUP($AE711,Mapping!$E$208:$K$236,7,0),"ENDirect")</f>
        <v>ENDirect</v>
      </c>
      <c r="AL711" s="7" t="str">
        <f>IFERROR(HLOOKUP(AJ711,'Calc|Weightings'!$U$5:$W$5,1,0),"Excl")</f>
        <v>Materials</v>
      </c>
      <c r="AM711" s="7" t="str">
        <f>VLOOKUP(AC711,Mapping!$E$11:$I$204,5,0)</f>
        <v>SCS</v>
      </c>
      <c r="AO711" s="35" t="s">
        <v>202</v>
      </c>
      <c r="AP711" s="35"/>
      <c r="AQ711" s="35">
        <v>71055</v>
      </c>
      <c r="AR711" s="35" t="s">
        <v>465</v>
      </c>
      <c r="AS711" s="121">
        <v>63.989649999999976</v>
      </c>
      <c r="AU711" s="7" t="str">
        <f>VLOOKUP($AO711,Mapping!$E$11:$I$204,3,0)</f>
        <v>Replacement</v>
      </c>
      <c r="AV711" s="7" t="str">
        <f>IFERROR(VLOOKUP($AQ711,Mapping!$E$208:$K$236,5,0),"Contracts")</f>
        <v>Contracts</v>
      </c>
      <c r="AW711" s="7" t="str">
        <f>IFERROR(VLOOKUP($AQ711,Mapping!$E$208:$K$236,7,0),"ENDirect")</f>
        <v>ENDirect</v>
      </c>
      <c r="AX711" s="7" t="str">
        <f>IFERROR(HLOOKUP(AV711,'Calc|Weightings'!$U$5:$W$5,1,0),"Excl")</f>
        <v>Contracts</v>
      </c>
      <c r="AY711" s="7" t="str">
        <f>VLOOKUP(AO711,Mapping!$E$11:$I$204,5,0)</f>
        <v>SCS</v>
      </c>
    </row>
    <row r="712" spans="1:51" x14ac:dyDescent="0.3">
      <c r="A712" s="7"/>
      <c r="B712" s="7"/>
      <c r="C712" s="7"/>
      <c r="D712" s="7"/>
      <c r="E712" s="32" t="s">
        <v>187</v>
      </c>
      <c r="F712" s="32"/>
      <c r="G712" s="32">
        <v>80000</v>
      </c>
      <c r="H712" s="32" t="s">
        <v>453</v>
      </c>
      <c r="I712" s="33">
        <v>51.854999999999997</v>
      </c>
      <c r="J712" s="170"/>
      <c r="K712" s="7" t="str">
        <f>VLOOKUP($E712,Mapping!$E$11:$I$204,3,0)</f>
        <v>Replacement</v>
      </c>
      <c r="L712" s="7" t="str">
        <f>IFERROR(VLOOKUP($G712,Mapping!$E$208:$K$236,5,0),"Contracts")</f>
        <v>Overhead</v>
      </c>
      <c r="M712" s="7" t="str">
        <f>IFERROR(VLOOKUP($G712,Mapping!$E$208:$K$236,7,0),"ENDirect")</f>
        <v>OH</v>
      </c>
      <c r="N712" s="7" t="str">
        <f>IFERROR(HLOOKUP(L712,'Calc|Weightings'!$U$5:$W$5,1,0),"Excl")</f>
        <v>Excl</v>
      </c>
      <c r="O712" s="7" t="str">
        <f>VLOOKUP(E712,Mapping!$E$11:$I$204,5,0)</f>
        <v>SCS</v>
      </c>
      <c r="Q712" s="32" t="s">
        <v>222</v>
      </c>
      <c r="R712" s="32"/>
      <c r="S712" s="32">
        <v>71005</v>
      </c>
      <c r="T712" s="32" t="s">
        <v>461</v>
      </c>
      <c r="U712" s="33">
        <v>150.39699999999999</v>
      </c>
      <c r="V712" s="7"/>
      <c r="W712" s="7" t="str">
        <f>VLOOKUP($Q712,Mapping!$E$11:$I$204,3,0)</f>
        <v>Replacement</v>
      </c>
      <c r="X712" s="7" t="str">
        <f>IFERROR(VLOOKUP($S712,Mapping!$E$208:$K$236,5,0),"Contracts")</f>
        <v>Materials</v>
      </c>
      <c r="Y712" s="7" t="str">
        <f>IFERROR(VLOOKUP($S712,Mapping!$E$208:$K$236,7,0),"ENDirect")</f>
        <v>ENDirect</v>
      </c>
      <c r="Z712" s="7" t="str">
        <f>IFERROR(HLOOKUP(X712,'Calc|Weightings'!$U$5:$W$5,1,0),"Excl")</f>
        <v>Materials</v>
      </c>
      <c r="AA712" s="7" t="str">
        <f>VLOOKUP(Q712,Mapping!$E$11:$I$204,5,0)</f>
        <v>SCS</v>
      </c>
      <c r="AC712" s="35" t="s">
        <v>218</v>
      </c>
      <c r="AD712" s="35"/>
      <c r="AE712" s="35">
        <v>71030</v>
      </c>
      <c r="AF712" s="35" t="s">
        <v>464</v>
      </c>
      <c r="AG712" s="36">
        <v>7.2210000000000001</v>
      </c>
      <c r="AI712" s="7" t="str">
        <f>VLOOKUP($AC712,Mapping!$E$11:$I$204,3,0)</f>
        <v>Replacement</v>
      </c>
      <c r="AJ712" s="7" t="str">
        <f>IFERROR(VLOOKUP($AE712,Mapping!$E$208:$K$236,5,0),"Contracts")</f>
        <v>Contracts</v>
      </c>
      <c r="AK712" s="7" t="str">
        <f>IFERROR(VLOOKUP($AE712,Mapping!$E$208:$K$236,7,0),"ENDirect")</f>
        <v>ENDirect</v>
      </c>
      <c r="AL712" s="7" t="str">
        <f>IFERROR(HLOOKUP(AJ712,'Calc|Weightings'!$U$5:$W$5,1,0),"Excl")</f>
        <v>Contracts</v>
      </c>
      <c r="AM712" s="7" t="str">
        <f>VLOOKUP(AC712,Mapping!$E$11:$I$204,5,0)</f>
        <v>SCS</v>
      </c>
      <c r="AO712" s="35" t="s">
        <v>202</v>
      </c>
      <c r="AP712" s="35"/>
      <c r="AQ712" s="35">
        <v>71075</v>
      </c>
      <c r="AR712" s="35" t="s">
        <v>587</v>
      </c>
      <c r="AS712" s="121">
        <v>286.76554000000044</v>
      </c>
      <c r="AU712" s="7" t="str">
        <f>VLOOKUP($AO712,Mapping!$E$11:$I$204,3,0)</f>
        <v>Replacement</v>
      </c>
      <c r="AV712" s="7" t="str">
        <f>IFERROR(VLOOKUP($AQ712,Mapping!$E$208:$K$236,5,0),"Contracts")</f>
        <v>Contracts</v>
      </c>
      <c r="AW712" s="7" t="str">
        <f>IFERROR(VLOOKUP($AQ712,Mapping!$E$208:$K$236,7,0),"ENDirect")</f>
        <v>ENDirect</v>
      </c>
      <c r="AX712" s="7" t="str">
        <f>IFERROR(HLOOKUP(AV712,'Calc|Weightings'!$U$5:$W$5,1,0),"Excl")</f>
        <v>Contracts</v>
      </c>
      <c r="AY712" s="7" t="str">
        <f>VLOOKUP(AO712,Mapping!$E$11:$I$204,5,0)</f>
        <v>SCS</v>
      </c>
    </row>
    <row r="713" spans="1:51" x14ac:dyDescent="0.3">
      <c r="A713" s="7"/>
      <c r="B713" s="7"/>
      <c r="C713" s="7"/>
      <c r="D713" s="7"/>
      <c r="E713" s="32" t="s">
        <v>188</v>
      </c>
      <c r="F713" s="32"/>
      <c r="G713" s="32">
        <v>71000</v>
      </c>
      <c r="H713" s="32" t="s">
        <v>457</v>
      </c>
      <c r="I713" s="33">
        <v>33.057000000000002</v>
      </c>
      <c r="J713" s="170"/>
      <c r="K713" s="7" t="str">
        <f>VLOOKUP($E713,Mapping!$E$11:$I$204,3,0)</f>
        <v>Replacement</v>
      </c>
      <c r="L713" s="7" t="str">
        <f>IFERROR(VLOOKUP($G713,Mapping!$E$208:$K$236,5,0),"Contracts")</f>
        <v>Labour</v>
      </c>
      <c r="M713" s="7" t="str">
        <f>IFERROR(VLOOKUP($G713,Mapping!$E$208:$K$236,7,0),"ENDirect")</f>
        <v>ENDirect</v>
      </c>
      <c r="N713" s="7" t="str">
        <f>IFERROR(HLOOKUP(L713,'Calc|Weightings'!$U$5:$W$5,1,0),"Excl")</f>
        <v>Labour</v>
      </c>
      <c r="O713" s="7" t="str">
        <f>VLOOKUP(E713,Mapping!$E$11:$I$204,5,0)</f>
        <v>SCS</v>
      </c>
      <c r="Q713" s="32" t="s">
        <v>222</v>
      </c>
      <c r="R713" s="32"/>
      <c r="S713" s="32">
        <v>71010</v>
      </c>
      <c r="T713" s="32" t="s">
        <v>462</v>
      </c>
      <c r="U713" s="33">
        <v>219.07599999999999</v>
      </c>
      <c r="V713" s="7"/>
      <c r="W713" s="7" t="str">
        <f>VLOOKUP($Q713,Mapping!$E$11:$I$204,3,0)</f>
        <v>Replacement</v>
      </c>
      <c r="X713" s="7" t="str">
        <f>IFERROR(VLOOKUP($S713,Mapping!$E$208:$K$236,5,0),"Contracts")</f>
        <v>Labour</v>
      </c>
      <c r="Y713" s="7" t="str">
        <f>IFERROR(VLOOKUP($S713,Mapping!$E$208:$K$236,7,0),"ENDirect")</f>
        <v>ENDirect</v>
      </c>
      <c r="Z713" s="7" t="str">
        <f>IFERROR(HLOOKUP(X713,'Calc|Weightings'!$U$5:$W$5,1,0),"Excl")</f>
        <v>Labour</v>
      </c>
      <c r="AA713" s="7" t="str">
        <f>VLOOKUP(Q713,Mapping!$E$11:$I$204,5,0)</f>
        <v>SCS</v>
      </c>
      <c r="AC713" s="35" t="s">
        <v>218</v>
      </c>
      <c r="AD713" s="35"/>
      <c r="AE713" s="35">
        <v>71055</v>
      </c>
      <c r="AF713" s="35" t="s">
        <v>465</v>
      </c>
      <c r="AG713" s="36">
        <v>17.166</v>
      </c>
      <c r="AI713" s="7" t="str">
        <f>VLOOKUP($AC713,Mapping!$E$11:$I$204,3,0)</f>
        <v>Replacement</v>
      </c>
      <c r="AJ713" s="7" t="str">
        <f>IFERROR(VLOOKUP($AE713,Mapping!$E$208:$K$236,5,0),"Contracts")</f>
        <v>Contracts</v>
      </c>
      <c r="AK713" s="7" t="str">
        <f>IFERROR(VLOOKUP($AE713,Mapping!$E$208:$K$236,7,0),"ENDirect")</f>
        <v>ENDirect</v>
      </c>
      <c r="AL713" s="7" t="str">
        <f>IFERROR(HLOOKUP(AJ713,'Calc|Weightings'!$U$5:$W$5,1,0),"Excl")</f>
        <v>Contracts</v>
      </c>
      <c r="AM713" s="7" t="str">
        <f>VLOOKUP(AC713,Mapping!$E$11:$I$204,5,0)</f>
        <v>SCS</v>
      </c>
      <c r="AO713" s="35" t="s">
        <v>202</v>
      </c>
      <c r="AP713" s="35"/>
      <c r="AQ713" s="35">
        <v>80000</v>
      </c>
      <c r="AR713" s="35" t="s">
        <v>589</v>
      </c>
      <c r="AS713" s="121">
        <v>500.82317000000006</v>
      </c>
      <c r="AU713" s="7" t="str">
        <f>VLOOKUP($AO713,Mapping!$E$11:$I$204,3,0)</f>
        <v>Replacement</v>
      </c>
      <c r="AV713" s="7" t="str">
        <f>IFERROR(VLOOKUP($AQ713,Mapping!$E$208:$K$236,5,0),"Contracts")</f>
        <v>Overhead</v>
      </c>
      <c r="AW713" s="7" t="str">
        <f>IFERROR(VLOOKUP($AQ713,Mapping!$E$208:$K$236,7,0),"ENDirect")</f>
        <v>OH</v>
      </c>
      <c r="AX713" s="7" t="str">
        <f>IFERROR(HLOOKUP(AV713,'Calc|Weightings'!$U$5:$W$5,1,0),"Excl")</f>
        <v>Excl</v>
      </c>
      <c r="AY713" s="7" t="str">
        <f>VLOOKUP(AO713,Mapping!$E$11:$I$204,5,0)</f>
        <v>SCS</v>
      </c>
    </row>
    <row r="714" spans="1:51" x14ac:dyDescent="0.3">
      <c r="A714" s="7"/>
      <c r="B714" s="7"/>
      <c r="C714" s="7"/>
      <c r="D714" s="7"/>
      <c r="E714" s="32" t="s">
        <v>188</v>
      </c>
      <c r="F714" s="32"/>
      <c r="G714" s="32">
        <v>71005</v>
      </c>
      <c r="H714" s="32" t="s">
        <v>461</v>
      </c>
      <c r="I714" s="33">
        <v>17.585999999999999</v>
      </c>
      <c r="J714" s="170"/>
      <c r="K714" s="7" t="str">
        <f>VLOOKUP($E714,Mapping!$E$11:$I$204,3,0)</f>
        <v>Replacement</v>
      </c>
      <c r="L714" s="7" t="str">
        <f>IFERROR(VLOOKUP($G714,Mapping!$E$208:$K$236,5,0),"Contracts")</f>
        <v>Materials</v>
      </c>
      <c r="M714" s="7" t="str">
        <f>IFERROR(VLOOKUP($G714,Mapping!$E$208:$K$236,7,0),"ENDirect")</f>
        <v>ENDirect</v>
      </c>
      <c r="N714" s="7" t="str">
        <f>IFERROR(HLOOKUP(L714,'Calc|Weightings'!$U$5:$W$5,1,0),"Excl")</f>
        <v>Materials</v>
      </c>
      <c r="O714" s="7" t="str">
        <f>VLOOKUP(E714,Mapping!$E$11:$I$204,5,0)</f>
        <v>SCS</v>
      </c>
      <c r="Q714" s="32" t="s">
        <v>222</v>
      </c>
      <c r="R714" s="32"/>
      <c r="S714" s="32">
        <v>71015</v>
      </c>
      <c r="T714" s="32" t="s">
        <v>463</v>
      </c>
      <c r="U714" s="33">
        <v>102.35599999999999</v>
      </c>
      <c r="V714" s="7"/>
      <c r="W714" s="7" t="str">
        <f>VLOOKUP($Q714,Mapping!$E$11:$I$204,3,0)</f>
        <v>Replacement</v>
      </c>
      <c r="X714" s="7" t="str">
        <f>IFERROR(VLOOKUP($S714,Mapping!$E$208:$K$236,5,0),"Contracts")</f>
        <v>Materials</v>
      </c>
      <c r="Y714" s="7" t="str">
        <f>IFERROR(VLOOKUP($S714,Mapping!$E$208:$K$236,7,0),"ENDirect")</f>
        <v>ENDirect</v>
      </c>
      <c r="Z714" s="7" t="str">
        <f>IFERROR(HLOOKUP(X714,'Calc|Weightings'!$U$5:$W$5,1,0),"Excl")</f>
        <v>Materials</v>
      </c>
      <c r="AA714" s="7" t="str">
        <f>VLOOKUP(Q714,Mapping!$E$11:$I$204,5,0)</f>
        <v>SCS</v>
      </c>
      <c r="AC714" s="35" t="s">
        <v>218</v>
      </c>
      <c r="AD714" s="35"/>
      <c r="AE714" s="35">
        <v>80000</v>
      </c>
      <c r="AF714" s="35" t="s">
        <v>453</v>
      </c>
      <c r="AG714" s="36">
        <v>11.648999999999999</v>
      </c>
      <c r="AI714" s="7" t="str">
        <f>VLOOKUP($AC714,Mapping!$E$11:$I$204,3,0)</f>
        <v>Replacement</v>
      </c>
      <c r="AJ714" s="7" t="str">
        <f>IFERROR(VLOOKUP($AE714,Mapping!$E$208:$K$236,5,0),"Contracts")</f>
        <v>Overhead</v>
      </c>
      <c r="AK714" s="7" t="str">
        <f>IFERROR(VLOOKUP($AE714,Mapping!$E$208:$K$236,7,0),"ENDirect")</f>
        <v>OH</v>
      </c>
      <c r="AL714" s="7" t="str">
        <f>IFERROR(HLOOKUP(AJ714,'Calc|Weightings'!$U$5:$W$5,1,0),"Excl")</f>
        <v>Excl</v>
      </c>
      <c r="AM714" s="7" t="str">
        <f>VLOOKUP(AC714,Mapping!$E$11:$I$204,5,0)</f>
        <v>SCS</v>
      </c>
      <c r="AO714" s="35" t="s">
        <v>202</v>
      </c>
      <c r="AP714" s="35"/>
      <c r="AQ714" s="35">
        <v>83010</v>
      </c>
      <c r="AR714" s="35" t="s">
        <v>591</v>
      </c>
      <c r="AS714" s="121">
        <v>2247.3109200000081</v>
      </c>
      <c r="AU714" s="7" t="str">
        <f>VLOOKUP($AO714,Mapping!$E$11:$I$204,3,0)</f>
        <v>Replacement</v>
      </c>
      <c r="AV714" s="7" t="str">
        <f>IFERROR(VLOOKUP($AQ714,Mapping!$E$208:$K$236,5,0),"Contracts")</f>
        <v>Contracts</v>
      </c>
      <c r="AW714" s="7" t="str">
        <f>IFERROR(VLOOKUP($AQ714,Mapping!$E$208:$K$236,7,0),"ENDirect")</f>
        <v>ENDirect</v>
      </c>
      <c r="AX714" s="7" t="str">
        <f>IFERROR(HLOOKUP(AV714,'Calc|Weightings'!$U$5:$W$5,1,0),"Excl")</f>
        <v>Contracts</v>
      </c>
      <c r="AY714" s="7" t="str">
        <f>VLOOKUP(AO714,Mapping!$E$11:$I$204,5,0)</f>
        <v>SCS</v>
      </c>
    </row>
    <row r="715" spans="1:51" x14ac:dyDescent="0.3">
      <c r="A715" s="7"/>
      <c r="B715" s="7"/>
      <c r="C715" s="7"/>
      <c r="D715" s="7"/>
      <c r="E715" s="32" t="s">
        <v>188</v>
      </c>
      <c r="F715" s="32"/>
      <c r="G715" s="32">
        <v>71010</v>
      </c>
      <c r="H715" s="32" t="s">
        <v>462</v>
      </c>
      <c r="I715" s="33">
        <v>56.308999999999997</v>
      </c>
      <c r="J715" s="170"/>
      <c r="K715" s="7" t="str">
        <f>VLOOKUP($E715,Mapping!$E$11:$I$204,3,0)</f>
        <v>Replacement</v>
      </c>
      <c r="L715" s="7" t="str">
        <f>IFERROR(VLOOKUP($G715,Mapping!$E$208:$K$236,5,0),"Contracts")</f>
        <v>Labour</v>
      </c>
      <c r="M715" s="7" t="str">
        <f>IFERROR(VLOOKUP($G715,Mapping!$E$208:$K$236,7,0),"ENDirect")</f>
        <v>ENDirect</v>
      </c>
      <c r="N715" s="7" t="str">
        <f>IFERROR(HLOOKUP(L715,'Calc|Weightings'!$U$5:$W$5,1,0),"Excl")</f>
        <v>Labour</v>
      </c>
      <c r="O715" s="7" t="str">
        <f>VLOOKUP(E715,Mapping!$E$11:$I$204,5,0)</f>
        <v>SCS</v>
      </c>
      <c r="Q715" s="32" t="s">
        <v>222</v>
      </c>
      <c r="R715" s="32"/>
      <c r="S715" s="32">
        <v>71020</v>
      </c>
      <c r="T715" s="32" t="s">
        <v>459</v>
      </c>
      <c r="U715" s="33">
        <v>0.79600000000000004</v>
      </c>
      <c r="V715" s="7"/>
      <c r="W715" s="7" t="str">
        <f>VLOOKUP($Q715,Mapping!$E$11:$I$204,3,0)</f>
        <v>Replacement</v>
      </c>
      <c r="X715" s="7" t="str">
        <f>IFERROR(VLOOKUP($S715,Mapping!$E$208:$K$236,5,0),"Contracts")</f>
        <v>Contracts</v>
      </c>
      <c r="Y715" s="7" t="str">
        <f>IFERROR(VLOOKUP($S715,Mapping!$E$208:$K$236,7,0),"ENDirect")</f>
        <v>ENDirect</v>
      </c>
      <c r="Z715" s="7" t="str">
        <f>IFERROR(HLOOKUP(X715,'Calc|Weightings'!$U$5:$W$5,1,0),"Excl")</f>
        <v>Contracts</v>
      </c>
      <c r="AA715" s="7" t="str">
        <f>VLOOKUP(Q715,Mapping!$E$11:$I$204,5,0)</f>
        <v>SCS</v>
      </c>
      <c r="AC715" s="35" t="s">
        <v>218</v>
      </c>
      <c r="AD715" s="35"/>
      <c r="AE715" s="35">
        <v>89999</v>
      </c>
      <c r="AF715" s="35" t="s">
        <v>471</v>
      </c>
      <c r="AG715" s="36">
        <v>0</v>
      </c>
      <c r="AI715" s="7" t="str">
        <f>VLOOKUP($AC715,Mapping!$E$11:$I$204,3,0)</f>
        <v>Replacement</v>
      </c>
      <c r="AJ715" s="7" t="str">
        <f>IFERROR(VLOOKUP($AE715,Mapping!$E$208:$K$236,5,0),"Contracts")</f>
        <v>Contracts</v>
      </c>
      <c r="AK715" s="7" t="str">
        <f>IFERROR(VLOOKUP($AE715,Mapping!$E$208:$K$236,7,0),"ENDirect")</f>
        <v>ENDirect</v>
      </c>
      <c r="AL715" s="7" t="str">
        <f>IFERROR(HLOOKUP(AJ715,'Calc|Weightings'!$U$5:$W$5,1,0),"Excl")</f>
        <v>Contracts</v>
      </c>
      <c r="AM715" s="7" t="str">
        <f>VLOOKUP(AC715,Mapping!$E$11:$I$204,5,0)</f>
        <v>SCS</v>
      </c>
      <c r="AO715" s="35" t="s">
        <v>203</v>
      </c>
      <c r="AP715" s="35"/>
      <c r="AQ715" s="35">
        <v>71000</v>
      </c>
      <c r="AR715" s="35" t="s">
        <v>457</v>
      </c>
      <c r="AS715" s="121">
        <v>11.150539999999999</v>
      </c>
      <c r="AU715" s="7" t="str">
        <f>VLOOKUP($AO715,Mapping!$E$11:$I$204,3,0)</f>
        <v>Replacement</v>
      </c>
      <c r="AV715" s="7" t="str">
        <f>IFERROR(VLOOKUP($AQ715,Mapping!$E$208:$K$236,5,0),"Contracts")</f>
        <v>Labour</v>
      </c>
      <c r="AW715" s="7" t="str">
        <f>IFERROR(VLOOKUP($AQ715,Mapping!$E$208:$K$236,7,0),"ENDirect")</f>
        <v>ENDirect</v>
      </c>
      <c r="AX715" s="7" t="str">
        <f>IFERROR(HLOOKUP(AV715,'Calc|Weightings'!$U$5:$W$5,1,0),"Excl")</f>
        <v>Labour</v>
      </c>
      <c r="AY715" s="7" t="str">
        <f>VLOOKUP(AO715,Mapping!$E$11:$I$204,5,0)</f>
        <v>SCS</v>
      </c>
    </row>
    <row r="716" spans="1:51" x14ac:dyDescent="0.3">
      <c r="A716" s="7"/>
      <c r="B716" s="7"/>
      <c r="C716" s="7"/>
      <c r="D716" s="7"/>
      <c r="E716" s="32" t="s">
        <v>188</v>
      </c>
      <c r="F716" s="32"/>
      <c r="G716" s="32">
        <v>71015</v>
      </c>
      <c r="H716" s="32" t="s">
        <v>463</v>
      </c>
      <c r="I716" s="33">
        <v>4.2140000000000004</v>
      </c>
      <c r="J716" s="170"/>
      <c r="K716" s="7" t="str">
        <f>VLOOKUP($E716,Mapping!$E$11:$I$204,3,0)</f>
        <v>Replacement</v>
      </c>
      <c r="L716" s="7" t="str">
        <f>IFERROR(VLOOKUP($G716,Mapping!$E$208:$K$236,5,0),"Contracts")</f>
        <v>Materials</v>
      </c>
      <c r="M716" s="7" t="str">
        <f>IFERROR(VLOOKUP($G716,Mapping!$E$208:$K$236,7,0),"ENDirect")</f>
        <v>ENDirect</v>
      </c>
      <c r="N716" s="7" t="str">
        <f>IFERROR(HLOOKUP(L716,'Calc|Weightings'!$U$5:$W$5,1,0),"Excl")</f>
        <v>Materials</v>
      </c>
      <c r="O716" s="7" t="str">
        <f>VLOOKUP(E716,Mapping!$E$11:$I$204,5,0)</f>
        <v>SCS</v>
      </c>
      <c r="Q716" s="32" t="s">
        <v>222</v>
      </c>
      <c r="R716" s="32"/>
      <c r="S716" s="32">
        <v>71030</v>
      </c>
      <c r="T716" s="32" t="s">
        <v>464</v>
      </c>
      <c r="U716" s="33">
        <v>84.932000000000002</v>
      </c>
      <c r="V716" s="7"/>
      <c r="W716" s="7" t="str">
        <f>VLOOKUP($Q716,Mapping!$E$11:$I$204,3,0)</f>
        <v>Replacement</v>
      </c>
      <c r="X716" s="7" t="str">
        <f>IFERROR(VLOOKUP($S716,Mapping!$E$208:$K$236,5,0),"Contracts")</f>
        <v>Contracts</v>
      </c>
      <c r="Y716" s="7" t="str">
        <f>IFERROR(VLOOKUP($S716,Mapping!$E$208:$K$236,7,0),"ENDirect")</f>
        <v>ENDirect</v>
      </c>
      <c r="Z716" s="7" t="str">
        <f>IFERROR(HLOOKUP(X716,'Calc|Weightings'!$U$5:$W$5,1,0),"Excl")</f>
        <v>Contracts</v>
      </c>
      <c r="AA716" s="7" t="str">
        <f>VLOOKUP(Q716,Mapping!$E$11:$I$204,5,0)</f>
        <v>SCS</v>
      </c>
      <c r="AC716" s="35" t="s">
        <v>219</v>
      </c>
      <c r="AD716" s="35"/>
      <c r="AE716" s="35">
        <v>71000</v>
      </c>
      <c r="AF716" s="35" t="s">
        <v>457</v>
      </c>
      <c r="AG716" s="36">
        <v>71.233999999999995</v>
      </c>
      <c r="AI716" s="7" t="str">
        <f>VLOOKUP($AC716,Mapping!$E$11:$I$204,3,0)</f>
        <v>Replacement</v>
      </c>
      <c r="AJ716" s="7" t="str">
        <f>IFERROR(VLOOKUP($AE716,Mapping!$E$208:$K$236,5,0),"Contracts")</f>
        <v>Labour</v>
      </c>
      <c r="AK716" s="7" t="str">
        <f>IFERROR(VLOOKUP($AE716,Mapping!$E$208:$K$236,7,0),"ENDirect")</f>
        <v>ENDirect</v>
      </c>
      <c r="AL716" s="7" t="str">
        <f>IFERROR(HLOOKUP(AJ716,'Calc|Weightings'!$U$5:$W$5,1,0),"Excl")</f>
        <v>Labour</v>
      </c>
      <c r="AM716" s="7" t="str">
        <f>VLOOKUP(AC716,Mapping!$E$11:$I$204,5,0)</f>
        <v>SCS</v>
      </c>
      <c r="AO716" s="35" t="s">
        <v>203</v>
      </c>
      <c r="AP716" s="35"/>
      <c r="AQ716" s="35">
        <v>71005</v>
      </c>
      <c r="AR716" s="35" t="s">
        <v>461</v>
      </c>
      <c r="AS716" s="121">
        <v>14.15686</v>
      </c>
      <c r="AU716" s="7" t="str">
        <f>VLOOKUP($AO716,Mapping!$E$11:$I$204,3,0)</f>
        <v>Replacement</v>
      </c>
      <c r="AV716" s="7" t="str">
        <f>IFERROR(VLOOKUP($AQ716,Mapping!$E$208:$K$236,5,0),"Contracts")</f>
        <v>Materials</v>
      </c>
      <c r="AW716" s="7" t="str">
        <f>IFERROR(VLOOKUP($AQ716,Mapping!$E$208:$K$236,7,0),"ENDirect")</f>
        <v>ENDirect</v>
      </c>
      <c r="AX716" s="7" t="str">
        <f>IFERROR(HLOOKUP(AV716,'Calc|Weightings'!$U$5:$W$5,1,0),"Excl")</f>
        <v>Materials</v>
      </c>
      <c r="AY716" s="7" t="str">
        <f>VLOOKUP(AO716,Mapping!$E$11:$I$204,5,0)</f>
        <v>SCS</v>
      </c>
    </row>
    <row r="717" spans="1:51" x14ac:dyDescent="0.3">
      <c r="A717" s="7"/>
      <c r="B717" s="7"/>
      <c r="C717" s="7"/>
      <c r="D717" s="7"/>
      <c r="E717" s="32" t="s">
        <v>188</v>
      </c>
      <c r="F717" s="32"/>
      <c r="G717" s="32">
        <v>71030</v>
      </c>
      <c r="H717" s="32" t="s">
        <v>464</v>
      </c>
      <c r="I717" s="33">
        <v>8.1709999999999994</v>
      </c>
      <c r="J717" s="170"/>
      <c r="K717" s="7" t="str">
        <f>VLOOKUP($E717,Mapping!$E$11:$I$204,3,0)</f>
        <v>Replacement</v>
      </c>
      <c r="L717" s="7" t="str">
        <f>IFERROR(VLOOKUP($G717,Mapping!$E$208:$K$236,5,0),"Contracts")</f>
        <v>Contracts</v>
      </c>
      <c r="M717" s="7" t="str">
        <f>IFERROR(VLOOKUP($G717,Mapping!$E$208:$K$236,7,0),"ENDirect")</f>
        <v>ENDirect</v>
      </c>
      <c r="N717" s="7" t="str">
        <f>IFERROR(HLOOKUP(L717,'Calc|Weightings'!$U$5:$W$5,1,0),"Excl")</f>
        <v>Contracts</v>
      </c>
      <c r="O717" s="7" t="str">
        <f>VLOOKUP(E717,Mapping!$E$11:$I$204,5,0)</f>
        <v>SCS</v>
      </c>
      <c r="Q717" s="32" t="s">
        <v>222</v>
      </c>
      <c r="R717" s="32"/>
      <c r="S717" s="32">
        <v>71055</v>
      </c>
      <c r="T717" s="32" t="s">
        <v>465</v>
      </c>
      <c r="U717" s="33">
        <v>148.661</v>
      </c>
      <c r="V717" s="7"/>
      <c r="W717" s="7" t="str">
        <f>VLOOKUP($Q717,Mapping!$E$11:$I$204,3,0)</f>
        <v>Replacement</v>
      </c>
      <c r="X717" s="7" t="str">
        <f>IFERROR(VLOOKUP($S717,Mapping!$E$208:$K$236,5,0),"Contracts")</f>
        <v>Contracts</v>
      </c>
      <c r="Y717" s="7" t="str">
        <f>IFERROR(VLOOKUP($S717,Mapping!$E$208:$K$236,7,0),"ENDirect")</f>
        <v>ENDirect</v>
      </c>
      <c r="Z717" s="7" t="str">
        <f>IFERROR(HLOOKUP(X717,'Calc|Weightings'!$U$5:$W$5,1,0),"Excl")</f>
        <v>Contracts</v>
      </c>
      <c r="AA717" s="7" t="str">
        <f>VLOOKUP(Q717,Mapping!$E$11:$I$204,5,0)</f>
        <v>SCS</v>
      </c>
      <c r="AC717" s="35" t="s">
        <v>219</v>
      </c>
      <c r="AD717" s="35"/>
      <c r="AE717" s="35">
        <v>71005</v>
      </c>
      <c r="AF717" s="35" t="s">
        <v>461</v>
      </c>
      <c r="AG717" s="36">
        <v>14.491</v>
      </c>
      <c r="AI717" s="7" t="str">
        <f>VLOOKUP($AC717,Mapping!$E$11:$I$204,3,0)</f>
        <v>Replacement</v>
      </c>
      <c r="AJ717" s="7" t="str">
        <f>IFERROR(VLOOKUP($AE717,Mapping!$E$208:$K$236,5,0),"Contracts")</f>
        <v>Materials</v>
      </c>
      <c r="AK717" s="7" t="str">
        <f>IFERROR(VLOOKUP($AE717,Mapping!$E$208:$K$236,7,0),"ENDirect")</f>
        <v>ENDirect</v>
      </c>
      <c r="AL717" s="7" t="str">
        <f>IFERROR(HLOOKUP(AJ717,'Calc|Weightings'!$U$5:$W$5,1,0),"Excl")</f>
        <v>Materials</v>
      </c>
      <c r="AM717" s="7" t="str">
        <f>VLOOKUP(AC717,Mapping!$E$11:$I$204,5,0)</f>
        <v>SCS</v>
      </c>
      <c r="AO717" s="35" t="s">
        <v>203</v>
      </c>
      <c r="AP717" s="35"/>
      <c r="AQ717" s="35">
        <v>71010</v>
      </c>
      <c r="AR717" s="35" t="s">
        <v>487</v>
      </c>
      <c r="AS717" s="121">
        <v>4.5657899999999998</v>
      </c>
      <c r="AU717" s="7" t="str">
        <f>VLOOKUP($AO717,Mapping!$E$11:$I$204,3,0)</f>
        <v>Replacement</v>
      </c>
      <c r="AV717" s="7" t="str">
        <f>IFERROR(VLOOKUP($AQ717,Mapping!$E$208:$K$236,5,0),"Contracts")</f>
        <v>Labour</v>
      </c>
      <c r="AW717" s="7" t="str">
        <f>IFERROR(VLOOKUP($AQ717,Mapping!$E$208:$K$236,7,0),"ENDirect")</f>
        <v>ENDirect</v>
      </c>
      <c r="AX717" s="7" t="str">
        <f>IFERROR(HLOOKUP(AV717,'Calc|Weightings'!$U$5:$W$5,1,0),"Excl")</f>
        <v>Labour</v>
      </c>
      <c r="AY717" s="7" t="str">
        <f>VLOOKUP(AO717,Mapping!$E$11:$I$204,5,0)</f>
        <v>SCS</v>
      </c>
    </row>
    <row r="718" spans="1:51" x14ac:dyDescent="0.3">
      <c r="A718" s="7"/>
      <c r="B718" s="7"/>
      <c r="C718" s="7"/>
      <c r="D718" s="7"/>
      <c r="E718" s="32" t="s">
        <v>188</v>
      </c>
      <c r="F718" s="32"/>
      <c r="G718" s="32">
        <v>71055</v>
      </c>
      <c r="H718" s="32" t="s">
        <v>465</v>
      </c>
      <c r="I718" s="33">
        <v>18.233000000000001</v>
      </c>
      <c r="J718" s="170"/>
      <c r="K718" s="7" t="str">
        <f>VLOOKUP($E718,Mapping!$E$11:$I$204,3,0)</f>
        <v>Replacement</v>
      </c>
      <c r="L718" s="7" t="str">
        <f>IFERROR(VLOOKUP($G718,Mapping!$E$208:$K$236,5,0),"Contracts")</f>
        <v>Contracts</v>
      </c>
      <c r="M718" s="7" t="str">
        <f>IFERROR(VLOOKUP($G718,Mapping!$E$208:$K$236,7,0),"ENDirect")</f>
        <v>ENDirect</v>
      </c>
      <c r="N718" s="7" t="str">
        <f>IFERROR(HLOOKUP(L718,'Calc|Weightings'!$U$5:$W$5,1,0),"Excl")</f>
        <v>Contracts</v>
      </c>
      <c r="O718" s="7" t="str">
        <f>VLOOKUP(E718,Mapping!$E$11:$I$204,5,0)</f>
        <v>SCS</v>
      </c>
      <c r="Q718" s="32" t="s">
        <v>222</v>
      </c>
      <c r="R718" s="32"/>
      <c r="S718" s="32">
        <v>80000</v>
      </c>
      <c r="T718" s="32" t="s">
        <v>453</v>
      </c>
      <c r="U718" s="33">
        <v>164.483</v>
      </c>
      <c r="V718" s="7"/>
      <c r="W718" s="7" t="str">
        <f>VLOOKUP($Q718,Mapping!$E$11:$I$204,3,0)</f>
        <v>Replacement</v>
      </c>
      <c r="X718" s="7" t="str">
        <f>IFERROR(VLOOKUP($S718,Mapping!$E$208:$K$236,5,0),"Contracts")</f>
        <v>Overhead</v>
      </c>
      <c r="Y718" s="7" t="str">
        <f>IFERROR(VLOOKUP($S718,Mapping!$E$208:$K$236,7,0),"ENDirect")</f>
        <v>OH</v>
      </c>
      <c r="Z718" s="7" t="str">
        <f>IFERROR(HLOOKUP(X718,'Calc|Weightings'!$U$5:$W$5,1,0),"Excl")</f>
        <v>Excl</v>
      </c>
      <c r="AA718" s="7" t="str">
        <f>VLOOKUP(Q718,Mapping!$E$11:$I$204,5,0)</f>
        <v>SCS</v>
      </c>
      <c r="AC718" s="35" t="s">
        <v>219</v>
      </c>
      <c r="AD718" s="35"/>
      <c r="AE718" s="35">
        <v>71010</v>
      </c>
      <c r="AF718" s="35" t="s">
        <v>462</v>
      </c>
      <c r="AG718" s="36">
        <v>79.682000000000002</v>
      </c>
      <c r="AI718" s="7" t="str">
        <f>VLOOKUP($AC718,Mapping!$E$11:$I$204,3,0)</f>
        <v>Replacement</v>
      </c>
      <c r="AJ718" s="7" t="str">
        <f>IFERROR(VLOOKUP($AE718,Mapping!$E$208:$K$236,5,0),"Contracts")</f>
        <v>Labour</v>
      </c>
      <c r="AK718" s="7" t="str">
        <f>IFERROR(VLOOKUP($AE718,Mapping!$E$208:$K$236,7,0),"ENDirect")</f>
        <v>ENDirect</v>
      </c>
      <c r="AL718" s="7" t="str">
        <f>IFERROR(HLOOKUP(AJ718,'Calc|Weightings'!$U$5:$W$5,1,0),"Excl")</f>
        <v>Labour</v>
      </c>
      <c r="AM718" s="7" t="str">
        <f>VLOOKUP(AC718,Mapping!$E$11:$I$204,5,0)</f>
        <v>SCS</v>
      </c>
      <c r="AO718" s="35" t="s">
        <v>203</v>
      </c>
      <c r="AP718" s="35"/>
      <c r="AQ718" s="35">
        <v>71015</v>
      </c>
      <c r="AR718" s="35" t="s">
        <v>585</v>
      </c>
      <c r="AS718" s="121">
        <v>2.5506700000000002</v>
      </c>
      <c r="AU718" s="7" t="str">
        <f>VLOOKUP($AO718,Mapping!$E$11:$I$204,3,0)</f>
        <v>Replacement</v>
      </c>
      <c r="AV718" s="7" t="str">
        <f>IFERROR(VLOOKUP($AQ718,Mapping!$E$208:$K$236,5,0),"Contracts")</f>
        <v>Materials</v>
      </c>
      <c r="AW718" s="7" t="str">
        <f>IFERROR(VLOOKUP($AQ718,Mapping!$E$208:$K$236,7,0),"ENDirect")</f>
        <v>ENDirect</v>
      </c>
      <c r="AX718" s="7" t="str">
        <f>IFERROR(HLOOKUP(AV718,'Calc|Weightings'!$U$5:$W$5,1,0),"Excl")</f>
        <v>Materials</v>
      </c>
      <c r="AY718" s="7" t="str">
        <f>VLOOKUP(AO718,Mapping!$E$11:$I$204,5,0)</f>
        <v>SCS</v>
      </c>
    </row>
    <row r="719" spans="1:51" x14ac:dyDescent="0.3">
      <c r="A719" s="7"/>
      <c r="B719" s="7"/>
      <c r="C719" s="7"/>
      <c r="D719" s="7"/>
      <c r="E719" s="32" t="s">
        <v>188</v>
      </c>
      <c r="F719" s="32"/>
      <c r="G719" s="32">
        <v>80000</v>
      </c>
      <c r="H719" s="32" t="s">
        <v>453</v>
      </c>
      <c r="I719" s="33">
        <v>12.249000000000001</v>
      </c>
      <c r="J719" s="170"/>
      <c r="K719" s="7" t="str">
        <f>VLOOKUP($E719,Mapping!$E$11:$I$204,3,0)</f>
        <v>Replacement</v>
      </c>
      <c r="L719" s="7" t="str">
        <f>IFERROR(VLOOKUP($G719,Mapping!$E$208:$K$236,5,0),"Contracts")</f>
        <v>Overhead</v>
      </c>
      <c r="M719" s="7" t="str">
        <f>IFERROR(VLOOKUP($G719,Mapping!$E$208:$K$236,7,0),"ENDirect")</f>
        <v>OH</v>
      </c>
      <c r="N719" s="7" t="str">
        <f>IFERROR(HLOOKUP(L719,'Calc|Weightings'!$U$5:$W$5,1,0),"Excl")</f>
        <v>Excl</v>
      </c>
      <c r="O719" s="7" t="str">
        <f>VLOOKUP(E719,Mapping!$E$11:$I$204,5,0)</f>
        <v>SCS</v>
      </c>
      <c r="Q719" s="32" t="s">
        <v>223</v>
      </c>
      <c r="R719" s="32"/>
      <c r="S719" s="32">
        <v>71000</v>
      </c>
      <c r="T719" s="32" t="s">
        <v>457</v>
      </c>
      <c r="U719" s="33">
        <v>248.06100000000001</v>
      </c>
      <c r="V719" s="7"/>
      <c r="W719" s="7" t="str">
        <f>VLOOKUP($Q719,Mapping!$E$11:$I$204,3,0)</f>
        <v>Replacement</v>
      </c>
      <c r="X719" s="7" t="str">
        <f>IFERROR(VLOOKUP($S719,Mapping!$E$208:$K$236,5,0),"Contracts")</f>
        <v>Labour</v>
      </c>
      <c r="Y719" s="7" t="str">
        <f>IFERROR(VLOOKUP($S719,Mapping!$E$208:$K$236,7,0),"ENDirect")</f>
        <v>ENDirect</v>
      </c>
      <c r="Z719" s="7" t="str">
        <f>IFERROR(HLOOKUP(X719,'Calc|Weightings'!$U$5:$W$5,1,0),"Excl")</f>
        <v>Labour</v>
      </c>
      <c r="AA719" s="7" t="str">
        <f>VLOOKUP(Q719,Mapping!$E$11:$I$204,5,0)</f>
        <v>SCS</v>
      </c>
      <c r="AC719" s="35" t="s">
        <v>219</v>
      </c>
      <c r="AD719" s="35"/>
      <c r="AE719" s="35">
        <v>71015</v>
      </c>
      <c r="AF719" s="35" t="s">
        <v>463</v>
      </c>
      <c r="AG719" s="36">
        <v>13.964</v>
      </c>
      <c r="AI719" s="7" t="str">
        <f>VLOOKUP($AC719,Mapping!$E$11:$I$204,3,0)</f>
        <v>Replacement</v>
      </c>
      <c r="AJ719" s="7" t="str">
        <f>IFERROR(VLOOKUP($AE719,Mapping!$E$208:$K$236,5,0),"Contracts")</f>
        <v>Materials</v>
      </c>
      <c r="AK719" s="7" t="str">
        <f>IFERROR(VLOOKUP($AE719,Mapping!$E$208:$K$236,7,0),"ENDirect")</f>
        <v>ENDirect</v>
      </c>
      <c r="AL719" s="7" t="str">
        <f>IFERROR(HLOOKUP(AJ719,'Calc|Weightings'!$U$5:$W$5,1,0),"Excl")</f>
        <v>Materials</v>
      </c>
      <c r="AM719" s="7" t="str">
        <f>VLOOKUP(AC719,Mapping!$E$11:$I$204,5,0)</f>
        <v>SCS</v>
      </c>
      <c r="AO719" s="35" t="s">
        <v>203</v>
      </c>
      <c r="AP719" s="35"/>
      <c r="AQ719" s="35">
        <v>71030</v>
      </c>
      <c r="AR719" s="35" t="s">
        <v>464</v>
      </c>
      <c r="AS719" s="121">
        <v>2.5226100000000002</v>
      </c>
      <c r="AU719" s="7" t="str">
        <f>VLOOKUP($AO719,Mapping!$E$11:$I$204,3,0)</f>
        <v>Replacement</v>
      </c>
      <c r="AV719" s="7" t="str">
        <f>IFERROR(VLOOKUP($AQ719,Mapping!$E$208:$K$236,5,0),"Contracts")</f>
        <v>Contracts</v>
      </c>
      <c r="AW719" s="7" t="str">
        <f>IFERROR(VLOOKUP($AQ719,Mapping!$E$208:$K$236,7,0),"ENDirect")</f>
        <v>ENDirect</v>
      </c>
      <c r="AX719" s="7" t="str">
        <f>IFERROR(HLOOKUP(AV719,'Calc|Weightings'!$U$5:$W$5,1,0),"Excl")</f>
        <v>Contracts</v>
      </c>
      <c r="AY719" s="7" t="str">
        <f>VLOOKUP(AO719,Mapping!$E$11:$I$204,5,0)</f>
        <v>SCS</v>
      </c>
    </row>
    <row r="720" spans="1:51" x14ac:dyDescent="0.3">
      <c r="A720" s="7"/>
      <c r="B720" s="7"/>
      <c r="C720" s="7"/>
      <c r="D720" s="7"/>
      <c r="E720" s="32" t="s">
        <v>191</v>
      </c>
      <c r="F720" s="32"/>
      <c r="G720" s="32">
        <v>71010</v>
      </c>
      <c r="H720" s="32" t="s">
        <v>462</v>
      </c>
      <c r="I720" s="33">
        <v>9.1790000000000003</v>
      </c>
      <c r="J720" s="170"/>
      <c r="K720" s="7" t="str">
        <f>VLOOKUP($E720,Mapping!$E$11:$I$204,3,0)</f>
        <v>Replacement</v>
      </c>
      <c r="L720" s="7" t="str">
        <f>IFERROR(VLOOKUP($G720,Mapping!$E$208:$K$236,5,0),"Contracts")</f>
        <v>Labour</v>
      </c>
      <c r="M720" s="7" t="str">
        <f>IFERROR(VLOOKUP($G720,Mapping!$E$208:$K$236,7,0),"ENDirect")</f>
        <v>ENDirect</v>
      </c>
      <c r="N720" s="7" t="str">
        <f>IFERROR(HLOOKUP(L720,'Calc|Weightings'!$U$5:$W$5,1,0),"Excl")</f>
        <v>Labour</v>
      </c>
      <c r="O720" s="7" t="str">
        <f>VLOOKUP(E720,Mapping!$E$11:$I$204,5,0)</f>
        <v>SCS</v>
      </c>
      <c r="Q720" s="32" t="s">
        <v>223</v>
      </c>
      <c r="R720" s="32"/>
      <c r="S720" s="32">
        <v>71005</v>
      </c>
      <c r="T720" s="32" t="s">
        <v>461</v>
      </c>
      <c r="U720" s="33">
        <v>52</v>
      </c>
      <c r="V720" s="7"/>
      <c r="W720" s="7" t="str">
        <f>VLOOKUP($Q720,Mapping!$E$11:$I$204,3,0)</f>
        <v>Replacement</v>
      </c>
      <c r="X720" s="7" t="str">
        <f>IFERROR(VLOOKUP($S720,Mapping!$E$208:$K$236,5,0),"Contracts")</f>
        <v>Materials</v>
      </c>
      <c r="Y720" s="7" t="str">
        <f>IFERROR(VLOOKUP($S720,Mapping!$E$208:$K$236,7,0),"ENDirect")</f>
        <v>ENDirect</v>
      </c>
      <c r="Z720" s="7" t="str">
        <f>IFERROR(HLOOKUP(X720,'Calc|Weightings'!$U$5:$W$5,1,0),"Excl")</f>
        <v>Materials</v>
      </c>
      <c r="AA720" s="7" t="str">
        <f>VLOOKUP(Q720,Mapping!$E$11:$I$204,5,0)</f>
        <v>SCS</v>
      </c>
      <c r="AC720" s="35" t="s">
        <v>219</v>
      </c>
      <c r="AD720" s="35"/>
      <c r="AE720" s="35">
        <v>71030</v>
      </c>
      <c r="AF720" s="35" t="s">
        <v>464</v>
      </c>
      <c r="AG720" s="36">
        <v>14.207000000000001</v>
      </c>
      <c r="AI720" s="7" t="str">
        <f>VLOOKUP($AC720,Mapping!$E$11:$I$204,3,0)</f>
        <v>Replacement</v>
      </c>
      <c r="AJ720" s="7" t="str">
        <f>IFERROR(VLOOKUP($AE720,Mapping!$E$208:$K$236,5,0),"Contracts")</f>
        <v>Contracts</v>
      </c>
      <c r="AK720" s="7" t="str">
        <f>IFERROR(VLOOKUP($AE720,Mapping!$E$208:$K$236,7,0),"ENDirect")</f>
        <v>ENDirect</v>
      </c>
      <c r="AL720" s="7" t="str">
        <f>IFERROR(HLOOKUP(AJ720,'Calc|Weightings'!$U$5:$W$5,1,0),"Excl")</f>
        <v>Contracts</v>
      </c>
      <c r="AM720" s="7" t="str">
        <f>VLOOKUP(AC720,Mapping!$E$11:$I$204,5,0)</f>
        <v>SCS</v>
      </c>
      <c r="AO720" s="35" t="s">
        <v>203</v>
      </c>
      <c r="AP720" s="35"/>
      <c r="AQ720" s="35">
        <v>71055</v>
      </c>
      <c r="AR720" s="35" t="s">
        <v>465</v>
      </c>
      <c r="AS720" s="121">
        <v>3.61313</v>
      </c>
      <c r="AU720" s="7" t="str">
        <f>VLOOKUP($AO720,Mapping!$E$11:$I$204,3,0)</f>
        <v>Replacement</v>
      </c>
      <c r="AV720" s="7" t="str">
        <f>IFERROR(VLOOKUP($AQ720,Mapping!$E$208:$K$236,5,0),"Contracts")</f>
        <v>Contracts</v>
      </c>
      <c r="AW720" s="7" t="str">
        <f>IFERROR(VLOOKUP($AQ720,Mapping!$E$208:$K$236,7,0),"ENDirect")</f>
        <v>ENDirect</v>
      </c>
      <c r="AX720" s="7" t="str">
        <f>IFERROR(HLOOKUP(AV720,'Calc|Weightings'!$U$5:$W$5,1,0),"Excl")</f>
        <v>Contracts</v>
      </c>
      <c r="AY720" s="7" t="str">
        <f>VLOOKUP(AO720,Mapping!$E$11:$I$204,5,0)</f>
        <v>SCS</v>
      </c>
    </row>
    <row r="721" spans="1:51" x14ac:dyDescent="0.3">
      <c r="A721" s="7"/>
      <c r="B721" s="7"/>
      <c r="C721" s="7"/>
      <c r="D721" s="7"/>
      <c r="E721" s="32" t="s">
        <v>191</v>
      </c>
      <c r="F721" s="32"/>
      <c r="G721" s="32">
        <v>71030</v>
      </c>
      <c r="H721" s="32" t="s">
        <v>464</v>
      </c>
      <c r="I721" s="33">
        <v>1.3660000000000001</v>
      </c>
      <c r="J721" s="170"/>
      <c r="K721" s="7" t="str">
        <f>VLOOKUP($E721,Mapping!$E$11:$I$204,3,0)</f>
        <v>Replacement</v>
      </c>
      <c r="L721" s="7" t="str">
        <f>IFERROR(VLOOKUP($G721,Mapping!$E$208:$K$236,5,0),"Contracts")</f>
        <v>Contracts</v>
      </c>
      <c r="M721" s="7" t="str">
        <f>IFERROR(VLOOKUP($G721,Mapping!$E$208:$K$236,7,0),"ENDirect")</f>
        <v>ENDirect</v>
      </c>
      <c r="N721" s="7" t="str">
        <f>IFERROR(HLOOKUP(L721,'Calc|Weightings'!$U$5:$W$5,1,0),"Excl")</f>
        <v>Contracts</v>
      </c>
      <c r="O721" s="7" t="str">
        <f>VLOOKUP(E721,Mapping!$E$11:$I$204,5,0)</f>
        <v>SCS</v>
      </c>
      <c r="Q721" s="32" t="s">
        <v>223</v>
      </c>
      <c r="R721" s="32"/>
      <c r="S721" s="32">
        <v>71010</v>
      </c>
      <c r="T721" s="32" t="s">
        <v>462</v>
      </c>
      <c r="U721" s="33">
        <v>168.79400000000001</v>
      </c>
      <c r="V721" s="7"/>
      <c r="W721" s="7" t="str">
        <f>VLOOKUP($Q721,Mapping!$E$11:$I$204,3,0)</f>
        <v>Replacement</v>
      </c>
      <c r="X721" s="7" t="str">
        <f>IFERROR(VLOOKUP($S721,Mapping!$E$208:$K$236,5,0),"Contracts")</f>
        <v>Labour</v>
      </c>
      <c r="Y721" s="7" t="str">
        <f>IFERROR(VLOOKUP($S721,Mapping!$E$208:$K$236,7,0),"ENDirect")</f>
        <v>ENDirect</v>
      </c>
      <c r="Z721" s="7" t="str">
        <f>IFERROR(HLOOKUP(X721,'Calc|Weightings'!$U$5:$W$5,1,0),"Excl")</f>
        <v>Labour</v>
      </c>
      <c r="AA721" s="7" t="str">
        <f>VLOOKUP(Q721,Mapping!$E$11:$I$204,5,0)</f>
        <v>SCS</v>
      </c>
      <c r="AC721" s="35" t="s">
        <v>219</v>
      </c>
      <c r="AD721" s="35"/>
      <c r="AE721" s="35">
        <v>71055</v>
      </c>
      <c r="AF721" s="35" t="s">
        <v>465</v>
      </c>
      <c r="AG721" s="36">
        <v>28.998000000000001</v>
      </c>
      <c r="AI721" s="7" t="str">
        <f>VLOOKUP($AC721,Mapping!$E$11:$I$204,3,0)</f>
        <v>Replacement</v>
      </c>
      <c r="AJ721" s="7" t="str">
        <f>IFERROR(VLOOKUP($AE721,Mapping!$E$208:$K$236,5,0),"Contracts")</f>
        <v>Contracts</v>
      </c>
      <c r="AK721" s="7" t="str">
        <f>IFERROR(VLOOKUP($AE721,Mapping!$E$208:$K$236,7,0),"ENDirect")</f>
        <v>ENDirect</v>
      </c>
      <c r="AL721" s="7" t="str">
        <f>IFERROR(HLOOKUP(AJ721,'Calc|Weightings'!$U$5:$W$5,1,0),"Excl")</f>
        <v>Contracts</v>
      </c>
      <c r="AM721" s="7" t="str">
        <f>VLOOKUP(AC721,Mapping!$E$11:$I$204,5,0)</f>
        <v>SCS</v>
      </c>
      <c r="AO721" s="35" t="s">
        <v>203</v>
      </c>
      <c r="AP721" s="35"/>
      <c r="AQ721" s="35">
        <v>71075</v>
      </c>
      <c r="AR721" s="35" t="s">
        <v>587</v>
      </c>
      <c r="AS721" s="121">
        <v>67.375399999999999</v>
      </c>
      <c r="AU721" s="7" t="str">
        <f>VLOOKUP($AO721,Mapping!$E$11:$I$204,3,0)</f>
        <v>Replacement</v>
      </c>
      <c r="AV721" s="7" t="str">
        <f>IFERROR(VLOOKUP($AQ721,Mapping!$E$208:$K$236,5,0),"Contracts")</f>
        <v>Contracts</v>
      </c>
      <c r="AW721" s="7" t="str">
        <f>IFERROR(VLOOKUP($AQ721,Mapping!$E$208:$K$236,7,0),"ENDirect")</f>
        <v>ENDirect</v>
      </c>
      <c r="AX721" s="7" t="str">
        <f>IFERROR(HLOOKUP(AV721,'Calc|Weightings'!$U$5:$W$5,1,0),"Excl")</f>
        <v>Contracts</v>
      </c>
      <c r="AY721" s="7" t="str">
        <f>VLOOKUP(AO721,Mapping!$E$11:$I$204,5,0)</f>
        <v>SCS</v>
      </c>
    </row>
    <row r="722" spans="1:51" x14ac:dyDescent="0.3">
      <c r="A722" s="7"/>
      <c r="B722" s="7"/>
      <c r="C722" s="7"/>
      <c r="D722" s="7"/>
      <c r="E722" s="32" t="s">
        <v>191</v>
      </c>
      <c r="F722" s="32"/>
      <c r="G722" s="32">
        <v>71055</v>
      </c>
      <c r="H722" s="32" t="s">
        <v>465</v>
      </c>
      <c r="I722" s="33">
        <v>3.2090000000000001</v>
      </c>
      <c r="J722" s="170"/>
      <c r="K722" s="7" t="str">
        <f>VLOOKUP($E722,Mapping!$E$11:$I$204,3,0)</f>
        <v>Replacement</v>
      </c>
      <c r="L722" s="7" t="str">
        <f>IFERROR(VLOOKUP($G722,Mapping!$E$208:$K$236,5,0),"Contracts")</f>
        <v>Contracts</v>
      </c>
      <c r="M722" s="7" t="str">
        <f>IFERROR(VLOOKUP($G722,Mapping!$E$208:$K$236,7,0),"ENDirect")</f>
        <v>ENDirect</v>
      </c>
      <c r="N722" s="7" t="str">
        <f>IFERROR(HLOOKUP(L722,'Calc|Weightings'!$U$5:$W$5,1,0),"Excl")</f>
        <v>Contracts</v>
      </c>
      <c r="O722" s="7" t="str">
        <f>VLOOKUP(E722,Mapping!$E$11:$I$204,5,0)</f>
        <v>SCS</v>
      </c>
      <c r="Q722" s="32" t="s">
        <v>223</v>
      </c>
      <c r="R722" s="32"/>
      <c r="S722" s="32">
        <v>71015</v>
      </c>
      <c r="T722" s="32" t="s">
        <v>463</v>
      </c>
      <c r="U722" s="33">
        <v>47.6</v>
      </c>
      <c r="V722" s="7"/>
      <c r="W722" s="7" t="str">
        <f>VLOOKUP($Q722,Mapping!$E$11:$I$204,3,0)</f>
        <v>Replacement</v>
      </c>
      <c r="X722" s="7" t="str">
        <f>IFERROR(VLOOKUP($S722,Mapping!$E$208:$K$236,5,0),"Contracts")</f>
        <v>Materials</v>
      </c>
      <c r="Y722" s="7" t="str">
        <f>IFERROR(VLOOKUP($S722,Mapping!$E$208:$K$236,7,0),"ENDirect")</f>
        <v>ENDirect</v>
      </c>
      <c r="Z722" s="7" t="str">
        <f>IFERROR(HLOOKUP(X722,'Calc|Weightings'!$U$5:$W$5,1,0),"Excl")</f>
        <v>Materials</v>
      </c>
      <c r="AA722" s="7" t="str">
        <f>VLOOKUP(Q722,Mapping!$E$11:$I$204,5,0)</f>
        <v>SCS</v>
      </c>
      <c r="AC722" s="35" t="s">
        <v>219</v>
      </c>
      <c r="AD722" s="35"/>
      <c r="AE722" s="35">
        <v>80000</v>
      </c>
      <c r="AF722" s="35" t="s">
        <v>453</v>
      </c>
      <c r="AG722" s="36">
        <v>20.605</v>
      </c>
      <c r="AI722" s="7" t="str">
        <f>VLOOKUP($AC722,Mapping!$E$11:$I$204,3,0)</f>
        <v>Replacement</v>
      </c>
      <c r="AJ722" s="7" t="str">
        <f>IFERROR(VLOOKUP($AE722,Mapping!$E$208:$K$236,5,0),"Contracts")</f>
        <v>Overhead</v>
      </c>
      <c r="AK722" s="7" t="str">
        <f>IFERROR(VLOOKUP($AE722,Mapping!$E$208:$K$236,7,0),"ENDirect")</f>
        <v>OH</v>
      </c>
      <c r="AL722" s="7" t="str">
        <f>IFERROR(HLOOKUP(AJ722,'Calc|Weightings'!$U$5:$W$5,1,0),"Excl")</f>
        <v>Excl</v>
      </c>
      <c r="AM722" s="7" t="str">
        <f>VLOOKUP(AC722,Mapping!$E$11:$I$204,5,0)</f>
        <v>SCS</v>
      </c>
      <c r="AO722" s="35" t="s">
        <v>203</v>
      </c>
      <c r="AP722" s="35"/>
      <c r="AQ722" s="35">
        <v>80000</v>
      </c>
      <c r="AR722" s="35" t="s">
        <v>589</v>
      </c>
      <c r="AS722" s="121">
        <v>96.436940000000007</v>
      </c>
      <c r="AU722" s="7" t="str">
        <f>VLOOKUP($AO722,Mapping!$E$11:$I$204,3,0)</f>
        <v>Replacement</v>
      </c>
      <c r="AV722" s="7" t="str">
        <f>IFERROR(VLOOKUP($AQ722,Mapping!$E$208:$K$236,5,0),"Contracts")</f>
        <v>Overhead</v>
      </c>
      <c r="AW722" s="7" t="str">
        <f>IFERROR(VLOOKUP($AQ722,Mapping!$E$208:$K$236,7,0),"ENDirect")</f>
        <v>OH</v>
      </c>
      <c r="AX722" s="7" t="str">
        <f>IFERROR(HLOOKUP(AV722,'Calc|Weightings'!$U$5:$W$5,1,0),"Excl")</f>
        <v>Excl</v>
      </c>
      <c r="AY722" s="7" t="str">
        <f>VLOOKUP(AO722,Mapping!$E$11:$I$204,5,0)</f>
        <v>SCS</v>
      </c>
    </row>
    <row r="723" spans="1:51" x14ac:dyDescent="0.3">
      <c r="A723" s="7"/>
      <c r="B723" s="7"/>
      <c r="C723" s="7"/>
      <c r="D723" s="7"/>
      <c r="E723" s="32" t="s">
        <v>191</v>
      </c>
      <c r="F723" s="32"/>
      <c r="G723" s="32">
        <v>80000</v>
      </c>
      <c r="H723" s="32" t="s">
        <v>453</v>
      </c>
      <c r="I723" s="33">
        <v>2.3559999999999999</v>
      </c>
      <c r="J723" s="170"/>
      <c r="K723" s="7" t="str">
        <f>VLOOKUP($E723,Mapping!$E$11:$I$204,3,0)</f>
        <v>Replacement</v>
      </c>
      <c r="L723" s="7" t="str">
        <f>IFERROR(VLOOKUP($G723,Mapping!$E$208:$K$236,5,0),"Contracts")</f>
        <v>Overhead</v>
      </c>
      <c r="M723" s="7" t="str">
        <f>IFERROR(VLOOKUP($G723,Mapping!$E$208:$K$236,7,0),"ENDirect")</f>
        <v>OH</v>
      </c>
      <c r="N723" s="7" t="str">
        <f>IFERROR(HLOOKUP(L723,'Calc|Weightings'!$U$5:$W$5,1,0),"Excl")</f>
        <v>Excl</v>
      </c>
      <c r="O723" s="7" t="str">
        <f>VLOOKUP(E723,Mapping!$E$11:$I$204,5,0)</f>
        <v>SCS</v>
      </c>
      <c r="Q723" s="32" t="s">
        <v>223</v>
      </c>
      <c r="R723" s="32"/>
      <c r="S723" s="32">
        <v>71030</v>
      </c>
      <c r="T723" s="32" t="s">
        <v>464</v>
      </c>
      <c r="U723" s="33">
        <v>41.381999999999998</v>
      </c>
      <c r="V723" s="7"/>
      <c r="W723" s="7" t="str">
        <f>VLOOKUP($Q723,Mapping!$E$11:$I$204,3,0)</f>
        <v>Replacement</v>
      </c>
      <c r="X723" s="7" t="str">
        <f>IFERROR(VLOOKUP($S723,Mapping!$E$208:$K$236,5,0),"Contracts")</f>
        <v>Contracts</v>
      </c>
      <c r="Y723" s="7" t="str">
        <f>IFERROR(VLOOKUP($S723,Mapping!$E$208:$K$236,7,0),"ENDirect")</f>
        <v>ENDirect</v>
      </c>
      <c r="Z723" s="7" t="str">
        <f>IFERROR(HLOOKUP(X723,'Calc|Weightings'!$U$5:$W$5,1,0),"Excl")</f>
        <v>Contracts</v>
      </c>
      <c r="AA723" s="7" t="str">
        <f>VLOOKUP(Q723,Mapping!$E$11:$I$204,5,0)</f>
        <v>SCS</v>
      </c>
      <c r="AC723" s="35" t="s">
        <v>219</v>
      </c>
      <c r="AD723" s="35"/>
      <c r="AE723" s="35">
        <v>89999</v>
      </c>
      <c r="AF723" s="35" t="s">
        <v>471</v>
      </c>
      <c r="AG723" s="36">
        <v>0</v>
      </c>
      <c r="AI723" s="7" t="str">
        <f>VLOOKUP($AC723,Mapping!$E$11:$I$204,3,0)</f>
        <v>Replacement</v>
      </c>
      <c r="AJ723" s="7" t="str">
        <f>IFERROR(VLOOKUP($AE723,Mapping!$E$208:$K$236,5,0),"Contracts")</f>
        <v>Contracts</v>
      </c>
      <c r="AK723" s="7" t="str">
        <f>IFERROR(VLOOKUP($AE723,Mapping!$E$208:$K$236,7,0),"ENDirect")</f>
        <v>ENDirect</v>
      </c>
      <c r="AL723" s="7" t="str">
        <f>IFERROR(HLOOKUP(AJ723,'Calc|Weightings'!$U$5:$W$5,1,0),"Excl")</f>
        <v>Contracts</v>
      </c>
      <c r="AM723" s="7" t="str">
        <f>VLOOKUP(AC723,Mapping!$E$11:$I$204,5,0)</f>
        <v>SCS</v>
      </c>
      <c r="AO723" s="35" t="s">
        <v>203</v>
      </c>
      <c r="AP723" s="35"/>
      <c r="AQ723" s="35">
        <v>83010</v>
      </c>
      <c r="AR723" s="35" t="s">
        <v>591</v>
      </c>
      <c r="AS723" s="121">
        <v>551.13479999999981</v>
      </c>
      <c r="AU723" s="7" t="str">
        <f>VLOOKUP($AO723,Mapping!$E$11:$I$204,3,0)</f>
        <v>Replacement</v>
      </c>
      <c r="AV723" s="7" t="str">
        <f>IFERROR(VLOOKUP($AQ723,Mapping!$E$208:$K$236,5,0),"Contracts")</f>
        <v>Contracts</v>
      </c>
      <c r="AW723" s="7" t="str">
        <f>IFERROR(VLOOKUP($AQ723,Mapping!$E$208:$K$236,7,0),"ENDirect")</f>
        <v>ENDirect</v>
      </c>
      <c r="AX723" s="7" t="str">
        <f>IFERROR(HLOOKUP(AV723,'Calc|Weightings'!$U$5:$W$5,1,0),"Excl")</f>
        <v>Contracts</v>
      </c>
      <c r="AY723" s="7" t="str">
        <f>VLOOKUP(AO723,Mapping!$E$11:$I$204,5,0)</f>
        <v>SCS</v>
      </c>
    </row>
    <row r="724" spans="1:51" x14ac:dyDescent="0.3">
      <c r="A724" s="7"/>
      <c r="B724" s="7"/>
      <c r="C724" s="7"/>
      <c r="D724" s="7"/>
      <c r="E724" s="32" t="s">
        <v>193</v>
      </c>
      <c r="F724" s="32"/>
      <c r="G724" s="32">
        <v>71005</v>
      </c>
      <c r="H724" s="32" t="s">
        <v>461</v>
      </c>
      <c r="I724" s="33">
        <v>0.97799999999999998</v>
      </c>
      <c r="J724" s="170"/>
      <c r="K724" s="7" t="str">
        <f>VLOOKUP($E724,Mapping!$E$11:$I$204,3,0)</f>
        <v>VBRC</v>
      </c>
      <c r="L724" s="7" t="str">
        <f>IFERROR(VLOOKUP($G724,Mapping!$E$208:$K$236,5,0),"Contracts")</f>
        <v>Materials</v>
      </c>
      <c r="M724" s="7" t="str">
        <f>IFERROR(VLOOKUP($G724,Mapping!$E$208:$K$236,7,0),"ENDirect")</f>
        <v>ENDirect</v>
      </c>
      <c r="N724" s="7" t="str">
        <f>IFERROR(HLOOKUP(L724,'Calc|Weightings'!$U$5:$W$5,1,0),"Excl")</f>
        <v>Materials</v>
      </c>
      <c r="O724" s="7" t="str">
        <f>VLOOKUP(E724,Mapping!$E$11:$I$204,5,0)</f>
        <v>SCS</v>
      </c>
      <c r="Q724" s="32" t="s">
        <v>223</v>
      </c>
      <c r="R724" s="32"/>
      <c r="S724" s="32">
        <v>71055</v>
      </c>
      <c r="T724" s="32" t="s">
        <v>465</v>
      </c>
      <c r="U724" s="33">
        <v>74.703999999999994</v>
      </c>
      <c r="V724" s="7"/>
      <c r="W724" s="7" t="str">
        <f>VLOOKUP($Q724,Mapping!$E$11:$I$204,3,0)</f>
        <v>Replacement</v>
      </c>
      <c r="X724" s="7" t="str">
        <f>IFERROR(VLOOKUP($S724,Mapping!$E$208:$K$236,5,0),"Contracts")</f>
        <v>Contracts</v>
      </c>
      <c r="Y724" s="7" t="str">
        <f>IFERROR(VLOOKUP($S724,Mapping!$E$208:$K$236,7,0),"ENDirect")</f>
        <v>ENDirect</v>
      </c>
      <c r="Z724" s="7" t="str">
        <f>IFERROR(HLOOKUP(X724,'Calc|Weightings'!$U$5:$W$5,1,0),"Excl")</f>
        <v>Contracts</v>
      </c>
      <c r="AA724" s="7" t="str">
        <f>VLOOKUP(Q724,Mapping!$E$11:$I$204,5,0)</f>
        <v>SCS</v>
      </c>
      <c r="AC724" s="35" t="s">
        <v>220</v>
      </c>
      <c r="AD724" s="35"/>
      <c r="AE724" s="35">
        <v>71000</v>
      </c>
      <c r="AF724" s="35" t="s">
        <v>457</v>
      </c>
      <c r="AG724" s="36">
        <v>15.842000000000001</v>
      </c>
      <c r="AI724" s="7" t="str">
        <f>VLOOKUP($AC724,Mapping!$E$11:$I$204,3,0)</f>
        <v>Replacement</v>
      </c>
      <c r="AJ724" s="7" t="str">
        <f>IFERROR(VLOOKUP($AE724,Mapping!$E$208:$K$236,5,0),"Contracts")</f>
        <v>Labour</v>
      </c>
      <c r="AK724" s="7" t="str">
        <f>IFERROR(VLOOKUP($AE724,Mapping!$E$208:$K$236,7,0),"ENDirect")</f>
        <v>ENDirect</v>
      </c>
      <c r="AL724" s="7" t="str">
        <f>IFERROR(HLOOKUP(AJ724,'Calc|Weightings'!$U$5:$W$5,1,0),"Excl")</f>
        <v>Labour</v>
      </c>
      <c r="AM724" s="7" t="str">
        <f>VLOOKUP(AC724,Mapping!$E$11:$I$204,5,0)</f>
        <v>SCS</v>
      </c>
      <c r="AO724" s="35" t="s">
        <v>204</v>
      </c>
      <c r="AP724" s="35"/>
      <c r="AQ724" s="35">
        <v>71000</v>
      </c>
      <c r="AR724" s="35" t="s">
        <v>457</v>
      </c>
      <c r="AS724" s="121">
        <v>0.87179999999999991</v>
      </c>
      <c r="AU724" s="7" t="str">
        <f>VLOOKUP($AO724,Mapping!$E$11:$I$204,3,0)</f>
        <v>Replacement</v>
      </c>
      <c r="AV724" s="7" t="str">
        <f>IFERROR(VLOOKUP($AQ724,Mapping!$E$208:$K$236,5,0),"Contracts")</f>
        <v>Labour</v>
      </c>
      <c r="AW724" s="7" t="str">
        <f>IFERROR(VLOOKUP($AQ724,Mapping!$E$208:$K$236,7,0),"ENDirect")</f>
        <v>ENDirect</v>
      </c>
      <c r="AX724" s="7" t="str">
        <f>IFERROR(HLOOKUP(AV724,'Calc|Weightings'!$U$5:$W$5,1,0),"Excl")</f>
        <v>Labour</v>
      </c>
      <c r="AY724" s="7" t="str">
        <f>VLOOKUP(AO724,Mapping!$E$11:$I$204,5,0)</f>
        <v>SCS</v>
      </c>
    </row>
    <row r="725" spans="1:51" x14ac:dyDescent="0.3">
      <c r="A725" s="7"/>
      <c r="B725" s="7"/>
      <c r="C725" s="7"/>
      <c r="D725" s="7"/>
      <c r="E725" s="32" t="s">
        <v>193</v>
      </c>
      <c r="F725" s="32"/>
      <c r="G725" s="32">
        <v>71010</v>
      </c>
      <c r="H725" s="32" t="s">
        <v>462</v>
      </c>
      <c r="I725" s="33">
        <v>3.879</v>
      </c>
      <c r="J725" s="170"/>
      <c r="K725" s="7" t="str">
        <f>VLOOKUP($E725,Mapping!$E$11:$I$204,3,0)</f>
        <v>VBRC</v>
      </c>
      <c r="L725" s="7" t="str">
        <f>IFERROR(VLOOKUP($G725,Mapping!$E$208:$K$236,5,0),"Contracts")</f>
        <v>Labour</v>
      </c>
      <c r="M725" s="7" t="str">
        <f>IFERROR(VLOOKUP($G725,Mapping!$E$208:$K$236,7,0),"ENDirect")</f>
        <v>ENDirect</v>
      </c>
      <c r="N725" s="7" t="str">
        <f>IFERROR(HLOOKUP(L725,'Calc|Weightings'!$U$5:$W$5,1,0),"Excl")</f>
        <v>Labour</v>
      </c>
      <c r="O725" s="7" t="str">
        <f>VLOOKUP(E725,Mapping!$E$11:$I$204,5,0)</f>
        <v>SCS</v>
      </c>
      <c r="Q725" s="32" t="s">
        <v>223</v>
      </c>
      <c r="R725" s="32"/>
      <c r="S725" s="32">
        <v>80000</v>
      </c>
      <c r="T725" s="32" t="s">
        <v>453</v>
      </c>
      <c r="U725" s="33">
        <v>85.296999999999997</v>
      </c>
      <c r="V725" s="7"/>
      <c r="W725" s="7" t="str">
        <f>VLOOKUP($Q725,Mapping!$E$11:$I$204,3,0)</f>
        <v>Replacement</v>
      </c>
      <c r="X725" s="7" t="str">
        <f>IFERROR(VLOOKUP($S725,Mapping!$E$208:$K$236,5,0),"Contracts")</f>
        <v>Overhead</v>
      </c>
      <c r="Y725" s="7" t="str">
        <f>IFERROR(VLOOKUP($S725,Mapping!$E$208:$K$236,7,0),"ENDirect")</f>
        <v>OH</v>
      </c>
      <c r="Z725" s="7" t="str">
        <f>IFERROR(HLOOKUP(X725,'Calc|Weightings'!$U$5:$W$5,1,0),"Excl")</f>
        <v>Excl</v>
      </c>
      <c r="AA725" s="7" t="str">
        <f>VLOOKUP(Q725,Mapping!$E$11:$I$204,5,0)</f>
        <v>SCS</v>
      </c>
      <c r="AC725" s="35" t="s">
        <v>220</v>
      </c>
      <c r="AD725" s="35"/>
      <c r="AE725" s="35">
        <v>71005</v>
      </c>
      <c r="AF725" s="35" t="s">
        <v>461</v>
      </c>
      <c r="AG725" s="36">
        <v>2.319</v>
      </c>
      <c r="AI725" s="7" t="str">
        <f>VLOOKUP($AC725,Mapping!$E$11:$I$204,3,0)</f>
        <v>Replacement</v>
      </c>
      <c r="AJ725" s="7" t="str">
        <f>IFERROR(VLOOKUP($AE725,Mapping!$E$208:$K$236,5,0),"Contracts")</f>
        <v>Materials</v>
      </c>
      <c r="AK725" s="7" t="str">
        <f>IFERROR(VLOOKUP($AE725,Mapping!$E$208:$K$236,7,0),"ENDirect")</f>
        <v>ENDirect</v>
      </c>
      <c r="AL725" s="7" t="str">
        <f>IFERROR(HLOOKUP(AJ725,'Calc|Weightings'!$U$5:$W$5,1,0),"Excl")</f>
        <v>Materials</v>
      </c>
      <c r="AM725" s="7" t="str">
        <f>VLOOKUP(AC725,Mapping!$E$11:$I$204,5,0)</f>
        <v>SCS</v>
      </c>
      <c r="AO725" s="35" t="s">
        <v>204</v>
      </c>
      <c r="AP725" s="35"/>
      <c r="AQ725" s="35">
        <v>71010</v>
      </c>
      <c r="AR725" s="35" t="s">
        <v>487</v>
      </c>
      <c r="AS725" s="121">
        <v>6.8122600000000002</v>
      </c>
      <c r="AU725" s="7" t="str">
        <f>VLOOKUP($AO725,Mapping!$E$11:$I$204,3,0)</f>
        <v>Replacement</v>
      </c>
      <c r="AV725" s="7" t="str">
        <f>IFERROR(VLOOKUP($AQ725,Mapping!$E$208:$K$236,5,0),"Contracts")</f>
        <v>Labour</v>
      </c>
      <c r="AW725" s="7" t="str">
        <f>IFERROR(VLOOKUP($AQ725,Mapping!$E$208:$K$236,7,0),"ENDirect")</f>
        <v>ENDirect</v>
      </c>
      <c r="AX725" s="7" t="str">
        <f>IFERROR(HLOOKUP(AV725,'Calc|Weightings'!$U$5:$W$5,1,0),"Excl")</f>
        <v>Labour</v>
      </c>
      <c r="AY725" s="7" t="str">
        <f>VLOOKUP(AO725,Mapping!$E$11:$I$204,5,0)</f>
        <v>SCS</v>
      </c>
    </row>
    <row r="726" spans="1:51" x14ac:dyDescent="0.3">
      <c r="A726" s="7"/>
      <c r="B726" s="7"/>
      <c r="C726" s="7"/>
      <c r="D726" s="7"/>
      <c r="E726" s="32" t="s">
        <v>193</v>
      </c>
      <c r="F726" s="32"/>
      <c r="G726" s="32">
        <v>71030</v>
      </c>
      <c r="H726" s="32" t="s">
        <v>464</v>
      </c>
      <c r="I726" s="33">
        <v>0.90800000000000003</v>
      </c>
      <c r="J726" s="170"/>
      <c r="K726" s="7" t="str">
        <f>VLOOKUP($E726,Mapping!$E$11:$I$204,3,0)</f>
        <v>VBRC</v>
      </c>
      <c r="L726" s="7" t="str">
        <f>IFERROR(VLOOKUP($G726,Mapping!$E$208:$K$236,5,0),"Contracts")</f>
        <v>Contracts</v>
      </c>
      <c r="M726" s="7" t="str">
        <f>IFERROR(VLOOKUP($G726,Mapping!$E$208:$K$236,7,0),"ENDirect")</f>
        <v>ENDirect</v>
      </c>
      <c r="N726" s="7" t="str">
        <f>IFERROR(HLOOKUP(L726,'Calc|Weightings'!$U$5:$W$5,1,0),"Excl")</f>
        <v>Contracts</v>
      </c>
      <c r="O726" s="7" t="str">
        <f>VLOOKUP(E726,Mapping!$E$11:$I$204,5,0)</f>
        <v>SCS</v>
      </c>
      <c r="Q726" s="32" t="s">
        <v>224</v>
      </c>
      <c r="R726" s="32"/>
      <c r="S726" s="32">
        <v>71000</v>
      </c>
      <c r="T726" s="32" t="s">
        <v>457</v>
      </c>
      <c r="U726" s="33">
        <v>278.21699999999998</v>
      </c>
      <c r="V726" s="7"/>
      <c r="W726" s="7" t="str">
        <f>VLOOKUP($Q726,Mapping!$E$11:$I$204,3,0)</f>
        <v>Replacement</v>
      </c>
      <c r="X726" s="7" t="str">
        <f>IFERROR(VLOOKUP($S726,Mapping!$E$208:$K$236,5,0),"Contracts")</f>
        <v>Labour</v>
      </c>
      <c r="Y726" s="7" t="str">
        <f>IFERROR(VLOOKUP($S726,Mapping!$E$208:$K$236,7,0),"ENDirect")</f>
        <v>ENDirect</v>
      </c>
      <c r="Z726" s="7" t="str">
        <f>IFERROR(HLOOKUP(X726,'Calc|Weightings'!$U$5:$W$5,1,0),"Excl")</f>
        <v>Labour</v>
      </c>
      <c r="AA726" s="7" t="str">
        <f>VLOOKUP(Q726,Mapping!$E$11:$I$204,5,0)</f>
        <v>SCS</v>
      </c>
      <c r="AC726" s="35" t="s">
        <v>220</v>
      </c>
      <c r="AD726" s="35"/>
      <c r="AE726" s="35">
        <v>71010</v>
      </c>
      <c r="AF726" s="35" t="s">
        <v>462</v>
      </c>
      <c r="AG726" s="36">
        <v>25.561</v>
      </c>
      <c r="AI726" s="7" t="str">
        <f>VLOOKUP($AC726,Mapping!$E$11:$I$204,3,0)</f>
        <v>Replacement</v>
      </c>
      <c r="AJ726" s="7" t="str">
        <f>IFERROR(VLOOKUP($AE726,Mapping!$E$208:$K$236,5,0),"Contracts")</f>
        <v>Labour</v>
      </c>
      <c r="AK726" s="7" t="str">
        <f>IFERROR(VLOOKUP($AE726,Mapping!$E$208:$K$236,7,0),"ENDirect")</f>
        <v>ENDirect</v>
      </c>
      <c r="AL726" s="7" t="str">
        <f>IFERROR(HLOOKUP(AJ726,'Calc|Weightings'!$U$5:$W$5,1,0),"Excl")</f>
        <v>Labour</v>
      </c>
      <c r="AM726" s="7" t="str">
        <f>VLOOKUP(AC726,Mapping!$E$11:$I$204,5,0)</f>
        <v>SCS</v>
      </c>
      <c r="AO726" s="35" t="s">
        <v>204</v>
      </c>
      <c r="AP726" s="35"/>
      <c r="AQ726" s="35">
        <v>71030</v>
      </c>
      <c r="AR726" s="35" t="s">
        <v>464</v>
      </c>
      <c r="AS726" s="121">
        <v>0.26719999999999999</v>
      </c>
      <c r="AU726" s="7" t="str">
        <f>VLOOKUP($AO726,Mapping!$E$11:$I$204,3,0)</f>
        <v>Replacement</v>
      </c>
      <c r="AV726" s="7" t="str">
        <f>IFERROR(VLOOKUP($AQ726,Mapping!$E$208:$K$236,5,0),"Contracts")</f>
        <v>Contracts</v>
      </c>
      <c r="AW726" s="7" t="str">
        <f>IFERROR(VLOOKUP($AQ726,Mapping!$E$208:$K$236,7,0),"ENDirect")</f>
        <v>ENDirect</v>
      </c>
      <c r="AX726" s="7" t="str">
        <f>IFERROR(HLOOKUP(AV726,'Calc|Weightings'!$U$5:$W$5,1,0),"Excl")</f>
        <v>Contracts</v>
      </c>
      <c r="AY726" s="7" t="str">
        <f>VLOOKUP(AO726,Mapping!$E$11:$I$204,5,0)</f>
        <v>SCS</v>
      </c>
    </row>
    <row r="727" spans="1:51" x14ac:dyDescent="0.3">
      <c r="A727" s="7"/>
      <c r="B727" s="7"/>
      <c r="C727" s="7"/>
      <c r="D727" s="7"/>
      <c r="E727" s="32" t="s">
        <v>193</v>
      </c>
      <c r="F727" s="32"/>
      <c r="G727" s="32">
        <v>71055</v>
      </c>
      <c r="H727" s="32" t="s">
        <v>465</v>
      </c>
      <c r="I727" s="33">
        <v>1.9279999999999999</v>
      </c>
      <c r="J727" s="170"/>
      <c r="K727" s="7" t="str">
        <f>VLOOKUP($E727,Mapping!$E$11:$I$204,3,0)</f>
        <v>VBRC</v>
      </c>
      <c r="L727" s="7" t="str">
        <f>IFERROR(VLOOKUP($G727,Mapping!$E$208:$K$236,5,0),"Contracts")</f>
        <v>Contracts</v>
      </c>
      <c r="M727" s="7" t="str">
        <f>IFERROR(VLOOKUP($G727,Mapping!$E$208:$K$236,7,0),"ENDirect")</f>
        <v>ENDirect</v>
      </c>
      <c r="N727" s="7" t="str">
        <f>IFERROR(HLOOKUP(L727,'Calc|Weightings'!$U$5:$W$5,1,0),"Excl")</f>
        <v>Contracts</v>
      </c>
      <c r="O727" s="7" t="str">
        <f>VLOOKUP(E727,Mapping!$E$11:$I$204,5,0)</f>
        <v>SCS</v>
      </c>
      <c r="Q727" s="32" t="s">
        <v>224</v>
      </c>
      <c r="R727" s="32"/>
      <c r="S727" s="32">
        <v>71005</v>
      </c>
      <c r="T727" s="32" t="s">
        <v>461</v>
      </c>
      <c r="U727" s="33">
        <v>44.427999999999997</v>
      </c>
      <c r="V727" s="7"/>
      <c r="W727" s="7" t="str">
        <f>VLOOKUP($Q727,Mapping!$E$11:$I$204,3,0)</f>
        <v>Replacement</v>
      </c>
      <c r="X727" s="7" t="str">
        <f>IFERROR(VLOOKUP($S727,Mapping!$E$208:$K$236,5,0),"Contracts")</f>
        <v>Materials</v>
      </c>
      <c r="Y727" s="7" t="str">
        <f>IFERROR(VLOOKUP($S727,Mapping!$E$208:$K$236,7,0),"ENDirect")</f>
        <v>ENDirect</v>
      </c>
      <c r="Z727" s="7" t="str">
        <f>IFERROR(HLOOKUP(X727,'Calc|Weightings'!$U$5:$W$5,1,0),"Excl")</f>
        <v>Materials</v>
      </c>
      <c r="AA727" s="7" t="str">
        <f>VLOOKUP(Q727,Mapping!$E$11:$I$204,5,0)</f>
        <v>SCS</v>
      </c>
      <c r="AC727" s="35" t="s">
        <v>220</v>
      </c>
      <c r="AD727" s="35"/>
      <c r="AE727" s="35">
        <v>71015</v>
      </c>
      <c r="AF727" s="35" t="s">
        <v>463</v>
      </c>
      <c r="AG727" s="36">
        <v>2.5369999999999999</v>
      </c>
      <c r="AI727" s="7" t="str">
        <f>VLOOKUP($AC727,Mapping!$E$11:$I$204,3,0)</f>
        <v>Replacement</v>
      </c>
      <c r="AJ727" s="7" t="str">
        <f>IFERROR(VLOOKUP($AE727,Mapping!$E$208:$K$236,5,0),"Contracts")</f>
        <v>Materials</v>
      </c>
      <c r="AK727" s="7" t="str">
        <f>IFERROR(VLOOKUP($AE727,Mapping!$E$208:$K$236,7,0),"ENDirect")</f>
        <v>ENDirect</v>
      </c>
      <c r="AL727" s="7" t="str">
        <f>IFERROR(HLOOKUP(AJ727,'Calc|Weightings'!$U$5:$W$5,1,0),"Excl")</f>
        <v>Materials</v>
      </c>
      <c r="AM727" s="7" t="str">
        <f>VLOOKUP(AC727,Mapping!$E$11:$I$204,5,0)</f>
        <v>SCS</v>
      </c>
      <c r="AO727" s="35" t="s">
        <v>204</v>
      </c>
      <c r="AP727" s="35"/>
      <c r="AQ727" s="35">
        <v>71055</v>
      </c>
      <c r="AR727" s="35" t="s">
        <v>465</v>
      </c>
      <c r="AS727" s="121">
        <v>0.74272000000000005</v>
      </c>
      <c r="AU727" s="7" t="str">
        <f>VLOOKUP($AO727,Mapping!$E$11:$I$204,3,0)</f>
        <v>Replacement</v>
      </c>
      <c r="AV727" s="7" t="str">
        <f>IFERROR(VLOOKUP($AQ727,Mapping!$E$208:$K$236,5,0),"Contracts")</f>
        <v>Contracts</v>
      </c>
      <c r="AW727" s="7" t="str">
        <f>IFERROR(VLOOKUP($AQ727,Mapping!$E$208:$K$236,7,0),"ENDirect")</f>
        <v>ENDirect</v>
      </c>
      <c r="AX727" s="7" t="str">
        <f>IFERROR(HLOOKUP(AV727,'Calc|Weightings'!$U$5:$W$5,1,0),"Excl")</f>
        <v>Contracts</v>
      </c>
      <c r="AY727" s="7" t="str">
        <f>VLOOKUP(AO727,Mapping!$E$11:$I$204,5,0)</f>
        <v>SCS</v>
      </c>
    </row>
    <row r="728" spans="1:51" x14ac:dyDescent="0.3">
      <c r="A728" s="7"/>
      <c r="B728" s="7"/>
      <c r="C728" s="7"/>
      <c r="D728" s="7"/>
      <c r="E728" s="32" t="s">
        <v>193</v>
      </c>
      <c r="F728" s="32"/>
      <c r="G728" s="32">
        <v>80000</v>
      </c>
      <c r="H728" s="32" t="s">
        <v>453</v>
      </c>
      <c r="I728" s="33">
        <v>1.2589999999999999</v>
      </c>
      <c r="J728" s="170"/>
      <c r="K728" s="7" t="str">
        <f>VLOOKUP($E728,Mapping!$E$11:$I$204,3,0)</f>
        <v>VBRC</v>
      </c>
      <c r="L728" s="7" t="str">
        <f>IFERROR(VLOOKUP($G728,Mapping!$E$208:$K$236,5,0),"Contracts")</f>
        <v>Overhead</v>
      </c>
      <c r="M728" s="7" t="str">
        <f>IFERROR(VLOOKUP($G728,Mapping!$E$208:$K$236,7,0),"ENDirect")</f>
        <v>OH</v>
      </c>
      <c r="N728" s="7" t="str">
        <f>IFERROR(HLOOKUP(L728,'Calc|Weightings'!$U$5:$W$5,1,0),"Excl")</f>
        <v>Excl</v>
      </c>
      <c r="O728" s="7" t="str">
        <f>VLOOKUP(E728,Mapping!$E$11:$I$204,5,0)</f>
        <v>SCS</v>
      </c>
      <c r="Q728" s="32" t="s">
        <v>224</v>
      </c>
      <c r="R728" s="32"/>
      <c r="S728" s="32">
        <v>71010</v>
      </c>
      <c r="T728" s="32" t="s">
        <v>462</v>
      </c>
      <c r="U728" s="33">
        <v>171.34299999999999</v>
      </c>
      <c r="V728" s="7"/>
      <c r="W728" s="7" t="str">
        <f>VLOOKUP($Q728,Mapping!$E$11:$I$204,3,0)</f>
        <v>Replacement</v>
      </c>
      <c r="X728" s="7" t="str">
        <f>IFERROR(VLOOKUP($S728,Mapping!$E$208:$K$236,5,0),"Contracts")</f>
        <v>Labour</v>
      </c>
      <c r="Y728" s="7" t="str">
        <f>IFERROR(VLOOKUP($S728,Mapping!$E$208:$K$236,7,0),"ENDirect")</f>
        <v>ENDirect</v>
      </c>
      <c r="Z728" s="7" t="str">
        <f>IFERROR(HLOOKUP(X728,'Calc|Weightings'!$U$5:$W$5,1,0),"Excl")</f>
        <v>Labour</v>
      </c>
      <c r="AA728" s="7" t="str">
        <f>VLOOKUP(Q728,Mapping!$E$11:$I$204,5,0)</f>
        <v>SCS</v>
      </c>
      <c r="AC728" s="35" t="s">
        <v>220</v>
      </c>
      <c r="AD728" s="35"/>
      <c r="AE728" s="35">
        <v>71030</v>
      </c>
      <c r="AF728" s="35" t="s">
        <v>464</v>
      </c>
      <c r="AG728" s="36">
        <v>3.6930000000000001</v>
      </c>
      <c r="AI728" s="7" t="str">
        <f>VLOOKUP($AC728,Mapping!$E$11:$I$204,3,0)</f>
        <v>Replacement</v>
      </c>
      <c r="AJ728" s="7" t="str">
        <f>IFERROR(VLOOKUP($AE728,Mapping!$E$208:$K$236,5,0),"Contracts")</f>
        <v>Contracts</v>
      </c>
      <c r="AK728" s="7" t="str">
        <f>IFERROR(VLOOKUP($AE728,Mapping!$E$208:$K$236,7,0),"ENDirect")</f>
        <v>ENDirect</v>
      </c>
      <c r="AL728" s="7" t="str">
        <f>IFERROR(HLOOKUP(AJ728,'Calc|Weightings'!$U$5:$W$5,1,0),"Excl")</f>
        <v>Contracts</v>
      </c>
      <c r="AM728" s="7" t="str">
        <f>VLOOKUP(AC728,Mapping!$E$11:$I$204,5,0)</f>
        <v>SCS</v>
      </c>
      <c r="AO728" s="35" t="s">
        <v>204</v>
      </c>
      <c r="AP728" s="35"/>
      <c r="AQ728" s="35">
        <v>80000</v>
      </c>
      <c r="AR728" s="35" t="s">
        <v>589</v>
      </c>
      <c r="AS728" s="121">
        <v>16.63091</v>
      </c>
      <c r="AU728" s="7" t="str">
        <f>VLOOKUP($AO728,Mapping!$E$11:$I$204,3,0)</f>
        <v>Replacement</v>
      </c>
      <c r="AV728" s="7" t="str">
        <f>IFERROR(VLOOKUP($AQ728,Mapping!$E$208:$K$236,5,0),"Contracts")</f>
        <v>Overhead</v>
      </c>
      <c r="AW728" s="7" t="str">
        <f>IFERROR(VLOOKUP($AQ728,Mapping!$E$208:$K$236,7,0),"ENDirect")</f>
        <v>OH</v>
      </c>
      <c r="AX728" s="7" t="str">
        <f>IFERROR(HLOOKUP(AV728,'Calc|Weightings'!$U$5:$W$5,1,0),"Excl")</f>
        <v>Excl</v>
      </c>
      <c r="AY728" s="7" t="str">
        <f>VLOOKUP(AO728,Mapping!$E$11:$I$204,5,0)</f>
        <v>SCS</v>
      </c>
    </row>
    <row r="729" spans="1:51" x14ac:dyDescent="0.3">
      <c r="A729" s="7"/>
      <c r="B729" s="7"/>
      <c r="C729" s="7"/>
      <c r="D729" s="7"/>
      <c r="E729" s="32" t="s">
        <v>194</v>
      </c>
      <c r="F729" s="32"/>
      <c r="G729" s="32">
        <v>71000</v>
      </c>
      <c r="H729" s="32" t="s">
        <v>457</v>
      </c>
      <c r="I729" s="33">
        <v>159.066</v>
      </c>
      <c r="J729" s="170"/>
      <c r="K729" s="7" t="str">
        <f>VLOOKUP($E729,Mapping!$E$11:$I$204,3,0)</f>
        <v>Replacement</v>
      </c>
      <c r="L729" s="7" t="str">
        <f>IFERROR(VLOOKUP($G729,Mapping!$E$208:$K$236,5,0),"Contracts")</f>
        <v>Labour</v>
      </c>
      <c r="M729" s="7" t="str">
        <f>IFERROR(VLOOKUP($G729,Mapping!$E$208:$K$236,7,0),"ENDirect")</f>
        <v>ENDirect</v>
      </c>
      <c r="N729" s="7" t="str">
        <f>IFERROR(HLOOKUP(L729,'Calc|Weightings'!$U$5:$W$5,1,0),"Excl")</f>
        <v>Labour</v>
      </c>
      <c r="O729" s="7" t="str">
        <f>VLOOKUP(E729,Mapping!$E$11:$I$204,5,0)</f>
        <v>SCS</v>
      </c>
      <c r="Q729" s="32" t="s">
        <v>224</v>
      </c>
      <c r="R729" s="32"/>
      <c r="S729" s="32">
        <v>71015</v>
      </c>
      <c r="T729" s="32" t="s">
        <v>463</v>
      </c>
      <c r="U729" s="33">
        <v>56.927999999999997</v>
      </c>
      <c r="V729" s="7"/>
      <c r="W729" s="7" t="str">
        <f>VLOOKUP($Q729,Mapping!$E$11:$I$204,3,0)</f>
        <v>Replacement</v>
      </c>
      <c r="X729" s="7" t="str">
        <f>IFERROR(VLOOKUP($S729,Mapping!$E$208:$K$236,5,0),"Contracts")</f>
        <v>Materials</v>
      </c>
      <c r="Y729" s="7" t="str">
        <f>IFERROR(VLOOKUP($S729,Mapping!$E$208:$K$236,7,0),"ENDirect")</f>
        <v>ENDirect</v>
      </c>
      <c r="Z729" s="7" t="str">
        <f>IFERROR(HLOOKUP(X729,'Calc|Weightings'!$U$5:$W$5,1,0),"Excl")</f>
        <v>Materials</v>
      </c>
      <c r="AA729" s="7" t="str">
        <f>VLOOKUP(Q729,Mapping!$E$11:$I$204,5,0)</f>
        <v>SCS</v>
      </c>
      <c r="AC729" s="35" t="s">
        <v>220</v>
      </c>
      <c r="AD729" s="35"/>
      <c r="AE729" s="35">
        <v>71055</v>
      </c>
      <c r="AF729" s="35" t="s">
        <v>465</v>
      </c>
      <c r="AG729" s="36">
        <v>7.7309999999999999</v>
      </c>
      <c r="AI729" s="7" t="str">
        <f>VLOOKUP($AC729,Mapping!$E$11:$I$204,3,0)</f>
        <v>Replacement</v>
      </c>
      <c r="AJ729" s="7" t="str">
        <f>IFERROR(VLOOKUP($AE729,Mapping!$E$208:$K$236,5,0),"Contracts")</f>
        <v>Contracts</v>
      </c>
      <c r="AK729" s="7" t="str">
        <f>IFERROR(VLOOKUP($AE729,Mapping!$E$208:$K$236,7,0),"ENDirect")</f>
        <v>ENDirect</v>
      </c>
      <c r="AL729" s="7" t="str">
        <f>IFERROR(HLOOKUP(AJ729,'Calc|Weightings'!$U$5:$W$5,1,0),"Excl")</f>
        <v>Contracts</v>
      </c>
      <c r="AM729" s="7" t="str">
        <f>VLOOKUP(AC729,Mapping!$E$11:$I$204,5,0)</f>
        <v>SCS</v>
      </c>
      <c r="AO729" s="35" t="s">
        <v>204</v>
      </c>
      <c r="AP729" s="35"/>
      <c r="AQ729" s="35">
        <v>83010</v>
      </c>
      <c r="AR729" s="35" t="s">
        <v>591</v>
      </c>
      <c r="AS729" s="121">
        <v>89.27646</v>
      </c>
      <c r="AU729" s="7" t="str">
        <f>VLOOKUP($AO729,Mapping!$E$11:$I$204,3,0)</f>
        <v>Replacement</v>
      </c>
      <c r="AV729" s="7" t="str">
        <f>IFERROR(VLOOKUP($AQ729,Mapping!$E$208:$K$236,5,0),"Contracts")</f>
        <v>Contracts</v>
      </c>
      <c r="AW729" s="7" t="str">
        <f>IFERROR(VLOOKUP($AQ729,Mapping!$E$208:$K$236,7,0),"ENDirect")</f>
        <v>ENDirect</v>
      </c>
      <c r="AX729" s="7" t="str">
        <f>IFERROR(HLOOKUP(AV729,'Calc|Weightings'!$U$5:$W$5,1,0),"Excl")</f>
        <v>Contracts</v>
      </c>
      <c r="AY729" s="7" t="str">
        <f>VLOOKUP(AO729,Mapping!$E$11:$I$204,5,0)</f>
        <v>SCS</v>
      </c>
    </row>
    <row r="730" spans="1:51" x14ac:dyDescent="0.3">
      <c r="A730" s="7"/>
      <c r="B730" s="7"/>
      <c r="C730" s="7"/>
      <c r="D730" s="7"/>
      <c r="E730" s="32" t="s">
        <v>194</v>
      </c>
      <c r="F730" s="32"/>
      <c r="G730" s="32">
        <v>71005</v>
      </c>
      <c r="H730" s="32" t="s">
        <v>461</v>
      </c>
      <c r="I730" s="33">
        <v>49.500999999999998</v>
      </c>
      <c r="J730" s="170"/>
      <c r="K730" s="7" t="str">
        <f>VLOOKUP($E730,Mapping!$E$11:$I$204,3,0)</f>
        <v>Replacement</v>
      </c>
      <c r="L730" s="7" t="str">
        <f>IFERROR(VLOOKUP($G730,Mapping!$E$208:$K$236,5,0),"Contracts")</f>
        <v>Materials</v>
      </c>
      <c r="M730" s="7" t="str">
        <f>IFERROR(VLOOKUP($G730,Mapping!$E$208:$K$236,7,0),"ENDirect")</f>
        <v>ENDirect</v>
      </c>
      <c r="N730" s="7" t="str">
        <f>IFERROR(HLOOKUP(L730,'Calc|Weightings'!$U$5:$W$5,1,0),"Excl")</f>
        <v>Materials</v>
      </c>
      <c r="O730" s="7" t="str">
        <f>VLOOKUP(E730,Mapping!$E$11:$I$204,5,0)</f>
        <v>SCS</v>
      </c>
      <c r="Q730" s="32" t="s">
        <v>224</v>
      </c>
      <c r="R730" s="32"/>
      <c r="S730" s="32">
        <v>71020</v>
      </c>
      <c r="T730" s="32" t="s">
        <v>459</v>
      </c>
      <c r="U730" s="33">
        <v>0.45900000000000002</v>
      </c>
      <c r="V730" s="7"/>
      <c r="W730" s="7" t="str">
        <f>VLOOKUP($Q730,Mapping!$E$11:$I$204,3,0)</f>
        <v>Replacement</v>
      </c>
      <c r="X730" s="7" t="str">
        <f>IFERROR(VLOOKUP($S730,Mapping!$E$208:$K$236,5,0),"Contracts")</f>
        <v>Contracts</v>
      </c>
      <c r="Y730" s="7" t="str">
        <f>IFERROR(VLOOKUP($S730,Mapping!$E$208:$K$236,7,0),"ENDirect")</f>
        <v>ENDirect</v>
      </c>
      <c r="Z730" s="7" t="str">
        <f>IFERROR(HLOOKUP(X730,'Calc|Weightings'!$U$5:$W$5,1,0),"Excl")</f>
        <v>Contracts</v>
      </c>
      <c r="AA730" s="7" t="str">
        <f>VLOOKUP(Q730,Mapping!$E$11:$I$204,5,0)</f>
        <v>SCS</v>
      </c>
      <c r="AC730" s="35" t="s">
        <v>220</v>
      </c>
      <c r="AD730" s="35"/>
      <c r="AE730" s="35">
        <v>80000</v>
      </c>
      <c r="AF730" s="35" t="s">
        <v>453</v>
      </c>
      <c r="AG730" s="36">
        <v>7.33</v>
      </c>
      <c r="AI730" s="7" t="str">
        <f>VLOOKUP($AC730,Mapping!$E$11:$I$204,3,0)</f>
        <v>Replacement</v>
      </c>
      <c r="AJ730" s="7" t="str">
        <f>IFERROR(VLOOKUP($AE730,Mapping!$E$208:$K$236,5,0),"Contracts")</f>
        <v>Overhead</v>
      </c>
      <c r="AK730" s="7" t="str">
        <f>IFERROR(VLOOKUP($AE730,Mapping!$E$208:$K$236,7,0),"ENDirect")</f>
        <v>OH</v>
      </c>
      <c r="AL730" s="7" t="str">
        <f>IFERROR(HLOOKUP(AJ730,'Calc|Weightings'!$U$5:$W$5,1,0),"Excl")</f>
        <v>Excl</v>
      </c>
      <c r="AM730" s="7" t="str">
        <f>VLOOKUP(AC730,Mapping!$E$11:$I$204,5,0)</f>
        <v>SCS</v>
      </c>
      <c r="AO730" s="35" t="s">
        <v>205</v>
      </c>
      <c r="AP730" s="35"/>
      <c r="AQ730" s="35">
        <v>71000</v>
      </c>
      <c r="AR730" s="35" t="s">
        <v>457</v>
      </c>
      <c r="AS730" s="121">
        <v>50.025999999999996</v>
      </c>
      <c r="AU730" s="7" t="str">
        <f>VLOOKUP($AO730,Mapping!$E$11:$I$204,3,0)</f>
        <v>Replacement</v>
      </c>
      <c r="AV730" s="7" t="str">
        <f>IFERROR(VLOOKUP($AQ730,Mapping!$E$208:$K$236,5,0),"Contracts")</f>
        <v>Labour</v>
      </c>
      <c r="AW730" s="7" t="str">
        <f>IFERROR(VLOOKUP($AQ730,Mapping!$E$208:$K$236,7,0),"ENDirect")</f>
        <v>ENDirect</v>
      </c>
      <c r="AX730" s="7" t="str">
        <f>IFERROR(HLOOKUP(AV730,'Calc|Weightings'!$U$5:$W$5,1,0),"Excl")</f>
        <v>Labour</v>
      </c>
      <c r="AY730" s="7" t="str">
        <f>VLOOKUP(AO730,Mapping!$E$11:$I$204,5,0)</f>
        <v>SCS</v>
      </c>
    </row>
    <row r="731" spans="1:51" x14ac:dyDescent="0.3">
      <c r="A731" s="7"/>
      <c r="B731" s="7"/>
      <c r="C731" s="7"/>
      <c r="D731" s="7"/>
      <c r="E731" s="32" t="s">
        <v>194</v>
      </c>
      <c r="F731" s="32"/>
      <c r="G731" s="32">
        <v>71010</v>
      </c>
      <c r="H731" s="32" t="s">
        <v>462</v>
      </c>
      <c r="I731" s="33">
        <v>78.144999999999996</v>
      </c>
      <c r="J731" s="170"/>
      <c r="K731" s="7" t="str">
        <f>VLOOKUP($E731,Mapping!$E$11:$I$204,3,0)</f>
        <v>Replacement</v>
      </c>
      <c r="L731" s="7" t="str">
        <f>IFERROR(VLOOKUP($G731,Mapping!$E$208:$K$236,5,0),"Contracts")</f>
        <v>Labour</v>
      </c>
      <c r="M731" s="7" t="str">
        <f>IFERROR(VLOOKUP($G731,Mapping!$E$208:$K$236,7,0),"ENDirect")</f>
        <v>ENDirect</v>
      </c>
      <c r="N731" s="7" t="str">
        <f>IFERROR(HLOOKUP(L731,'Calc|Weightings'!$U$5:$W$5,1,0),"Excl")</f>
        <v>Labour</v>
      </c>
      <c r="O731" s="7" t="str">
        <f>VLOOKUP(E731,Mapping!$E$11:$I$204,5,0)</f>
        <v>SCS</v>
      </c>
      <c r="Q731" s="32" t="s">
        <v>224</v>
      </c>
      <c r="R731" s="32"/>
      <c r="S731" s="32">
        <v>71030</v>
      </c>
      <c r="T731" s="32" t="s">
        <v>464</v>
      </c>
      <c r="U731" s="33">
        <v>45.037999999999997</v>
      </c>
      <c r="V731" s="7"/>
      <c r="W731" s="7" t="str">
        <f>VLOOKUP($Q731,Mapping!$E$11:$I$204,3,0)</f>
        <v>Replacement</v>
      </c>
      <c r="X731" s="7" t="str">
        <f>IFERROR(VLOOKUP($S731,Mapping!$E$208:$K$236,5,0),"Contracts")</f>
        <v>Contracts</v>
      </c>
      <c r="Y731" s="7" t="str">
        <f>IFERROR(VLOOKUP($S731,Mapping!$E$208:$K$236,7,0),"ENDirect")</f>
        <v>ENDirect</v>
      </c>
      <c r="Z731" s="7" t="str">
        <f>IFERROR(HLOOKUP(X731,'Calc|Weightings'!$U$5:$W$5,1,0),"Excl")</f>
        <v>Contracts</v>
      </c>
      <c r="AA731" s="7" t="str">
        <f>VLOOKUP(Q731,Mapping!$E$11:$I$204,5,0)</f>
        <v>SCS</v>
      </c>
      <c r="AC731" s="35" t="s">
        <v>221</v>
      </c>
      <c r="AD731" s="35"/>
      <c r="AE731" s="35">
        <v>71000</v>
      </c>
      <c r="AF731" s="35" t="s">
        <v>457</v>
      </c>
      <c r="AG731" s="36">
        <v>43.491</v>
      </c>
      <c r="AI731" s="7" t="str">
        <f>VLOOKUP($AC731,Mapping!$E$11:$I$204,3,0)</f>
        <v>Replacement</v>
      </c>
      <c r="AJ731" s="7" t="str">
        <f>IFERROR(VLOOKUP($AE731,Mapping!$E$208:$K$236,5,0),"Contracts")</f>
        <v>Labour</v>
      </c>
      <c r="AK731" s="7" t="str">
        <f>IFERROR(VLOOKUP($AE731,Mapping!$E$208:$K$236,7,0),"ENDirect")</f>
        <v>ENDirect</v>
      </c>
      <c r="AL731" s="7" t="str">
        <f>IFERROR(HLOOKUP(AJ731,'Calc|Weightings'!$U$5:$W$5,1,0),"Excl")</f>
        <v>Labour</v>
      </c>
      <c r="AM731" s="7" t="str">
        <f>VLOOKUP(AC731,Mapping!$E$11:$I$204,5,0)</f>
        <v>SCS</v>
      </c>
      <c r="AO731" s="35" t="s">
        <v>205</v>
      </c>
      <c r="AP731" s="35"/>
      <c r="AQ731" s="35">
        <v>71005</v>
      </c>
      <c r="AR731" s="35" t="s">
        <v>461</v>
      </c>
      <c r="AS731" s="121">
        <v>0.44183000000000017</v>
      </c>
      <c r="AU731" s="7" t="str">
        <f>VLOOKUP($AO731,Mapping!$E$11:$I$204,3,0)</f>
        <v>Replacement</v>
      </c>
      <c r="AV731" s="7" t="str">
        <f>IFERROR(VLOOKUP($AQ731,Mapping!$E$208:$K$236,5,0),"Contracts")</f>
        <v>Materials</v>
      </c>
      <c r="AW731" s="7" t="str">
        <f>IFERROR(VLOOKUP($AQ731,Mapping!$E$208:$K$236,7,0),"ENDirect")</f>
        <v>ENDirect</v>
      </c>
      <c r="AX731" s="7" t="str">
        <f>IFERROR(HLOOKUP(AV731,'Calc|Weightings'!$U$5:$W$5,1,0),"Excl")</f>
        <v>Materials</v>
      </c>
      <c r="AY731" s="7" t="str">
        <f>VLOOKUP(AO731,Mapping!$E$11:$I$204,5,0)</f>
        <v>SCS</v>
      </c>
    </row>
    <row r="732" spans="1:51" x14ac:dyDescent="0.3">
      <c r="A732" s="7"/>
      <c r="B732" s="7"/>
      <c r="C732" s="7"/>
      <c r="D732" s="7"/>
      <c r="E732" s="32" t="s">
        <v>194</v>
      </c>
      <c r="F732" s="32"/>
      <c r="G732" s="32">
        <v>71015</v>
      </c>
      <c r="H732" s="32" t="s">
        <v>463</v>
      </c>
      <c r="I732" s="33">
        <v>37.585000000000001</v>
      </c>
      <c r="J732" s="170"/>
      <c r="K732" s="7" t="str">
        <f>VLOOKUP($E732,Mapping!$E$11:$I$204,3,0)</f>
        <v>Replacement</v>
      </c>
      <c r="L732" s="7" t="str">
        <f>IFERROR(VLOOKUP($G732,Mapping!$E$208:$K$236,5,0),"Contracts")</f>
        <v>Materials</v>
      </c>
      <c r="M732" s="7" t="str">
        <f>IFERROR(VLOOKUP($G732,Mapping!$E$208:$K$236,7,0),"ENDirect")</f>
        <v>ENDirect</v>
      </c>
      <c r="N732" s="7" t="str">
        <f>IFERROR(HLOOKUP(L732,'Calc|Weightings'!$U$5:$W$5,1,0),"Excl")</f>
        <v>Materials</v>
      </c>
      <c r="O732" s="7" t="str">
        <f>VLOOKUP(E732,Mapping!$E$11:$I$204,5,0)</f>
        <v>SCS</v>
      </c>
      <c r="Q732" s="32" t="s">
        <v>224</v>
      </c>
      <c r="R732" s="32"/>
      <c r="S732" s="32">
        <v>71055</v>
      </c>
      <c r="T732" s="32" t="s">
        <v>465</v>
      </c>
      <c r="U732" s="33">
        <v>92.02</v>
      </c>
      <c r="V732" s="7"/>
      <c r="W732" s="7" t="str">
        <f>VLOOKUP($Q732,Mapping!$E$11:$I$204,3,0)</f>
        <v>Replacement</v>
      </c>
      <c r="X732" s="7" t="str">
        <f>IFERROR(VLOOKUP($S732,Mapping!$E$208:$K$236,5,0),"Contracts")</f>
        <v>Contracts</v>
      </c>
      <c r="Y732" s="7" t="str">
        <f>IFERROR(VLOOKUP($S732,Mapping!$E$208:$K$236,7,0),"ENDirect")</f>
        <v>ENDirect</v>
      </c>
      <c r="Z732" s="7" t="str">
        <f>IFERROR(HLOOKUP(X732,'Calc|Weightings'!$U$5:$W$5,1,0),"Excl")</f>
        <v>Contracts</v>
      </c>
      <c r="AA732" s="7" t="str">
        <f>VLOOKUP(Q732,Mapping!$E$11:$I$204,5,0)</f>
        <v>SCS</v>
      </c>
      <c r="AC732" s="35" t="s">
        <v>221</v>
      </c>
      <c r="AD732" s="35"/>
      <c r="AE732" s="35">
        <v>71005</v>
      </c>
      <c r="AF732" s="35" t="s">
        <v>461</v>
      </c>
      <c r="AG732" s="36">
        <v>10.337999999999999</v>
      </c>
      <c r="AI732" s="7" t="str">
        <f>VLOOKUP($AC732,Mapping!$E$11:$I$204,3,0)</f>
        <v>Replacement</v>
      </c>
      <c r="AJ732" s="7" t="str">
        <f>IFERROR(VLOOKUP($AE732,Mapping!$E$208:$K$236,5,0),"Contracts")</f>
        <v>Materials</v>
      </c>
      <c r="AK732" s="7" t="str">
        <f>IFERROR(VLOOKUP($AE732,Mapping!$E$208:$K$236,7,0),"ENDirect")</f>
        <v>ENDirect</v>
      </c>
      <c r="AL732" s="7" t="str">
        <f>IFERROR(HLOOKUP(AJ732,'Calc|Weightings'!$U$5:$W$5,1,0),"Excl")</f>
        <v>Materials</v>
      </c>
      <c r="AM732" s="7" t="str">
        <f>VLOOKUP(AC732,Mapping!$E$11:$I$204,5,0)</f>
        <v>SCS</v>
      </c>
      <c r="AO732" s="35" t="s">
        <v>205</v>
      </c>
      <c r="AP732" s="35"/>
      <c r="AQ732" s="35">
        <v>71010</v>
      </c>
      <c r="AR732" s="35" t="s">
        <v>487</v>
      </c>
      <c r="AS732" s="121">
        <v>127.19878999999999</v>
      </c>
      <c r="AU732" s="7" t="str">
        <f>VLOOKUP($AO732,Mapping!$E$11:$I$204,3,0)</f>
        <v>Replacement</v>
      </c>
      <c r="AV732" s="7" t="str">
        <f>IFERROR(VLOOKUP($AQ732,Mapping!$E$208:$K$236,5,0),"Contracts")</f>
        <v>Labour</v>
      </c>
      <c r="AW732" s="7" t="str">
        <f>IFERROR(VLOOKUP($AQ732,Mapping!$E$208:$K$236,7,0),"ENDirect")</f>
        <v>ENDirect</v>
      </c>
      <c r="AX732" s="7" t="str">
        <f>IFERROR(HLOOKUP(AV732,'Calc|Weightings'!$U$5:$W$5,1,0),"Excl")</f>
        <v>Labour</v>
      </c>
      <c r="AY732" s="7" t="str">
        <f>VLOOKUP(AO732,Mapping!$E$11:$I$204,5,0)</f>
        <v>SCS</v>
      </c>
    </row>
    <row r="733" spans="1:51" x14ac:dyDescent="0.3">
      <c r="A733" s="7"/>
      <c r="B733" s="7"/>
      <c r="C733" s="7"/>
      <c r="D733" s="7"/>
      <c r="E733" s="32" t="s">
        <v>194</v>
      </c>
      <c r="F733" s="32"/>
      <c r="G733" s="32">
        <v>71030</v>
      </c>
      <c r="H733" s="32" t="s">
        <v>464</v>
      </c>
      <c r="I733" s="33">
        <v>26.105</v>
      </c>
      <c r="J733" s="170"/>
      <c r="K733" s="7" t="str">
        <f>VLOOKUP($E733,Mapping!$E$11:$I$204,3,0)</f>
        <v>Replacement</v>
      </c>
      <c r="L733" s="7" t="str">
        <f>IFERROR(VLOOKUP($G733,Mapping!$E$208:$K$236,5,0),"Contracts")</f>
        <v>Contracts</v>
      </c>
      <c r="M733" s="7" t="str">
        <f>IFERROR(VLOOKUP($G733,Mapping!$E$208:$K$236,7,0),"ENDirect")</f>
        <v>ENDirect</v>
      </c>
      <c r="N733" s="7" t="str">
        <f>IFERROR(HLOOKUP(L733,'Calc|Weightings'!$U$5:$W$5,1,0),"Excl")</f>
        <v>Contracts</v>
      </c>
      <c r="O733" s="7" t="str">
        <f>VLOOKUP(E733,Mapping!$E$11:$I$204,5,0)</f>
        <v>SCS</v>
      </c>
      <c r="Q733" s="32" t="s">
        <v>224</v>
      </c>
      <c r="R733" s="32"/>
      <c r="S733" s="32">
        <v>80000</v>
      </c>
      <c r="T733" s="32" t="s">
        <v>453</v>
      </c>
      <c r="U733" s="33">
        <v>83.587999999999994</v>
      </c>
      <c r="V733" s="7"/>
      <c r="W733" s="7" t="str">
        <f>VLOOKUP($Q733,Mapping!$E$11:$I$204,3,0)</f>
        <v>Replacement</v>
      </c>
      <c r="X733" s="7" t="str">
        <f>IFERROR(VLOOKUP($S733,Mapping!$E$208:$K$236,5,0),"Contracts")</f>
        <v>Overhead</v>
      </c>
      <c r="Y733" s="7" t="str">
        <f>IFERROR(VLOOKUP($S733,Mapping!$E$208:$K$236,7,0),"ENDirect")</f>
        <v>OH</v>
      </c>
      <c r="Z733" s="7" t="str">
        <f>IFERROR(HLOOKUP(X733,'Calc|Weightings'!$U$5:$W$5,1,0),"Excl")</f>
        <v>Excl</v>
      </c>
      <c r="AA733" s="7" t="str">
        <f>VLOOKUP(Q733,Mapping!$E$11:$I$204,5,0)</f>
        <v>SCS</v>
      </c>
      <c r="AC733" s="35" t="s">
        <v>221</v>
      </c>
      <c r="AD733" s="35"/>
      <c r="AE733" s="35">
        <v>71010</v>
      </c>
      <c r="AF733" s="35" t="s">
        <v>462</v>
      </c>
      <c r="AG733" s="36">
        <v>5.1219999999999999</v>
      </c>
      <c r="AI733" s="7" t="str">
        <f>VLOOKUP($AC733,Mapping!$E$11:$I$204,3,0)</f>
        <v>Replacement</v>
      </c>
      <c r="AJ733" s="7" t="str">
        <f>IFERROR(VLOOKUP($AE733,Mapping!$E$208:$K$236,5,0),"Contracts")</f>
        <v>Labour</v>
      </c>
      <c r="AK733" s="7" t="str">
        <f>IFERROR(VLOOKUP($AE733,Mapping!$E$208:$K$236,7,0),"ENDirect")</f>
        <v>ENDirect</v>
      </c>
      <c r="AL733" s="7" t="str">
        <f>IFERROR(HLOOKUP(AJ733,'Calc|Weightings'!$U$5:$W$5,1,0),"Excl")</f>
        <v>Labour</v>
      </c>
      <c r="AM733" s="7" t="str">
        <f>VLOOKUP(AC733,Mapping!$E$11:$I$204,5,0)</f>
        <v>SCS</v>
      </c>
      <c r="AO733" s="35" t="s">
        <v>205</v>
      </c>
      <c r="AP733" s="35"/>
      <c r="AQ733" s="35">
        <v>71015</v>
      </c>
      <c r="AR733" s="35" t="s">
        <v>585</v>
      </c>
      <c r="AS733" s="121">
        <v>18.666799999999995</v>
      </c>
      <c r="AU733" s="7" t="str">
        <f>VLOOKUP($AO733,Mapping!$E$11:$I$204,3,0)</f>
        <v>Replacement</v>
      </c>
      <c r="AV733" s="7" t="str">
        <f>IFERROR(VLOOKUP($AQ733,Mapping!$E$208:$K$236,5,0),"Contracts")</f>
        <v>Materials</v>
      </c>
      <c r="AW733" s="7" t="str">
        <f>IFERROR(VLOOKUP($AQ733,Mapping!$E$208:$K$236,7,0),"ENDirect")</f>
        <v>ENDirect</v>
      </c>
      <c r="AX733" s="7" t="str">
        <f>IFERROR(HLOOKUP(AV733,'Calc|Weightings'!$U$5:$W$5,1,0),"Excl")</f>
        <v>Materials</v>
      </c>
      <c r="AY733" s="7" t="str">
        <f>VLOOKUP(AO733,Mapping!$E$11:$I$204,5,0)</f>
        <v>SCS</v>
      </c>
    </row>
    <row r="734" spans="1:51" x14ac:dyDescent="0.3">
      <c r="A734" s="7"/>
      <c r="B734" s="7"/>
      <c r="C734" s="7"/>
      <c r="D734" s="7"/>
      <c r="E734" s="32" t="s">
        <v>194</v>
      </c>
      <c r="F734" s="32"/>
      <c r="G734" s="32">
        <v>71055</v>
      </c>
      <c r="H734" s="32" t="s">
        <v>465</v>
      </c>
      <c r="I734" s="33">
        <v>59.191000000000003</v>
      </c>
      <c r="J734" s="170"/>
      <c r="K734" s="7" t="str">
        <f>VLOOKUP($E734,Mapping!$E$11:$I$204,3,0)</f>
        <v>Replacement</v>
      </c>
      <c r="L734" s="7" t="str">
        <f>IFERROR(VLOOKUP($G734,Mapping!$E$208:$K$236,5,0),"Contracts")</f>
        <v>Contracts</v>
      </c>
      <c r="M734" s="7" t="str">
        <f>IFERROR(VLOOKUP($G734,Mapping!$E$208:$K$236,7,0),"ENDirect")</f>
        <v>ENDirect</v>
      </c>
      <c r="N734" s="7" t="str">
        <f>IFERROR(HLOOKUP(L734,'Calc|Weightings'!$U$5:$W$5,1,0),"Excl")</f>
        <v>Contracts</v>
      </c>
      <c r="O734" s="7" t="str">
        <f>VLOOKUP(E734,Mapping!$E$11:$I$204,5,0)</f>
        <v>SCS</v>
      </c>
      <c r="Q734" s="32" t="s">
        <v>224</v>
      </c>
      <c r="R734" s="32"/>
      <c r="S734" s="32">
        <v>89999</v>
      </c>
      <c r="T734" s="32" t="s">
        <v>471</v>
      </c>
      <c r="U734" s="33">
        <v>0</v>
      </c>
      <c r="V734" s="7"/>
      <c r="W734" s="7" t="str">
        <f>VLOOKUP($Q734,Mapping!$E$11:$I$204,3,0)</f>
        <v>Replacement</v>
      </c>
      <c r="X734" s="7" t="str">
        <f>IFERROR(VLOOKUP($S734,Mapping!$E$208:$K$236,5,0),"Contracts")</f>
        <v>Contracts</v>
      </c>
      <c r="Y734" s="7" t="str">
        <f>IFERROR(VLOOKUP($S734,Mapping!$E$208:$K$236,7,0),"ENDirect")</f>
        <v>ENDirect</v>
      </c>
      <c r="Z734" s="7" t="str">
        <f>IFERROR(HLOOKUP(X734,'Calc|Weightings'!$U$5:$W$5,1,0),"Excl")</f>
        <v>Contracts</v>
      </c>
      <c r="AA734" s="7" t="str">
        <f>VLOOKUP(Q734,Mapping!$E$11:$I$204,5,0)</f>
        <v>SCS</v>
      </c>
      <c r="AC734" s="35" t="s">
        <v>221</v>
      </c>
      <c r="AD734" s="35"/>
      <c r="AE734" s="35">
        <v>71015</v>
      </c>
      <c r="AF734" s="35" t="s">
        <v>463</v>
      </c>
      <c r="AG734" s="36">
        <v>7.3849999999999998</v>
      </c>
      <c r="AI734" s="7" t="str">
        <f>VLOOKUP($AC734,Mapping!$E$11:$I$204,3,0)</f>
        <v>Replacement</v>
      </c>
      <c r="AJ734" s="7" t="str">
        <f>IFERROR(VLOOKUP($AE734,Mapping!$E$208:$K$236,5,0),"Contracts")</f>
        <v>Materials</v>
      </c>
      <c r="AK734" s="7" t="str">
        <f>IFERROR(VLOOKUP($AE734,Mapping!$E$208:$K$236,7,0),"ENDirect")</f>
        <v>ENDirect</v>
      </c>
      <c r="AL734" s="7" t="str">
        <f>IFERROR(HLOOKUP(AJ734,'Calc|Weightings'!$U$5:$W$5,1,0),"Excl")</f>
        <v>Materials</v>
      </c>
      <c r="AM734" s="7" t="str">
        <f>VLOOKUP(AC734,Mapping!$E$11:$I$204,5,0)</f>
        <v>SCS</v>
      </c>
      <c r="AO734" s="35" t="s">
        <v>205</v>
      </c>
      <c r="AP734" s="35"/>
      <c r="AQ734" s="35">
        <v>71030</v>
      </c>
      <c r="AR734" s="35" t="s">
        <v>464</v>
      </c>
      <c r="AS734" s="121">
        <v>13.954090000000003</v>
      </c>
      <c r="AU734" s="7" t="str">
        <f>VLOOKUP($AO734,Mapping!$E$11:$I$204,3,0)</f>
        <v>Replacement</v>
      </c>
      <c r="AV734" s="7" t="str">
        <f>IFERROR(VLOOKUP($AQ734,Mapping!$E$208:$K$236,5,0),"Contracts")</f>
        <v>Contracts</v>
      </c>
      <c r="AW734" s="7" t="str">
        <f>IFERROR(VLOOKUP($AQ734,Mapping!$E$208:$K$236,7,0),"ENDirect")</f>
        <v>ENDirect</v>
      </c>
      <c r="AX734" s="7" t="str">
        <f>IFERROR(HLOOKUP(AV734,'Calc|Weightings'!$U$5:$W$5,1,0),"Excl")</f>
        <v>Contracts</v>
      </c>
      <c r="AY734" s="7" t="str">
        <f>VLOOKUP(AO734,Mapping!$E$11:$I$204,5,0)</f>
        <v>SCS</v>
      </c>
    </row>
    <row r="735" spans="1:51" x14ac:dyDescent="0.3">
      <c r="A735" s="7"/>
      <c r="B735" s="7"/>
      <c r="C735" s="7"/>
      <c r="D735" s="7"/>
      <c r="E735" s="32" t="s">
        <v>194</v>
      </c>
      <c r="F735" s="32"/>
      <c r="G735" s="32">
        <v>80000</v>
      </c>
      <c r="H735" s="32" t="s">
        <v>453</v>
      </c>
      <c r="I735" s="33">
        <v>35.579000000000001</v>
      </c>
      <c r="J735" s="170"/>
      <c r="K735" s="7" t="str">
        <f>VLOOKUP($E735,Mapping!$E$11:$I$204,3,0)</f>
        <v>Replacement</v>
      </c>
      <c r="L735" s="7" t="str">
        <f>IFERROR(VLOOKUP($G735,Mapping!$E$208:$K$236,5,0),"Contracts")</f>
        <v>Overhead</v>
      </c>
      <c r="M735" s="7" t="str">
        <f>IFERROR(VLOOKUP($G735,Mapping!$E$208:$K$236,7,0),"ENDirect")</f>
        <v>OH</v>
      </c>
      <c r="N735" s="7" t="str">
        <f>IFERROR(HLOOKUP(L735,'Calc|Weightings'!$U$5:$W$5,1,0),"Excl")</f>
        <v>Excl</v>
      </c>
      <c r="O735" s="7" t="str">
        <f>VLOOKUP(E735,Mapping!$E$11:$I$204,5,0)</f>
        <v>SCS</v>
      </c>
      <c r="Q735" s="32" t="s">
        <v>227</v>
      </c>
      <c r="R735" s="32"/>
      <c r="S735" s="32">
        <v>71000</v>
      </c>
      <c r="T735" s="32" t="s">
        <v>457</v>
      </c>
      <c r="U735" s="33">
        <v>531.13499999999999</v>
      </c>
      <c r="V735" s="7"/>
      <c r="W735" s="7" t="str">
        <f>VLOOKUP($Q735,Mapping!$E$11:$I$204,3,0)</f>
        <v>Replacement</v>
      </c>
      <c r="X735" s="7" t="str">
        <f>IFERROR(VLOOKUP($S735,Mapping!$E$208:$K$236,5,0),"Contracts")</f>
        <v>Labour</v>
      </c>
      <c r="Y735" s="7" t="str">
        <f>IFERROR(VLOOKUP($S735,Mapping!$E$208:$K$236,7,0),"ENDirect")</f>
        <v>ENDirect</v>
      </c>
      <c r="Z735" s="7" t="str">
        <f>IFERROR(HLOOKUP(X735,'Calc|Weightings'!$U$5:$W$5,1,0),"Excl")</f>
        <v>Labour</v>
      </c>
      <c r="AA735" s="7" t="str">
        <f>VLOOKUP(Q735,Mapping!$E$11:$I$204,5,0)</f>
        <v>SCS</v>
      </c>
      <c r="AC735" s="35" t="s">
        <v>221</v>
      </c>
      <c r="AD735" s="35"/>
      <c r="AE735" s="35">
        <v>71030</v>
      </c>
      <c r="AF735" s="35" t="s">
        <v>464</v>
      </c>
      <c r="AG735" s="36">
        <v>5.3550000000000004</v>
      </c>
      <c r="AI735" s="7" t="str">
        <f>VLOOKUP($AC735,Mapping!$E$11:$I$204,3,0)</f>
        <v>Replacement</v>
      </c>
      <c r="AJ735" s="7" t="str">
        <f>IFERROR(VLOOKUP($AE735,Mapping!$E$208:$K$236,5,0),"Contracts")</f>
        <v>Contracts</v>
      </c>
      <c r="AK735" s="7" t="str">
        <f>IFERROR(VLOOKUP($AE735,Mapping!$E$208:$K$236,7,0),"ENDirect")</f>
        <v>ENDirect</v>
      </c>
      <c r="AL735" s="7" t="str">
        <f>IFERROR(HLOOKUP(AJ735,'Calc|Weightings'!$U$5:$W$5,1,0),"Excl")</f>
        <v>Contracts</v>
      </c>
      <c r="AM735" s="7" t="str">
        <f>VLOOKUP(AC735,Mapping!$E$11:$I$204,5,0)</f>
        <v>SCS</v>
      </c>
      <c r="AO735" s="35" t="s">
        <v>205</v>
      </c>
      <c r="AP735" s="35"/>
      <c r="AQ735" s="35">
        <v>71055</v>
      </c>
      <c r="AR735" s="35" t="s">
        <v>465</v>
      </c>
      <c r="AS735" s="121">
        <v>18.222740000000002</v>
      </c>
      <c r="AU735" s="7" t="str">
        <f>VLOOKUP($AO735,Mapping!$E$11:$I$204,3,0)</f>
        <v>Replacement</v>
      </c>
      <c r="AV735" s="7" t="str">
        <f>IFERROR(VLOOKUP($AQ735,Mapping!$E$208:$K$236,5,0),"Contracts")</f>
        <v>Contracts</v>
      </c>
      <c r="AW735" s="7" t="str">
        <f>IFERROR(VLOOKUP($AQ735,Mapping!$E$208:$K$236,7,0),"ENDirect")</f>
        <v>ENDirect</v>
      </c>
      <c r="AX735" s="7" t="str">
        <f>IFERROR(HLOOKUP(AV735,'Calc|Weightings'!$U$5:$W$5,1,0),"Excl")</f>
        <v>Contracts</v>
      </c>
      <c r="AY735" s="7" t="str">
        <f>VLOOKUP(AO735,Mapping!$E$11:$I$204,5,0)</f>
        <v>SCS</v>
      </c>
    </row>
    <row r="736" spans="1:51" x14ac:dyDescent="0.3">
      <c r="A736" s="7"/>
      <c r="B736" s="7"/>
      <c r="C736" s="7"/>
      <c r="D736" s="7"/>
      <c r="E736" s="32" t="s">
        <v>197</v>
      </c>
      <c r="F736" s="32"/>
      <c r="G736" s="32">
        <v>71000</v>
      </c>
      <c r="H736" s="32" t="s">
        <v>457</v>
      </c>
      <c r="I736" s="33">
        <v>125.017</v>
      </c>
      <c r="J736" s="170"/>
      <c r="K736" s="7" t="str">
        <f>VLOOKUP($E736,Mapping!$E$11:$I$204,3,0)</f>
        <v>Replacement</v>
      </c>
      <c r="L736" s="7" t="str">
        <f>IFERROR(VLOOKUP($G736,Mapping!$E$208:$K$236,5,0),"Contracts")</f>
        <v>Labour</v>
      </c>
      <c r="M736" s="7" t="str">
        <f>IFERROR(VLOOKUP($G736,Mapping!$E$208:$K$236,7,0),"ENDirect")</f>
        <v>ENDirect</v>
      </c>
      <c r="N736" s="7" t="str">
        <f>IFERROR(HLOOKUP(L736,'Calc|Weightings'!$U$5:$W$5,1,0),"Excl")</f>
        <v>Labour</v>
      </c>
      <c r="O736" s="7" t="str">
        <f>VLOOKUP(E736,Mapping!$E$11:$I$204,5,0)</f>
        <v>SCS</v>
      </c>
      <c r="Q736" s="32" t="s">
        <v>227</v>
      </c>
      <c r="R736" s="32"/>
      <c r="S736" s="32">
        <v>71005</v>
      </c>
      <c r="T736" s="32" t="s">
        <v>461</v>
      </c>
      <c r="U736" s="33">
        <v>580.36599999999999</v>
      </c>
      <c r="V736" s="7"/>
      <c r="W736" s="7" t="str">
        <f>VLOOKUP($Q736,Mapping!$E$11:$I$204,3,0)</f>
        <v>Replacement</v>
      </c>
      <c r="X736" s="7" t="str">
        <f>IFERROR(VLOOKUP($S736,Mapping!$E$208:$K$236,5,0),"Contracts")</f>
        <v>Materials</v>
      </c>
      <c r="Y736" s="7" t="str">
        <f>IFERROR(VLOOKUP($S736,Mapping!$E$208:$K$236,7,0),"ENDirect")</f>
        <v>ENDirect</v>
      </c>
      <c r="Z736" s="7" t="str">
        <f>IFERROR(HLOOKUP(X736,'Calc|Weightings'!$U$5:$W$5,1,0),"Excl")</f>
        <v>Materials</v>
      </c>
      <c r="AA736" s="7" t="str">
        <f>VLOOKUP(Q736,Mapping!$E$11:$I$204,5,0)</f>
        <v>SCS</v>
      </c>
      <c r="AC736" s="35" t="s">
        <v>221</v>
      </c>
      <c r="AD736" s="35"/>
      <c r="AE736" s="35">
        <v>71055</v>
      </c>
      <c r="AF736" s="35" t="s">
        <v>465</v>
      </c>
      <c r="AG736" s="36">
        <v>12.494999999999999</v>
      </c>
      <c r="AI736" s="7" t="str">
        <f>VLOOKUP($AC736,Mapping!$E$11:$I$204,3,0)</f>
        <v>Replacement</v>
      </c>
      <c r="AJ736" s="7" t="str">
        <f>IFERROR(VLOOKUP($AE736,Mapping!$E$208:$K$236,5,0),"Contracts")</f>
        <v>Contracts</v>
      </c>
      <c r="AK736" s="7" t="str">
        <f>IFERROR(VLOOKUP($AE736,Mapping!$E$208:$K$236,7,0),"ENDirect")</f>
        <v>ENDirect</v>
      </c>
      <c r="AL736" s="7" t="str">
        <f>IFERROR(HLOOKUP(AJ736,'Calc|Weightings'!$U$5:$W$5,1,0),"Excl")</f>
        <v>Contracts</v>
      </c>
      <c r="AM736" s="7" t="str">
        <f>VLOOKUP(AC736,Mapping!$E$11:$I$204,5,0)</f>
        <v>SCS</v>
      </c>
      <c r="AO736" s="35" t="s">
        <v>205</v>
      </c>
      <c r="AP736" s="35"/>
      <c r="AQ736" s="35">
        <v>80000</v>
      </c>
      <c r="AR736" s="35" t="s">
        <v>589</v>
      </c>
      <c r="AS736" s="121">
        <v>99.492689999999996</v>
      </c>
      <c r="AU736" s="7" t="str">
        <f>VLOOKUP($AO736,Mapping!$E$11:$I$204,3,0)</f>
        <v>Replacement</v>
      </c>
      <c r="AV736" s="7" t="str">
        <f>IFERROR(VLOOKUP($AQ736,Mapping!$E$208:$K$236,5,0),"Contracts")</f>
        <v>Overhead</v>
      </c>
      <c r="AW736" s="7" t="str">
        <f>IFERROR(VLOOKUP($AQ736,Mapping!$E$208:$K$236,7,0),"ENDirect")</f>
        <v>OH</v>
      </c>
      <c r="AX736" s="7" t="str">
        <f>IFERROR(HLOOKUP(AV736,'Calc|Weightings'!$U$5:$W$5,1,0),"Excl")</f>
        <v>Excl</v>
      </c>
      <c r="AY736" s="7" t="str">
        <f>VLOOKUP(AO736,Mapping!$E$11:$I$204,5,0)</f>
        <v>SCS</v>
      </c>
    </row>
    <row r="737" spans="1:51" x14ac:dyDescent="0.3">
      <c r="A737" s="7"/>
      <c r="B737" s="7"/>
      <c r="C737" s="7"/>
      <c r="D737" s="7"/>
      <c r="E737" s="32" t="s">
        <v>197</v>
      </c>
      <c r="F737" s="32"/>
      <c r="G737" s="32">
        <v>71005</v>
      </c>
      <c r="H737" s="32" t="s">
        <v>461</v>
      </c>
      <c r="I737" s="33">
        <v>21.838000000000001</v>
      </c>
      <c r="J737" s="170"/>
      <c r="K737" s="7" t="str">
        <f>VLOOKUP($E737,Mapping!$E$11:$I$204,3,0)</f>
        <v>Replacement</v>
      </c>
      <c r="L737" s="7" t="str">
        <f>IFERROR(VLOOKUP($G737,Mapping!$E$208:$K$236,5,0),"Contracts")</f>
        <v>Materials</v>
      </c>
      <c r="M737" s="7" t="str">
        <f>IFERROR(VLOOKUP($G737,Mapping!$E$208:$K$236,7,0),"ENDirect")</f>
        <v>ENDirect</v>
      </c>
      <c r="N737" s="7" t="str">
        <f>IFERROR(HLOOKUP(L737,'Calc|Weightings'!$U$5:$W$5,1,0),"Excl")</f>
        <v>Materials</v>
      </c>
      <c r="O737" s="7" t="str">
        <f>VLOOKUP(E737,Mapping!$E$11:$I$204,5,0)</f>
        <v>SCS</v>
      </c>
      <c r="Q737" s="32" t="s">
        <v>227</v>
      </c>
      <c r="R737" s="32"/>
      <c r="S737" s="32">
        <v>71010</v>
      </c>
      <c r="T737" s="32" t="s">
        <v>462</v>
      </c>
      <c r="U737" s="33">
        <v>347.46100000000001</v>
      </c>
      <c r="V737" s="7"/>
      <c r="W737" s="7" t="str">
        <f>VLOOKUP($Q737,Mapping!$E$11:$I$204,3,0)</f>
        <v>Replacement</v>
      </c>
      <c r="X737" s="7" t="str">
        <f>IFERROR(VLOOKUP($S737,Mapping!$E$208:$K$236,5,0),"Contracts")</f>
        <v>Labour</v>
      </c>
      <c r="Y737" s="7" t="str">
        <f>IFERROR(VLOOKUP($S737,Mapping!$E$208:$K$236,7,0),"ENDirect")</f>
        <v>ENDirect</v>
      </c>
      <c r="Z737" s="7" t="str">
        <f>IFERROR(HLOOKUP(X737,'Calc|Weightings'!$U$5:$W$5,1,0),"Excl")</f>
        <v>Labour</v>
      </c>
      <c r="AA737" s="7" t="str">
        <f>VLOOKUP(Q737,Mapping!$E$11:$I$204,5,0)</f>
        <v>SCS</v>
      </c>
      <c r="AC737" s="35" t="s">
        <v>221</v>
      </c>
      <c r="AD737" s="35"/>
      <c r="AE737" s="35">
        <v>80000</v>
      </c>
      <c r="AF737" s="35" t="s">
        <v>453</v>
      </c>
      <c r="AG737" s="36">
        <v>7.8410000000000002</v>
      </c>
      <c r="AI737" s="7" t="str">
        <f>VLOOKUP($AC737,Mapping!$E$11:$I$204,3,0)</f>
        <v>Replacement</v>
      </c>
      <c r="AJ737" s="7" t="str">
        <f>IFERROR(VLOOKUP($AE737,Mapping!$E$208:$K$236,5,0),"Contracts")</f>
        <v>Overhead</v>
      </c>
      <c r="AK737" s="7" t="str">
        <f>IFERROR(VLOOKUP($AE737,Mapping!$E$208:$K$236,7,0),"ENDirect")</f>
        <v>OH</v>
      </c>
      <c r="AL737" s="7" t="str">
        <f>IFERROR(HLOOKUP(AJ737,'Calc|Weightings'!$U$5:$W$5,1,0),"Excl")</f>
        <v>Excl</v>
      </c>
      <c r="AM737" s="7" t="str">
        <f>VLOOKUP(AC737,Mapping!$E$11:$I$204,5,0)</f>
        <v>SCS</v>
      </c>
      <c r="AO737" s="35" t="s">
        <v>205</v>
      </c>
      <c r="AP737" s="35"/>
      <c r="AQ737" s="35">
        <v>83010</v>
      </c>
      <c r="AR737" s="35" t="s">
        <v>591</v>
      </c>
      <c r="AS737" s="121">
        <v>331.97821999999996</v>
      </c>
      <c r="AU737" s="7" t="str">
        <f>VLOOKUP($AO737,Mapping!$E$11:$I$204,3,0)</f>
        <v>Replacement</v>
      </c>
      <c r="AV737" s="7" t="str">
        <f>IFERROR(VLOOKUP($AQ737,Mapping!$E$208:$K$236,5,0),"Contracts")</f>
        <v>Contracts</v>
      </c>
      <c r="AW737" s="7" t="str">
        <f>IFERROR(VLOOKUP($AQ737,Mapping!$E$208:$K$236,7,0),"ENDirect")</f>
        <v>ENDirect</v>
      </c>
      <c r="AX737" s="7" t="str">
        <f>IFERROR(HLOOKUP(AV737,'Calc|Weightings'!$U$5:$W$5,1,0),"Excl")</f>
        <v>Contracts</v>
      </c>
      <c r="AY737" s="7" t="str">
        <f>VLOOKUP(AO737,Mapping!$E$11:$I$204,5,0)</f>
        <v>SCS</v>
      </c>
    </row>
    <row r="738" spans="1:51" x14ac:dyDescent="0.3">
      <c r="A738" s="7"/>
      <c r="B738" s="7"/>
      <c r="C738" s="7"/>
      <c r="D738" s="7"/>
      <c r="E738" s="32" t="s">
        <v>197</v>
      </c>
      <c r="F738" s="32"/>
      <c r="G738" s="32">
        <v>71010</v>
      </c>
      <c r="H738" s="32" t="s">
        <v>462</v>
      </c>
      <c r="I738" s="33">
        <v>34.19</v>
      </c>
      <c r="J738" s="170"/>
      <c r="K738" s="7" t="str">
        <f>VLOOKUP($E738,Mapping!$E$11:$I$204,3,0)</f>
        <v>Replacement</v>
      </c>
      <c r="L738" s="7" t="str">
        <f>IFERROR(VLOOKUP($G738,Mapping!$E$208:$K$236,5,0),"Contracts")</f>
        <v>Labour</v>
      </c>
      <c r="M738" s="7" t="str">
        <f>IFERROR(VLOOKUP($G738,Mapping!$E$208:$K$236,7,0),"ENDirect")</f>
        <v>ENDirect</v>
      </c>
      <c r="N738" s="7" t="str">
        <f>IFERROR(HLOOKUP(L738,'Calc|Weightings'!$U$5:$W$5,1,0),"Excl")</f>
        <v>Labour</v>
      </c>
      <c r="O738" s="7" t="str">
        <f>VLOOKUP(E738,Mapping!$E$11:$I$204,5,0)</f>
        <v>SCS</v>
      </c>
      <c r="Q738" s="32" t="s">
        <v>227</v>
      </c>
      <c r="R738" s="32"/>
      <c r="S738" s="32">
        <v>71015</v>
      </c>
      <c r="T738" s="32" t="s">
        <v>463</v>
      </c>
      <c r="U738" s="33">
        <v>140.489</v>
      </c>
      <c r="V738" s="7"/>
      <c r="W738" s="7" t="str">
        <f>VLOOKUP($Q738,Mapping!$E$11:$I$204,3,0)</f>
        <v>Replacement</v>
      </c>
      <c r="X738" s="7" t="str">
        <f>IFERROR(VLOOKUP($S738,Mapping!$E$208:$K$236,5,0),"Contracts")</f>
        <v>Materials</v>
      </c>
      <c r="Y738" s="7" t="str">
        <f>IFERROR(VLOOKUP($S738,Mapping!$E$208:$K$236,7,0),"ENDirect")</f>
        <v>ENDirect</v>
      </c>
      <c r="Z738" s="7" t="str">
        <f>IFERROR(HLOOKUP(X738,'Calc|Weightings'!$U$5:$W$5,1,0),"Excl")</f>
        <v>Materials</v>
      </c>
      <c r="AA738" s="7" t="str">
        <f>VLOOKUP(Q738,Mapping!$E$11:$I$204,5,0)</f>
        <v>SCS</v>
      </c>
      <c r="AC738" s="35" t="s">
        <v>221</v>
      </c>
      <c r="AD738" s="35"/>
      <c r="AE738" s="35">
        <v>89999</v>
      </c>
      <c r="AF738" s="35" t="s">
        <v>471</v>
      </c>
      <c r="AG738" s="36">
        <v>0</v>
      </c>
      <c r="AI738" s="7" t="str">
        <f>VLOOKUP($AC738,Mapping!$E$11:$I$204,3,0)</f>
        <v>Replacement</v>
      </c>
      <c r="AJ738" s="7" t="str">
        <f>IFERROR(VLOOKUP($AE738,Mapping!$E$208:$K$236,5,0),"Contracts")</f>
        <v>Contracts</v>
      </c>
      <c r="AK738" s="7" t="str">
        <f>IFERROR(VLOOKUP($AE738,Mapping!$E$208:$K$236,7,0),"ENDirect")</f>
        <v>ENDirect</v>
      </c>
      <c r="AL738" s="7" t="str">
        <f>IFERROR(HLOOKUP(AJ738,'Calc|Weightings'!$U$5:$W$5,1,0),"Excl")</f>
        <v>Contracts</v>
      </c>
      <c r="AM738" s="7" t="str">
        <f>VLOOKUP(AC738,Mapping!$E$11:$I$204,5,0)</f>
        <v>SCS</v>
      </c>
      <c r="AO738" s="35" t="s">
        <v>206</v>
      </c>
      <c r="AP738" s="35"/>
      <c r="AQ738" s="35">
        <v>71000</v>
      </c>
      <c r="AR738" s="35" t="s">
        <v>457</v>
      </c>
      <c r="AS738" s="121">
        <v>65.435879999999997</v>
      </c>
      <c r="AU738" s="7" t="str">
        <f>VLOOKUP($AO738,Mapping!$E$11:$I$204,3,0)</f>
        <v>Replacement</v>
      </c>
      <c r="AV738" s="7" t="str">
        <f>IFERROR(VLOOKUP($AQ738,Mapping!$E$208:$K$236,5,0),"Contracts")</f>
        <v>Labour</v>
      </c>
      <c r="AW738" s="7" t="str">
        <f>IFERROR(VLOOKUP($AQ738,Mapping!$E$208:$K$236,7,0),"ENDirect")</f>
        <v>ENDirect</v>
      </c>
      <c r="AX738" s="7" t="str">
        <f>IFERROR(HLOOKUP(AV738,'Calc|Weightings'!$U$5:$W$5,1,0),"Excl")</f>
        <v>Labour</v>
      </c>
      <c r="AY738" s="7" t="str">
        <f>VLOOKUP(AO738,Mapping!$E$11:$I$204,5,0)</f>
        <v>SCS</v>
      </c>
    </row>
    <row r="739" spans="1:51" x14ac:dyDescent="0.3">
      <c r="A739" s="7"/>
      <c r="B739" s="7"/>
      <c r="C739" s="7"/>
      <c r="D739" s="7"/>
      <c r="E739" s="32" t="s">
        <v>197</v>
      </c>
      <c r="F739" s="32"/>
      <c r="G739" s="32">
        <v>71015</v>
      </c>
      <c r="H739" s="32" t="s">
        <v>463</v>
      </c>
      <c r="I739" s="33">
        <v>22.835000000000001</v>
      </c>
      <c r="J739" s="170"/>
      <c r="K739" s="7" t="str">
        <f>VLOOKUP($E739,Mapping!$E$11:$I$204,3,0)</f>
        <v>Replacement</v>
      </c>
      <c r="L739" s="7" t="str">
        <f>IFERROR(VLOOKUP($G739,Mapping!$E$208:$K$236,5,0),"Contracts")</f>
        <v>Materials</v>
      </c>
      <c r="M739" s="7" t="str">
        <f>IFERROR(VLOOKUP($G739,Mapping!$E$208:$K$236,7,0),"ENDirect")</f>
        <v>ENDirect</v>
      </c>
      <c r="N739" s="7" t="str">
        <f>IFERROR(HLOOKUP(L739,'Calc|Weightings'!$U$5:$W$5,1,0),"Excl")</f>
        <v>Materials</v>
      </c>
      <c r="O739" s="7" t="str">
        <f>VLOOKUP(E739,Mapping!$E$11:$I$204,5,0)</f>
        <v>SCS</v>
      </c>
      <c r="Q739" s="32" t="s">
        <v>227</v>
      </c>
      <c r="R739" s="32"/>
      <c r="S739" s="32">
        <v>71030</v>
      </c>
      <c r="T739" s="32" t="s">
        <v>464</v>
      </c>
      <c r="U739" s="33">
        <v>123.24</v>
      </c>
      <c r="V739" s="7"/>
      <c r="W739" s="7" t="str">
        <f>VLOOKUP($Q739,Mapping!$E$11:$I$204,3,0)</f>
        <v>Replacement</v>
      </c>
      <c r="X739" s="7" t="str">
        <f>IFERROR(VLOOKUP($S739,Mapping!$E$208:$K$236,5,0),"Contracts")</f>
        <v>Contracts</v>
      </c>
      <c r="Y739" s="7" t="str">
        <f>IFERROR(VLOOKUP($S739,Mapping!$E$208:$K$236,7,0),"ENDirect")</f>
        <v>ENDirect</v>
      </c>
      <c r="Z739" s="7" t="str">
        <f>IFERROR(HLOOKUP(X739,'Calc|Weightings'!$U$5:$W$5,1,0),"Excl")</f>
        <v>Contracts</v>
      </c>
      <c r="AA739" s="7" t="str">
        <f>VLOOKUP(Q739,Mapping!$E$11:$I$204,5,0)</f>
        <v>SCS</v>
      </c>
      <c r="AC739" s="35" t="s">
        <v>222</v>
      </c>
      <c r="AD739" s="35"/>
      <c r="AE739" s="35">
        <v>71000</v>
      </c>
      <c r="AF739" s="35" t="s">
        <v>457</v>
      </c>
      <c r="AG739" s="36">
        <v>633.89499999999998</v>
      </c>
      <c r="AI739" s="7" t="str">
        <f>VLOOKUP($AC739,Mapping!$E$11:$I$204,3,0)</f>
        <v>Replacement</v>
      </c>
      <c r="AJ739" s="7" t="str">
        <f>IFERROR(VLOOKUP($AE739,Mapping!$E$208:$K$236,5,0),"Contracts")</f>
        <v>Labour</v>
      </c>
      <c r="AK739" s="7" t="str">
        <f>IFERROR(VLOOKUP($AE739,Mapping!$E$208:$K$236,7,0),"ENDirect")</f>
        <v>ENDirect</v>
      </c>
      <c r="AL739" s="7" t="str">
        <f>IFERROR(HLOOKUP(AJ739,'Calc|Weightings'!$U$5:$W$5,1,0),"Excl")</f>
        <v>Labour</v>
      </c>
      <c r="AM739" s="7" t="str">
        <f>VLOOKUP(AC739,Mapping!$E$11:$I$204,5,0)</f>
        <v>SCS</v>
      </c>
      <c r="AO739" s="35" t="s">
        <v>206</v>
      </c>
      <c r="AP739" s="35"/>
      <c r="AQ739" s="35">
        <v>71005</v>
      </c>
      <c r="AR739" s="35" t="s">
        <v>461</v>
      </c>
      <c r="AS739" s="121">
        <v>0.29893000000000003</v>
      </c>
      <c r="AU739" s="7" t="str">
        <f>VLOOKUP($AO739,Mapping!$E$11:$I$204,3,0)</f>
        <v>Replacement</v>
      </c>
      <c r="AV739" s="7" t="str">
        <f>IFERROR(VLOOKUP($AQ739,Mapping!$E$208:$K$236,5,0),"Contracts")</f>
        <v>Materials</v>
      </c>
      <c r="AW739" s="7" t="str">
        <f>IFERROR(VLOOKUP($AQ739,Mapping!$E$208:$K$236,7,0),"ENDirect")</f>
        <v>ENDirect</v>
      </c>
      <c r="AX739" s="7" t="str">
        <f>IFERROR(HLOOKUP(AV739,'Calc|Weightings'!$U$5:$W$5,1,0),"Excl")</f>
        <v>Materials</v>
      </c>
      <c r="AY739" s="7" t="str">
        <f>VLOOKUP(AO739,Mapping!$E$11:$I$204,5,0)</f>
        <v>SCS</v>
      </c>
    </row>
    <row r="740" spans="1:51" x14ac:dyDescent="0.3">
      <c r="A740" s="7"/>
      <c r="B740" s="7"/>
      <c r="C740" s="7"/>
      <c r="D740" s="7"/>
      <c r="E740" s="32" t="s">
        <v>197</v>
      </c>
      <c r="F740" s="32"/>
      <c r="G740" s="32">
        <v>71030</v>
      </c>
      <c r="H740" s="32" t="s">
        <v>464</v>
      </c>
      <c r="I740" s="33">
        <v>18.138000000000002</v>
      </c>
      <c r="J740" s="170"/>
      <c r="K740" s="7" t="str">
        <f>VLOOKUP($E740,Mapping!$E$11:$I$204,3,0)</f>
        <v>Replacement</v>
      </c>
      <c r="L740" s="7" t="str">
        <f>IFERROR(VLOOKUP($G740,Mapping!$E$208:$K$236,5,0),"Contracts")</f>
        <v>Contracts</v>
      </c>
      <c r="M740" s="7" t="str">
        <f>IFERROR(VLOOKUP($G740,Mapping!$E$208:$K$236,7,0),"ENDirect")</f>
        <v>ENDirect</v>
      </c>
      <c r="N740" s="7" t="str">
        <f>IFERROR(HLOOKUP(L740,'Calc|Weightings'!$U$5:$W$5,1,0),"Excl")</f>
        <v>Contracts</v>
      </c>
      <c r="O740" s="7" t="str">
        <f>VLOOKUP(E740,Mapping!$E$11:$I$204,5,0)</f>
        <v>SCS</v>
      </c>
      <c r="Q740" s="32" t="s">
        <v>227</v>
      </c>
      <c r="R740" s="32"/>
      <c r="S740" s="32">
        <v>71055</v>
      </c>
      <c r="T740" s="32" t="s">
        <v>465</v>
      </c>
      <c r="U740" s="33">
        <v>161.13200000000001</v>
      </c>
      <c r="V740" s="7"/>
      <c r="W740" s="7" t="str">
        <f>VLOOKUP($Q740,Mapping!$E$11:$I$204,3,0)</f>
        <v>Replacement</v>
      </c>
      <c r="X740" s="7" t="str">
        <f>IFERROR(VLOOKUP($S740,Mapping!$E$208:$K$236,5,0),"Contracts")</f>
        <v>Contracts</v>
      </c>
      <c r="Y740" s="7" t="str">
        <f>IFERROR(VLOOKUP($S740,Mapping!$E$208:$K$236,7,0),"ENDirect")</f>
        <v>ENDirect</v>
      </c>
      <c r="Z740" s="7" t="str">
        <f>IFERROR(HLOOKUP(X740,'Calc|Weightings'!$U$5:$W$5,1,0),"Excl")</f>
        <v>Contracts</v>
      </c>
      <c r="AA740" s="7" t="str">
        <f>VLOOKUP(Q740,Mapping!$E$11:$I$204,5,0)</f>
        <v>SCS</v>
      </c>
      <c r="AC740" s="35" t="s">
        <v>222</v>
      </c>
      <c r="AD740" s="35"/>
      <c r="AE740" s="35">
        <v>71005</v>
      </c>
      <c r="AF740" s="35" t="s">
        <v>461</v>
      </c>
      <c r="AG740" s="36">
        <v>176.589</v>
      </c>
      <c r="AI740" s="7" t="str">
        <f>VLOOKUP($AC740,Mapping!$E$11:$I$204,3,0)</f>
        <v>Replacement</v>
      </c>
      <c r="AJ740" s="7" t="str">
        <f>IFERROR(VLOOKUP($AE740,Mapping!$E$208:$K$236,5,0),"Contracts")</f>
        <v>Materials</v>
      </c>
      <c r="AK740" s="7" t="str">
        <f>IFERROR(VLOOKUP($AE740,Mapping!$E$208:$K$236,7,0),"ENDirect")</f>
        <v>ENDirect</v>
      </c>
      <c r="AL740" s="7" t="str">
        <f>IFERROR(HLOOKUP(AJ740,'Calc|Weightings'!$U$5:$W$5,1,0),"Excl")</f>
        <v>Materials</v>
      </c>
      <c r="AM740" s="7" t="str">
        <f>VLOOKUP(AC740,Mapping!$E$11:$I$204,5,0)</f>
        <v>SCS</v>
      </c>
      <c r="AO740" s="35" t="s">
        <v>206</v>
      </c>
      <c r="AP740" s="35"/>
      <c r="AQ740" s="35">
        <v>71010</v>
      </c>
      <c r="AR740" s="35" t="s">
        <v>487</v>
      </c>
      <c r="AS740" s="121">
        <v>184.34744999999998</v>
      </c>
      <c r="AU740" s="7" t="str">
        <f>VLOOKUP($AO740,Mapping!$E$11:$I$204,3,0)</f>
        <v>Replacement</v>
      </c>
      <c r="AV740" s="7" t="str">
        <f>IFERROR(VLOOKUP($AQ740,Mapping!$E$208:$K$236,5,0),"Contracts")</f>
        <v>Labour</v>
      </c>
      <c r="AW740" s="7" t="str">
        <f>IFERROR(VLOOKUP($AQ740,Mapping!$E$208:$K$236,7,0),"ENDirect")</f>
        <v>ENDirect</v>
      </c>
      <c r="AX740" s="7" t="str">
        <f>IFERROR(HLOOKUP(AV740,'Calc|Weightings'!$U$5:$W$5,1,0),"Excl")</f>
        <v>Labour</v>
      </c>
      <c r="AY740" s="7" t="str">
        <f>VLOOKUP(AO740,Mapping!$E$11:$I$204,5,0)</f>
        <v>SCS</v>
      </c>
    </row>
    <row r="741" spans="1:51" x14ac:dyDescent="0.3">
      <c r="A741" s="7"/>
      <c r="B741" s="7"/>
      <c r="C741" s="7"/>
      <c r="D741" s="7"/>
      <c r="E741" s="32" t="s">
        <v>197</v>
      </c>
      <c r="F741" s="32"/>
      <c r="G741" s="32">
        <v>71055</v>
      </c>
      <c r="H741" s="32" t="s">
        <v>465</v>
      </c>
      <c r="I741" s="33">
        <v>57.939</v>
      </c>
      <c r="J741" s="170"/>
      <c r="K741" s="7" t="str">
        <f>VLOOKUP($E741,Mapping!$E$11:$I$204,3,0)</f>
        <v>Replacement</v>
      </c>
      <c r="L741" s="7" t="str">
        <f>IFERROR(VLOOKUP($G741,Mapping!$E$208:$K$236,5,0),"Contracts")</f>
        <v>Contracts</v>
      </c>
      <c r="M741" s="7" t="str">
        <f>IFERROR(VLOOKUP($G741,Mapping!$E$208:$K$236,7,0),"ENDirect")</f>
        <v>ENDirect</v>
      </c>
      <c r="N741" s="7" t="str">
        <f>IFERROR(HLOOKUP(L741,'Calc|Weightings'!$U$5:$W$5,1,0),"Excl")</f>
        <v>Contracts</v>
      </c>
      <c r="O741" s="7" t="str">
        <f>VLOOKUP(E741,Mapping!$E$11:$I$204,5,0)</f>
        <v>SCS</v>
      </c>
      <c r="Q741" s="32" t="s">
        <v>227</v>
      </c>
      <c r="R741" s="32"/>
      <c r="S741" s="32">
        <v>80000</v>
      </c>
      <c r="T741" s="32" t="s">
        <v>453</v>
      </c>
      <c r="U741" s="33">
        <v>243.149</v>
      </c>
      <c r="V741" s="7"/>
      <c r="W741" s="7" t="str">
        <f>VLOOKUP($Q741,Mapping!$E$11:$I$204,3,0)</f>
        <v>Replacement</v>
      </c>
      <c r="X741" s="7" t="str">
        <f>IFERROR(VLOOKUP($S741,Mapping!$E$208:$K$236,5,0),"Contracts")</f>
        <v>Overhead</v>
      </c>
      <c r="Y741" s="7" t="str">
        <f>IFERROR(VLOOKUP($S741,Mapping!$E$208:$K$236,7,0),"ENDirect")</f>
        <v>OH</v>
      </c>
      <c r="Z741" s="7" t="str">
        <f>IFERROR(HLOOKUP(X741,'Calc|Weightings'!$U$5:$W$5,1,0),"Excl")</f>
        <v>Excl</v>
      </c>
      <c r="AA741" s="7" t="str">
        <f>VLOOKUP(Q741,Mapping!$E$11:$I$204,5,0)</f>
        <v>SCS</v>
      </c>
      <c r="AC741" s="35" t="s">
        <v>222</v>
      </c>
      <c r="AD741" s="35"/>
      <c r="AE741" s="35">
        <v>71010</v>
      </c>
      <c r="AF741" s="35" t="s">
        <v>462</v>
      </c>
      <c r="AG741" s="36">
        <v>167.61</v>
      </c>
      <c r="AI741" s="7" t="str">
        <f>VLOOKUP($AC741,Mapping!$E$11:$I$204,3,0)</f>
        <v>Replacement</v>
      </c>
      <c r="AJ741" s="7" t="str">
        <f>IFERROR(VLOOKUP($AE741,Mapping!$E$208:$K$236,5,0),"Contracts")</f>
        <v>Labour</v>
      </c>
      <c r="AK741" s="7" t="str">
        <f>IFERROR(VLOOKUP($AE741,Mapping!$E$208:$K$236,7,0),"ENDirect")</f>
        <v>ENDirect</v>
      </c>
      <c r="AL741" s="7" t="str">
        <f>IFERROR(HLOOKUP(AJ741,'Calc|Weightings'!$U$5:$W$5,1,0),"Excl")</f>
        <v>Labour</v>
      </c>
      <c r="AM741" s="7" t="str">
        <f>VLOOKUP(AC741,Mapping!$E$11:$I$204,5,0)</f>
        <v>SCS</v>
      </c>
      <c r="AO741" s="35" t="s">
        <v>206</v>
      </c>
      <c r="AP741" s="35"/>
      <c r="AQ741" s="35">
        <v>71015</v>
      </c>
      <c r="AR741" s="35" t="s">
        <v>585</v>
      </c>
      <c r="AS741" s="121">
        <v>12.838190000000003</v>
      </c>
      <c r="AU741" s="7" t="str">
        <f>VLOOKUP($AO741,Mapping!$E$11:$I$204,3,0)</f>
        <v>Replacement</v>
      </c>
      <c r="AV741" s="7" t="str">
        <f>IFERROR(VLOOKUP($AQ741,Mapping!$E$208:$K$236,5,0),"Contracts")</f>
        <v>Materials</v>
      </c>
      <c r="AW741" s="7" t="str">
        <f>IFERROR(VLOOKUP($AQ741,Mapping!$E$208:$K$236,7,0),"ENDirect")</f>
        <v>ENDirect</v>
      </c>
      <c r="AX741" s="7" t="str">
        <f>IFERROR(HLOOKUP(AV741,'Calc|Weightings'!$U$5:$W$5,1,0),"Excl")</f>
        <v>Materials</v>
      </c>
      <c r="AY741" s="7" t="str">
        <f>VLOOKUP(AO741,Mapping!$E$11:$I$204,5,0)</f>
        <v>SCS</v>
      </c>
    </row>
    <row r="742" spans="1:51" x14ac:dyDescent="0.3">
      <c r="A742" s="7"/>
      <c r="B742" s="7"/>
      <c r="C742" s="7"/>
      <c r="D742" s="7"/>
      <c r="E742" s="32" t="s">
        <v>197</v>
      </c>
      <c r="F742" s="32"/>
      <c r="G742" s="32">
        <v>80000</v>
      </c>
      <c r="H742" s="32" t="s">
        <v>453</v>
      </c>
      <c r="I742" s="33">
        <v>25.891999999999999</v>
      </c>
      <c r="J742" s="170"/>
      <c r="K742" s="7" t="str">
        <f>VLOOKUP($E742,Mapping!$E$11:$I$204,3,0)</f>
        <v>Replacement</v>
      </c>
      <c r="L742" s="7" t="str">
        <f>IFERROR(VLOOKUP($G742,Mapping!$E$208:$K$236,5,0),"Contracts")</f>
        <v>Overhead</v>
      </c>
      <c r="M742" s="7" t="str">
        <f>IFERROR(VLOOKUP($G742,Mapping!$E$208:$K$236,7,0),"ENDirect")</f>
        <v>OH</v>
      </c>
      <c r="N742" s="7" t="str">
        <f>IFERROR(HLOOKUP(L742,'Calc|Weightings'!$U$5:$W$5,1,0),"Excl")</f>
        <v>Excl</v>
      </c>
      <c r="O742" s="7" t="str">
        <f>VLOOKUP(E742,Mapping!$E$11:$I$204,5,0)</f>
        <v>SCS</v>
      </c>
      <c r="Q742" s="32" t="s">
        <v>227</v>
      </c>
      <c r="R742" s="32"/>
      <c r="S742" s="32">
        <v>89999</v>
      </c>
      <c r="T742" s="32" t="s">
        <v>471</v>
      </c>
      <c r="U742" s="33">
        <v>0</v>
      </c>
      <c r="V742" s="7"/>
      <c r="W742" s="7" t="str">
        <f>VLOOKUP($Q742,Mapping!$E$11:$I$204,3,0)</f>
        <v>Replacement</v>
      </c>
      <c r="X742" s="7" t="str">
        <f>IFERROR(VLOOKUP($S742,Mapping!$E$208:$K$236,5,0),"Contracts")</f>
        <v>Contracts</v>
      </c>
      <c r="Y742" s="7" t="str">
        <f>IFERROR(VLOOKUP($S742,Mapping!$E$208:$K$236,7,0),"ENDirect")</f>
        <v>ENDirect</v>
      </c>
      <c r="Z742" s="7" t="str">
        <f>IFERROR(HLOOKUP(X742,'Calc|Weightings'!$U$5:$W$5,1,0),"Excl")</f>
        <v>Contracts</v>
      </c>
      <c r="AA742" s="7" t="str">
        <f>VLOOKUP(Q742,Mapping!$E$11:$I$204,5,0)</f>
        <v>SCS</v>
      </c>
      <c r="AC742" s="35" t="s">
        <v>222</v>
      </c>
      <c r="AD742" s="35"/>
      <c r="AE742" s="35">
        <v>71015</v>
      </c>
      <c r="AF742" s="35" t="s">
        <v>463</v>
      </c>
      <c r="AG742" s="36">
        <v>99.84</v>
      </c>
      <c r="AI742" s="7" t="str">
        <f>VLOOKUP($AC742,Mapping!$E$11:$I$204,3,0)</f>
        <v>Replacement</v>
      </c>
      <c r="AJ742" s="7" t="str">
        <f>IFERROR(VLOOKUP($AE742,Mapping!$E$208:$K$236,5,0),"Contracts")</f>
        <v>Materials</v>
      </c>
      <c r="AK742" s="7" t="str">
        <f>IFERROR(VLOOKUP($AE742,Mapping!$E$208:$K$236,7,0),"ENDirect")</f>
        <v>ENDirect</v>
      </c>
      <c r="AL742" s="7" t="str">
        <f>IFERROR(HLOOKUP(AJ742,'Calc|Weightings'!$U$5:$W$5,1,0),"Excl")</f>
        <v>Materials</v>
      </c>
      <c r="AM742" s="7" t="str">
        <f>VLOOKUP(AC742,Mapping!$E$11:$I$204,5,0)</f>
        <v>SCS</v>
      </c>
      <c r="AO742" s="35" t="s">
        <v>206</v>
      </c>
      <c r="AP742" s="35"/>
      <c r="AQ742" s="35">
        <v>71030</v>
      </c>
      <c r="AR742" s="35" t="s">
        <v>464</v>
      </c>
      <c r="AS742" s="121">
        <v>18.010449999999999</v>
      </c>
      <c r="AU742" s="7" t="str">
        <f>VLOOKUP($AO742,Mapping!$E$11:$I$204,3,0)</f>
        <v>Replacement</v>
      </c>
      <c r="AV742" s="7" t="str">
        <f>IFERROR(VLOOKUP($AQ742,Mapping!$E$208:$K$236,5,0),"Contracts")</f>
        <v>Contracts</v>
      </c>
      <c r="AW742" s="7" t="str">
        <f>IFERROR(VLOOKUP($AQ742,Mapping!$E$208:$K$236,7,0),"ENDirect")</f>
        <v>ENDirect</v>
      </c>
      <c r="AX742" s="7" t="str">
        <f>IFERROR(HLOOKUP(AV742,'Calc|Weightings'!$U$5:$W$5,1,0),"Excl")</f>
        <v>Contracts</v>
      </c>
      <c r="AY742" s="7" t="str">
        <f>VLOOKUP(AO742,Mapping!$E$11:$I$204,5,0)</f>
        <v>SCS</v>
      </c>
    </row>
    <row r="743" spans="1:51" x14ac:dyDescent="0.3">
      <c r="A743" s="7"/>
      <c r="B743" s="7"/>
      <c r="C743" s="7"/>
      <c r="D743" s="7"/>
      <c r="E743" s="32" t="s">
        <v>199</v>
      </c>
      <c r="F743" s="32"/>
      <c r="G743" s="32">
        <v>71000</v>
      </c>
      <c r="H743" s="32" t="s">
        <v>457</v>
      </c>
      <c r="I743" s="33">
        <v>4.952</v>
      </c>
      <c r="J743" s="170"/>
      <c r="K743" s="7" t="str">
        <f>VLOOKUP($E743,Mapping!$E$11:$I$204,3,0)</f>
        <v>Public Lighting</v>
      </c>
      <c r="L743" s="7" t="str">
        <f>IFERROR(VLOOKUP($G743,Mapping!$E$208:$K$236,5,0),"Contracts")</f>
        <v>Labour</v>
      </c>
      <c r="M743" s="7" t="str">
        <f>IFERROR(VLOOKUP($G743,Mapping!$E$208:$K$236,7,0),"ENDirect")</f>
        <v>ENDirect</v>
      </c>
      <c r="N743" s="7" t="str">
        <f>IFERROR(HLOOKUP(L743,'Calc|Weightings'!$U$5:$W$5,1,0),"Excl")</f>
        <v>Labour</v>
      </c>
      <c r="O743" s="7" t="str">
        <f>VLOOKUP(E743,Mapping!$E$11:$I$204,5,0)</f>
        <v>Public Lighting</v>
      </c>
      <c r="Q743" s="32" t="s">
        <v>228</v>
      </c>
      <c r="R743" s="32"/>
      <c r="S743" s="32">
        <v>71000</v>
      </c>
      <c r="T743" s="32" t="s">
        <v>457</v>
      </c>
      <c r="U743" s="33">
        <v>271.738</v>
      </c>
      <c r="V743" s="7"/>
      <c r="W743" s="7" t="str">
        <f>VLOOKUP($Q743,Mapping!$E$11:$I$204,3,0)</f>
        <v>Replacement</v>
      </c>
      <c r="X743" s="7" t="str">
        <f>IFERROR(VLOOKUP($S743,Mapping!$E$208:$K$236,5,0),"Contracts")</f>
        <v>Labour</v>
      </c>
      <c r="Y743" s="7" t="str">
        <f>IFERROR(VLOOKUP($S743,Mapping!$E$208:$K$236,7,0),"ENDirect")</f>
        <v>ENDirect</v>
      </c>
      <c r="Z743" s="7" t="str">
        <f>IFERROR(HLOOKUP(X743,'Calc|Weightings'!$U$5:$W$5,1,0),"Excl")</f>
        <v>Labour</v>
      </c>
      <c r="AA743" s="7" t="str">
        <f>VLOOKUP(Q743,Mapping!$E$11:$I$204,5,0)</f>
        <v>SCS</v>
      </c>
      <c r="AC743" s="35" t="s">
        <v>222</v>
      </c>
      <c r="AD743" s="35"/>
      <c r="AE743" s="35">
        <v>71030</v>
      </c>
      <c r="AF743" s="35" t="s">
        <v>464</v>
      </c>
      <c r="AG743" s="36">
        <v>87.747</v>
      </c>
      <c r="AI743" s="7" t="str">
        <f>VLOOKUP($AC743,Mapping!$E$11:$I$204,3,0)</f>
        <v>Replacement</v>
      </c>
      <c r="AJ743" s="7" t="str">
        <f>IFERROR(VLOOKUP($AE743,Mapping!$E$208:$K$236,5,0),"Contracts")</f>
        <v>Contracts</v>
      </c>
      <c r="AK743" s="7" t="str">
        <f>IFERROR(VLOOKUP($AE743,Mapping!$E$208:$K$236,7,0),"ENDirect")</f>
        <v>ENDirect</v>
      </c>
      <c r="AL743" s="7" t="str">
        <f>IFERROR(HLOOKUP(AJ743,'Calc|Weightings'!$U$5:$W$5,1,0),"Excl")</f>
        <v>Contracts</v>
      </c>
      <c r="AM743" s="7" t="str">
        <f>VLOOKUP(AC743,Mapping!$E$11:$I$204,5,0)</f>
        <v>SCS</v>
      </c>
      <c r="AO743" s="35" t="s">
        <v>206</v>
      </c>
      <c r="AP743" s="35"/>
      <c r="AQ743" s="35">
        <v>71055</v>
      </c>
      <c r="AR743" s="35" t="s">
        <v>465</v>
      </c>
      <c r="AS743" s="121">
        <v>34.440909999999995</v>
      </c>
      <c r="AU743" s="7" t="str">
        <f>VLOOKUP($AO743,Mapping!$E$11:$I$204,3,0)</f>
        <v>Replacement</v>
      </c>
      <c r="AV743" s="7" t="str">
        <f>IFERROR(VLOOKUP($AQ743,Mapping!$E$208:$K$236,5,0),"Contracts")</f>
        <v>Contracts</v>
      </c>
      <c r="AW743" s="7" t="str">
        <f>IFERROR(VLOOKUP($AQ743,Mapping!$E$208:$K$236,7,0),"ENDirect")</f>
        <v>ENDirect</v>
      </c>
      <c r="AX743" s="7" t="str">
        <f>IFERROR(HLOOKUP(AV743,'Calc|Weightings'!$U$5:$W$5,1,0),"Excl")</f>
        <v>Contracts</v>
      </c>
      <c r="AY743" s="7" t="str">
        <f>VLOOKUP(AO743,Mapping!$E$11:$I$204,5,0)</f>
        <v>SCS</v>
      </c>
    </row>
    <row r="744" spans="1:51" x14ac:dyDescent="0.3">
      <c r="A744" s="7"/>
      <c r="B744" s="7"/>
      <c r="C744" s="7"/>
      <c r="D744" s="7"/>
      <c r="E744" s="32" t="s">
        <v>199</v>
      </c>
      <c r="F744" s="32"/>
      <c r="G744" s="32">
        <v>71005</v>
      </c>
      <c r="H744" s="32" t="s">
        <v>461</v>
      </c>
      <c r="I744" s="33">
        <v>29.52</v>
      </c>
      <c r="J744" s="170"/>
      <c r="K744" s="7" t="str">
        <f>VLOOKUP($E744,Mapping!$E$11:$I$204,3,0)</f>
        <v>Public Lighting</v>
      </c>
      <c r="L744" s="7" t="str">
        <f>IFERROR(VLOOKUP($G744,Mapping!$E$208:$K$236,5,0),"Contracts")</f>
        <v>Materials</v>
      </c>
      <c r="M744" s="7" t="str">
        <f>IFERROR(VLOOKUP($G744,Mapping!$E$208:$K$236,7,0),"ENDirect")</f>
        <v>ENDirect</v>
      </c>
      <c r="N744" s="7" t="str">
        <f>IFERROR(HLOOKUP(L744,'Calc|Weightings'!$U$5:$W$5,1,0),"Excl")</f>
        <v>Materials</v>
      </c>
      <c r="O744" s="7" t="str">
        <f>VLOOKUP(E744,Mapping!$E$11:$I$204,5,0)</f>
        <v>Public Lighting</v>
      </c>
      <c r="Q744" s="32" t="s">
        <v>228</v>
      </c>
      <c r="R744" s="32"/>
      <c r="S744" s="32">
        <v>71005</v>
      </c>
      <c r="T744" s="32" t="s">
        <v>461</v>
      </c>
      <c r="U744" s="33">
        <v>652.85699999999997</v>
      </c>
      <c r="V744" s="7"/>
      <c r="W744" s="7" t="str">
        <f>VLOOKUP($Q744,Mapping!$E$11:$I$204,3,0)</f>
        <v>Replacement</v>
      </c>
      <c r="X744" s="7" t="str">
        <f>IFERROR(VLOOKUP($S744,Mapping!$E$208:$K$236,5,0),"Contracts")</f>
        <v>Materials</v>
      </c>
      <c r="Y744" s="7" t="str">
        <f>IFERROR(VLOOKUP($S744,Mapping!$E$208:$K$236,7,0),"ENDirect")</f>
        <v>ENDirect</v>
      </c>
      <c r="Z744" s="7" t="str">
        <f>IFERROR(HLOOKUP(X744,'Calc|Weightings'!$U$5:$W$5,1,0),"Excl")</f>
        <v>Materials</v>
      </c>
      <c r="AA744" s="7" t="str">
        <f>VLOOKUP(Q744,Mapping!$E$11:$I$204,5,0)</f>
        <v>SCS</v>
      </c>
      <c r="AC744" s="35" t="s">
        <v>222</v>
      </c>
      <c r="AD744" s="35"/>
      <c r="AE744" s="35">
        <v>71055</v>
      </c>
      <c r="AF744" s="35" t="s">
        <v>465</v>
      </c>
      <c r="AG744" s="36">
        <v>194.91300000000001</v>
      </c>
      <c r="AI744" s="7" t="str">
        <f>VLOOKUP($AC744,Mapping!$E$11:$I$204,3,0)</f>
        <v>Replacement</v>
      </c>
      <c r="AJ744" s="7" t="str">
        <f>IFERROR(VLOOKUP($AE744,Mapping!$E$208:$K$236,5,0),"Contracts")</f>
        <v>Contracts</v>
      </c>
      <c r="AK744" s="7" t="str">
        <f>IFERROR(VLOOKUP($AE744,Mapping!$E$208:$K$236,7,0),"ENDirect")</f>
        <v>ENDirect</v>
      </c>
      <c r="AL744" s="7" t="str">
        <f>IFERROR(HLOOKUP(AJ744,'Calc|Weightings'!$U$5:$W$5,1,0),"Excl")</f>
        <v>Contracts</v>
      </c>
      <c r="AM744" s="7" t="str">
        <f>VLOOKUP(AC744,Mapping!$E$11:$I$204,5,0)</f>
        <v>SCS</v>
      </c>
      <c r="AO744" s="35" t="s">
        <v>206</v>
      </c>
      <c r="AP744" s="35"/>
      <c r="AQ744" s="35">
        <v>80000</v>
      </c>
      <c r="AR744" s="35" t="s">
        <v>589</v>
      </c>
      <c r="AS744" s="121">
        <v>162.17160999999999</v>
      </c>
      <c r="AU744" s="7" t="str">
        <f>VLOOKUP($AO744,Mapping!$E$11:$I$204,3,0)</f>
        <v>Replacement</v>
      </c>
      <c r="AV744" s="7" t="str">
        <f>IFERROR(VLOOKUP($AQ744,Mapping!$E$208:$K$236,5,0),"Contracts")</f>
        <v>Overhead</v>
      </c>
      <c r="AW744" s="7" t="str">
        <f>IFERROR(VLOOKUP($AQ744,Mapping!$E$208:$K$236,7,0),"ENDirect")</f>
        <v>OH</v>
      </c>
      <c r="AX744" s="7" t="str">
        <f>IFERROR(HLOOKUP(AV744,'Calc|Weightings'!$U$5:$W$5,1,0),"Excl")</f>
        <v>Excl</v>
      </c>
      <c r="AY744" s="7" t="str">
        <f>VLOOKUP(AO744,Mapping!$E$11:$I$204,5,0)</f>
        <v>SCS</v>
      </c>
    </row>
    <row r="745" spans="1:51" x14ac:dyDescent="0.3">
      <c r="A745" s="7"/>
      <c r="B745" s="7"/>
      <c r="C745" s="7"/>
      <c r="D745" s="7"/>
      <c r="E745" s="32" t="s">
        <v>199</v>
      </c>
      <c r="F745" s="32"/>
      <c r="G745" s="32">
        <v>71010</v>
      </c>
      <c r="H745" s="32" t="s">
        <v>462</v>
      </c>
      <c r="I745" s="33">
        <v>63.231000000000002</v>
      </c>
      <c r="J745" s="170"/>
      <c r="K745" s="7" t="str">
        <f>VLOOKUP($E745,Mapping!$E$11:$I$204,3,0)</f>
        <v>Public Lighting</v>
      </c>
      <c r="L745" s="7" t="str">
        <f>IFERROR(VLOOKUP($G745,Mapping!$E$208:$K$236,5,0),"Contracts")</f>
        <v>Labour</v>
      </c>
      <c r="M745" s="7" t="str">
        <f>IFERROR(VLOOKUP($G745,Mapping!$E$208:$K$236,7,0),"ENDirect")</f>
        <v>ENDirect</v>
      </c>
      <c r="N745" s="7" t="str">
        <f>IFERROR(HLOOKUP(L745,'Calc|Weightings'!$U$5:$W$5,1,0),"Excl")</f>
        <v>Labour</v>
      </c>
      <c r="O745" s="7" t="str">
        <f>VLOOKUP(E745,Mapping!$E$11:$I$204,5,0)</f>
        <v>Public Lighting</v>
      </c>
      <c r="Q745" s="32" t="s">
        <v>228</v>
      </c>
      <c r="R745" s="32"/>
      <c r="S745" s="32">
        <v>71006</v>
      </c>
      <c r="T745" s="32" t="s">
        <v>468</v>
      </c>
      <c r="U745" s="33">
        <v>9.2759999999999998</v>
      </c>
      <c r="V745" s="7"/>
      <c r="W745" s="7" t="str">
        <f>VLOOKUP($Q745,Mapping!$E$11:$I$204,3,0)</f>
        <v>Replacement</v>
      </c>
      <c r="X745" s="7" t="str">
        <f>IFERROR(VLOOKUP($S745,Mapping!$E$208:$K$236,5,0),"Contracts")</f>
        <v>Materials</v>
      </c>
      <c r="Y745" s="7" t="str">
        <f>IFERROR(VLOOKUP($S745,Mapping!$E$208:$K$236,7,0),"ENDirect")</f>
        <v>ENDirect</v>
      </c>
      <c r="Z745" s="7" t="str">
        <f>IFERROR(HLOOKUP(X745,'Calc|Weightings'!$U$5:$W$5,1,0),"Excl")</f>
        <v>Materials</v>
      </c>
      <c r="AA745" s="7" t="str">
        <f>VLOOKUP(Q745,Mapping!$E$11:$I$204,5,0)</f>
        <v>SCS</v>
      </c>
      <c r="AC745" s="35" t="s">
        <v>222</v>
      </c>
      <c r="AD745" s="35"/>
      <c r="AE745" s="35">
        <v>80000</v>
      </c>
      <c r="AF745" s="35" t="s">
        <v>453</v>
      </c>
      <c r="AG745" s="36">
        <v>126.328</v>
      </c>
      <c r="AI745" s="7" t="str">
        <f>VLOOKUP($AC745,Mapping!$E$11:$I$204,3,0)</f>
        <v>Replacement</v>
      </c>
      <c r="AJ745" s="7" t="str">
        <f>IFERROR(VLOOKUP($AE745,Mapping!$E$208:$K$236,5,0),"Contracts")</f>
        <v>Overhead</v>
      </c>
      <c r="AK745" s="7" t="str">
        <f>IFERROR(VLOOKUP($AE745,Mapping!$E$208:$K$236,7,0),"ENDirect")</f>
        <v>OH</v>
      </c>
      <c r="AL745" s="7" t="str">
        <f>IFERROR(HLOOKUP(AJ745,'Calc|Weightings'!$U$5:$W$5,1,0),"Excl")</f>
        <v>Excl</v>
      </c>
      <c r="AM745" s="7" t="str">
        <f>VLOOKUP(AC745,Mapping!$E$11:$I$204,5,0)</f>
        <v>SCS</v>
      </c>
      <c r="AO745" s="35" t="s">
        <v>206</v>
      </c>
      <c r="AP745" s="35"/>
      <c r="AQ745" s="35">
        <v>83010</v>
      </c>
      <c r="AR745" s="35" t="s">
        <v>591</v>
      </c>
      <c r="AS745" s="121">
        <v>664.45303999999999</v>
      </c>
      <c r="AU745" s="7" t="str">
        <f>VLOOKUP($AO745,Mapping!$E$11:$I$204,3,0)</f>
        <v>Replacement</v>
      </c>
      <c r="AV745" s="7" t="str">
        <f>IFERROR(VLOOKUP($AQ745,Mapping!$E$208:$K$236,5,0),"Contracts")</f>
        <v>Contracts</v>
      </c>
      <c r="AW745" s="7" t="str">
        <f>IFERROR(VLOOKUP($AQ745,Mapping!$E$208:$K$236,7,0),"ENDirect")</f>
        <v>ENDirect</v>
      </c>
      <c r="AX745" s="7" t="str">
        <f>IFERROR(HLOOKUP(AV745,'Calc|Weightings'!$U$5:$W$5,1,0),"Excl")</f>
        <v>Contracts</v>
      </c>
      <c r="AY745" s="7" t="str">
        <f>VLOOKUP(AO745,Mapping!$E$11:$I$204,5,0)</f>
        <v>SCS</v>
      </c>
    </row>
    <row r="746" spans="1:51" x14ac:dyDescent="0.3">
      <c r="A746" s="7"/>
      <c r="B746" s="7"/>
      <c r="C746" s="7"/>
      <c r="D746" s="7"/>
      <c r="E746" s="32" t="s">
        <v>199</v>
      </c>
      <c r="F746" s="32"/>
      <c r="G746" s="32">
        <v>71015</v>
      </c>
      <c r="H746" s="32" t="s">
        <v>463</v>
      </c>
      <c r="I746" s="33">
        <v>2.75</v>
      </c>
      <c r="J746" s="170"/>
      <c r="K746" s="7" t="str">
        <f>VLOOKUP($E746,Mapping!$E$11:$I$204,3,0)</f>
        <v>Public Lighting</v>
      </c>
      <c r="L746" s="7" t="str">
        <f>IFERROR(VLOOKUP($G746,Mapping!$E$208:$K$236,5,0),"Contracts")</f>
        <v>Materials</v>
      </c>
      <c r="M746" s="7" t="str">
        <f>IFERROR(VLOOKUP($G746,Mapping!$E$208:$K$236,7,0),"ENDirect")</f>
        <v>ENDirect</v>
      </c>
      <c r="N746" s="7" t="str">
        <f>IFERROR(HLOOKUP(L746,'Calc|Weightings'!$U$5:$W$5,1,0),"Excl")</f>
        <v>Materials</v>
      </c>
      <c r="O746" s="7" t="str">
        <f>VLOOKUP(E746,Mapping!$E$11:$I$204,5,0)</f>
        <v>Public Lighting</v>
      </c>
      <c r="Q746" s="32" t="s">
        <v>228</v>
      </c>
      <c r="R746" s="32"/>
      <c r="S746" s="32">
        <v>71010</v>
      </c>
      <c r="T746" s="32" t="s">
        <v>462</v>
      </c>
      <c r="U746" s="33">
        <v>161.928</v>
      </c>
      <c r="V746" s="7"/>
      <c r="W746" s="7" t="str">
        <f>VLOOKUP($Q746,Mapping!$E$11:$I$204,3,0)</f>
        <v>Replacement</v>
      </c>
      <c r="X746" s="7" t="str">
        <f>IFERROR(VLOOKUP($S746,Mapping!$E$208:$K$236,5,0),"Contracts")</f>
        <v>Labour</v>
      </c>
      <c r="Y746" s="7" t="str">
        <f>IFERROR(VLOOKUP($S746,Mapping!$E$208:$K$236,7,0),"ENDirect")</f>
        <v>ENDirect</v>
      </c>
      <c r="Z746" s="7" t="str">
        <f>IFERROR(HLOOKUP(X746,'Calc|Weightings'!$U$5:$W$5,1,0),"Excl")</f>
        <v>Labour</v>
      </c>
      <c r="AA746" s="7" t="str">
        <f>VLOOKUP(Q746,Mapping!$E$11:$I$204,5,0)</f>
        <v>SCS</v>
      </c>
      <c r="AC746" s="35" t="s">
        <v>222</v>
      </c>
      <c r="AD746" s="35"/>
      <c r="AE746" s="35">
        <v>89999</v>
      </c>
      <c r="AF746" s="35" t="s">
        <v>471</v>
      </c>
      <c r="AG746" s="36">
        <v>0</v>
      </c>
      <c r="AI746" s="7" t="str">
        <f>VLOOKUP($AC746,Mapping!$E$11:$I$204,3,0)</f>
        <v>Replacement</v>
      </c>
      <c r="AJ746" s="7" t="str">
        <f>IFERROR(VLOOKUP($AE746,Mapping!$E$208:$K$236,5,0),"Contracts")</f>
        <v>Contracts</v>
      </c>
      <c r="AK746" s="7" t="str">
        <f>IFERROR(VLOOKUP($AE746,Mapping!$E$208:$K$236,7,0),"ENDirect")</f>
        <v>ENDirect</v>
      </c>
      <c r="AL746" s="7" t="str">
        <f>IFERROR(HLOOKUP(AJ746,'Calc|Weightings'!$U$5:$W$5,1,0),"Excl")</f>
        <v>Contracts</v>
      </c>
      <c r="AM746" s="7" t="str">
        <f>VLOOKUP(AC746,Mapping!$E$11:$I$204,5,0)</f>
        <v>SCS</v>
      </c>
      <c r="AO746" s="35" t="s">
        <v>208</v>
      </c>
      <c r="AP746" s="35"/>
      <c r="AQ746" s="35">
        <v>71070</v>
      </c>
      <c r="AR746" s="35" t="s">
        <v>586</v>
      </c>
      <c r="AS746" s="121">
        <v>2.2194199999999999</v>
      </c>
      <c r="AU746" s="7" t="str">
        <f>VLOOKUP($AO746,Mapping!$E$11:$I$204,3,0)</f>
        <v>Replacement</v>
      </c>
      <c r="AV746" s="7" t="str">
        <f>IFERROR(VLOOKUP($AQ746,Mapping!$E$208:$K$236,5,0),"Contracts")</f>
        <v>Contracts</v>
      </c>
      <c r="AW746" s="7" t="str">
        <f>IFERROR(VLOOKUP($AQ746,Mapping!$E$208:$K$236,7,0),"ENDirect")</f>
        <v>ENDirect</v>
      </c>
      <c r="AX746" s="7" t="str">
        <f>IFERROR(HLOOKUP(AV746,'Calc|Weightings'!$U$5:$W$5,1,0),"Excl")</f>
        <v>Contracts</v>
      </c>
      <c r="AY746" s="7" t="str">
        <f>VLOOKUP(AO746,Mapping!$E$11:$I$204,5,0)</f>
        <v>SCS</v>
      </c>
    </row>
    <row r="747" spans="1:51" x14ac:dyDescent="0.3">
      <c r="A747" s="7"/>
      <c r="B747" s="7"/>
      <c r="C747" s="7"/>
      <c r="D747" s="7"/>
      <c r="E747" s="32" t="s">
        <v>199</v>
      </c>
      <c r="F747" s="32"/>
      <c r="G747" s="32">
        <v>71030</v>
      </c>
      <c r="H747" s="32" t="s">
        <v>464</v>
      </c>
      <c r="I747" s="33">
        <v>8.3689999999999998</v>
      </c>
      <c r="J747" s="170"/>
      <c r="K747" s="7" t="str">
        <f>VLOOKUP($E747,Mapping!$E$11:$I$204,3,0)</f>
        <v>Public Lighting</v>
      </c>
      <c r="L747" s="7" t="str">
        <f>IFERROR(VLOOKUP($G747,Mapping!$E$208:$K$236,5,0),"Contracts")</f>
        <v>Contracts</v>
      </c>
      <c r="M747" s="7" t="str">
        <f>IFERROR(VLOOKUP($G747,Mapping!$E$208:$K$236,7,0),"ENDirect")</f>
        <v>ENDirect</v>
      </c>
      <c r="N747" s="7" t="str">
        <f>IFERROR(HLOOKUP(L747,'Calc|Weightings'!$U$5:$W$5,1,0),"Excl")</f>
        <v>Contracts</v>
      </c>
      <c r="O747" s="7" t="str">
        <f>VLOOKUP(E747,Mapping!$E$11:$I$204,5,0)</f>
        <v>Public Lighting</v>
      </c>
      <c r="Q747" s="32" t="s">
        <v>228</v>
      </c>
      <c r="R747" s="32"/>
      <c r="S747" s="32">
        <v>71015</v>
      </c>
      <c r="T747" s="32" t="s">
        <v>463</v>
      </c>
      <c r="U747" s="33">
        <v>61.408000000000001</v>
      </c>
      <c r="V747" s="7"/>
      <c r="W747" s="7" t="str">
        <f>VLOOKUP($Q747,Mapping!$E$11:$I$204,3,0)</f>
        <v>Replacement</v>
      </c>
      <c r="X747" s="7" t="str">
        <f>IFERROR(VLOOKUP($S747,Mapping!$E$208:$K$236,5,0),"Contracts")</f>
        <v>Materials</v>
      </c>
      <c r="Y747" s="7" t="str">
        <f>IFERROR(VLOOKUP($S747,Mapping!$E$208:$K$236,7,0),"ENDirect")</f>
        <v>ENDirect</v>
      </c>
      <c r="Z747" s="7" t="str">
        <f>IFERROR(HLOOKUP(X747,'Calc|Weightings'!$U$5:$W$5,1,0),"Excl")</f>
        <v>Materials</v>
      </c>
      <c r="AA747" s="7" t="str">
        <f>VLOOKUP(Q747,Mapping!$E$11:$I$204,5,0)</f>
        <v>SCS</v>
      </c>
      <c r="AC747" s="35" t="s">
        <v>223</v>
      </c>
      <c r="AD747" s="35"/>
      <c r="AE747" s="35">
        <v>71000</v>
      </c>
      <c r="AF747" s="35" t="s">
        <v>457</v>
      </c>
      <c r="AG747" s="36">
        <v>320.02300000000002</v>
      </c>
      <c r="AI747" s="7" t="str">
        <f>VLOOKUP($AC747,Mapping!$E$11:$I$204,3,0)</f>
        <v>Replacement</v>
      </c>
      <c r="AJ747" s="7" t="str">
        <f>IFERROR(VLOOKUP($AE747,Mapping!$E$208:$K$236,5,0),"Contracts")</f>
        <v>Labour</v>
      </c>
      <c r="AK747" s="7" t="str">
        <f>IFERROR(VLOOKUP($AE747,Mapping!$E$208:$K$236,7,0),"ENDirect")</f>
        <v>ENDirect</v>
      </c>
      <c r="AL747" s="7" t="str">
        <f>IFERROR(HLOOKUP(AJ747,'Calc|Weightings'!$U$5:$W$5,1,0),"Excl")</f>
        <v>Labour</v>
      </c>
      <c r="AM747" s="7" t="str">
        <f>VLOOKUP(AC747,Mapping!$E$11:$I$204,5,0)</f>
        <v>SCS</v>
      </c>
      <c r="AO747" s="35" t="s">
        <v>208</v>
      </c>
      <c r="AP747" s="35"/>
      <c r="AQ747" s="35">
        <v>71075</v>
      </c>
      <c r="AR747" s="35" t="s">
        <v>587</v>
      </c>
      <c r="AS747" s="121">
        <v>0.22583</v>
      </c>
      <c r="AU747" s="7" t="str">
        <f>VLOOKUP($AO747,Mapping!$E$11:$I$204,3,0)</f>
        <v>Replacement</v>
      </c>
      <c r="AV747" s="7" t="str">
        <f>IFERROR(VLOOKUP($AQ747,Mapping!$E$208:$K$236,5,0),"Contracts")</f>
        <v>Contracts</v>
      </c>
      <c r="AW747" s="7" t="str">
        <f>IFERROR(VLOOKUP($AQ747,Mapping!$E$208:$K$236,7,0),"ENDirect")</f>
        <v>ENDirect</v>
      </c>
      <c r="AX747" s="7" t="str">
        <f>IFERROR(HLOOKUP(AV747,'Calc|Weightings'!$U$5:$W$5,1,0),"Excl")</f>
        <v>Contracts</v>
      </c>
      <c r="AY747" s="7" t="str">
        <f>VLOOKUP(AO747,Mapping!$E$11:$I$204,5,0)</f>
        <v>SCS</v>
      </c>
    </row>
    <row r="748" spans="1:51" x14ac:dyDescent="0.3">
      <c r="A748" s="7"/>
      <c r="B748" s="7"/>
      <c r="C748" s="7"/>
      <c r="D748" s="7"/>
      <c r="E748" s="32" t="s">
        <v>199</v>
      </c>
      <c r="F748" s="32"/>
      <c r="G748" s="32">
        <v>71055</v>
      </c>
      <c r="H748" s="32" t="s">
        <v>465</v>
      </c>
      <c r="I748" s="33">
        <v>19.097999999999999</v>
      </c>
      <c r="J748" s="170"/>
      <c r="K748" s="7" t="str">
        <f>VLOOKUP($E748,Mapping!$E$11:$I$204,3,0)</f>
        <v>Public Lighting</v>
      </c>
      <c r="L748" s="7" t="str">
        <f>IFERROR(VLOOKUP($G748,Mapping!$E$208:$K$236,5,0),"Contracts")</f>
        <v>Contracts</v>
      </c>
      <c r="M748" s="7" t="str">
        <f>IFERROR(VLOOKUP($G748,Mapping!$E$208:$K$236,7,0),"ENDirect")</f>
        <v>ENDirect</v>
      </c>
      <c r="N748" s="7" t="str">
        <f>IFERROR(HLOOKUP(L748,'Calc|Weightings'!$U$5:$W$5,1,0),"Excl")</f>
        <v>Contracts</v>
      </c>
      <c r="O748" s="7" t="str">
        <f>VLOOKUP(E748,Mapping!$E$11:$I$204,5,0)</f>
        <v>Public Lighting</v>
      </c>
      <c r="Q748" s="32" t="s">
        <v>228</v>
      </c>
      <c r="R748" s="32"/>
      <c r="S748" s="32">
        <v>71030</v>
      </c>
      <c r="T748" s="32" t="s">
        <v>464</v>
      </c>
      <c r="U748" s="33">
        <v>90.683999999999997</v>
      </c>
      <c r="V748" s="7"/>
      <c r="W748" s="7" t="str">
        <f>VLOOKUP($Q748,Mapping!$E$11:$I$204,3,0)</f>
        <v>Replacement</v>
      </c>
      <c r="X748" s="7" t="str">
        <f>IFERROR(VLOOKUP($S748,Mapping!$E$208:$K$236,5,0),"Contracts")</f>
        <v>Contracts</v>
      </c>
      <c r="Y748" s="7" t="str">
        <f>IFERROR(VLOOKUP($S748,Mapping!$E$208:$K$236,7,0),"ENDirect")</f>
        <v>ENDirect</v>
      </c>
      <c r="Z748" s="7" t="str">
        <f>IFERROR(HLOOKUP(X748,'Calc|Weightings'!$U$5:$W$5,1,0),"Excl")</f>
        <v>Contracts</v>
      </c>
      <c r="AA748" s="7" t="str">
        <f>VLOOKUP(Q748,Mapping!$E$11:$I$204,5,0)</f>
        <v>SCS</v>
      </c>
      <c r="AC748" s="35" t="s">
        <v>223</v>
      </c>
      <c r="AD748" s="35"/>
      <c r="AE748" s="35">
        <v>71005</v>
      </c>
      <c r="AF748" s="35" t="s">
        <v>461</v>
      </c>
      <c r="AG748" s="36">
        <v>89.186000000000007</v>
      </c>
      <c r="AI748" s="7" t="str">
        <f>VLOOKUP($AC748,Mapping!$E$11:$I$204,3,0)</f>
        <v>Replacement</v>
      </c>
      <c r="AJ748" s="7" t="str">
        <f>IFERROR(VLOOKUP($AE748,Mapping!$E$208:$K$236,5,0),"Contracts")</f>
        <v>Materials</v>
      </c>
      <c r="AK748" s="7" t="str">
        <f>IFERROR(VLOOKUP($AE748,Mapping!$E$208:$K$236,7,0),"ENDirect")</f>
        <v>ENDirect</v>
      </c>
      <c r="AL748" s="7" t="str">
        <f>IFERROR(HLOOKUP(AJ748,'Calc|Weightings'!$U$5:$W$5,1,0),"Excl")</f>
        <v>Materials</v>
      </c>
      <c r="AM748" s="7" t="str">
        <f>VLOOKUP(AC748,Mapping!$E$11:$I$204,5,0)</f>
        <v>SCS</v>
      </c>
      <c r="AO748" s="35" t="s">
        <v>208</v>
      </c>
      <c r="AP748" s="35"/>
      <c r="AQ748" s="35">
        <v>80000</v>
      </c>
      <c r="AR748" s="35" t="s">
        <v>589</v>
      </c>
      <c r="AS748" s="121">
        <v>0.73591000000000006</v>
      </c>
      <c r="AU748" s="7" t="str">
        <f>VLOOKUP($AO748,Mapping!$E$11:$I$204,3,0)</f>
        <v>Replacement</v>
      </c>
      <c r="AV748" s="7" t="str">
        <f>IFERROR(VLOOKUP($AQ748,Mapping!$E$208:$K$236,5,0),"Contracts")</f>
        <v>Overhead</v>
      </c>
      <c r="AW748" s="7" t="str">
        <f>IFERROR(VLOOKUP($AQ748,Mapping!$E$208:$K$236,7,0),"ENDirect")</f>
        <v>OH</v>
      </c>
      <c r="AX748" s="7" t="str">
        <f>IFERROR(HLOOKUP(AV748,'Calc|Weightings'!$U$5:$W$5,1,0),"Excl")</f>
        <v>Excl</v>
      </c>
      <c r="AY748" s="7" t="str">
        <f>VLOOKUP(AO748,Mapping!$E$11:$I$204,5,0)</f>
        <v>SCS</v>
      </c>
    </row>
    <row r="749" spans="1:51" x14ac:dyDescent="0.3">
      <c r="A749" s="7"/>
      <c r="B749" s="7"/>
      <c r="C749" s="7"/>
      <c r="D749" s="7"/>
      <c r="E749" s="32" t="s">
        <v>199</v>
      </c>
      <c r="F749" s="32"/>
      <c r="G749" s="32">
        <v>80000</v>
      </c>
      <c r="H749" s="32" t="s">
        <v>453</v>
      </c>
      <c r="I749" s="33">
        <v>12.756</v>
      </c>
      <c r="J749" s="170"/>
      <c r="K749" s="7" t="str">
        <f>VLOOKUP($E749,Mapping!$E$11:$I$204,3,0)</f>
        <v>Public Lighting</v>
      </c>
      <c r="L749" s="7" t="str">
        <f>IFERROR(VLOOKUP($G749,Mapping!$E$208:$K$236,5,0),"Contracts")</f>
        <v>Overhead</v>
      </c>
      <c r="M749" s="7" t="str">
        <f>IFERROR(VLOOKUP($G749,Mapping!$E$208:$K$236,7,0),"ENDirect")</f>
        <v>OH</v>
      </c>
      <c r="N749" s="7" t="str">
        <f>IFERROR(HLOOKUP(L749,'Calc|Weightings'!$U$5:$W$5,1,0),"Excl")</f>
        <v>Excl</v>
      </c>
      <c r="O749" s="7" t="str">
        <f>VLOOKUP(E749,Mapping!$E$11:$I$204,5,0)</f>
        <v>Public Lighting</v>
      </c>
      <c r="Q749" s="32" t="s">
        <v>228</v>
      </c>
      <c r="R749" s="32"/>
      <c r="S749" s="32">
        <v>71055</v>
      </c>
      <c r="T749" s="32" t="s">
        <v>465</v>
      </c>
      <c r="U749" s="33">
        <v>147.571</v>
      </c>
      <c r="V749" s="7"/>
      <c r="W749" s="7" t="str">
        <f>VLOOKUP($Q749,Mapping!$E$11:$I$204,3,0)</f>
        <v>Replacement</v>
      </c>
      <c r="X749" s="7" t="str">
        <f>IFERROR(VLOOKUP($S749,Mapping!$E$208:$K$236,5,0),"Contracts")</f>
        <v>Contracts</v>
      </c>
      <c r="Y749" s="7" t="str">
        <f>IFERROR(VLOOKUP($S749,Mapping!$E$208:$K$236,7,0),"ENDirect")</f>
        <v>ENDirect</v>
      </c>
      <c r="Z749" s="7" t="str">
        <f>IFERROR(HLOOKUP(X749,'Calc|Weightings'!$U$5:$W$5,1,0),"Excl")</f>
        <v>Contracts</v>
      </c>
      <c r="AA749" s="7" t="str">
        <f>VLOOKUP(Q749,Mapping!$E$11:$I$204,5,0)</f>
        <v>SCS</v>
      </c>
      <c r="AC749" s="35" t="s">
        <v>223</v>
      </c>
      <c r="AD749" s="35"/>
      <c r="AE749" s="35">
        <v>71010</v>
      </c>
      <c r="AF749" s="35" t="s">
        <v>462</v>
      </c>
      <c r="AG749" s="36">
        <v>167.84299999999999</v>
      </c>
      <c r="AI749" s="7" t="str">
        <f>VLOOKUP($AC749,Mapping!$E$11:$I$204,3,0)</f>
        <v>Replacement</v>
      </c>
      <c r="AJ749" s="7" t="str">
        <f>IFERROR(VLOOKUP($AE749,Mapping!$E$208:$K$236,5,0),"Contracts")</f>
        <v>Labour</v>
      </c>
      <c r="AK749" s="7" t="str">
        <f>IFERROR(VLOOKUP($AE749,Mapping!$E$208:$K$236,7,0),"ENDirect")</f>
        <v>ENDirect</v>
      </c>
      <c r="AL749" s="7" t="str">
        <f>IFERROR(HLOOKUP(AJ749,'Calc|Weightings'!$U$5:$W$5,1,0),"Excl")</f>
        <v>Labour</v>
      </c>
      <c r="AM749" s="7" t="str">
        <f>VLOOKUP(AC749,Mapping!$E$11:$I$204,5,0)</f>
        <v>SCS</v>
      </c>
      <c r="AO749" s="35" t="s">
        <v>208</v>
      </c>
      <c r="AP749" s="35"/>
      <c r="AQ749" s="35">
        <v>83010</v>
      </c>
      <c r="AR749" s="35" t="s">
        <v>591</v>
      </c>
      <c r="AS749" s="121">
        <v>1.5852999999999999</v>
      </c>
      <c r="AU749" s="7" t="str">
        <f>VLOOKUP($AO749,Mapping!$E$11:$I$204,3,0)</f>
        <v>Replacement</v>
      </c>
      <c r="AV749" s="7" t="str">
        <f>IFERROR(VLOOKUP($AQ749,Mapping!$E$208:$K$236,5,0),"Contracts")</f>
        <v>Contracts</v>
      </c>
      <c r="AW749" s="7" t="str">
        <f>IFERROR(VLOOKUP($AQ749,Mapping!$E$208:$K$236,7,0),"ENDirect")</f>
        <v>ENDirect</v>
      </c>
      <c r="AX749" s="7" t="str">
        <f>IFERROR(HLOOKUP(AV749,'Calc|Weightings'!$U$5:$W$5,1,0),"Excl")</f>
        <v>Contracts</v>
      </c>
      <c r="AY749" s="7" t="str">
        <f>VLOOKUP(AO749,Mapping!$E$11:$I$204,5,0)</f>
        <v>SCS</v>
      </c>
    </row>
    <row r="750" spans="1:51" x14ac:dyDescent="0.3">
      <c r="A750" s="7"/>
      <c r="B750" s="7"/>
      <c r="C750" s="7"/>
      <c r="D750" s="7"/>
      <c r="E750" s="32" t="s">
        <v>200</v>
      </c>
      <c r="F750" s="32"/>
      <c r="G750" s="32">
        <v>71005</v>
      </c>
      <c r="H750" s="32" t="s">
        <v>461</v>
      </c>
      <c r="I750" s="33">
        <v>34.167000000000002</v>
      </c>
      <c r="J750" s="170"/>
      <c r="K750" s="7" t="str">
        <f>VLOOKUP($E750,Mapping!$E$11:$I$204,3,0)</f>
        <v>Public Lighting</v>
      </c>
      <c r="L750" s="7" t="str">
        <f>IFERROR(VLOOKUP($G750,Mapping!$E$208:$K$236,5,0),"Contracts")</f>
        <v>Materials</v>
      </c>
      <c r="M750" s="7" t="str">
        <f>IFERROR(VLOOKUP($G750,Mapping!$E$208:$K$236,7,0),"ENDirect")</f>
        <v>ENDirect</v>
      </c>
      <c r="N750" s="7" t="str">
        <f>IFERROR(HLOOKUP(L750,'Calc|Weightings'!$U$5:$W$5,1,0),"Excl")</f>
        <v>Materials</v>
      </c>
      <c r="O750" s="7" t="str">
        <f>VLOOKUP(E750,Mapping!$E$11:$I$204,5,0)</f>
        <v>Public Lighting</v>
      </c>
      <c r="Q750" s="32" t="s">
        <v>228</v>
      </c>
      <c r="R750" s="32"/>
      <c r="S750" s="32">
        <v>80000</v>
      </c>
      <c r="T750" s="32" t="s">
        <v>453</v>
      </c>
      <c r="U750" s="33">
        <v>180.14099999999999</v>
      </c>
      <c r="V750" s="7"/>
      <c r="W750" s="7" t="str">
        <f>VLOOKUP($Q750,Mapping!$E$11:$I$204,3,0)</f>
        <v>Replacement</v>
      </c>
      <c r="X750" s="7" t="str">
        <f>IFERROR(VLOOKUP($S750,Mapping!$E$208:$K$236,5,0),"Contracts")</f>
        <v>Overhead</v>
      </c>
      <c r="Y750" s="7" t="str">
        <f>IFERROR(VLOOKUP($S750,Mapping!$E$208:$K$236,7,0),"ENDirect")</f>
        <v>OH</v>
      </c>
      <c r="Z750" s="7" t="str">
        <f>IFERROR(HLOOKUP(X750,'Calc|Weightings'!$U$5:$W$5,1,0),"Excl")</f>
        <v>Excl</v>
      </c>
      <c r="AA750" s="7" t="str">
        <f>VLOOKUP(Q750,Mapping!$E$11:$I$204,5,0)</f>
        <v>SCS</v>
      </c>
      <c r="AC750" s="35" t="s">
        <v>223</v>
      </c>
      <c r="AD750" s="35"/>
      <c r="AE750" s="35">
        <v>71015</v>
      </c>
      <c r="AF750" s="35" t="s">
        <v>463</v>
      </c>
      <c r="AG750" s="36">
        <v>51.91</v>
      </c>
      <c r="AI750" s="7" t="str">
        <f>VLOOKUP($AC750,Mapping!$E$11:$I$204,3,0)</f>
        <v>Replacement</v>
      </c>
      <c r="AJ750" s="7" t="str">
        <f>IFERROR(VLOOKUP($AE750,Mapping!$E$208:$K$236,5,0),"Contracts")</f>
        <v>Materials</v>
      </c>
      <c r="AK750" s="7" t="str">
        <f>IFERROR(VLOOKUP($AE750,Mapping!$E$208:$K$236,7,0),"ENDirect")</f>
        <v>ENDirect</v>
      </c>
      <c r="AL750" s="7" t="str">
        <f>IFERROR(HLOOKUP(AJ750,'Calc|Weightings'!$U$5:$W$5,1,0),"Excl")</f>
        <v>Materials</v>
      </c>
      <c r="AM750" s="7" t="str">
        <f>VLOOKUP(AC750,Mapping!$E$11:$I$204,5,0)</f>
        <v>SCS</v>
      </c>
      <c r="AO750" s="35" t="s">
        <v>209</v>
      </c>
      <c r="AP750" s="35"/>
      <c r="AQ750" s="35">
        <v>71000</v>
      </c>
      <c r="AR750" s="35" t="s">
        <v>457</v>
      </c>
      <c r="AS750" s="121">
        <v>-0.74178000000000066</v>
      </c>
      <c r="AU750" s="7" t="str">
        <f>VLOOKUP($AO750,Mapping!$E$11:$I$204,3,0)</f>
        <v>Replacement</v>
      </c>
      <c r="AV750" s="7" t="str">
        <f>IFERROR(VLOOKUP($AQ750,Mapping!$E$208:$K$236,5,0),"Contracts")</f>
        <v>Labour</v>
      </c>
      <c r="AW750" s="7" t="str">
        <f>IFERROR(VLOOKUP($AQ750,Mapping!$E$208:$K$236,7,0),"ENDirect")</f>
        <v>ENDirect</v>
      </c>
      <c r="AX750" s="7" t="str">
        <f>IFERROR(HLOOKUP(AV750,'Calc|Weightings'!$U$5:$W$5,1,0),"Excl")</f>
        <v>Labour</v>
      </c>
      <c r="AY750" s="7" t="str">
        <f>VLOOKUP(AO750,Mapping!$E$11:$I$204,5,0)</f>
        <v>SCS</v>
      </c>
    </row>
    <row r="751" spans="1:51" x14ac:dyDescent="0.3">
      <c r="A751" s="7"/>
      <c r="B751" s="7"/>
      <c r="C751" s="7"/>
      <c r="D751" s="7"/>
      <c r="E751" s="32" t="s">
        <v>200</v>
      </c>
      <c r="F751" s="32"/>
      <c r="G751" s="32">
        <v>71010</v>
      </c>
      <c r="H751" s="32" t="s">
        <v>462</v>
      </c>
      <c r="I751" s="33">
        <v>67.203000000000003</v>
      </c>
      <c r="J751" s="170"/>
      <c r="K751" s="7" t="str">
        <f>VLOOKUP($E751,Mapping!$E$11:$I$204,3,0)</f>
        <v>Public Lighting</v>
      </c>
      <c r="L751" s="7" t="str">
        <f>IFERROR(VLOOKUP($G751,Mapping!$E$208:$K$236,5,0),"Contracts")</f>
        <v>Labour</v>
      </c>
      <c r="M751" s="7" t="str">
        <f>IFERROR(VLOOKUP($G751,Mapping!$E$208:$K$236,7,0),"ENDirect")</f>
        <v>ENDirect</v>
      </c>
      <c r="N751" s="7" t="str">
        <f>IFERROR(HLOOKUP(L751,'Calc|Weightings'!$U$5:$W$5,1,0),"Excl")</f>
        <v>Labour</v>
      </c>
      <c r="O751" s="7" t="str">
        <f>VLOOKUP(E751,Mapping!$E$11:$I$204,5,0)</f>
        <v>Public Lighting</v>
      </c>
      <c r="Q751" s="32" t="s">
        <v>228</v>
      </c>
      <c r="R751" s="32"/>
      <c r="S751" s="32">
        <v>89999</v>
      </c>
      <c r="T751" s="32" t="s">
        <v>471</v>
      </c>
      <c r="U751" s="33">
        <v>0</v>
      </c>
      <c r="V751" s="7"/>
      <c r="W751" s="7" t="str">
        <f>VLOOKUP($Q751,Mapping!$E$11:$I$204,3,0)</f>
        <v>Replacement</v>
      </c>
      <c r="X751" s="7" t="str">
        <f>IFERROR(VLOOKUP($S751,Mapping!$E$208:$K$236,5,0),"Contracts")</f>
        <v>Contracts</v>
      </c>
      <c r="Y751" s="7" t="str">
        <f>IFERROR(VLOOKUP($S751,Mapping!$E$208:$K$236,7,0),"ENDirect")</f>
        <v>ENDirect</v>
      </c>
      <c r="Z751" s="7" t="str">
        <f>IFERROR(HLOOKUP(X751,'Calc|Weightings'!$U$5:$W$5,1,0),"Excl")</f>
        <v>Contracts</v>
      </c>
      <c r="AA751" s="7" t="str">
        <f>VLOOKUP(Q751,Mapping!$E$11:$I$204,5,0)</f>
        <v>SCS</v>
      </c>
      <c r="AC751" s="35" t="s">
        <v>223</v>
      </c>
      <c r="AD751" s="35"/>
      <c r="AE751" s="35">
        <v>71030</v>
      </c>
      <c r="AF751" s="35" t="s">
        <v>464</v>
      </c>
      <c r="AG751" s="36">
        <v>50.802</v>
      </c>
      <c r="AI751" s="7" t="str">
        <f>VLOOKUP($AC751,Mapping!$E$11:$I$204,3,0)</f>
        <v>Replacement</v>
      </c>
      <c r="AJ751" s="7" t="str">
        <f>IFERROR(VLOOKUP($AE751,Mapping!$E$208:$K$236,5,0),"Contracts")</f>
        <v>Contracts</v>
      </c>
      <c r="AK751" s="7" t="str">
        <f>IFERROR(VLOOKUP($AE751,Mapping!$E$208:$K$236,7,0),"ENDirect")</f>
        <v>ENDirect</v>
      </c>
      <c r="AL751" s="7" t="str">
        <f>IFERROR(HLOOKUP(AJ751,'Calc|Weightings'!$U$5:$W$5,1,0),"Excl")</f>
        <v>Contracts</v>
      </c>
      <c r="AM751" s="7" t="str">
        <f>VLOOKUP(AC751,Mapping!$E$11:$I$204,5,0)</f>
        <v>SCS</v>
      </c>
      <c r="AO751" s="35" t="s">
        <v>209</v>
      </c>
      <c r="AP751" s="35"/>
      <c r="AQ751" s="35">
        <v>71005</v>
      </c>
      <c r="AR751" s="35" t="s">
        <v>461</v>
      </c>
      <c r="AS751" s="121">
        <v>0.16805</v>
      </c>
      <c r="AU751" s="7" t="str">
        <f>VLOOKUP($AO751,Mapping!$E$11:$I$204,3,0)</f>
        <v>Replacement</v>
      </c>
      <c r="AV751" s="7" t="str">
        <f>IFERROR(VLOOKUP($AQ751,Mapping!$E$208:$K$236,5,0),"Contracts")</f>
        <v>Materials</v>
      </c>
      <c r="AW751" s="7" t="str">
        <f>IFERROR(VLOOKUP($AQ751,Mapping!$E$208:$K$236,7,0),"ENDirect")</f>
        <v>ENDirect</v>
      </c>
      <c r="AX751" s="7" t="str">
        <f>IFERROR(HLOOKUP(AV751,'Calc|Weightings'!$U$5:$W$5,1,0),"Excl")</f>
        <v>Materials</v>
      </c>
      <c r="AY751" s="7" t="str">
        <f>VLOOKUP(AO751,Mapping!$E$11:$I$204,5,0)</f>
        <v>SCS</v>
      </c>
    </row>
    <row r="752" spans="1:51" x14ac:dyDescent="0.3">
      <c r="A752" s="7"/>
      <c r="B752" s="7"/>
      <c r="C752" s="7"/>
      <c r="D752" s="7"/>
      <c r="E752" s="32" t="s">
        <v>200</v>
      </c>
      <c r="F752" s="32"/>
      <c r="G752" s="32">
        <v>71030</v>
      </c>
      <c r="H752" s="32" t="s">
        <v>464</v>
      </c>
      <c r="I752" s="33">
        <v>9.0830000000000002</v>
      </c>
      <c r="J752" s="170"/>
      <c r="K752" s="7" t="str">
        <f>VLOOKUP($E752,Mapping!$E$11:$I$204,3,0)</f>
        <v>Public Lighting</v>
      </c>
      <c r="L752" s="7" t="str">
        <f>IFERROR(VLOOKUP($G752,Mapping!$E$208:$K$236,5,0),"Contracts")</f>
        <v>Contracts</v>
      </c>
      <c r="M752" s="7" t="str">
        <f>IFERROR(VLOOKUP($G752,Mapping!$E$208:$K$236,7,0),"ENDirect")</f>
        <v>ENDirect</v>
      </c>
      <c r="N752" s="7" t="str">
        <f>IFERROR(HLOOKUP(L752,'Calc|Weightings'!$U$5:$W$5,1,0),"Excl")</f>
        <v>Contracts</v>
      </c>
      <c r="O752" s="7" t="str">
        <f>VLOOKUP(E752,Mapping!$E$11:$I$204,5,0)</f>
        <v>Public Lighting</v>
      </c>
      <c r="Q752" s="32" t="s">
        <v>229</v>
      </c>
      <c r="R752" s="32"/>
      <c r="S752" s="32">
        <v>71000</v>
      </c>
      <c r="T752" s="32" t="s">
        <v>457</v>
      </c>
      <c r="U752" s="33">
        <v>58.027000000000001</v>
      </c>
      <c r="V752" s="7"/>
      <c r="W752" s="7" t="str">
        <f>VLOOKUP($Q752,Mapping!$E$11:$I$204,3,0)</f>
        <v>Replacement</v>
      </c>
      <c r="X752" s="7" t="str">
        <f>IFERROR(VLOOKUP($S752,Mapping!$E$208:$K$236,5,0),"Contracts")</f>
        <v>Labour</v>
      </c>
      <c r="Y752" s="7" t="str">
        <f>IFERROR(VLOOKUP($S752,Mapping!$E$208:$K$236,7,0),"ENDirect")</f>
        <v>ENDirect</v>
      </c>
      <c r="Z752" s="7" t="str">
        <f>IFERROR(HLOOKUP(X752,'Calc|Weightings'!$U$5:$W$5,1,0),"Excl")</f>
        <v>Labour</v>
      </c>
      <c r="AA752" s="7" t="str">
        <f>VLOOKUP(Q752,Mapping!$E$11:$I$204,5,0)</f>
        <v>SCS</v>
      </c>
      <c r="AC752" s="35" t="s">
        <v>223</v>
      </c>
      <c r="AD752" s="35"/>
      <c r="AE752" s="35">
        <v>71055</v>
      </c>
      <c r="AF752" s="35" t="s">
        <v>465</v>
      </c>
      <c r="AG752" s="36">
        <v>106.44499999999999</v>
      </c>
      <c r="AI752" s="7" t="str">
        <f>VLOOKUP($AC752,Mapping!$E$11:$I$204,3,0)</f>
        <v>Replacement</v>
      </c>
      <c r="AJ752" s="7" t="str">
        <f>IFERROR(VLOOKUP($AE752,Mapping!$E$208:$K$236,5,0),"Contracts")</f>
        <v>Contracts</v>
      </c>
      <c r="AK752" s="7" t="str">
        <f>IFERROR(VLOOKUP($AE752,Mapping!$E$208:$K$236,7,0),"ENDirect")</f>
        <v>ENDirect</v>
      </c>
      <c r="AL752" s="7" t="str">
        <f>IFERROR(HLOOKUP(AJ752,'Calc|Weightings'!$U$5:$W$5,1,0),"Excl")</f>
        <v>Contracts</v>
      </c>
      <c r="AM752" s="7" t="str">
        <f>VLOOKUP(AC752,Mapping!$E$11:$I$204,5,0)</f>
        <v>SCS</v>
      </c>
      <c r="AO752" s="35" t="s">
        <v>209</v>
      </c>
      <c r="AP752" s="35"/>
      <c r="AQ752" s="35">
        <v>71010</v>
      </c>
      <c r="AR752" s="35" t="s">
        <v>487</v>
      </c>
      <c r="AS752" s="121">
        <v>39.233509999999995</v>
      </c>
      <c r="AU752" s="7" t="str">
        <f>VLOOKUP($AO752,Mapping!$E$11:$I$204,3,0)</f>
        <v>Replacement</v>
      </c>
      <c r="AV752" s="7" t="str">
        <f>IFERROR(VLOOKUP($AQ752,Mapping!$E$208:$K$236,5,0),"Contracts")</f>
        <v>Labour</v>
      </c>
      <c r="AW752" s="7" t="str">
        <f>IFERROR(VLOOKUP($AQ752,Mapping!$E$208:$K$236,7,0),"ENDirect")</f>
        <v>ENDirect</v>
      </c>
      <c r="AX752" s="7" t="str">
        <f>IFERROR(HLOOKUP(AV752,'Calc|Weightings'!$U$5:$W$5,1,0),"Excl")</f>
        <v>Labour</v>
      </c>
      <c r="AY752" s="7" t="str">
        <f>VLOOKUP(AO752,Mapping!$E$11:$I$204,5,0)</f>
        <v>SCS</v>
      </c>
    </row>
    <row r="753" spans="1:51" x14ac:dyDescent="0.3">
      <c r="A753" s="7"/>
      <c r="B753" s="7"/>
      <c r="C753" s="7"/>
      <c r="D753" s="7"/>
      <c r="E753" s="32" t="s">
        <v>200</v>
      </c>
      <c r="F753" s="32"/>
      <c r="G753" s="32">
        <v>71055</v>
      </c>
      <c r="H753" s="32" t="s">
        <v>465</v>
      </c>
      <c r="I753" s="33">
        <v>20.623000000000001</v>
      </c>
      <c r="J753" s="170"/>
      <c r="K753" s="7" t="str">
        <f>VLOOKUP($E753,Mapping!$E$11:$I$204,3,0)</f>
        <v>Public Lighting</v>
      </c>
      <c r="L753" s="7" t="str">
        <f>IFERROR(VLOOKUP($G753,Mapping!$E$208:$K$236,5,0),"Contracts")</f>
        <v>Contracts</v>
      </c>
      <c r="M753" s="7" t="str">
        <f>IFERROR(VLOOKUP($G753,Mapping!$E$208:$K$236,7,0),"ENDirect")</f>
        <v>ENDirect</v>
      </c>
      <c r="N753" s="7" t="str">
        <f>IFERROR(HLOOKUP(L753,'Calc|Weightings'!$U$5:$W$5,1,0),"Excl")</f>
        <v>Contracts</v>
      </c>
      <c r="O753" s="7" t="str">
        <f>VLOOKUP(E753,Mapping!$E$11:$I$204,5,0)</f>
        <v>Public Lighting</v>
      </c>
      <c r="Q753" s="32" t="s">
        <v>229</v>
      </c>
      <c r="R753" s="32"/>
      <c r="S753" s="32">
        <v>71005</v>
      </c>
      <c r="T753" s="32" t="s">
        <v>461</v>
      </c>
      <c r="U753" s="33">
        <v>9.5850000000000009</v>
      </c>
      <c r="V753" s="7"/>
      <c r="W753" s="7" t="str">
        <f>VLOOKUP($Q753,Mapping!$E$11:$I$204,3,0)</f>
        <v>Replacement</v>
      </c>
      <c r="X753" s="7" t="str">
        <f>IFERROR(VLOOKUP($S753,Mapping!$E$208:$K$236,5,0),"Contracts")</f>
        <v>Materials</v>
      </c>
      <c r="Y753" s="7" t="str">
        <f>IFERROR(VLOOKUP($S753,Mapping!$E$208:$K$236,7,0),"ENDirect")</f>
        <v>ENDirect</v>
      </c>
      <c r="Z753" s="7" t="str">
        <f>IFERROR(HLOOKUP(X753,'Calc|Weightings'!$U$5:$W$5,1,0),"Excl")</f>
        <v>Materials</v>
      </c>
      <c r="AA753" s="7" t="str">
        <f>VLOOKUP(Q753,Mapping!$E$11:$I$204,5,0)</f>
        <v>SCS</v>
      </c>
      <c r="AC753" s="35" t="s">
        <v>223</v>
      </c>
      <c r="AD753" s="35"/>
      <c r="AE753" s="35">
        <v>80000</v>
      </c>
      <c r="AF753" s="35" t="s">
        <v>453</v>
      </c>
      <c r="AG753" s="36">
        <v>74.143000000000001</v>
      </c>
      <c r="AI753" s="7" t="str">
        <f>VLOOKUP($AC753,Mapping!$E$11:$I$204,3,0)</f>
        <v>Replacement</v>
      </c>
      <c r="AJ753" s="7" t="str">
        <f>IFERROR(VLOOKUP($AE753,Mapping!$E$208:$K$236,5,0),"Contracts")</f>
        <v>Overhead</v>
      </c>
      <c r="AK753" s="7" t="str">
        <f>IFERROR(VLOOKUP($AE753,Mapping!$E$208:$K$236,7,0),"ENDirect")</f>
        <v>OH</v>
      </c>
      <c r="AL753" s="7" t="str">
        <f>IFERROR(HLOOKUP(AJ753,'Calc|Weightings'!$U$5:$W$5,1,0),"Excl")</f>
        <v>Excl</v>
      </c>
      <c r="AM753" s="7" t="str">
        <f>VLOOKUP(AC753,Mapping!$E$11:$I$204,5,0)</f>
        <v>SCS</v>
      </c>
      <c r="AO753" s="35" t="s">
        <v>209</v>
      </c>
      <c r="AP753" s="35"/>
      <c r="AQ753" s="35">
        <v>71015</v>
      </c>
      <c r="AR753" s="35" t="s">
        <v>585</v>
      </c>
      <c r="AS753" s="121">
        <v>7.2183100000000007</v>
      </c>
      <c r="AU753" s="7" t="str">
        <f>VLOOKUP($AO753,Mapping!$E$11:$I$204,3,0)</f>
        <v>Replacement</v>
      </c>
      <c r="AV753" s="7" t="str">
        <f>IFERROR(VLOOKUP($AQ753,Mapping!$E$208:$K$236,5,0),"Contracts")</f>
        <v>Materials</v>
      </c>
      <c r="AW753" s="7" t="str">
        <f>IFERROR(VLOOKUP($AQ753,Mapping!$E$208:$K$236,7,0),"ENDirect")</f>
        <v>ENDirect</v>
      </c>
      <c r="AX753" s="7" t="str">
        <f>IFERROR(HLOOKUP(AV753,'Calc|Weightings'!$U$5:$W$5,1,0),"Excl")</f>
        <v>Materials</v>
      </c>
      <c r="AY753" s="7" t="str">
        <f>VLOOKUP(AO753,Mapping!$E$11:$I$204,5,0)</f>
        <v>SCS</v>
      </c>
    </row>
    <row r="754" spans="1:51" x14ac:dyDescent="0.3">
      <c r="A754" s="7"/>
      <c r="B754" s="7"/>
      <c r="C754" s="7"/>
      <c r="D754" s="7"/>
      <c r="E754" s="32" t="s">
        <v>200</v>
      </c>
      <c r="F754" s="32"/>
      <c r="G754" s="32">
        <v>80000</v>
      </c>
      <c r="H754" s="32" t="s">
        <v>453</v>
      </c>
      <c r="I754" s="33">
        <v>13.457000000000001</v>
      </c>
      <c r="J754" s="170"/>
      <c r="K754" s="7" t="str">
        <f>VLOOKUP($E754,Mapping!$E$11:$I$204,3,0)</f>
        <v>Public Lighting</v>
      </c>
      <c r="L754" s="7" t="str">
        <f>IFERROR(VLOOKUP($G754,Mapping!$E$208:$K$236,5,0),"Contracts")</f>
        <v>Overhead</v>
      </c>
      <c r="M754" s="7" t="str">
        <f>IFERROR(VLOOKUP($G754,Mapping!$E$208:$K$236,7,0),"ENDirect")</f>
        <v>OH</v>
      </c>
      <c r="N754" s="7" t="str">
        <f>IFERROR(HLOOKUP(L754,'Calc|Weightings'!$U$5:$W$5,1,0),"Excl")</f>
        <v>Excl</v>
      </c>
      <c r="O754" s="7" t="str">
        <f>VLOOKUP(E754,Mapping!$E$11:$I$204,5,0)</f>
        <v>Public Lighting</v>
      </c>
      <c r="Q754" s="32" t="s">
        <v>229</v>
      </c>
      <c r="R754" s="32"/>
      <c r="S754" s="32">
        <v>71010</v>
      </c>
      <c r="T754" s="32" t="s">
        <v>462</v>
      </c>
      <c r="U754" s="33">
        <v>24.550999999999998</v>
      </c>
      <c r="V754" s="7"/>
      <c r="W754" s="7" t="str">
        <f>VLOOKUP($Q754,Mapping!$E$11:$I$204,3,0)</f>
        <v>Replacement</v>
      </c>
      <c r="X754" s="7" t="str">
        <f>IFERROR(VLOOKUP($S754,Mapping!$E$208:$K$236,5,0),"Contracts")</f>
        <v>Labour</v>
      </c>
      <c r="Y754" s="7" t="str">
        <f>IFERROR(VLOOKUP($S754,Mapping!$E$208:$K$236,7,0),"ENDirect")</f>
        <v>ENDirect</v>
      </c>
      <c r="Z754" s="7" t="str">
        <f>IFERROR(HLOOKUP(X754,'Calc|Weightings'!$U$5:$W$5,1,0),"Excl")</f>
        <v>Labour</v>
      </c>
      <c r="AA754" s="7" t="str">
        <f>VLOOKUP(Q754,Mapping!$E$11:$I$204,5,0)</f>
        <v>SCS</v>
      </c>
      <c r="AC754" s="35" t="s">
        <v>223</v>
      </c>
      <c r="AD754" s="35"/>
      <c r="AE754" s="35">
        <v>89999</v>
      </c>
      <c r="AF754" s="35" t="s">
        <v>471</v>
      </c>
      <c r="AG754" s="36">
        <v>0</v>
      </c>
      <c r="AI754" s="7" t="str">
        <f>VLOOKUP($AC754,Mapping!$E$11:$I$204,3,0)</f>
        <v>Replacement</v>
      </c>
      <c r="AJ754" s="7" t="str">
        <f>IFERROR(VLOOKUP($AE754,Mapping!$E$208:$K$236,5,0),"Contracts")</f>
        <v>Contracts</v>
      </c>
      <c r="AK754" s="7" t="str">
        <f>IFERROR(VLOOKUP($AE754,Mapping!$E$208:$K$236,7,0),"ENDirect")</f>
        <v>ENDirect</v>
      </c>
      <c r="AL754" s="7" t="str">
        <f>IFERROR(HLOOKUP(AJ754,'Calc|Weightings'!$U$5:$W$5,1,0),"Excl")</f>
        <v>Contracts</v>
      </c>
      <c r="AM754" s="7" t="str">
        <f>VLOOKUP(AC754,Mapping!$E$11:$I$204,5,0)</f>
        <v>SCS</v>
      </c>
      <c r="AO754" s="35" t="s">
        <v>209</v>
      </c>
      <c r="AP754" s="35"/>
      <c r="AQ754" s="35">
        <v>71030</v>
      </c>
      <c r="AR754" s="35" t="s">
        <v>464</v>
      </c>
      <c r="AS754" s="121">
        <v>2.8826900000000002</v>
      </c>
      <c r="AU754" s="7" t="str">
        <f>VLOOKUP($AO754,Mapping!$E$11:$I$204,3,0)</f>
        <v>Replacement</v>
      </c>
      <c r="AV754" s="7" t="str">
        <f>IFERROR(VLOOKUP($AQ754,Mapping!$E$208:$K$236,5,0),"Contracts")</f>
        <v>Contracts</v>
      </c>
      <c r="AW754" s="7" t="str">
        <f>IFERROR(VLOOKUP($AQ754,Mapping!$E$208:$K$236,7,0),"ENDirect")</f>
        <v>ENDirect</v>
      </c>
      <c r="AX754" s="7" t="str">
        <f>IFERROR(HLOOKUP(AV754,'Calc|Weightings'!$U$5:$W$5,1,0),"Excl")</f>
        <v>Contracts</v>
      </c>
      <c r="AY754" s="7" t="str">
        <f>VLOOKUP(AO754,Mapping!$E$11:$I$204,5,0)</f>
        <v>SCS</v>
      </c>
    </row>
    <row r="755" spans="1:51" x14ac:dyDescent="0.3">
      <c r="A755" s="7"/>
      <c r="B755" s="7"/>
      <c r="C755" s="7"/>
      <c r="D755" s="7"/>
      <c r="E755" s="32" t="s">
        <v>201</v>
      </c>
      <c r="F755" s="32"/>
      <c r="G755" s="32">
        <v>71000</v>
      </c>
      <c r="H755" s="32" t="s">
        <v>457</v>
      </c>
      <c r="I755" s="33">
        <v>1739.864</v>
      </c>
      <c r="J755" s="170"/>
      <c r="K755" s="7" t="str">
        <f>VLOOKUP($E755,Mapping!$E$11:$I$204,3,0)</f>
        <v>Replacement</v>
      </c>
      <c r="L755" s="7" t="str">
        <f>IFERROR(VLOOKUP($G755,Mapping!$E$208:$K$236,5,0),"Contracts")</f>
        <v>Labour</v>
      </c>
      <c r="M755" s="7" t="str">
        <f>IFERROR(VLOOKUP($G755,Mapping!$E$208:$K$236,7,0),"ENDirect")</f>
        <v>ENDirect</v>
      </c>
      <c r="N755" s="7" t="str">
        <f>IFERROR(HLOOKUP(L755,'Calc|Weightings'!$U$5:$W$5,1,0),"Excl")</f>
        <v>Labour</v>
      </c>
      <c r="O755" s="7" t="str">
        <f>VLOOKUP(E755,Mapping!$E$11:$I$204,5,0)</f>
        <v>SCS</v>
      </c>
      <c r="Q755" s="32" t="s">
        <v>229</v>
      </c>
      <c r="R755" s="32"/>
      <c r="S755" s="32">
        <v>71015</v>
      </c>
      <c r="T755" s="32" t="s">
        <v>463</v>
      </c>
      <c r="U755" s="33">
        <v>15.618</v>
      </c>
      <c r="V755" s="7"/>
      <c r="W755" s="7" t="str">
        <f>VLOOKUP($Q755,Mapping!$E$11:$I$204,3,0)</f>
        <v>Replacement</v>
      </c>
      <c r="X755" s="7" t="str">
        <f>IFERROR(VLOOKUP($S755,Mapping!$E$208:$K$236,5,0),"Contracts")</f>
        <v>Materials</v>
      </c>
      <c r="Y755" s="7" t="str">
        <f>IFERROR(VLOOKUP($S755,Mapping!$E$208:$K$236,7,0),"ENDirect")</f>
        <v>ENDirect</v>
      </c>
      <c r="Z755" s="7" t="str">
        <f>IFERROR(HLOOKUP(X755,'Calc|Weightings'!$U$5:$W$5,1,0),"Excl")</f>
        <v>Materials</v>
      </c>
      <c r="AA755" s="7" t="str">
        <f>VLOOKUP(Q755,Mapping!$E$11:$I$204,5,0)</f>
        <v>SCS</v>
      </c>
      <c r="AC755" s="35" t="s">
        <v>224</v>
      </c>
      <c r="AD755" s="35"/>
      <c r="AE755" s="35">
        <v>71000</v>
      </c>
      <c r="AF755" s="35" t="s">
        <v>457</v>
      </c>
      <c r="AG755" s="36">
        <v>321.42200000000003</v>
      </c>
      <c r="AI755" s="7" t="str">
        <f>VLOOKUP($AC755,Mapping!$E$11:$I$204,3,0)</f>
        <v>Replacement</v>
      </c>
      <c r="AJ755" s="7" t="str">
        <f>IFERROR(VLOOKUP($AE755,Mapping!$E$208:$K$236,5,0),"Contracts")</f>
        <v>Labour</v>
      </c>
      <c r="AK755" s="7" t="str">
        <f>IFERROR(VLOOKUP($AE755,Mapping!$E$208:$K$236,7,0),"ENDirect")</f>
        <v>ENDirect</v>
      </c>
      <c r="AL755" s="7" t="str">
        <f>IFERROR(HLOOKUP(AJ755,'Calc|Weightings'!$U$5:$W$5,1,0),"Excl")</f>
        <v>Labour</v>
      </c>
      <c r="AM755" s="7" t="str">
        <f>VLOOKUP(AC755,Mapping!$E$11:$I$204,5,0)</f>
        <v>SCS</v>
      </c>
      <c r="AO755" s="35" t="s">
        <v>209</v>
      </c>
      <c r="AP755" s="35"/>
      <c r="AQ755" s="35">
        <v>71055</v>
      </c>
      <c r="AR755" s="35" t="s">
        <v>465</v>
      </c>
      <c r="AS755" s="121">
        <v>2.8170600000000006</v>
      </c>
      <c r="AU755" s="7" t="str">
        <f>VLOOKUP($AO755,Mapping!$E$11:$I$204,3,0)</f>
        <v>Replacement</v>
      </c>
      <c r="AV755" s="7" t="str">
        <f>IFERROR(VLOOKUP($AQ755,Mapping!$E$208:$K$236,5,0),"Contracts")</f>
        <v>Contracts</v>
      </c>
      <c r="AW755" s="7" t="str">
        <f>IFERROR(VLOOKUP($AQ755,Mapping!$E$208:$K$236,7,0),"ENDirect")</f>
        <v>ENDirect</v>
      </c>
      <c r="AX755" s="7" t="str">
        <f>IFERROR(HLOOKUP(AV755,'Calc|Weightings'!$U$5:$W$5,1,0),"Excl")</f>
        <v>Contracts</v>
      </c>
      <c r="AY755" s="7" t="str">
        <f>VLOOKUP(AO755,Mapping!$E$11:$I$204,5,0)</f>
        <v>SCS</v>
      </c>
    </row>
    <row r="756" spans="1:51" x14ac:dyDescent="0.3">
      <c r="A756" s="7"/>
      <c r="B756" s="7"/>
      <c r="C756" s="7"/>
      <c r="D756" s="7"/>
      <c r="E756" s="32" t="s">
        <v>201</v>
      </c>
      <c r="F756" s="32"/>
      <c r="G756" s="32">
        <v>71005</v>
      </c>
      <c r="H756" s="32" t="s">
        <v>461</v>
      </c>
      <c r="I756" s="33">
        <v>807.44799999999998</v>
      </c>
      <c r="J756" s="170"/>
      <c r="K756" s="7" t="str">
        <f>VLOOKUP($E756,Mapping!$E$11:$I$204,3,0)</f>
        <v>Replacement</v>
      </c>
      <c r="L756" s="7" t="str">
        <f>IFERROR(VLOOKUP($G756,Mapping!$E$208:$K$236,5,0),"Contracts")</f>
        <v>Materials</v>
      </c>
      <c r="M756" s="7" t="str">
        <f>IFERROR(VLOOKUP($G756,Mapping!$E$208:$K$236,7,0),"ENDirect")</f>
        <v>ENDirect</v>
      </c>
      <c r="N756" s="7" t="str">
        <f>IFERROR(HLOOKUP(L756,'Calc|Weightings'!$U$5:$W$5,1,0),"Excl")</f>
        <v>Materials</v>
      </c>
      <c r="O756" s="7" t="str">
        <f>VLOOKUP(E756,Mapping!$E$11:$I$204,5,0)</f>
        <v>SCS</v>
      </c>
      <c r="Q756" s="32" t="s">
        <v>229</v>
      </c>
      <c r="R756" s="32"/>
      <c r="S756" s="32">
        <v>71030</v>
      </c>
      <c r="T756" s="32" t="s">
        <v>464</v>
      </c>
      <c r="U756" s="33">
        <v>8.8290000000000006</v>
      </c>
      <c r="V756" s="7"/>
      <c r="W756" s="7" t="str">
        <f>VLOOKUP($Q756,Mapping!$E$11:$I$204,3,0)</f>
        <v>Replacement</v>
      </c>
      <c r="X756" s="7" t="str">
        <f>IFERROR(VLOOKUP($S756,Mapping!$E$208:$K$236,5,0),"Contracts")</f>
        <v>Contracts</v>
      </c>
      <c r="Y756" s="7" t="str">
        <f>IFERROR(VLOOKUP($S756,Mapping!$E$208:$K$236,7,0),"ENDirect")</f>
        <v>ENDirect</v>
      </c>
      <c r="Z756" s="7" t="str">
        <f>IFERROR(HLOOKUP(X756,'Calc|Weightings'!$U$5:$W$5,1,0),"Excl")</f>
        <v>Contracts</v>
      </c>
      <c r="AA756" s="7" t="str">
        <f>VLOOKUP(Q756,Mapping!$E$11:$I$204,5,0)</f>
        <v>SCS</v>
      </c>
      <c r="AC756" s="35" t="s">
        <v>224</v>
      </c>
      <c r="AD756" s="35"/>
      <c r="AE756" s="35">
        <v>71005</v>
      </c>
      <c r="AF756" s="35" t="s">
        <v>461</v>
      </c>
      <c r="AG756" s="36">
        <v>40.073999999999998</v>
      </c>
      <c r="AI756" s="7" t="str">
        <f>VLOOKUP($AC756,Mapping!$E$11:$I$204,3,0)</f>
        <v>Replacement</v>
      </c>
      <c r="AJ756" s="7" t="str">
        <f>IFERROR(VLOOKUP($AE756,Mapping!$E$208:$K$236,5,0),"Contracts")</f>
        <v>Materials</v>
      </c>
      <c r="AK756" s="7" t="str">
        <f>IFERROR(VLOOKUP($AE756,Mapping!$E$208:$K$236,7,0),"ENDirect")</f>
        <v>ENDirect</v>
      </c>
      <c r="AL756" s="7" t="str">
        <f>IFERROR(HLOOKUP(AJ756,'Calc|Weightings'!$U$5:$W$5,1,0),"Excl")</f>
        <v>Materials</v>
      </c>
      <c r="AM756" s="7" t="str">
        <f>VLOOKUP(AC756,Mapping!$E$11:$I$204,5,0)</f>
        <v>SCS</v>
      </c>
      <c r="AO756" s="35" t="s">
        <v>209</v>
      </c>
      <c r="AP756" s="35"/>
      <c r="AQ756" s="35">
        <v>80000</v>
      </c>
      <c r="AR756" s="35" t="s">
        <v>589</v>
      </c>
      <c r="AS756" s="121">
        <v>17.876500000000004</v>
      </c>
      <c r="AU756" s="7" t="str">
        <f>VLOOKUP($AO756,Mapping!$E$11:$I$204,3,0)</f>
        <v>Replacement</v>
      </c>
      <c r="AV756" s="7" t="str">
        <f>IFERROR(VLOOKUP($AQ756,Mapping!$E$208:$K$236,5,0),"Contracts")</f>
        <v>Overhead</v>
      </c>
      <c r="AW756" s="7" t="str">
        <f>IFERROR(VLOOKUP($AQ756,Mapping!$E$208:$K$236,7,0),"ENDirect")</f>
        <v>OH</v>
      </c>
      <c r="AX756" s="7" t="str">
        <f>IFERROR(HLOOKUP(AV756,'Calc|Weightings'!$U$5:$W$5,1,0),"Excl")</f>
        <v>Excl</v>
      </c>
      <c r="AY756" s="7" t="str">
        <f>VLOOKUP(AO756,Mapping!$E$11:$I$204,5,0)</f>
        <v>SCS</v>
      </c>
    </row>
    <row r="757" spans="1:51" x14ac:dyDescent="0.3">
      <c r="A757" s="7"/>
      <c r="B757" s="7"/>
      <c r="C757" s="7"/>
      <c r="D757" s="7"/>
      <c r="E757" s="32" t="s">
        <v>201</v>
      </c>
      <c r="F757" s="32"/>
      <c r="G757" s="32">
        <v>71010</v>
      </c>
      <c r="H757" s="32" t="s">
        <v>462</v>
      </c>
      <c r="I757" s="33">
        <v>1288.1669999999999</v>
      </c>
      <c r="J757" s="170"/>
      <c r="K757" s="7" t="str">
        <f>VLOOKUP($E757,Mapping!$E$11:$I$204,3,0)</f>
        <v>Replacement</v>
      </c>
      <c r="L757" s="7" t="str">
        <f>IFERROR(VLOOKUP($G757,Mapping!$E$208:$K$236,5,0),"Contracts")</f>
        <v>Labour</v>
      </c>
      <c r="M757" s="7" t="str">
        <f>IFERROR(VLOOKUP($G757,Mapping!$E$208:$K$236,7,0),"ENDirect")</f>
        <v>ENDirect</v>
      </c>
      <c r="N757" s="7" t="str">
        <f>IFERROR(HLOOKUP(L757,'Calc|Weightings'!$U$5:$W$5,1,0),"Excl")</f>
        <v>Labour</v>
      </c>
      <c r="O757" s="7" t="str">
        <f>VLOOKUP(E757,Mapping!$E$11:$I$204,5,0)</f>
        <v>SCS</v>
      </c>
      <c r="Q757" s="32" t="s">
        <v>229</v>
      </c>
      <c r="R757" s="32"/>
      <c r="S757" s="32">
        <v>71055</v>
      </c>
      <c r="T757" s="32" t="s">
        <v>465</v>
      </c>
      <c r="U757" s="33">
        <v>18.361000000000001</v>
      </c>
      <c r="V757" s="7"/>
      <c r="W757" s="7" t="str">
        <f>VLOOKUP($Q757,Mapping!$E$11:$I$204,3,0)</f>
        <v>Replacement</v>
      </c>
      <c r="X757" s="7" t="str">
        <f>IFERROR(VLOOKUP($S757,Mapping!$E$208:$K$236,5,0),"Contracts")</f>
        <v>Contracts</v>
      </c>
      <c r="Y757" s="7" t="str">
        <f>IFERROR(VLOOKUP($S757,Mapping!$E$208:$K$236,7,0),"ENDirect")</f>
        <v>ENDirect</v>
      </c>
      <c r="Z757" s="7" t="str">
        <f>IFERROR(HLOOKUP(X757,'Calc|Weightings'!$U$5:$W$5,1,0),"Excl")</f>
        <v>Contracts</v>
      </c>
      <c r="AA757" s="7" t="str">
        <f>VLOOKUP(Q757,Mapping!$E$11:$I$204,5,0)</f>
        <v>SCS</v>
      </c>
      <c r="AC757" s="35" t="s">
        <v>224</v>
      </c>
      <c r="AD757" s="35"/>
      <c r="AE757" s="35">
        <v>71010</v>
      </c>
      <c r="AF757" s="35" t="s">
        <v>462</v>
      </c>
      <c r="AG757" s="36">
        <v>114.598</v>
      </c>
      <c r="AI757" s="7" t="str">
        <f>VLOOKUP($AC757,Mapping!$E$11:$I$204,3,0)</f>
        <v>Replacement</v>
      </c>
      <c r="AJ757" s="7" t="str">
        <f>IFERROR(VLOOKUP($AE757,Mapping!$E$208:$K$236,5,0),"Contracts")</f>
        <v>Labour</v>
      </c>
      <c r="AK757" s="7" t="str">
        <f>IFERROR(VLOOKUP($AE757,Mapping!$E$208:$K$236,7,0),"ENDirect")</f>
        <v>ENDirect</v>
      </c>
      <c r="AL757" s="7" t="str">
        <f>IFERROR(HLOOKUP(AJ757,'Calc|Weightings'!$U$5:$W$5,1,0),"Excl")</f>
        <v>Labour</v>
      </c>
      <c r="AM757" s="7" t="str">
        <f>VLOOKUP(AC757,Mapping!$E$11:$I$204,5,0)</f>
        <v>SCS</v>
      </c>
      <c r="AO757" s="35" t="s">
        <v>209</v>
      </c>
      <c r="AP757" s="35"/>
      <c r="AQ757" s="35">
        <v>83010</v>
      </c>
      <c r="AR757" s="35" t="s">
        <v>591</v>
      </c>
      <c r="AS757" s="121">
        <v>53.533830000000009</v>
      </c>
      <c r="AU757" s="7" t="str">
        <f>VLOOKUP($AO757,Mapping!$E$11:$I$204,3,0)</f>
        <v>Replacement</v>
      </c>
      <c r="AV757" s="7" t="str">
        <f>IFERROR(VLOOKUP($AQ757,Mapping!$E$208:$K$236,5,0),"Contracts")</f>
        <v>Contracts</v>
      </c>
      <c r="AW757" s="7" t="str">
        <f>IFERROR(VLOOKUP($AQ757,Mapping!$E$208:$K$236,7,0),"ENDirect")</f>
        <v>ENDirect</v>
      </c>
      <c r="AX757" s="7" t="str">
        <f>IFERROR(HLOOKUP(AV757,'Calc|Weightings'!$U$5:$W$5,1,0),"Excl")</f>
        <v>Contracts</v>
      </c>
      <c r="AY757" s="7" t="str">
        <f>VLOOKUP(AO757,Mapping!$E$11:$I$204,5,0)</f>
        <v>SCS</v>
      </c>
    </row>
    <row r="758" spans="1:51" x14ac:dyDescent="0.3">
      <c r="A758" s="7"/>
      <c r="B758" s="7"/>
      <c r="C758" s="7"/>
      <c r="D758" s="7"/>
      <c r="E758" s="32" t="s">
        <v>201</v>
      </c>
      <c r="F758" s="32"/>
      <c r="G758" s="32">
        <v>71015</v>
      </c>
      <c r="H758" s="32" t="s">
        <v>463</v>
      </c>
      <c r="I758" s="33">
        <v>482.24</v>
      </c>
      <c r="J758" s="170"/>
      <c r="K758" s="7" t="str">
        <f>VLOOKUP($E758,Mapping!$E$11:$I$204,3,0)</f>
        <v>Replacement</v>
      </c>
      <c r="L758" s="7" t="str">
        <f>IFERROR(VLOOKUP($G758,Mapping!$E$208:$K$236,5,0),"Contracts")</f>
        <v>Materials</v>
      </c>
      <c r="M758" s="7" t="str">
        <f>IFERROR(VLOOKUP($G758,Mapping!$E$208:$K$236,7,0),"ENDirect")</f>
        <v>ENDirect</v>
      </c>
      <c r="N758" s="7" t="str">
        <f>IFERROR(HLOOKUP(L758,'Calc|Weightings'!$U$5:$W$5,1,0),"Excl")</f>
        <v>Materials</v>
      </c>
      <c r="O758" s="7" t="str">
        <f>VLOOKUP(E758,Mapping!$E$11:$I$204,5,0)</f>
        <v>SCS</v>
      </c>
      <c r="Q758" s="32" t="s">
        <v>229</v>
      </c>
      <c r="R758" s="32"/>
      <c r="S758" s="32">
        <v>80000</v>
      </c>
      <c r="T758" s="32" t="s">
        <v>453</v>
      </c>
      <c r="U758" s="33">
        <v>16.324000000000002</v>
      </c>
      <c r="V758" s="7"/>
      <c r="W758" s="7" t="str">
        <f>VLOOKUP($Q758,Mapping!$E$11:$I$204,3,0)</f>
        <v>Replacement</v>
      </c>
      <c r="X758" s="7" t="str">
        <f>IFERROR(VLOOKUP($S758,Mapping!$E$208:$K$236,5,0),"Contracts")</f>
        <v>Overhead</v>
      </c>
      <c r="Y758" s="7" t="str">
        <f>IFERROR(VLOOKUP($S758,Mapping!$E$208:$K$236,7,0),"ENDirect")</f>
        <v>OH</v>
      </c>
      <c r="Z758" s="7" t="str">
        <f>IFERROR(HLOOKUP(X758,'Calc|Weightings'!$U$5:$W$5,1,0),"Excl")</f>
        <v>Excl</v>
      </c>
      <c r="AA758" s="7" t="str">
        <f>VLOOKUP(Q758,Mapping!$E$11:$I$204,5,0)</f>
        <v>SCS</v>
      </c>
      <c r="AC758" s="35" t="s">
        <v>224</v>
      </c>
      <c r="AD758" s="35"/>
      <c r="AE758" s="35">
        <v>71015</v>
      </c>
      <c r="AF758" s="35" t="s">
        <v>463</v>
      </c>
      <c r="AG758" s="36">
        <v>46.908000000000001</v>
      </c>
      <c r="AI758" s="7" t="str">
        <f>VLOOKUP($AC758,Mapping!$E$11:$I$204,3,0)</f>
        <v>Replacement</v>
      </c>
      <c r="AJ758" s="7" t="str">
        <f>IFERROR(VLOOKUP($AE758,Mapping!$E$208:$K$236,5,0),"Contracts")</f>
        <v>Materials</v>
      </c>
      <c r="AK758" s="7" t="str">
        <f>IFERROR(VLOOKUP($AE758,Mapping!$E$208:$K$236,7,0),"ENDirect")</f>
        <v>ENDirect</v>
      </c>
      <c r="AL758" s="7" t="str">
        <f>IFERROR(HLOOKUP(AJ758,'Calc|Weightings'!$U$5:$W$5,1,0),"Excl")</f>
        <v>Materials</v>
      </c>
      <c r="AM758" s="7" t="str">
        <f>VLOOKUP(AC758,Mapping!$E$11:$I$204,5,0)</f>
        <v>SCS</v>
      </c>
      <c r="AO758" s="35" t="s">
        <v>210</v>
      </c>
      <c r="AP758" s="35"/>
      <c r="AQ758" s="35">
        <v>70815</v>
      </c>
      <c r="AR758" s="35" t="s">
        <v>594</v>
      </c>
      <c r="AS758" s="121">
        <v>934.05400000000009</v>
      </c>
      <c r="AU758" s="7" t="str">
        <f>VLOOKUP($AO758,Mapping!$E$11:$I$204,3,0)</f>
        <v>Replacement</v>
      </c>
      <c r="AV758" s="7" t="str">
        <f>IFERROR(VLOOKUP($AQ758,Mapping!$E$208:$K$236,5,0),"Contracts")</f>
        <v>Materials</v>
      </c>
      <c r="AW758" s="7" t="str">
        <f>IFERROR(VLOOKUP($AQ758,Mapping!$E$208:$K$236,7,0),"ENDirect")</f>
        <v>ENDirect</v>
      </c>
      <c r="AX758" s="7" t="str">
        <f>IFERROR(HLOOKUP(AV758,'Calc|Weightings'!$U$5:$W$5,1,0),"Excl")</f>
        <v>Materials</v>
      </c>
      <c r="AY758" s="7" t="str">
        <f>VLOOKUP(AO758,Mapping!$E$11:$I$204,5,0)</f>
        <v>SCS</v>
      </c>
    </row>
    <row r="759" spans="1:51" x14ac:dyDescent="0.3">
      <c r="A759" s="7"/>
      <c r="B759" s="7"/>
      <c r="C759" s="7"/>
      <c r="D759" s="7"/>
      <c r="E759" s="32" t="s">
        <v>201</v>
      </c>
      <c r="F759" s="32"/>
      <c r="G759" s="32">
        <v>71020</v>
      </c>
      <c r="H759" s="32" t="s">
        <v>459</v>
      </c>
      <c r="I759" s="33">
        <v>37.954999999999998</v>
      </c>
      <c r="J759" s="170"/>
      <c r="K759" s="7" t="str">
        <f>VLOOKUP($E759,Mapping!$E$11:$I$204,3,0)</f>
        <v>Replacement</v>
      </c>
      <c r="L759" s="7" t="str">
        <f>IFERROR(VLOOKUP($G759,Mapping!$E$208:$K$236,5,0),"Contracts")</f>
        <v>Contracts</v>
      </c>
      <c r="M759" s="7" t="str">
        <f>IFERROR(VLOOKUP($G759,Mapping!$E$208:$K$236,7,0),"ENDirect")</f>
        <v>ENDirect</v>
      </c>
      <c r="N759" s="7" t="str">
        <f>IFERROR(HLOOKUP(L759,'Calc|Weightings'!$U$5:$W$5,1,0),"Excl")</f>
        <v>Contracts</v>
      </c>
      <c r="O759" s="7" t="str">
        <f>VLOOKUP(E759,Mapping!$E$11:$I$204,5,0)</f>
        <v>SCS</v>
      </c>
      <c r="Q759" s="32" t="s">
        <v>229</v>
      </c>
      <c r="R759" s="32"/>
      <c r="S759" s="32">
        <v>89999</v>
      </c>
      <c r="T759" s="32" t="s">
        <v>471</v>
      </c>
      <c r="U759" s="33">
        <v>0</v>
      </c>
      <c r="V759" s="7"/>
      <c r="W759" s="7" t="str">
        <f>VLOOKUP($Q759,Mapping!$E$11:$I$204,3,0)</f>
        <v>Replacement</v>
      </c>
      <c r="X759" s="7" t="str">
        <f>IFERROR(VLOOKUP($S759,Mapping!$E$208:$K$236,5,0),"Contracts")</f>
        <v>Contracts</v>
      </c>
      <c r="Y759" s="7" t="str">
        <f>IFERROR(VLOOKUP($S759,Mapping!$E$208:$K$236,7,0),"ENDirect")</f>
        <v>ENDirect</v>
      </c>
      <c r="Z759" s="7" t="str">
        <f>IFERROR(HLOOKUP(X759,'Calc|Weightings'!$U$5:$W$5,1,0),"Excl")</f>
        <v>Contracts</v>
      </c>
      <c r="AA759" s="7" t="str">
        <f>VLOOKUP(Q759,Mapping!$E$11:$I$204,5,0)</f>
        <v>SCS</v>
      </c>
      <c r="AC759" s="35" t="s">
        <v>224</v>
      </c>
      <c r="AD759" s="35"/>
      <c r="AE759" s="35">
        <v>71030</v>
      </c>
      <c r="AF759" s="35" t="s">
        <v>464</v>
      </c>
      <c r="AG759" s="36">
        <v>42.203000000000003</v>
      </c>
      <c r="AI759" s="7" t="str">
        <f>VLOOKUP($AC759,Mapping!$E$11:$I$204,3,0)</f>
        <v>Replacement</v>
      </c>
      <c r="AJ759" s="7" t="str">
        <f>IFERROR(VLOOKUP($AE759,Mapping!$E$208:$K$236,5,0),"Contracts")</f>
        <v>Contracts</v>
      </c>
      <c r="AK759" s="7" t="str">
        <f>IFERROR(VLOOKUP($AE759,Mapping!$E$208:$K$236,7,0),"ENDirect")</f>
        <v>ENDirect</v>
      </c>
      <c r="AL759" s="7" t="str">
        <f>IFERROR(HLOOKUP(AJ759,'Calc|Weightings'!$U$5:$W$5,1,0),"Excl")</f>
        <v>Contracts</v>
      </c>
      <c r="AM759" s="7" t="str">
        <f>VLOOKUP(AC759,Mapping!$E$11:$I$204,5,0)</f>
        <v>SCS</v>
      </c>
      <c r="AO759" s="35" t="s">
        <v>210</v>
      </c>
      <c r="AP759" s="35"/>
      <c r="AQ759" s="35">
        <v>71000</v>
      </c>
      <c r="AR759" s="35" t="s">
        <v>457</v>
      </c>
      <c r="AS759" s="121">
        <v>1437.6718800000001</v>
      </c>
      <c r="AU759" s="7" t="str">
        <f>VLOOKUP($AO759,Mapping!$E$11:$I$204,3,0)</f>
        <v>Replacement</v>
      </c>
      <c r="AV759" s="7" t="str">
        <f>IFERROR(VLOOKUP($AQ759,Mapping!$E$208:$K$236,5,0),"Contracts")</f>
        <v>Labour</v>
      </c>
      <c r="AW759" s="7" t="str">
        <f>IFERROR(VLOOKUP($AQ759,Mapping!$E$208:$K$236,7,0),"ENDirect")</f>
        <v>ENDirect</v>
      </c>
      <c r="AX759" s="7" t="str">
        <f>IFERROR(HLOOKUP(AV759,'Calc|Weightings'!$U$5:$W$5,1,0),"Excl")</f>
        <v>Labour</v>
      </c>
      <c r="AY759" s="7" t="str">
        <f>VLOOKUP(AO759,Mapping!$E$11:$I$204,5,0)</f>
        <v>SCS</v>
      </c>
    </row>
    <row r="760" spans="1:51" x14ac:dyDescent="0.3">
      <c r="A760" s="7"/>
      <c r="B760" s="7"/>
      <c r="C760" s="7"/>
      <c r="D760" s="7"/>
      <c r="E760" s="32" t="s">
        <v>201</v>
      </c>
      <c r="F760" s="32"/>
      <c r="G760" s="32">
        <v>71030</v>
      </c>
      <c r="H760" s="32" t="s">
        <v>464</v>
      </c>
      <c r="I760" s="33">
        <v>366.82900000000001</v>
      </c>
      <c r="J760" s="170"/>
      <c r="K760" s="7" t="str">
        <f>VLOOKUP($E760,Mapping!$E$11:$I$204,3,0)</f>
        <v>Replacement</v>
      </c>
      <c r="L760" s="7" t="str">
        <f>IFERROR(VLOOKUP($G760,Mapping!$E$208:$K$236,5,0),"Contracts")</f>
        <v>Contracts</v>
      </c>
      <c r="M760" s="7" t="str">
        <f>IFERROR(VLOOKUP($G760,Mapping!$E$208:$K$236,7,0),"ENDirect")</f>
        <v>ENDirect</v>
      </c>
      <c r="N760" s="7" t="str">
        <f>IFERROR(HLOOKUP(L760,'Calc|Weightings'!$U$5:$W$5,1,0),"Excl")</f>
        <v>Contracts</v>
      </c>
      <c r="O760" s="7" t="str">
        <f>VLOOKUP(E760,Mapping!$E$11:$I$204,5,0)</f>
        <v>SCS</v>
      </c>
      <c r="Q760" s="32" t="s">
        <v>230</v>
      </c>
      <c r="R760" s="32"/>
      <c r="S760" s="32">
        <v>71000</v>
      </c>
      <c r="T760" s="32" t="s">
        <v>457</v>
      </c>
      <c r="U760" s="33">
        <v>2939.9549999999999</v>
      </c>
      <c r="V760" s="7"/>
      <c r="W760" s="7" t="str">
        <f>VLOOKUP($Q760,Mapping!$E$11:$I$204,3,0)</f>
        <v>Replacement</v>
      </c>
      <c r="X760" s="7" t="str">
        <f>IFERROR(VLOOKUP($S760,Mapping!$E$208:$K$236,5,0),"Contracts")</f>
        <v>Labour</v>
      </c>
      <c r="Y760" s="7" t="str">
        <f>IFERROR(VLOOKUP($S760,Mapping!$E$208:$K$236,7,0),"ENDirect")</f>
        <v>ENDirect</v>
      </c>
      <c r="Z760" s="7" t="str">
        <f>IFERROR(HLOOKUP(X760,'Calc|Weightings'!$U$5:$W$5,1,0),"Excl")</f>
        <v>Labour</v>
      </c>
      <c r="AA760" s="7" t="str">
        <f>VLOOKUP(Q760,Mapping!$E$11:$I$204,5,0)</f>
        <v>SCS</v>
      </c>
      <c r="AC760" s="35" t="s">
        <v>224</v>
      </c>
      <c r="AD760" s="35"/>
      <c r="AE760" s="35">
        <v>71055</v>
      </c>
      <c r="AF760" s="35" t="s">
        <v>465</v>
      </c>
      <c r="AG760" s="36">
        <v>89.406999999999996</v>
      </c>
      <c r="AI760" s="7" t="str">
        <f>VLOOKUP($AC760,Mapping!$E$11:$I$204,3,0)</f>
        <v>Replacement</v>
      </c>
      <c r="AJ760" s="7" t="str">
        <f>IFERROR(VLOOKUP($AE760,Mapping!$E$208:$K$236,5,0),"Contracts")</f>
        <v>Contracts</v>
      </c>
      <c r="AK760" s="7" t="str">
        <f>IFERROR(VLOOKUP($AE760,Mapping!$E$208:$K$236,7,0),"ENDirect")</f>
        <v>ENDirect</v>
      </c>
      <c r="AL760" s="7" t="str">
        <f>IFERROR(HLOOKUP(AJ760,'Calc|Weightings'!$U$5:$W$5,1,0),"Excl")</f>
        <v>Contracts</v>
      </c>
      <c r="AM760" s="7" t="str">
        <f>VLOOKUP(AC760,Mapping!$E$11:$I$204,5,0)</f>
        <v>SCS</v>
      </c>
      <c r="AO760" s="35" t="s">
        <v>210</v>
      </c>
      <c r="AP760" s="35"/>
      <c r="AQ760" s="35">
        <v>71005</v>
      </c>
      <c r="AR760" s="35" t="s">
        <v>461</v>
      </c>
      <c r="AS760" s="121">
        <v>121.16665999999999</v>
      </c>
      <c r="AU760" s="7" t="str">
        <f>VLOOKUP($AO760,Mapping!$E$11:$I$204,3,0)</f>
        <v>Replacement</v>
      </c>
      <c r="AV760" s="7" t="str">
        <f>IFERROR(VLOOKUP($AQ760,Mapping!$E$208:$K$236,5,0),"Contracts")</f>
        <v>Materials</v>
      </c>
      <c r="AW760" s="7" t="str">
        <f>IFERROR(VLOOKUP($AQ760,Mapping!$E$208:$K$236,7,0),"ENDirect")</f>
        <v>ENDirect</v>
      </c>
      <c r="AX760" s="7" t="str">
        <f>IFERROR(HLOOKUP(AV760,'Calc|Weightings'!$U$5:$W$5,1,0),"Excl")</f>
        <v>Materials</v>
      </c>
      <c r="AY760" s="7" t="str">
        <f>VLOOKUP(AO760,Mapping!$E$11:$I$204,5,0)</f>
        <v>SCS</v>
      </c>
    </row>
    <row r="761" spans="1:51" x14ac:dyDescent="0.3">
      <c r="A761" s="7"/>
      <c r="B761" s="7"/>
      <c r="C761" s="7"/>
      <c r="D761" s="7"/>
      <c r="E761" s="32" t="s">
        <v>201</v>
      </c>
      <c r="F761" s="32"/>
      <c r="G761" s="32">
        <v>71055</v>
      </c>
      <c r="H761" s="32" t="s">
        <v>465</v>
      </c>
      <c r="I761" s="33">
        <v>884.69799999999998</v>
      </c>
      <c r="J761" s="170"/>
      <c r="K761" s="7" t="str">
        <f>VLOOKUP($E761,Mapping!$E$11:$I$204,3,0)</f>
        <v>Replacement</v>
      </c>
      <c r="L761" s="7" t="str">
        <f>IFERROR(VLOOKUP($G761,Mapping!$E$208:$K$236,5,0),"Contracts")</f>
        <v>Contracts</v>
      </c>
      <c r="M761" s="7" t="str">
        <f>IFERROR(VLOOKUP($G761,Mapping!$E$208:$K$236,7,0),"ENDirect")</f>
        <v>ENDirect</v>
      </c>
      <c r="N761" s="7" t="str">
        <f>IFERROR(HLOOKUP(L761,'Calc|Weightings'!$U$5:$W$5,1,0),"Excl")</f>
        <v>Contracts</v>
      </c>
      <c r="O761" s="7" t="str">
        <f>VLOOKUP(E761,Mapping!$E$11:$I$204,5,0)</f>
        <v>SCS</v>
      </c>
      <c r="Q761" s="32" t="s">
        <v>230</v>
      </c>
      <c r="R761" s="32"/>
      <c r="S761" s="32">
        <v>71005</v>
      </c>
      <c r="T761" s="32" t="s">
        <v>461</v>
      </c>
      <c r="U761" s="33">
        <v>1253.125</v>
      </c>
      <c r="V761" s="7"/>
      <c r="W761" s="7" t="str">
        <f>VLOOKUP($Q761,Mapping!$E$11:$I$204,3,0)</f>
        <v>Replacement</v>
      </c>
      <c r="X761" s="7" t="str">
        <f>IFERROR(VLOOKUP($S761,Mapping!$E$208:$K$236,5,0),"Contracts")</f>
        <v>Materials</v>
      </c>
      <c r="Y761" s="7" t="str">
        <f>IFERROR(VLOOKUP($S761,Mapping!$E$208:$K$236,7,0),"ENDirect")</f>
        <v>ENDirect</v>
      </c>
      <c r="Z761" s="7" t="str">
        <f>IFERROR(HLOOKUP(X761,'Calc|Weightings'!$U$5:$W$5,1,0),"Excl")</f>
        <v>Materials</v>
      </c>
      <c r="AA761" s="7" t="str">
        <f>VLOOKUP(Q761,Mapping!$E$11:$I$204,5,0)</f>
        <v>SCS</v>
      </c>
      <c r="AC761" s="35" t="s">
        <v>224</v>
      </c>
      <c r="AD761" s="35"/>
      <c r="AE761" s="35">
        <v>80000</v>
      </c>
      <c r="AF761" s="35" t="s">
        <v>453</v>
      </c>
      <c r="AG761" s="36">
        <v>67.98</v>
      </c>
      <c r="AI761" s="7" t="str">
        <f>VLOOKUP($AC761,Mapping!$E$11:$I$204,3,0)</f>
        <v>Replacement</v>
      </c>
      <c r="AJ761" s="7" t="str">
        <f>IFERROR(VLOOKUP($AE761,Mapping!$E$208:$K$236,5,0),"Contracts")</f>
        <v>Overhead</v>
      </c>
      <c r="AK761" s="7" t="str">
        <f>IFERROR(VLOOKUP($AE761,Mapping!$E$208:$K$236,7,0),"ENDirect")</f>
        <v>OH</v>
      </c>
      <c r="AL761" s="7" t="str">
        <f>IFERROR(HLOOKUP(AJ761,'Calc|Weightings'!$U$5:$W$5,1,0),"Excl")</f>
        <v>Excl</v>
      </c>
      <c r="AM761" s="7" t="str">
        <f>VLOOKUP(AC761,Mapping!$E$11:$I$204,5,0)</f>
        <v>SCS</v>
      </c>
      <c r="AO761" s="35" t="s">
        <v>210</v>
      </c>
      <c r="AP761" s="35"/>
      <c r="AQ761" s="35">
        <v>71006</v>
      </c>
      <c r="AR761" s="35" t="s">
        <v>468</v>
      </c>
      <c r="AS761" s="121">
        <v>195.55142999999998</v>
      </c>
      <c r="AU761" s="7" t="str">
        <f>VLOOKUP($AO761,Mapping!$E$11:$I$204,3,0)</f>
        <v>Replacement</v>
      </c>
      <c r="AV761" s="7" t="str">
        <f>IFERROR(VLOOKUP($AQ761,Mapping!$E$208:$K$236,5,0),"Contracts")</f>
        <v>Materials</v>
      </c>
      <c r="AW761" s="7" t="str">
        <f>IFERROR(VLOOKUP($AQ761,Mapping!$E$208:$K$236,7,0),"ENDirect")</f>
        <v>ENDirect</v>
      </c>
      <c r="AX761" s="7" t="str">
        <f>IFERROR(HLOOKUP(AV761,'Calc|Weightings'!$U$5:$W$5,1,0),"Excl")</f>
        <v>Materials</v>
      </c>
      <c r="AY761" s="7" t="str">
        <f>VLOOKUP(AO761,Mapping!$E$11:$I$204,5,0)</f>
        <v>SCS</v>
      </c>
    </row>
    <row r="762" spans="1:51" x14ac:dyDescent="0.3">
      <c r="A762" s="7"/>
      <c r="B762" s="7"/>
      <c r="C762" s="7"/>
      <c r="D762" s="7"/>
      <c r="E762" s="32" t="s">
        <v>201</v>
      </c>
      <c r="F762" s="32"/>
      <c r="G762" s="32">
        <v>80000</v>
      </c>
      <c r="H762" s="32" t="s">
        <v>453</v>
      </c>
      <c r="I762" s="33">
        <v>538.55399999999997</v>
      </c>
      <c r="J762" s="170"/>
      <c r="K762" s="7" t="str">
        <f>VLOOKUP($E762,Mapping!$E$11:$I$204,3,0)</f>
        <v>Replacement</v>
      </c>
      <c r="L762" s="7" t="str">
        <f>IFERROR(VLOOKUP($G762,Mapping!$E$208:$K$236,5,0),"Contracts")</f>
        <v>Overhead</v>
      </c>
      <c r="M762" s="7" t="str">
        <f>IFERROR(VLOOKUP($G762,Mapping!$E$208:$K$236,7,0),"ENDirect")</f>
        <v>OH</v>
      </c>
      <c r="N762" s="7" t="str">
        <f>IFERROR(HLOOKUP(L762,'Calc|Weightings'!$U$5:$W$5,1,0),"Excl")</f>
        <v>Excl</v>
      </c>
      <c r="O762" s="7" t="str">
        <f>VLOOKUP(E762,Mapping!$E$11:$I$204,5,0)</f>
        <v>SCS</v>
      </c>
      <c r="Q762" s="32" t="s">
        <v>230</v>
      </c>
      <c r="R762" s="32"/>
      <c r="S762" s="32">
        <v>71010</v>
      </c>
      <c r="T762" s="32" t="s">
        <v>462</v>
      </c>
      <c r="U762" s="33">
        <v>3000.895</v>
      </c>
      <c r="V762" s="7"/>
      <c r="W762" s="7" t="str">
        <f>VLOOKUP($Q762,Mapping!$E$11:$I$204,3,0)</f>
        <v>Replacement</v>
      </c>
      <c r="X762" s="7" t="str">
        <f>IFERROR(VLOOKUP($S762,Mapping!$E$208:$K$236,5,0),"Contracts")</f>
        <v>Labour</v>
      </c>
      <c r="Y762" s="7" t="str">
        <f>IFERROR(VLOOKUP($S762,Mapping!$E$208:$K$236,7,0),"ENDirect")</f>
        <v>ENDirect</v>
      </c>
      <c r="Z762" s="7" t="str">
        <f>IFERROR(HLOOKUP(X762,'Calc|Weightings'!$U$5:$W$5,1,0),"Excl")</f>
        <v>Labour</v>
      </c>
      <c r="AA762" s="7" t="str">
        <f>VLOOKUP(Q762,Mapping!$E$11:$I$204,5,0)</f>
        <v>SCS</v>
      </c>
      <c r="AC762" s="35" t="s">
        <v>224</v>
      </c>
      <c r="AD762" s="35"/>
      <c r="AE762" s="35">
        <v>89999</v>
      </c>
      <c r="AF762" s="35" t="s">
        <v>471</v>
      </c>
      <c r="AG762" s="36">
        <v>0</v>
      </c>
      <c r="AI762" s="7" t="str">
        <f>VLOOKUP($AC762,Mapping!$E$11:$I$204,3,0)</f>
        <v>Replacement</v>
      </c>
      <c r="AJ762" s="7" t="str">
        <f>IFERROR(VLOOKUP($AE762,Mapping!$E$208:$K$236,5,0),"Contracts")</f>
        <v>Contracts</v>
      </c>
      <c r="AK762" s="7" t="str">
        <f>IFERROR(VLOOKUP($AE762,Mapping!$E$208:$K$236,7,0),"ENDirect")</f>
        <v>ENDirect</v>
      </c>
      <c r="AL762" s="7" t="str">
        <f>IFERROR(HLOOKUP(AJ762,'Calc|Weightings'!$U$5:$W$5,1,0),"Excl")</f>
        <v>Contracts</v>
      </c>
      <c r="AM762" s="7" t="str">
        <f>VLOOKUP(AC762,Mapping!$E$11:$I$204,5,0)</f>
        <v>SCS</v>
      </c>
      <c r="AO762" s="35" t="s">
        <v>210</v>
      </c>
      <c r="AP762" s="35"/>
      <c r="AQ762" s="35">
        <v>71010</v>
      </c>
      <c r="AR762" s="35" t="s">
        <v>487</v>
      </c>
      <c r="AS762" s="121">
        <v>1008.33775</v>
      </c>
      <c r="AU762" s="7" t="str">
        <f>VLOOKUP($AO762,Mapping!$E$11:$I$204,3,0)</f>
        <v>Replacement</v>
      </c>
      <c r="AV762" s="7" t="str">
        <f>IFERROR(VLOOKUP($AQ762,Mapping!$E$208:$K$236,5,0),"Contracts")</f>
        <v>Labour</v>
      </c>
      <c r="AW762" s="7" t="str">
        <f>IFERROR(VLOOKUP($AQ762,Mapping!$E$208:$K$236,7,0),"ENDirect")</f>
        <v>ENDirect</v>
      </c>
      <c r="AX762" s="7" t="str">
        <f>IFERROR(HLOOKUP(AV762,'Calc|Weightings'!$U$5:$W$5,1,0),"Excl")</f>
        <v>Labour</v>
      </c>
      <c r="AY762" s="7" t="str">
        <f>VLOOKUP(AO762,Mapping!$E$11:$I$204,5,0)</f>
        <v>SCS</v>
      </c>
    </row>
    <row r="763" spans="1:51" x14ac:dyDescent="0.3">
      <c r="A763" s="7"/>
      <c r="B763" s="7"/>
      <c r="C763" s="7"/>
      <c r="D763" s="7"/>
      <c r="E763" s="32" t="s">
        <v>202</v>
      </c>
      <c r="F763" s="32"/>
      <c r="G763" s="32">
        <v>71000</v>
      </c>
      <c r="H763" s="32" t="s">
        <v>457</v>
      </c>
      <c r="I763" s="33">
        <v>799.88699999999994</v>
      </c>
      <c r="J763" s="170"/>
      <c r="K763" s="7" t="str">
        <f>VLOOKUP($E763,Mapping!$E$11:$I$204,3,0)</f>
        <v>Replacement</v>
      </c>
      <c r="L763" s="7" t="str">
        <f>IFERROR(VLOOKUP($G763,Mapping!$E$208:$K$236,5,0),"Contracts")</f>
        <v>Labour</v>
      </c>
      <c r="M763" s="7" t="str">
        <f>IFERROR(VLOOKUP($G763,Mapping!$E$208:$K$236,7,0),"ENDirect")</f>
        <v>ENDirect</v>
      </c>
      <c r="N763" s="7" t="str">
        <f>IFERROR(HLOOKUP(L763,'Calc|Weightings'!$U$5:$W$5,1,0),"Excl")</f>
        <v>Labour</v>
      </c>
      <c r="O763" s="7" t="str">
        <f>VLOOKUP(E763,Mapping!$E$11:$I$204,5,0)</f>
        <v>SCS</v>
      </c>
      <c r="Q763" s="32" t="s">
        <v>230</v>
      </c>
      <c r="R763" s="32"/>
      <c r="S763" s="32">
        <v>71015</v>
      </c>
      <c r="T763" s="32" t="s">
        <v>463</v>
      </c>
      <c r="U763" s="33">
        <v>688.79700000000003</v>
      </c>
      <c r="V763" s="7"/>
      <c r="W763" s="7" t="str">
        <f>VLOOKUP($Q763,Mapping!$E$11:$I$204,3,0)</f>
        <v>Replacement</v>
      </c>
      <c r="X763" s="7" t="str">
        <f>IFERROR(VLOOKUP($S763,Mapping!$E$208:$K$236,5,0),"Contracts")</f>
        <v>Materials</v>
      </c>
      <c r="Y763" s="7" t="str">
        <f>IFERROR(VLOOKUP($S763,Mapping!$E$208:$K$236,7,0),"ENDirect")</f>
        <v>ENDirect</v>
      </c>
      <c r="Z763" s="7" t="str">
        <f>IFERROR(HLOOKUP(X763,'Calc|Weightings'!$U$5:$W$5,1,0),"Excl")</f>
        <v>Materials</v>
      </c>
      <c r="AA763" s="7" t="str">
        <f>VLOOKUP(Q763,Mapping!$E$11:$I$204,5,0)</f>
        <v>SCS</v>
      </c>
      <c r="AC763" s="35" t="s">
        <v>227</v>
      </c>
      <c r="AD763" s="35"/>
      <c r="AE763" s="35">
        <v>71000</v>
      </c>
      <c r="AF763" s="35" t="s">
        <v>457</v>
      </c>
      <c r="AG763" s="36">
        <v>502.07400000000001</v>
      </c>
      <c r="AI763" s="7" t="str">
        <f>VLOOKUP($AC763,Mapping!$E$11:$I$204,3,0)</f>
        <v>Replacement</v>
      </c>
      <c r="AJ763" s="7" t="str">
        <f>IFERROR(VLOOKUP($AE763,Mapping!$E$208:$K$236,5,0),"Contracts")</f>
        <v>Labour</v>
      </c>
      <c r="AK763" s="7" t="str">
        <f>IFERROR(VLOOKUP($AE763,Mapping!$E$208:$K$236,7,0),"ENDirect")</f>
        <v>ENDirect</v>
      </c>
      <c r="AL763" s="7" t="str">
        <f>IFERROR(HLOOKUP(AJ763,'Calc|Weightings'!$U$5:$W$5,1,0),"Excl")</f>
        <v>Labour</v>
      </c>
      <c r="AM763" s="7" t="str">
        <f>VLOOKUP(AC763,Mapping!$E$11:$I$204,5,0)</f>
        <v>SCS</v>
      </c>
      <c r="AO763" s="35" t="s">
        <v>210</v>
      </c>
      <c r="AP763" s="35"/>
      <c r="AQ763" s="35">
        <v>71015</v>
      </c>
      <c r="AR763" s="35" t="s">
        <v>585</v>
      </c>
      <c r="AS763" s="121">
        <v>190.18197999999998</v>
      </c>
      <c r="AU763" s="7" t="str">
        <f>VLOOKUP($AO763,Mapping!$E$11:$I$204,3,0)</f>
        <v>Replacement</v>
      </c>
      <c r="AV763" s="7" t="str">
        <f>IFERROR(VLOOKUP($AQ763,Mapping!$E$208:$K$236,5,0),"Contracts")</f>
        <v>Materials</v>
      </c>
      <c r="AW763" s="7" t="str">
        <f>IFERROR(VLOOKUP($AQ763,Mapping!$E$208:$K$236,7,0),"ENDirect")</f>
        <v>ENDirect</v>
      </c>
      <c r="AX763" s="7" t="str">
        <f>IFERROR(HLOOKUP(AV763,'Calc|Weightings'!$U$5:$W$5,1,0),"Excl")</f>
        <v>Materials</v>
      </c>
      <c r="AY763" s="7" t="str">
        <f>VLOOKUP(AO763,Mapping!$E$11:$I$204,5,0)</f>
        <v>SCS</v>
      </c>
    </row>
    <row r="764" spans="1:51" x14ac:dyDescent="0.3">
      <c r="A764" s="7"/>
      <c r="B764" s="7"/>
      <c r="C764" s="7"/>
      <c r="D764" s="7"/>
      <c r="E764" s="32" t="s">
        <v>202</v>
      </c>
      <c r="F764" s="32"/>
      <c r="G764" s="32">
        <v>71005</v>
      </c>
      <c r="H764" s="32" t="s">
        <v>461</v>
      </c>
      <c r="I764" s="33">
        <v>413.858</v>
      </c>
      <c r="J764" s="170"/>
      <c r="K764" s="7" t="str">
        <f>VLOOKUP($E764,Mapping!$E$11:$I$204,3,0)</f>
        <v>Replacement</v>
      </c>
      <c r="L764" s="7" t="str">
        <f>IFERROR(VLOOKUP($G764,Mapping!$E$208:$K$236,5,0),"Contracts")</f>
        <v>Materials</v>
      </c>
      <c r="M764" s="7" t="str">
        <f>IFERROR(VLOOKUP($G764,Mapping!$E$208:$K$236,7,0),"ENDirect")</f>
        <v>ENDirect</v>
      </c>
      <c r="N764" s="7" t="str">
        <f>IFERROR(HLOOKUP(L764,'Calc|Weightings'!$U$5:$W$5,1,0),"Excl")</f>
        <v>Materials</v>
      </c>
      <c r="O764" s="7" t="str">
        <f>VLOOKUP(E764,Mapping!$E$11:$I$204,5,0)</f>
        <v>SCS</v>
      </c>
      <c r="Q764" s="32" t="s">
        <v>230</v>
      </c>
      <c r="R764" s="32"/>
      <c r="S764" s="32">
        <v>71020</v>
      </c>
      <c r="T764" s="32" t="s">
        <v>459</v>
      </c>
      <c r="U764" s="33">
        <v>-14.22</v>
      </c>
      <c r="V764" s="7"/>
      <c r="W764" s="7" t="str">
        <f>VLOOKUP($Q764,Mapping!$E$11:$I$204,3,0)</f>
        <v>Replacement</v>
      </c>
      <c r="X764" s="7" t="str">
        <f>IFERROR(VLOOKUP($S764,Mapping!$E$208:$K$236,5,0),"Contracts")</f>
        <v>Contracts</v>
      </c>
      <c r="Y764" s="7" t="str">
        <f>IFERROR(VLOOKUP($S764,Mapping!$E$208:$K$236,7,0),"ENDirect")</f>
        <v>ENDirect</v>
      </c>
      <c r="Z764" s="7" t="str">
        <f>IFERROR(HLOOKUP(X764,'Calc|Weightings'!$U$5:$W$5,1,0),"Excl")</f>
        <v>Contracts</v>
      </c>
      <c r="AA764" s="7" t="str">
        <f>VLOOKUP(Q764,Mapping!$E$11:$I$204,5,0)</f>
        <v>SCS</v>
      </c>
      <c r="AC764" s="35" t="s">
        <v>227</v>
      </c>
      <c r="AD764" s="35"/>
      <c r="AE764" s="35">
        <v>71005</v>
      </c>
      <c r="AF764" s="35" t="s">
        <v>461</v>
      </c>
      <c r="AG764" s="36">
        <v>386.52800000000002</v>
      </c>
      <c r="AI764" s="7" t="str">
        <f>VLOOKUP($AC764,Mapping!$E$11:$I$204,3,0)</f>
        <v>Replacement</v>
      </c>
      <c r="AJ764" s="7" t="str">
        <f>IFERROR(VLOOKUP($AE764,Mapping!$E$208:$K$236,5,0),"Contracts")</f>
        <v>Materials</v>
      </c>
      <c r="AK764" s="7" t="str">
        <f>IFERROR(VLOOKUP($AE764,Mapping!$E$208:$K$236,7,0),"ENDirect")</f>
        <v>ENDirect</v>
      </c>
      <c r="AL764" s="7" t="str">
        <f>IFERROR(HLOOKUP(AJ764,'Calc|Weightings'!$U$5:$W$5,1,0),"Excl")</f>
        <v>Materials</v>
      </c>
      <c r="AM764" s="7" t="str">
        <f>VLOOKUP(AC764,Mapping!$E$11:$I$204,5,0)</f>
        <v>SCS</v>
      </c>
      <c r="AO764" s="35" t="s">
        <v>210</v>
      </c>
      <c r="AP764" s="35"/>
      <c r="AQ764" s="35">
        <v>71020</v>
      </c>
      <c r="AR764" s="35" t="s">
        <v>590</v>
      </c>
      <c r="AS764" s="121">
        <v>36.92</v>
      </c>
      <c r="AU764" s="7" t="str">
        <f>VLOOKUP($AO764,Mapping!$E$11:$I$204,3,0)</f>
        <v>Replacement</v>
      </c>
      <c r="AV764" s="7" t="str">
        <f>IFERROR(VLOOKUP($AQ764,Mapping!$E$208:$K$236,5,0),"Contracts")</f>
        <v>Contracts</v>
      </c>
      <c r="AW764" s="7" t="str">
        <f>IFERROR(VLOOKUP($AQ764,Mapping!$E$208:$K$236,7,0),"ENDirect")</f>
        <v>ENDirect</v>
      </c>
      <c r="AX764" s="7" t="str">
        <f>IFERROR(HLOOKUP(AV764,'Calc|Weightings'!$U$5:$W$5,1,0),"Excl")</f>
        <v>Contracts</v>
      </c>
      <c r="AY764" s="7" t="str">
        <f>VLOOKUP(AO764,Mapping!$E$11:$I$204,5,0)</f>
        <v>SCS</v>
      </c>
    </row>
    <row r="765" spans="1:51" x14ac:dyDescent="0.3">
      <c r="A765" s="7"/>
      <c r="B765" s="7"/>
      <c r="C765" s="7"/>
      <c r="D765" s="7"/>
      <c r="E765" s="32" t="s">
        <v>202</v>
      </c>
      <c r="F765" s="32"/>
      <c r="G765" s="32">
        <v>71010</v>
      </c>
      <c r="H765" s="32" t="s">
        <v>462</v>
      </c>
      <c r="I765" s="33">
        <v>1018.093</v>
      </c>
      <c r="J765" s="170"/>
      <c r="K765" s="7" t="str">
        <f>VLOOKUP($E765,Mapping!$E$11:$I$204,3,0)</f>
        <v>Replacement</v>
      </c>
      <c r="L765" s="7" t="str">
        <f>IFERROR(VLOOKUP($G765,Mapping!$E$208:$K$236,5,0),"Contracts")</f>
        <v>Labour</v>
      </c>
      <c r="M765" s="7" t="str">
        <f>IFERROR(VLOOKUP($G765,Mapping!$E$208:$K$236,7,0),"ENDirect")</f>
        <v>ENDirect</v>
      </c>
      <c r="N765" s="7" t="str">
        <f>IFERROR(HLOOKUP(L765,'Calc|Weightings'!$U$5:$W$5,1,0),"Excl")</f>
        <v>Labour</v>
      </c>
      <c r="O765" s="7" t="str">
        <f>VLOOKUP(E765,Mapping!$E$11:$I$204,5,0)</f>
        <v>SCS</v>
      </c>
      <c r="Q765" s="32" t="s">
        <v>230</v>
      </c>
      <c r="R765" s="32"/>
      <c r="S765" s="32">
        <v>71030</v>
      </c>
      <c r="T765" s="32" t="s">
        <v>464</v>
      </c>
      <c r="U765" s="33">
        <v>620.798</v>
      </c>
      <c r="V765" s="7"/>
      <c r="W765" s="7" t="str">
        <f>VLOOKUP($Q765,Mapping!$E$11:$I$204,3,0)</f>
        <v>Replacement</v>
      </c>
      <c r="X765" s="7" t="str">
        <f>IFERROR(VLOOKUP($S765,Mapping!$E$208:$K$236,5,0),"Contracts")</f>
        <v>Contracts</v>
      </c>
      <c r="Y765" s="7" t="str">
        <f>IFERROR(VLOOKUP($S765,Mapping!$E$208:$K$236,7,0),"ENDirect")</f>
        <v>ENDirect</v>
      </c>
      <c r="Z765" s="7" t="str">
        <f>IFERROR(HLOOKUP(X765,'Calc|Weightings'!$U$5:$W$5,1,0),"Excl")</f>
        <v>Contracts</v>
      </c>
      <c r="AA765" s="7" t="str">
        <f>VLOOKUP(Q765,Mapping!$E$11:$I$204,5,0)</f>
        <v>SCS</v>
      </c>
      <c r="AC765" s="35" t="s">
        <v>227</v>
      </c>
      <c r="AD765" s="35"/>
      <c r="AE765" s="35">
        <v>71010</v>
      </c>
      <c r="AF765" s="35" t="s">
        <v>462</v>
      </c>
      <c r="AG765" s="36">
        <v>97.994</v>
      </c>
      <c r="AI765" s="7" t="str">
        <f>VLOOKUP($AC765,Mapping!$E$11:$I$204,3,0)</f>
        <v>Replacement</v>
      </c>
      <c r="AJ765" s="7" t="str">
        <f>IFERROR(VLOOKUP($AE765,Mapping!$E$208:$K$236,5,0),"Contracts")</f>
        <v>Labour</v>
      </c>
      <c r="AK765" s="7" t="str">
        <f>IFERROR(VLOOKUP($AE765,Mapping!$E$208:$K$236,7,0),"ENDirect")</f>
        <v>ENDirect</v>
      </c>
      <c r="AL765" s="7" t="str">
        <f>IFERROR(HLOOKUP(AJ765,'Calc|Weightings'!$U$5:$W$5,1,0),"Excl")</f>
        <v>Labour</v>
      </c>
      <c r="AM765" s="7" t="str">
        <f>VLOOKUP(AC765,Mapping!$E$11:$I$204,5,0)</f>
        <v>SCS</v>
      </c>
      <c r="AO765" s="35" t="s">
        <v>210</v>
      </c>
      <c r="AP765" s="35"/>
      <c r="AQ765" s="35">
        <v>71030</v>
      </c>
      <c r="AR765" s="35" t="s">
        <v>464</v>
      </c>
      <c r="AS765" s="121">
        <v>8.0551499999999994</v>
      </c>
      <c r="AU765" s="7" t="str">
        <f>VLOOKUP($AO765,Mapping!$E$11:$I$204,3,0)</f>
        <v>Replacement</v>
      </c>
      <c r="AV765" s="7" t="str">
        <f>IFERROR(VLOOKUP($AQ765,Mapping!$E$208:$K$236,5,0),"Contracts")</f>
        <v>Contracts</v>
      </c>
      <c r="AW765" s="7" t="str">
        <f>IFERROR(VLOOKUP($AQ765,Mapping!$E$208:$K$236,7,0),"ENDirect")</f>
        <v>ENDirect</v>
      </c>
      <c r="AX765" s="7" t="str">
        <f>IFERROR(HLOOKUP(AV765,'Calc|Weightings'!$U$5:$W$5,1,0),"Excl")</f>
        <v>Contracts</v>
      </c>
      <c r="AY765" s="7" t="str">
        <f>VLOOKUP(AO765,Mapping!$E$11:$I$204,5,0)</f>
        <v>SCS</v>
      </c>
    </row>
    <row r="766" spans="1:51" x14ac:dyDescent="0.3">
      <c r="A766" s="7"/>
      <c r="B766" s="7"/>
      <c r="C766" s="7"/>
      <c r="D766" s="7"/>
      <c r="E766" s="32" t="s">
        <v>202</v>
      </c>
      <c r="F766" s="32"/>
      <c r="G766" s="32">
        <v>71015</v>
      </c>
      <c r="H766" s="32" t="s">
        <v>463</v>
      </c>
      <c r="I766" s="33">
        <v>243.24700000000001</v>
      </c>
      <c r="J766" s="170"/>
      <c r="K766" s="7" t="str">
        <f>VLOOKUP($E766,Mapping!$E$11:$I$204,3,0)</f>
        <v>Replacement</v>
      </c>
      <c r="L766" s="7" t="str">
        <f>IFERROR(VLOOKUP($G766,Mapping!$E$208:$K$236,5,0),"Contracts")</f>
        <v>Materials</v>
      </c>
      <c r="M766" s="7" t="str">
        <f>IFERROR(VLOOKUP($G766,Mapping!$E$208:$K$236,7,0),"ENDirect")</f>
        <v>ENDirect</v>
      </c>
      <c r="N766" s="7" t="str">
        <f>IFERROR(HLOOKUP(L766,'Calc|Weightings'!$U$5:$W$5,1,0),"Excl")</f>
        <v>Materials</v>
      </c>
      <c r="O766" s="7" t="str">
        <f>VLOOKUP(E766,Mapping!$E$11:$I$204,5,0)</f>
        <v>SCS</v>
      </c>
      <c r="Q766" s="32" t="s">
        <v>230</v>
      </c>
      <c r="R766" s="32"/>
      <c r="S766" s="32">
        <v>71055</v>
      </c>
      <c r="T766" s="32" t="s">
        <v>465</v>
      </c>
      <c r="U766" s="33">
        <v>999.98099999999999</v>
      </c>
      <c r="V766" s="7"/>
      <c r="W766" s="7" t="str">
        <f>VLOOKUP($Q766,Mapping!$E$11:$I$204,3,0)</f>
        <v>Replacement</v>
      </c>
      <c r="X766" s="7" t="str">
        <f>IFERROR(VLOOKUP($S766,Mapping!$E$208:$K$236,5,0),"Contracts")</f>
        <v>Contracts</v>
      </c>
      <c r="Y766" s="7" t="str">
        <f>IFERROR(VLOOKUP($S766,Mapping!$E$208:$K$236,7,0),"ENDirect")</f>
        <v>ENDirect</v>
      </c>
      <c r="Z766" s="7" t="str">
        <f>IFERROR(HLOOKUP(X766,'Calc|Weightings'!$U$5:$W$5,1,0),"Excl")</f>
        <v>Contracts</v>
      </c>
      <c r="AA766" s="7" t="str">
        <f>VLOOKUP(Q766,Mapping!$E$11:$I$204,5,0)</f>
        <v>SCS</v>
      </c>
      <c r="AC766" s="35" t="s">
        <v>227</v>
      </c>
      <c r="AD766" s="35"/>
      <c r="AE766" s="35">
        <v>71015</v>
      </c>
      <c r="AF766" s="35" t="s">
        <v>463</v>
      </c>
      <c r="AG766" s="36">
        <v>104.645</v>
      </c>
      <c r="AI766" s="7" t="str">
        <f>VLOOKUP($AC766,Mapping!$E$11:$I$204,3,0)</f>
        <v>Replacement</v>
      </c>
      <c r="AJ766" s="7" t="str">
        <f>IFERROR(VLOOKUP($AE766,Mapping!$E$208:$K$236,5,0),"Contracts")</f>
        <v>Materials</v>
      </c>
      <c r="AK766" s="7" t="str">
        <f>IFERROR(VLOOKUP($AE766,Mapping!$E$208:$K$236,7,0),"ENDirect")</f>
        <v>ENDirect</v>
      </c>
      <c r="AL766" s="7" t="str">
        <f>IFERROR(HLOOKUP(AJ766,'Calc|Weightings'!$U$5:$W$5,1,0),"Excl")</f>
        <v>Materials</v>
      </c>
      <c r="AM766" s="7" t="str">
        <f>VLOOKUP(AC766,Mapping!$E$11:$I$204,5,0)</f>
        <v>SCS</v>
      </c>
      <c r="AO766" s="35" t="s">
        <v>210</v>
      </c>
      <c r="AP766" s="35"/>
      <c r="AQ766" s="35">
        <v>71045</v>
      </c>
      <c r="AR766" s="35" t="s">
        <v>596</v>
      </c>
      <c r="AS766" s="121">
        <v>849.60419999999999</v>
      </c>
      <c r="AU766" s="7" t="str">
        <f>VLOOKUP($AO766,Mapping!$E$11:$I$204,3,0)</f>
        <v>Replacement</v>
      </c>
      <c r="AV766" s="7" t="str">
        <f>IFERROR(VLOOKUP($AQ766,Mapping!$E$208:$K$236,5,0),"Contracts")</f>
        <v>Materials</v>
      </c>
      <c r="AW766" s="7" t="str">
        <f>IFERROR(VLOOKUP($AQ766,Mapping!$E$208:$K$236,7,0),"ENDirect")</f>
        <v>ENDirect</v>
      </c>
      <c r="AX766" s="7" t="str">
        <f>IFERROR(HLOOKUP(AV766,'Calc|Weightings'!$U$5:$W$5,1,0),"Excl")</f>
        <v>Materials</v>
      </c>
      <c r="AY766" s="7" t="str">
        <f>VLOOKUP(AO766,Mapping!$E$11:$I$204,5,0)</f>
        <v>SCS</v>
      </c>
    </row>
    <row r="767" spans="1:51" x14ac:dyDescent="0.3">
      <c r="A767" s="7"/>
      <c r="B767" s="7"/>
      <c r="C767" s="7"/>
      <c r="D767" s="7"/>
      <c r="E767" s="32" t="s">
        <v>202</v>
      </c>
      <c r="F767" s="32"/>
      <c r="G767" s="32">
        <v>71020</v>
      </c>
      <c r="H767" s="32" t="s">
        <v>459</v>
      </c>
      <c r="I767" s="33">
        <v>5.3040000000000003</v>
      </c>
      <c r="J767" s="170"/>
      <c r="K767" s="7" t="str">
        <f>VLOOKUP($E767,Mapping!$E$11:$I$204,3,0)</f>
        <v>Replacement</v>
      </c>
      <c r="L767" s="7" t="str">
        <f>IFERROR(VLOOKUP($G767,Mapping!$E$208:$K$236,5,0),"Contracts")</f>
        <v>Contracts</v>
      </c>
      <c r="M767" s="7" t="str">
        <f>IFERROR(VLOOKUP($G767,Mapping!$E$208:$K$236,7,0),"ENDirect")</f>
        <v>ENDirect</v>
      </c>
      <c r="N767" s="7" t="str">
        <f>IFERROR(HLOOKUP(L767,'Calc|Weightings'!$U$5:$W$5,1,0),"Excl")</f>
        <v>Contracts</v>
      </c>
      <c r="O767" s="7" t="str">
        <f>VLOOKUP(E767,Mapping!$E$11:$I$204,5,0)</f>
        <v>SCS</v>
      </c>
      <c r="Q767" s="32" t="s">
        <v>230</v>
      </c>
      <c r="R767" s="32"/>
      <c r="S767" s="32">
        <v>80000</v>
      </c>
      <c r="T767" s="32" t="s">
        <v>453</v>
      </c>
      <c r="U767" s="33">
        <v>1184.577</v>
      </c>
      <c r="V767" s="7"/>
      <c r="W767" s="7" t="str">
        <f>VLOOKUP($Q767,Mapping!$E$11:$I$204,3,0)</f>
        <v>Replacement</v>
      </c>
      <c r="X767" s="7" t="str">
        <f>IFERROR(VLOOKUP($S767,Mapping!$E$208:$K$236,5,0),"Contracts")</f>
        <v>Overhead</v>
      </c>
      <c r="Y767" s="7" t="str">
        <f>IFERROR(VLOOKUP($S767,Mapping!$E$208:$K$236,7,0),"ENDirect")</f>
        <v>OH</v>
      </c>
      <c r="Z767" s="7" t="str">
        <f>IFERROR(HLOOKUP(X767,'Calc|Weightings'!$U$5:$W$5,1,0),"Excl")</f>
        <v>Excl</v>
      </c>
      <c r="AA767" s="7" t="str">
        <f>VLOOKUP(Q767,Mapping!$E$11:$I$204,5,0)</f>
        <v>SCS</v>
      </c>
      <c r="AC767" s="35" t="s">
        <v>227</v>
      </c>
      <c r="AD767" s="35"/>
      <c r="AE767" s="35">
        <v>71030</v>
      </c>
      <c r="AF767" s="35" t="s">
        <v>464</v>
      </c>
      <c r="AG767" s="36">
        <v>88.182000000000002</v>
      </c>
      <c r="AI767" s="7" t="str">
        <f>VLOOKUP($AC767,Mapping!$E$11:$I$204,3,0)</f>
        <v>Replacement</v>
      </c>
      <c r="AJ767" s="7" t="str">
        <f>IFERROR(VLOOKUP($AE767,Mapping!$E$208:$K$236,5,0),"Contracts")</f>
        <v>Contracts</v>
      </c>
      <c r="AK767" s="7" t="str">
        <f>IFERROR(VLOOKUP($AE767,Mapping!$E$208:$K$236,7,0),"ENDirect")</f>
        <v>ENDirect</v>
      </c>
      <c r="AL767" s="7" t="str">
        <f>IFERROR(HLOOKUP(AJ767,'Calc|Weightings'!$U$5:$W$5,1,0),"Excl")</f>
        <v>Contracts</v>
      </c>
      <c r="AM767" s="7" t="str">
        <f>VLOOKUP(AC767,Mapping!$E$11:$I$204,5,0)</f>
        <v>SCS</v>
      </c>
      <c r="AO767" s="35" t="s">
        <v>210</v>
      </c>
      <c r="AP767" s="35"/>
      <c r="AQ767" s="35">
        <v>71055</v>
      </c>
      <c r="AR767" s="35" t="s">
        <v>465</v>
      </c>
      <c r="AS767" s="121">
        <v>18.123280000000001</v>
      </c>
      <c r="AU767" s="7" t="str">
        <f>VLOOKUP($AO767,Mapping!$E$11:$I$204,3,0)</f>
        <v>Replacement</v>
      </c>
      <c r="AV767" s="7" t="str">
        <f>IFERROR(VLOOKUP($AQ767,Mapping!$E$208:$K$236,5,0),"Contracts")</f>
        <v>Contracts</v>
      </c>
      <c r="AW767" s="7" t="str">
        <f>IFERROR(VLOOKUP($AQ767,Mapping!$E$208:$K$236,7,0),"ENDirect")</f>
        <v>ENDirect</v>
      </c>
      <c r="AX767" s="7" t="str">
        <f>IFERROR(HLOOKUP(AV767,'Calc|Weightings'!$U$5:$W$5,1,0),"Excl")</f>
        <v>Contracts</v>
      </c>
      <c r="AY767" s="7" t="str">
        <f>VLOOKUP(AO767,Mapping!$E$11:$I$204,5,0)</f>
        <v>SCS</v>
      </c>
    </row>
    <row r="768" spans="1:51" x14ac:dyDescent="0.3">
      <c r="A768" s="7"/>
      <c r="B768" s="7"/>
      <c r="C768" s="7"/>
      <c r="D768" s="7"/>
      <c r="E768" s="32" t="s">
        <v>202</v>
      </c>
      <c r="F768" s="32"/>
      <c r="G768" s="32">
        <v>71030</v>
      </c>
      <c r="H768" s="32" t="s">
        <v>464</v>
      </c>
      <c r="I768" s="33">
        <v>221.464</v>
      </c>
      <c r="J768" s="170"/>
      <c r="K768" s="7" t="str">
        <f>VLOOKUP($E768,Mapping!$E$11:$I$204,3,0)</f>
        <v>Replacement</v>
      </c>
      <c r="L768" s="7" t="str">
        <f>IFERROR(VLOOKUP($G768,Mapping!$E$208:$K$236,5,0),"Contracts")</f>
        <v>Contracts</v>
      </c>
      <c r="M768" s="7" t="str">
        <f>IFERROR(VLOOKUP($G768,Mapping!$E$208:$K$236,7,0),"ENDirect")</f>
        <v>ENDirect</v>
      </c>
      <c r="N768" s="7" t="str">
        <f>IFERROR(HLOOKUP(L768,'Calc|Weightings'!$U$5:$W$5,1,0),"Excl")</f>
        <v>Contracts</v>
      </c>
      <c r="O768" s="7" t="str">
        <f>VLOOKUP(E768,Mapping!$E$11:$I$204,5,0)</f>
        <v>SCS</v>
      </c>
      <c r="Q768" s="32" t="s">
        <v>230</v>
      </c>
      <c r="R768" s="32"/>
      <c r="S768" s="32">
        <v>89999</v>
      </c>
      <c r="T768" s="32" t="s">
        <v>471</v>
      </c>
      <c r="U768" s="33">
        <v>0</v>
      </c>
      <c r="V768" s="7"/>
      <c r="W768" s="7" t="str">
        <f>VLOOKUP($Q768,Mapping!$E$11:$I$204,3,0)</f>
        <v>Replacement</v>
      </c>
      <c r="X768" s="7" t="str">
        <f>IFERROR(VLOOKUP($S768,Mapping!$E$208:$K$236,5,0),"Contracts")</f>
        <v>Contracts</v>
      </c>
      <c r="Y768" s="7" t="str">
        <f>IFERROR(VLOOKUP($S768,Mapping!$E$208:$K$236,7,0),"ENDirect")</f>
        <v>ENDirect</v>
      </c>
      <c r="Z768" s="7" t="str">
        <f>IFERROR(HLOOKUP(X768,'Calc|Weightings'!$U$5:$W$5,1,0),"Excl")</f>
        <v>Contracts</v>
      </c>
      <c r="AA768" s="7" t="str">
        <f>VLOOKUP(Q768,Mapping!$E$11:$I$204,5,0)</f>
        <v>SCS</v>
      </c>
      <c r="AC768" s="35" t="s">
        <v>227</v>
      </c>
      <c r="AD768" s="35"/>
      <c r="AE768" s="35">
        <v>71055</v>
      </c>
      <c r="AF768" s="35" t="s">
        <v>465</v>
      </c>
      <c r="AG768" s="36">
        <v>181.79400000000001</v>
      </c>
      <c r="AI768" s="7" t="str">
        <f>VLOOKUP($AC768,Mapping!$E$11:$I$204,3,0)</f>
        <v>Replacement</v>
      </c>
      <c r="AJ768" s="7" t="str">
        <f>IFERROR(VLOOKUP($AE768,Mapping!$E$208:$K$236,5,0),"Contracts")</f>
        <v>Contracts</v>
      </c>
      <c r="AK768" s="7" t="str">
        <f>IFERROR(VLOOKUP($AE768,Mapping!$E$208:$K$236,7,0),"ENDirect")</f>
        <v>ENDirect</v>
      </c>
      <c r="AL768" s="7" t="str">
        <f>IFERROR(HLOOKUP(AJ768,'Calc|Weightings'!$U$5:$W$5,1,0),"Excl")</f>
        <v>Contracts</v>
      </c>
      <c r="AM768" s="7" t="str">
        <f>VLOOKUP(AC768,Mapping!$E$11:$I$204,5,0)</f>
        <v>SCS</v>
      </c>
      <c r="AO768" s="35" t="s">
        <v>210</v>
      </c>
      <c r="AP768" s="35"/>
      <c r="AQ768" s="35">
        <v>71130</v>
      </c>
      <c r="AR768" s="35" t="s">
        <v>592</v>
      </c>
      <c r="AS768" s="121">
        <v>307.7144199999999</v>
      </c>
      <c r="AU768" s="7" t="str">
        <f>VLOOKUP($AO768,Mapping!$E$11:$I$204,3,0)</f>
        <v>Replacement</v>
      </c>
      <c r="AV768" s="7" t="str">
        <f>IFERROR(VLOOKUP($AQ768,Mapping!$E$208:$K$236,5,0),"Contracts")</f>
        <v>Contracts</v>
      </c>
      <c r="AW768" s="7" t="str">
        <f>IFERROR(VLOOKUP($AQ768,Mapping!$E$208:$K$236,7,0),"ENDirect")</f>
        <v>ENDirect</v>
      </c>
      <c r="AX768" s="7" t="str">
        <f>IFERROR(HLOOKUP(AV768,'Calc|Weightings'!$U$5:$W$5,1,0),"Excl")</f>
        <v>Contracts</v>
      </c>
      <c r="AY768" s="7" t="str">
        <f>VLOOKUP(AO768,Mapping!$E$11:$I$204,5,0)</f>
        <v>SCS</v>
      </c>
    </row>
    <row r="769" spans="1:51" x14ac:dyDescent="0.3">
      <c r="A769" s="7"/>
      <c r="B769" s="7"/>
      <c r="C769" s="7"/>
      <c r="D769" s="7"/>
      <c r="E769" s="32" t="s">
        <v>202</v>
      </c>
      <c r="F769" s="32"/>
      <c r="G769" s="32">
        <v>71055</v>
      </c>
      <c r="H769" s="32" t="s">
        <v>465</v>
      </c>
      <c r="I769" s="33">
        <v>683.35199999999998</v>
      </c>
      <c r="J769" s="170"/>
      <c r="K769" s="7" t="str">
        <f>VLOOKUP($E769,Mapping!$E$11:$I$204,3,0)</f>
        <v>Replacement</v>
      </c>
      <c r="L769" s="7" t="str">
        <f>IFERROR(VLOOKUP($G769,Mapping!$E$208:$K$236,5,0),"Contracts")</f>
        <v>Contracts</v>
      </c>
      <c r="M769" s="7" t="str">
        <f>IFERROR(VLOOKUP($G769,Mapping!$E$208:$K$236,7,0),"ENDirect")</f>
        <v>ENDirect</v>
      </c>
      <c r="N769" s="7" t="str">
        <f>IFERROR(HLOOKUP(L769,'Calc|Weightings'!$U$5:$W$5,1,0),"Excl")</f>
        <v>Contracts</v>
      </c>
      <c r="O769" s="7" t="str">
        <f>VLOOKUP(E769,Mapping!$E$11:$I$204,5,0)</f>
        <v>SCS</v>
      </c>
      <c r="Q769" s="32" t="s">
        <v>231</v>
      </c>
      <c r="R769" s="32"/>
      <c r="S769" s="32">
        <v>71000</v>
      </c>
      <c r="T769" s="32" t="s">
        <v>457</v>
      </c>
      <c r="U769" s="33">
        <v>331.10300000000001</v>
      </c>
      <c r="V769" s="7"/>
      <c r="W769" s="7" t="str">
        <f>VLOOKUP($Q769,Mapping!$E$11:$I$204,3,0)</f>
        <v>Replacement</v>
      </c>
      <c r="X769" s="7" t="str">
        <f>IFERROR(VLOOKUP($S769,Mapping!$E$208:$K$236,5,0),"Contracts")</f>
        <v>Labour</v>
      </c>
      <c r="Y769" s="7" t="str">
        <f>IFERROR(VLOOKUP($S769,Mapping!$E$208:$K$236,7,0),"ENDirect")</f>
        <v>ENDirect</v>
      </c>
      <c r="Z769" s="7" t="str">
        <f>IFERROR(HLOOKUP(X769,'Calc|Weightings'!$U$5:$W$5,1,0),"Excl")</f>
        <v>Labour</v>
      </c>
      <c r="AA769" s="7" t="str">
        <f>VLOOKUP(Q769,Mapping!$E$11:$I$204,5,0)</f>
        <v>SCS</v>
      </c>
      <c r="AC769" s="35" t="s">
        <v>227</v>
      </c>
      <c r="AD769" s="35"/>
      <c r="AE769" s="35">
        <v>80000</v>
      </c>
      <c r="AF769" s="35" t="s">
        <v>453</v>
      </c>
      <c r="AG769" s="36">
        <v>161.86500000000001</v>
      </c>
      <c r="AI769" s="7" t="str">
        <f>VLOOKUP($AC769,Mapping!$E$11:$I$204,3,0)</f>
        <v>Replacement</v>
      </c>
      <c r="AJ769" s="7" t="str">
        <f>IFERROR(VLOOKUP($AE769,Mapping!$E$208:$K$236,5,0),"Contracts")</f>
        <v>Overhead</v>
      </c>
      <c r="AK769" s="7" t="str">
        <f>IFERROR(VLOOKUP($AE769,Mapping!$E$208:$K$236,7,0),"ENDirect")</f>
        <v>OH</v>
      </c>
      <c r="AL769" s="7" t="str">
        <f>IFERROR(HLOOKUP(AJ769,'Calc|Weightings'!$U$5:$W$5,1,0),"Excl")</f>
        <v>Excl</v>
      </c>
      <c r="AM769" s="7" t="str">
        <f>VLOOKUP(AC769,Mapping!$E$11:$I$204,5,0)</f>
        <v>SCS</v>
      </c>
      <c r="AO769" s="35" t="s">
        <v>210</v>
      </c>
      <c r="AP769" s="35"/>
      <c r="AQ769" s="35">
        <v>71140</v>
      </c>
      <c r="AR769" s="35" t="s">
        <v>593</v>
      </c>
      <c r="AS769" s="121">
        <v>22.634</v>
      </c>
      <c r="AU769" s="7" t="str">
        <f>VLOOKUP($AO769,Mapping!$E$11:$I$204,3,0)</f>
        <v>Replacement</v>
      </c>
      <c r="AV769" s="7" t="str">
        <f>IFERROR(VLOOKUP($AQ769,Mapping!$E$208:$K$236,5,0),"Contracts")</f>
        <v>Contracts</v>
      </c>
      <c r="AW769" s="7" t="str">
        <f>IFERROR(VLOOKUP($AQ769,Mapping!$E$208:$K$236,7,0),"ENDirect")</f>
        <v>ENDirect</v>
      </c>
      <c r="AX769" s="7" t="str">
        <f>IFERROR(HLOOKUP(AV769,'Calc|Weightings'!$U$5:$W$5,1,0),"Excl")</f>
        <v>Contracts</v>
      </c>
      <c r="AY769" s="7" t="str">
        <f>VLOOKUP(AO769,Mapping!$E$11:$I$204,5,0)</f>
        <v>SCS</v>
      </c>
    </row>
    <row r="770" spans="1:51" x14ac:dyDescent="0.3">
      <c r="A770" s="7"/>
      <c r="B770" s="7"/>
      <c r="C770" s="7"/>
      <c r="D770" s="7"/>
      <c r="E770" s="32" t="s">
        <v>202</v>
      </c>
      <c r="F770" s="32"/>
      <c r="G770" s="32">
        <v>80000</v>
      </c>
      <c r="H770" s="32" t="s">
        <v>453</v>
      </c>
      <c r="I770" s="33">
        <v>334.93200000000002</v>
      </c>
      <c r="J770" s="170"/>
      <c r="K770" s="7" t="str">
        <f>VLOOKUP($E770,Mapping!$E$11:$I$204,3,0)</f>
        <v>Replacement</v>
      </c>
      <c r="L770" s="7" t="str">
        <f>IFERROR(VLOOKUP($G770,Mapping!$E$208:$K$236,5,0),"Contracts")</f>
        <v>Overhead</v>
      </c>
      <c r="M770" s="7" t="str">
        <f>IFERROR(VLOOKUP($G770,Mapping!$E$208:$K$236,7,0),"ENDirect")</f>
        <v>OH</v>
      </c>
      <c r="N770" s="7" t="str">
        <f>IFERROR(HLOOKUP(L770,'Calc|Weightings'!$U$5:$W$5,1,0),"Excl")</f>
        <v>Excl</v>
      </c>
      <c r="O770" s="7" t="str">
        <f>VLOOKUP(E770,Mapping!$E$11:$I$204,5,0)</f>
        <v>SCS</v>
      </c>
      <c r="Q770" s="32" t="s">
        <v>231</v>
      </c>
      <c r="R770" s="32"/>
      <c r="S770" s="32">
        <v>71005</v>
      </c>
      <c r="T770" s="32" t="s">
        <v>461</v>
      </c>
      <c r="U770" s="33">
        <v>107.673</v>
      </c>
      <c r="V770" s="7"/>
      <c r="W770" s="7" t="str">
        <f>VLOOKUP($Q770,Mapping!$E$11:$I$204,3,0)</f>
        <v>Replacement</v>
      </c>
      <c r="X770" s="7" t="str">
        <f>IFERROR(VLOOKUP($S770,Mapping!$E$208:$K$236,5,0),"Contracts")</f>
        <v>Materials</v>
      </c>
      <c r="Y770" s="7" t="str">
        <f>IFERROR(VLOOKUP($S770,Mapping!$E$208:$K$236,7,0),"ENDirect")</f>
        <v>ENDirect</v>
      </c>
      <c r="Z770" s="7" t="str">
        <f>IFERROR(HLOOKUP(X770,'Calc|Weightings'!$U$5:$W$5,1,0),"Excl")</f>
        <v>Materials</v>
      </c>
      <c r="AA770" s="7" t="str">
        <f>VLOOKUP(Q770,Mapping!$E$11:$I$204,5,0)</f>
        <v>SCS</v>
      </c>
      <c r="AC770" s="35" t="s">
        <v>227</v>
      </c>
      <c r="AD770" s="35"/>
      <c r="AE770" s="35">
        <v>89999</v>
      </c>
      <c r="AF770" s="35" t="s">
        <v>471</v>
      </c>
      <c r="AG770" s="36">
        <v>0</v>
      </c>
      <c r="AI770" s="7" t="str">
        <f>VLOOKUP($AC770,Mapping!$E$11:$I$204,3,0)</f>
        <v>Replacement</v>
      </c>
      <c r="AJ770" s="7" t="str">
        <f>IFERROR(VLOOKUP($AE770,Mapping!$E$208:$K$236,5,0),"Contracts")</f>
        <v>Contracts</v>
      </c>
      <c r="AK770" s="7" t="str">
        <f>IFERROR(VLOOKUP($AE770,Mapping!$E$208:$K$236,7,0),"ENDirect")</f>
        <v>ENDirect</v>
      </c>
      <c r="AL770" s="7" t="str">
        <f>IFERROR(HLOOKUP(AJ770,'Calc|Weightings'!$U$5:$W$5,1,0),"Excl")</f>
        <v>Contracts</v>
      </c>
      <c r="AM770" s="7" t="str">
        <f>VLOOKUP(AC770,Mapping!$E$11:$I$204,5,0)</f>
        <v>SCS</v>
      </c>
      <c r="AO770" s="35" t="s">
        <v>210</v>
      </c>
      <c r="AP770" s="35"/>
      <c r="AQ770" s="35">
        <v>80000</v>
      </c>
      <c r="AR770" s="35" t="s">
        <v>589</v>
      </c>
      <c r="AS770" s="121">
        <v>802.81891999999982</v>
      </c>
      <c r="AU770" s="7" t="str">
        <f>VLOOKUP($AO770,Mapping!$E$11:$I$204,3,0)</f>
        <v>Replacement</v>
      </c>
      <c r="AV770" s="7" t="str">
        <f>IFERROR(VLOOKUP($AQ770,Mapping!$E$208:$K$236,5,0),"Contracts")</f>
        <v>Overhead</v>
      </c>
      <c r="AW770" s="7" t="str">
        <f>IFERROR(VLOOKUP($AQ770,Mapping!$E$208:$K$236,7,0),"ENDirect")</f>
        <v>OH</v>
      </c>
      <c r="AX770" s="7" t="str">
        <f>IFERROR(HLOOKUP(AV770,'Calc|Weightings'!$U$5:$W$5,1,0),"Excl")</f>
        <v>Excl</v>
      </c>
      <c r="AY770" s="7" t="str">
        <f>VLOOKUP(AO770,Mapping!$E$11:$I$204,5,0)</f>
        <v>SCS</v>
      </c>
    </row>
    <row r="771" spans="1:51" x14ac:dyDescent="0.3">
      <c r="A771" s="7"/>
      <c r="B771" s="7"/>
      <c r="C771" s="7"/>
      <c r="D771" s="7"/>
      <c r="E771" s="32" t="s">
        <v>203</v>
      </c>
      <c r="F771" s="32"/>
      <c r="G771" s="32">
        <v>71000</v>
      </c>
      <c r="H771" s="32" t="s">
        <v>457</v>
      </c>
      <c r="I771" s="33">
        <v>397.25</v>
      </c>
      <c r="J771" s="170"/>
      <c r="K771" s="7" t="str">
        <f>VLOOKUP($E771,Mapping!$E$11:$I$204,3,0)</f>
        <v>Replacement</v>
      </c>
      <c r="L771" s="7" t="str">
        <f>IFERROR(VLOOKUP($G771,Mapping!$E$208:$K$236,5,0),"Contracts")</f>
        <v>Labour</v>
      </c>
      <c r="M771" s="7" t="str">
        <f>IFERROR(VLOOKUP($G771,Mapping!$E$208:$K$236,7,0),"ENDirect")</f>
        <v>ENDirect</v>
      </c>
      <c r="N771" s="7" t="str">
        <f>IFERROR(HLOOKUP(L771,'Calc|Weightings'!$U$5:$W$5,1,0),"Excl")</f>
        <v>Labour</v>
      </c>
      <c r="O771" s="7" t="str">
        <f>VLOOKUP(E771,Mapping!$E$11:$I$204,5,0)</f>
        <v>SCS</v>
      </c>
      <c r="Q771" s="32" t="s">
        <v>231</v>
      </c>
      <c r="R771" s="32"/>
      <c r="S771" s="32">
        <v>71010</v>
      </c>
      <c r="T771" s="32" t="s">
        <v>462</v>
      </c>
      <c r="U771" s="33">
        <v>145.83500000000001</v>
      </c>
      <c r="V771" s="7"/>
      <c r="W771" s="7" t="str">
        <f>VLOOKUP($Q771,Mapping!$E$11:$I$204,3,0)</f>
        <v>Replacement</v>
      </c>
      <c r="X771" s="7" t="str">
        <f>IFERROR(VLOOKUP($S771,Mapping!$E$208:$K$236,5,0),"Contracts")</f>
        <v>Labour</v>
      </c>
      <c r="Y771" s="7" t="str">
        <f>IFERROR(VLOOKUP($S771,Mapping!$E$208:$K$236,7,0),"ENDirect")</f>
        <v>ENDirect</v>
      </c>
      <c r="Z771" s="7" t="str">
        <f>IFERROR(HLOOKUP(X771,'Calc|Weightings'!$U$5:$W$5,1,0),"Excl")</f>
        <v>Labour</v>
      </c>
      <c r="AA771" s="7" t="str">
        <f>VLOOKUP(Q771,Mapping!$E$11:$I$204,5,0)</f>
        <v>SCS</v>
      </c>
      <c r="AC771" s="35" t="s">
        <v>228</v>
      </c>
      <c r="AD771" s="35"/>
      <c r="AE771" s="35">
        <v>71000</v>
      </c>
      <c r="AF771" s="35" t="s">
        <v>457</v>
      </c>
      <c r="AG771" s="36">
        <v>302.58999999999997</v>
      </c>
      <c r="AI771" s="7" t="str">
        <f>VLOOKUP($AC771,Mapping!$E$11:$I$204,3,0)</f>
        <v>Replacement</v>
      </c>
      <c r="AJ771" s="7" t="str">
        <f>IFERROR(VLOOKUP($AE771,Mapping!$E$208:$K$236,5,0),"Contracts")</f>
        <v>Labour</v>
      </c>
      <c r="AK771" s="7" t="str">
        <f>IFERROR(VLOOKUP($AE771,Mapping!$E$208:$K$236,7,0),"ENDirect")</f>
        <v>ENDirect</v>
      </c>
      <c r="AL771" s="7" t="str">
        <f>IFERROR(HLOOKUP(AJ771,'Calc|Weightings'!$U$5:$W$5,1,0),"Excl")</f>
        <v>Labour</v>
      </c>
      <c r="AM771" s="7" t="str">
        <f>VLOOKUP(AC771,Mapping!$E$11:$I$204,5,0)</f>
        <v>SCS</v>
      </c>
      <c r="AO771" s="35" t="s">
        <v>211</v>
      </c>
      <c r="AP771" s="35"/>
      <c r="AQ771" s="35">
        <v>71070</v>
      </c>
      <c r="AR771" s="35" t="s">
        <v>586</v>
      </c>
      <c r="AS771" s="121">
        <v>81.758759999999995</v>
      </c>
      <c r="AU771" s="7" t="str">
        <f>VLOOKUP($AO771,Mapping!$E$11:$I$204,3,0)</f>
        <v>Replacement</v>
      </c>
      <c r="AV771" s="7" t="str">
        <f>IFERROR(VLOOKUP($AQ771,Mapping!$E$208:$K$236,5,0),"Contracts")</f>
        <v>Contracts</v>
      </c>
      <c r="AW771" s="7" t="str">
        <f>IFERROR(VLOOKUP($AQ771,Mapping!$E$208:$K$236,7,0),"ENDirect")</f>
        <v>ENDirect</v>
      </c>
      <c r="AX771" s="7" t="str">
        <f>IFERROR(HLOOKUP(AV771,'Calc|Weightings'!$U$5:$W$5,1,0),"Excl")</f>
        <v>Contracts</v>
      </c>
      <c r="AY771" s="7" t="str">
        <f>VLOOKUP(AO771,Mapping!$E$11:$I$204,5,0)</f>
        <v>SCS</v>
      </c>
    </row>
    <row r="772" spans="1:51" x14ac:dyDescent="0.3">
      <c r="A772" s="7"/>
      <c r="B772" s="7"/>
      <c r="C772" s="7"/>
      <c r="D772" s="7"/>
      <c r="E772" s="32" t="s">
        <v>203</v>
      </c>
      <c r="F772" s="32"/>
      <c r="G772" s="32">
        <v>71005</v>
      </c>
      <c r="H772" s="32" t="s">
        <v>461</v>
      </c>
      <c r="I772" s="33">
        <v>145.02099999999999</v>
      </c>
      <c r="J772" s="170"/>
      <c r="K772" s="7" t="str">
        <f>VLOOKUP($E772,Mapping!$E$11:$I$204,3,0)</f>
        <v>Replacement</v>
      </c>
      <c r="L772" s="7" t="str">
        <f>IFERROR(VLOOKUP($G772,Mapping!$E$208:$K$236,5,0),"Contracts")</f>
        <v>Materials</v>
      </c>
      <c r="M772" s="7" t="str">
        <f>IFERROR(VLOOKUP($G772,Mapping!$E$208:$K$236,7,0),"ENDirect")</f>
        <v>ENDirect</v>
      </c>
      <c r="N772" s="7" t="str">
        <f>IFERROR(HLOOKUP(L772,'Calc|Weightings'!$U$5:$W$5,1,0),"Excl")</f>
        <v>Materials</v>
      </c>
      <c r="O772" s="7" t="str">
        <f>VLOOKUP(E772,Mapping!$E$11:$I$204,5,0)</f>
        <v>SCS</v>
      </c>
      <c r="Q772" s="32" t="s">
        <v>231</v>
      </c>
      <c r="R772" s="32"/>
      <c r="S772" s="32">
        <v>71015</v>
      </c>
      <c r="T772" s="32" t="s">
        <v>463</v>
      </c>
      <c r="U772" s="33">
        <v>75.057000000000002</v>
      </c>
      <c r="V772" s="7"/>
      <c r="W772" s="7" t="str">
        <f>VLOOKUP($Q772,Mapping!$E$11:$I$204,3,0)</f>
        <v>Replacement</v>
      </c>
      <c r="X772" s="7" t="str">
        <f>IFERROR(VLOOKUP($S772,Mapping!$E$208:$K$236,5,0),"Contracts")</f>
        <v>Materials</v>
      </c>
      <c r="Y772" s="7" t="str">
        <f>IFERROR(VLOOKUP($S772,Mapping!$E$208:$K$236,7,0),"ENDirect")</f>
        <v>ENDirect</v>
      </c>
      <c r="Z772" s="7" t="str">
        <f>IFERROR(HLOOKUP(X772,'Calc|Weightings'!$U$5:$W$5,1,0),"Excl")</f>
        <v>Materials</v>
      </c>
      <c r="AA772" s="7" t="str">
        <f>VLOOKUP(Q772,Mapping!$E$11:$I$204,5,0)</f>
        <v>SCS</v>
      </c>
      <c r="AC772" s="35" t="s">
        <v>228</v>
      </c>
      <c r="AD772" s="35"/>
      <c r="AE772" s="35">
        <v>71005</v>
      </c>
      <c r="AF772" s="35" t="s">
        <v>461</v>
      </c>
      <c r="AG772" s="36">
        <v>559.36400000000003</v>
      </c>
      <c r="AI772" s="7" t="str">
        <f>VLOOKUP($AC772,Mapping!$E$11:$I$204,3,0)</f>
        <v>Replacement</v>
      </c>
      <c r="AJ772" s="7" t="str">
        <f>IFERROR(VLOOKUP($AE772,Mapping!$E$208:$K$236,5,0),"Contracts")</f>
        <v>Materials</v>
      </c>
      <c r="AK772" s="7" t="str">
        <f>IFERROR(VLOOKUP($AE772,Mapping!$E$208:$K$236,7,0),"ENDirect")</f>
        <v>ENDirect</v>
      </c>
      <c r="AL772" s="7" t="str">
        <f>IFERROR(HLOOKUP(AJ772,'Calc|Weightings'!$U$5:$W$5,1,0),"Excl")</f>
        <v>Materials</v>
      </c>
      <c r="AM772" s="7" t="str">
        <f>VLOOKUP(AC772,Mapping!$E$11:$I$204,5,0)</f>
        <v>SCS</v>
      </c>
      <c r="AO772" s="35" t="s">
        <v>211</v>
      </c>
      <c r="AP772" s="35"/>
      <c r="AQ772" s="35">
        <v>71075</v>
      </c>
      <c r="AR772" s="35" t="s">
        <v>587</v>
      </c>
      <c r="AS772" s="121">
        <v>8.5508600000000001</v>
      </c>
      <c r="AU772" s="7" t="str">
        <f>VLOOKUP($AO772,Mapping!$E$11:$I$204,3,0)</f>
        <v>Replacement</v>
      </c>
      <c r="AV772" s="7" t="str">
        <f>IFERROR(VLOOKUP($AQ772,Mapping!$E$208:$K$236,5,0),"Contracts")</f>
        <v>Contracts</v>
      </c>
      <c r="AW772" s="7" t="str">
        <f>IFERROR(VLOOKUP($AQ772,Mapping!$E$208:$K$236,7,0),"ENDirect")</f>
        <v>ENDirect</v>
      </c>
      <c r="AX772" s="7" t="str">
        <f>IFERROR(HLOOKUP(AV772,'Calc|Weightings'!$U$5:$W$5,1,0),"Excl")</f>
        <v>Contracts</v>
      </c>
      <c r="AY772" s="7" t="str">
        <f>VLOOKUP(AO772,Mapping!$E$11:$I$204,5,0)</f>
        <v>SCS</v>
      </c>
    </row>
    <row r="773" spans="1:51" x14ac:dyDescent="0.3">
      <c r="A773" s="7"/>
      <c r="B773" s="7"/>
      <c r="C773" s="7"/>
      <c r="D773" s="7"/>
      <c r="E773" s="32" t="s">
        <v>203</v>
      </c>
      <c r="F773" s="32"/>
      <c r="G773" s="32">
        <v>71010</v>
      </c>
      <c r="H773" s="32" t="s">
        <v>462</v>
      </c>
      <c r="I773" s="33">
        <v>231.34100000000001</v>
      </c>
      <c r="J773" s="170"/>
      <c r="K773" s="7" t="str">
        <f>VLOOKUP($E773,Mapping!$E$11:$I$204,3,0)</f>
        <v>Replacement</v>
      </c>
      <c r="L773" s="7" t="str">
        <f>IFERROR(VLOOKUP($G773,Mapping!$E$208:$K$236,5,0),"Contracts")</f>
        <v>Labour</v>
      </c>
      <c r="M773" s="7" t="str">
        <f>IFERROR(VLOOKUP($G773,Mapping!$E$208:$K$236,7,0),"ENDirect")</f>
        <v>ENDirect</v>
      </c>
      <c r="N773" s="7" t="str">
        <f>IFERROR(HLOOKUP(L773,'Calc|Weightings'!$U$5:$W$5,1,0),"Excl")</f>
        <v>Labour</v>
      </c>
      <c r="O773" s="7" t="str">
        <f>VLOOKUP(E773,Mapping!$E$11:$I$204,5,0)</f>
        <v>SCS</v>
      </c>
      <c r="Q773" s="32" t="s">
        <v>231</v>
      </c>
      <c r="R773" s="32"/>
      <c r="S773" s="32">
        <v>71020</v>
      </c>
      <c r="T773" s="32" t="s">
        <v>459</v>
      </c>
      <c r="U773" s="33">
        <v>5.5E-2</v>
      </c>
      <c r="V773" s="7"/>
      <c r="W773" s="7" t="str">
        <f>VLOOKUP($Q773,Mapping!$E$11:$I$204,3,0)</f>
        <v>Replacement</v>
      </c>
      <c r="X773" s="7" t="str">
        <f>IFERROR(VLOOKUP($S773,Mapping!$E$208:$K$236,5,0),"Contracts")</f>
        <v>Contracts</v>
      </c>
      <c r="Y773" s="7" t="str">
        <f>IFERROR(VLOOKUP($S773,Mapping!$E$208:$K$236,7,0),"ENDirect")</f>
        <v>ENDirect</v>
      </c>
      <c r="Z773" s="7" t="str">
        <f>IFERROR(HLOOKUP(X773,'Calc|Weightings'!$U$5:$W$5,1,0),"Excl")</f>
        <v>Contracts</v>
      </c>
      <c r="AA773" s="7" t="str">
        <f>VLOOKUP(Q773,Mapping!$E$11:$I$204,5,0)</f>
        <v>SCS</v>
      </c>
      <c r="AC773" s="35" t="s">
        <v>228</v>
      </c>
      <c r="AD773" s="35"/>
      <c r="AE773" s="35">
        <v>71010</v>
      </c>
      <c r="AF773" s="35" t="s">
        <v>462</v>
      </c>
      <c r="AG773" s="36">
        <v>41.488</v>
      </c>
      <c r="AI773" s="7" t="str">
        <f>VLOOKUP($AC773,Mapping!$E$11:$I$204,3,0)</f>
        <v>Replacement</v>
      </c>
      <c r="AJ773" s="7" t="str">
        <f>IFERROR(VLOOKUP($AE773,Mapping!$E$208:$K$236,5,0),"Contracts")</f>
        <v>Labour</v>
      </c>
      <c r="AK773" s="7" t="str">
        <f>IFERROR(VLOOKUP($AE773,Mapping!$E$208:$K$236,7,0),"ENDirect")</f>
        <v>ENDirect</v>
      </c>
      <c r="AL773" s="7" t="str">
        <f>IFERROR(HLOOKUP(AJ773,'Calc|Weightings'!$U$5:$W$5,1,0),"Excl")</f>
        <v>Labour</v>
      </c>
      <c r="AM773" s="7" t="str">
        <f>VLOOKUP(AC773,Mapping!$E$11:$I$204,5,0)</f>
        <v>SCS</v>
      </c>
      <c r="AO773" s="35" t="s">
        <v>211</v>
      </c>
      <c r="AP773" s="35"/>
      <c r="AQ773" s="35">
        <v>80000</v>
      </c>
      <c r="AR773" s="35" t="s">
        <v>589</v>
      </c>
      <c r="AS773" s="121">
        <v>29.14986</v>
      </c>
      <c r="AU773" s="7" t="str">
        <f>VLOOKUP($AO773,Mapping!$E$11:$I$204,3,0)</f>
        <v>Replacement</v>
      </c>
      <c r="AV773" s="7" t="str">
        <f>IFERROR(VLOOKUP($AQ773,Mapping!$E$208:$K$236,5,0),"Contracts")</f>
        <v>Overhead</v>
      </c>
      <c r="AW773" s="7" t="str">
        <f>IFERROR(VLOOKUP($AQ773,Mapping!$E$208:$K$236,7,0),"ENDirect")</f>
        <v>OH</v>
      </c>
      <c r="AX773" s="7" t="str">
        <f>IFERROR(HLOOKUP(AV773,'Calc|Weightings'!$U$5:$W$5,1,0),"Excl")</f>
        <v>Excl</v>
      </c>
      <c r="AY773" s="7" t="str">
        <f>VLOOKUP(AO773,Mapping!$E$11:$I$204,5,0)</f>
        <v>SCS</v>
      </c>
    </row>
    <row r="774" spans="1:51" x14ac:dyDescent="0.3">
      <c r="A774" s="7"/>
      <c r="B774" s="7"/>
      <c r="C774" s="7"/>
      <c r="D774" s="7"/>
      <c r="E774" s="32" t="s">
        <v>203</v>
      </c>
      <c r="F774" s="32"/>
      <c r="G774" s="32">
        <v>71015</v>
      </c>
      <c r="H774" s="32" t="s">
        <v>463</v>
      </c>
      <c r="I774" s="33">
        <v>104.684</v>
      </c>
      <c r="J774" s="170"/>
      <c r="K774" s="7" t="str">
        <f>VLOOKUP($E774,Mapping!$E$11:$I$204,3,0)</f>
        <v>Replacement</v>
      </c>
      <c r="L774" s="7" t="str">
        <f>IFERROR(VLOOKUP($G774,Mapping!$E$208:$K$236,5,0),"Contracts")</f>
        <v>Materials</v>
      </c>
      <c r="M774" s="7" t="str">
        <f>IFERROR(VLOOKUP($G774,Mapping!$E$208:$K$236,7,0),"ENDirect")</f>
        <v>ENDirect</v>
      </c>
      <c r="N774" s="7" t="str">
        <f>IFERROR(HLOOKUP(L774,'Calc|Weightings'!$U$5:$W$5,1,0),"Excl")</f>
        <v>Materials</v>
      </c>
      <c r="O774" s="7" t="str">
        <f>VLOOKUP(E774,Mapping!$E$11:$I$204,5,0)</f>
        <v>SCS</v>
      </c>
      <c r="Q774" s="32" t="s">
        <v>231</v>
      </c>
      <c r="R774" s="32"/>
      <c r="S774" s="32">
        <v>71030</v>
      </c>
      <c r="T774" s="32" t="s">
        <v>464</v>
      </c>
      <c r="U774" s="33">
        <v>51.901000000000003</v>
      </c>
      <c r="V774" s="7"/>
      <c r="W774" s="7" t="str">
        <f>VLOOKUP($Q774,Mapping!$E$11:$I$204,3,0)</f>
        <v>Replacement</v>
      </c>
      <c r="X774" s="7" t="str">
        <f>IFERROR(VLOOKUP($S774,Mapping!$E$208:$K$236,5,0),"Contracts")</f>
        <v>Contracts</v>
      </c>
      <c r="Y774" s="7" t="str">
        <f>IFERROR(VLOOKUP($S774,Mapping!$E$208:$K$236,7,0),"ENDirect")</f>
        <v>ENDirect</v>
      </c>
      <c r="Z774" s="7" t="str">
        <f>IFERROR(HLOOKUP(X774,'Calc|Weightings'!$U$5:$W$5,1,0),"Excl")</f>
        <v>Contracts</v>
      </c>
      <c r="AA774" s="7" t="str">
        <f>VLOOKUP(Q774,Mapping!$E$11:$I$204,5,0)</f>
        <v>SCS</v>
      </c>
      <c r="AC774" s="35" t="s">
        <v>228</v>
      </c>
      <c r="AD774" s="35"/>
      <c r="AE774" s="35">
        <v>71015</v>
      </c>
      <c r="AF774" s="35" t="s">
        <v>463</v>
      </c>
      <c r="AG774" s="36">
        <v>65.977999999999994</v>
      </c>
      <c r="AI774" s="7" t="str">
        <f>VLOOKUP($AC774,Mapping!$E$11:$I$204,3,0)</f>
        <v>Replacement</v>
      </c>
      <c r="AJ774" s="7" t="str">
        <f>IFERROR(VLOOKUP($AE774,Mapping!$E$208:$K$236,5,0),"Contracts")</f>
        <v>Materials</v>
      </c>
      <c r="AK774" s="7" t="str">
        <f>IFERROR(VLOOKUP($AE774,Mapping!$E$208:$K$236,7,0),"ENDirect")</f>
        <v>ENDirect</v>
      </c>
      <c r="AL774" s="7" t="str">
        <f>IFERROR(HLOOKUP(AJ774,'Calc|Weightings'!$U$5:$W$5,1,0),"Excl")</f>
        <v>Materials</v>
      </c>
      <c r="AM774" s="7" t="str">
        <f>VLOOKUP(AC774,Mapping!$E$11:$I$204,5,0)</f>
        <v>SCS</v>
      </c>
      <c r="AO774" s="35" t="s">
        <v>211</v>
      </c>
      <c r="AP774" s="35"/>
      <c r="AQ774" s="35">
        <v>83010</v>
      </c>
      <c r="AR774" s="35" t="s">
        <v>591</v>
      </c>
      <c r="AS774" s="121">
        <v>81.75869999999999</v>
      </c>
      <c r="AU774" s="7" t="str">
        <f>VLOOKUP($AO774,Mapping!$E$11:$I$204,3,0)</f>
        <v>Replacement</v>
      </c>
      <c r="AV774" s="7" t="str">
        <f>IFERROR(VLOOKUP($AQ774,Mapping!$E$208:$K$236,5,0),"Contracts")</f>
        <v>Contracts</v>
      </c>
      <c r="AW774" s="7" t="str">
        <f>IFERROR(VLOOKUP($AQ774,Mapping!$E$208:$K$236,7,0),"ENDirect")</f>
        <v>ENDirect</v>
      </c>
      <c r="AX774" s="7" t="str">
        <f>IFERROR(HLOOKUP(AV774,'Calc|Weightings'!$U$5:$W$5,1,0),"Excl")</f>
        <v>Contracts</v>
      </c>
      <c r="AY774" s="7" t="str">
        <f>VLOOKUP(AO774,Mapping!$E$11:$I$204,5,0)</f>
        <v>SCS</v>
      </c>
    </row>
    <row r="775" spans="1:51" x14ac:dyDescent="0.3">
      <c r="A775" s="7"/>
      <c r="B775" s="7"/>
      <c r="C775" s="7"/>
      <c r="D775" s="7"/>
      <c r="E775" s="32" t="s">
        <v>203</v>
      </c>
      <c r="F775" s="32"/>
      <c r="G775" s="32">
        <v>71030</v>
      </c>
      <c r="H775" s="32" t="s">
        <v>464</v>
      </c>
      <c r="I775" s="33">
        <v>74.850999999999999</v>
      </c>
      <c r="J775" s="170"/>
      <c r="K775" s="7" t="str">
        <f>VLOOKUP($E775,Mapping!$E$11:$I$204,3,0)</f>
        <v>Replacement</v>
      </c>
      <c r="L775" s="7" t="str">
        <f>IFERROR(VLOOKUP($G775,Mapping!$E$208:$K$236,5,0),"Contracts")</f>
        <v>Contracts</v>
      </c>
      <c r="M775" s="7" t="str">
        <f>IFERROR(VLOOKUP($G775,Mapping!$E$208:$K$236,7,0),"ENDirect")</f>
        <v>ENDirect</v>
      </c>
      <c r="N775" s="7" t="str">
        <f>IFERROR(HLOOKUP(L775,'Calc|Weightings'!$U$5:$W$5,1,0),"Excl")</f>
        <v>Contracts</v>
      </c>
      <c r="O775" s="7" t="str">
        <f>VLOOKUP(E775,Mapping!$E$11:$I$204,5,0)</f>
        <v>SCS</v>
      </c>
      <c r="Q775" s="32" t="s">
        <v>231</v>
      </c>
      <c r="R775" s="32"/>
      <c r="S775" s="32">
        <v>71055</v>
      </c>
      <c r="T775" s="32" t="s">
        <v>465</v>
      </c>
      <c r="U775" s="33">
        <v>81.73</v>
      </c>
      <c r="V775" s="7"/>
      <c r="W775" s="7" t="str">
        <f>VLOOKUP($Q775,Mapping!$E$11:$I$204,3,0)</f>
        <v>Replacement</v>
      </c>
      <c r="X775" s="7" t="str">
        <f>IFERROR(VLOOKUP($S775,Mapping!$E$208:$K$236,5,0),"Contracts")</f>
        <v>Contracts</v>
      </c>
      <c r="Y775" s="7" t="str">
        <f>IFERROR(VLOOKUP($S775,Mapping!$E$208:$K$236,7,0),"ENDirect")</f>
        <v>ENDirect</v>
      </c>
      <c r="Z775" s="7" t="str">
        <f>IFERROR(HLOOKUP(X775,'Calc|Weightings'!$U$5:$W$5,1,0),"Excl")</f>
        <v>Contracts</v>
      </c>
      <c r="AA775" s="7" t="str">
        <f>VLOOKUP(Q775,Mapping!$E$11:$I$204,5,0)</f>
        <v>SCS</v>
      </c>
      <c r="AC775" s="35" t="s">
        <v>228</v>
      </c>
      <c r="AD775" s="35"/>
      <c r="AE775" s="35">
        <v>71020</v>
      </c>
      <c r="AF775" s="35" t="s">
        <v>459</v>
      </c>
      <c r="AG775" s="36">
        <v>0</v>
      </c>
      <c r="AI775" s="7" t="str">
        <f>VLOOKUP($AC775,Mapping!$E$11:$I$204,3,0)</f>
        <v>Replacement</v>
      </c>
      <c r="AJ775" s="7" t="str">
        <f>IFERROR(VLOOKUP($AE775,Mapping!$E$208:$K$236,5,0),"Contracts")</f>
        <v>Contracts</v>
      </c>
      <c r="AK775" s="7" t="str">
        <f>IFERROR(VLOOKUP($AE775,Mapping!$E$208:$K$236,7,0),"ENDirect")</f>
        <v>ENDirect</v>
      </c>
      <c r="AL775" s="7" t="str">
        <f>IFERROR(HLOOKUP(AJ775,'Calc|Weightings'!$U$5:$W$5,1,0),"Excl")</f>
        <v>Contracts</v>
      </c>
      <c r="AM775" s="7" t="str">
        <f>VLOOKUP(AC775,Mapping!$E$11:$I$204,5,0)</f>
        <v>SCS</v>
      </c>
      <c r="AO775" s="35" t="s">
        <v>212</v>
      </c>
      <c r="AP775" s="35"/>
      <c r="AQ775" s="35">
        <v>71070</v>
      </c>
      <c r="AR775" s="35" t="s">
        <v>586</v>
      </c>
      <c r="AS775" s="121">
        <v>31.250240000000002</v>
      </c>
      <c r="AU775" s="7" t="str">
        <f>VLOOKUP($AO775,Mapping!$E$11:$I$204,3,0)</f>
        <v>Replacement</v>
      </c>
      <c r="AV775" s="7" t="str">
        <f>IFERROR(VLOOKUP($AQ775,Mapping!$E$208:$K$236,5,0),"Contracts")</f>
        <v>Contracts</v>
      </c>
      <c r="AW775" s="7" t="str">
        <f>IFERROR(VLOOKUP($AQ775,Mapping!$E$208:$K$236,7,0),"ENDirect")</f>
        <v>ENDirect</v>
      </c>
      <c r="AX775" s="7" t="str">
        <f>IFERROR(HLOOKUP(AV775,'Calc|Weightings'!$U$5:$W$5,1,0),"Excl")</f>
        <v>Contracts</v>
      </c>
      <c r="AY775" s="7" t="str">
        <f>VLOOKUP(AO775,Mapping!$E$11:$I$204,5,0)</f>
        <v>SCS</v>
      </c>
    </row>
    <row r="776" spans="1:51" x14ac:dyDescent="0.3">
      <c r="A776" s="7"/>
      <c r="B776" s="7"/>
      <c r="C776" s="7"/>
      <c r="D776" s="7"/>
      <c r="E776" s="32" t="s">
        <v>203</v>
      </c>
      <c r="F776" s="32"/>
      <c r="G776" s="32">
        <v>71055</v>
      </c>
      <c r="H776" s="32" t="s">
        <v>465</v>
      </c>
      <c r="I776" s="33">
        <v>171.74</v>
      </c>
      <c r="J776" s="170"/>
      <c r="K776" s="7" t="str">
        <f>VLOOKUP($E776,Mapping!$E$11:$I$204,3,0)</f>
        <v>Replacement</v>
      </c>
      <c r="L776" s="7" t="str">
        <f>IFERROR(VLOOKUP($G776,Mapping!$E$208:$K$236,5,0),"Contracts")</f>
        <v>Contracts</v>
      </c>
      <c r="M776" s="7" t="str">
        <f>IFERROR(VLOOKUP($G776,Mapping!$E$208:$K$236,7,0),"ENDirect")</f>
        <v>ENDirect</v>
      </c>
      <c r="N776" s="7" t="str">
        <f>IFERROR(HLOOKUP(L776,'Calc|Weightings'!$U$5:$W$5,1,0),"Excl")</f>
        <v>Contracts</v>
      </c>
      <c r="O776" s="7" t="str">
        <f>VLOOKUP(E776,Mapping!$E$11:$I$204,5,0)</f>
        <v>SCS</v>
      </c>
      <c r="Q776" s="32" t="s">
        <v>231</v>
      </c>
      <c r="R776" s="32"/>
      <c r="S776" s="32">
        <v>80000</v>
      </c>
      <c r="T776" s="32" t="s">
        <v>453</v>
      </c>
      <c r="U776" s="33">
        <v>100.86799999999999</v>
      </c>
      <c r="V776" s="7"/>
      <c r="W776" s="7" t="str">
        <f>VLOOKUP($Q776,Mapping!$E$11:$I$204,3,0)</f>
        <v>Replacement</v>
      </c>
      <c r="X776" s="7" t="str">
        <f>IFERROR(VLOOKUP($S776,Mapping!$E$208:$K$236,5,0),"Contracts")</f>
        <v>Overhead</v>
      </c>
      <c r="Y776" s="7" t="str">
        <f>IFERROR(VLOOKUP($S776,Mapping!$E$208:$K$236,7,0),"ENDirect")</f>
        <v>OH</v>
      </c>
      <c r="Z776" s="7" t="str">
        <f>IFERROR(HLOOKUP(X776,'Calc|Weightings'!$U$5:$W$5,1,0),"Excl")</f>
        <v>Excl</v>
      </c>
      <c r="AA776" s="7" t="str">
        <f>VLOOKUP(Q776,Mapping!$E$11:$I$204,5,0)</f>
        <v>SCS</v>
      </c>
      <c r="AC776" s="35" t="s">
        <v>228</v>
      </c>
      <c r="AD776" s="35"/>
      <c r="AE776" s="35">
        <v>71030</v>
      </c>
      <c r="AF776" s="35" t="s">
        <v>464</v>
      </c>
      <c r="AG776" s="36">
        <v>77.295000000000002</v>
      </c>
      <c r="AI776" s="7" t="str">
        <f>VLOOKUP($AC776,Mapping!$E$11:$I$204,3,0)</f>
        <v>Replacement</v>
      </c>
      <c r="AJ776" s="7" t="str">
        <f>IFERROR(VLOOKUP($AE776,Mapping!$E$208:$K$236,5,0),"Contracts")</f>
        <v>Contracts</v>
      </c>
      <c r="AK776" s="7" t="str">
        <f>IFERROR(VLOOKUP($AE776,Mapping!$E$208:$K$236,7,0),"ENDirect")</f>
        <v>ENDirect</v>
      </c>
      <c r="AL776" s="7" t="str">
        <f>IFERROR(HLOOKUP(AJ776,'Calc|Weightings'!$U$5:$W$5,1,0),"Excl")</f>
        <v>Contracts</v>
      </c>
      <c r="AM776" s="7" t="str">
        <f>VLOOKUP(AC776,Mapping!$E$11:$I$204,5,0)</f>
        <v>SCS</v>
      </c>
      <c r="AO776" s="35" t="s">
        <v>212</v>
      </c>
      <c r="AP776" s="35"/>
      <c r="AQ776" s="35">
        <v>71075</v>
      </c>
      <c r="AR776" s="35" t="s">
        <v>587</v>
      </c>
      <c r="AS776" s="121">
        <v>21.64715</v>
      </c>
      <c r="AU776" s="7" t="str">
        <f>VLOOKUP($AO776,Mapping!$E$11:$I$204,3,0)</f>
        <v>Replacement</v>
      </c>
      <c r="AV776" s="7" t="str">
        <f>IFERROR(VLOOKUP($AQ776,Mapping!$E$208:$K$236,5,0),"Contracts")</f>
        <v>Contracts</v>
      </c>
      <c r="AW776" s="7" t="str">
        <f>IFERROR(VLOOKUP($AQ776,Mapping!$E$208:$K$236,7,0),"ENDirect")</f>
        <v>ENDirect</v>
      </c>
      <c r="AX776" s="7" t="str">
        <f>IFERROR(HLOOKUP(AV776,'Calc|Weightings'!$U$5:$W$5,1,0),"Excl")</f>
        <v>Contracts</v>
      </c>
      <c r="AY776" s="7" t="str">
        <f>VLOOKUP(AO776,Mapping!$E$11:$I$204,5,0)</f>
        <v>SCS</v>
      </c>
    </row>
    <row r="777" spans="1:51" x14ac:dyDescent="0.3">
      <c r="A777" s="7"/>
      <c r="B777" s="7"/>
      <c r="C777" s="7"/>
      <c r="D777" s="7"/>
      <c r="E777" s="32" t="s">
        <v>203</v>
      </c>
      <c r="F777" s="32"/>
      <c r="G777" s="32">
        <v>80000</v>
      </c>
      <c r="H777" s="32" t="s">
        <v>453</v>
      </c>
      <c r="I777" s="33">
        <v>110.441</v>
      </c>
      <c r="J777" s="170"/>
      <c r="K777" s="7" t="str">
        <f>VLOOKUP($E777,Mapping!$E$11:$I$204,3,0)</f>
        <v>Replacement</v>
      </c>
      <c r="L777" s="7" t="str">
        <f>IFERROR(VLOOKUP($G777,Mapping!$E$208:$K$236,5,0),"Contracts")</f>
        <v>Overhead</v>
      </c>
      <c r="M777" s="7" t="str">
        <f>IFERROR(VLOOKUP($G777,Mapping!$E$208:$K$236,7,0),"ENDirect")</f>
        <v>OH</v>
      </c>
      <c r="N777" s="7" t="str">
        <f>IFERROR(HLOOKUP(L777,'Calc|Weightings'!$U$5:$W$5,1,0),"Excl")</f>
        <v>Excl</v>
      </c>
      <c r="O777" s="7" t="str">
        <f>VLOOKUP(E777,Mapping!$E$11:$I$204,5,0)</f>
        <v>SCS</v>
      </c>
      <c r="Q777" s="32" t="s">
        <v>231</v>
      </c>
      <c r="R777" s="32"/>
      <c r="S777" s="32">
        <v>89999</v>
      </c>
      <c r="T777" s="32" t="s">
        <v>471</v>
      </c>
      <c r="U777" s="33">
        <v>0</v>
      </c>
      <c r="V777" s="7"/>
      <c r="W777" s="7" t="str">
        <f>VLOOKUP($Q777,Mapping!$E$11:$I$204,3,0)</f>
        <v>Replacement</v>
      </c>
      <c r="X777" s="7" t="str">
        <f>IFERROR(VLOOKUP($S777,Mapping!$E$208:$K$236,5,0),"Contracts")</f>
        <v>Contracts</v>
      </c>
      <c r="Y777" s="7" t="str">
        <f>IFERROR(VLOOKUP($S777,Mapping!$E$208:$K$236,7,0),"ENDirect")</f>
        <v>ENDirect</v>
      </c>
      <c r="Z777" s="7" t="str">
        <f>IFERROR(HLOOKUP(X777,'Calc|Weightings'!$U$5:$W$5,1,0),"Excl")</f>
        <v>Contracts</v>
      </c>
      <c r="AA777" s="7" t="str">
        <f>VLOOKUP(Q777,Mapping!$E$11:$I$204,5,0)</f>
        <v>SCS</v>
      </c>
      <c r="AC777" s="35" t="s">
        <v>228</v>
      </c>
      <c r="AD777" s="35"/>
      <c r="AE777" s="35">
        <v>71055</v>
      </c>
      <c r="AF777" s="35" t="s">
        <v>465</v>
      </c>
      <c r="AG777" s="36">
        <v>138.21700000000001</v>
      </c>
      <c r="AI777" s="7" t="str">
        <f>VLOOKUP($AC777,Mapping!$E$11:$I$204,3,0)</f>
        <v>Replacement</v>
      </c>
      <c r="AJ777" s="7" t="str">
        <f>IFERROR(VLOOKUP($AE777,Mapping!$E$208:$K$236,5,0),"Contracts")</f>
        <v>Contracts</v>
      </c>
      <c r="AK777" s="7" t="str">
        <f>IFERROR(VLOOKUP($AE777,Mapping!$E$208:$K$236,7,0),"ENDirect")</f>
        <v>ENDirect</v>
      </c>
      <c r="AL777" s="7" t="str">
        <f>IFERROR(HLOOKUP(AJ777,'Calc|Weightings'!$U$5:$W$5,1,0),"Excl")</f>
        <v>Contracts</v>
      </c>
      <c r="AM777" s="7" t="str">
        <f>VLOOKUP(AC777,Mapping!$E$11:$I$204,5,0)</f>
        <v>SCS</v>
      </c>
      <c r="AO777" s="35" t="s">
        <v>212</v>
      </c>
      <c r="AP777" s="35"/>
      <c r="AQ777" s="35">
        <v>80000</v>
      </c>
      <c r="AR777" s="35" t="s">
        <v>589</v>
      </c>
      <c r="AS777" s="121">
        <v>34.828739999999996</v>
      </c>
      <c r="AU777" s="7" t="str">
        <f>VLOOKUP($AO777,Mapping!$E$11:$I$204,3,0)</f>
        <v>Replacement</v>
      </c>
      <c r="AV777" s="7" t="str">
        <f>IFERROR(VLOOKUP($AQ777,Mapping!$E$208:$K$236,5,0),"Contracts")</f>
        <v>Overhead</v>
      </c>
      <c r="AW777" s="7" t="str">
        <f>IFERROR(VLOOKUP($AQ777,Mapping!$E$208:$K$236,7,0),"ENDirect")</f>
        <v>OH</v>
      </c>
      <c r="AX777" s="7" t="str">
        <f>IFERROR(HLOOKUP(AV777,'Calc|Weightings'!$U$5:$W$5,1,0),"Excl")</f>
        <v>Excl</v>
      </c>
      <c r="AY777" s="7" t="str">
        <f>VLOOKUP(AO777,Mapping!$E$11:$I$204,5,0)</f>
        <v>SCS</v>
      </c>
    </row>
    <row r="778" spans="1:51" x14ac:dyDescent="0.3">
      <c r="A778" s="7"/>
      <c r="B778" s="7"/>
      <c r="C778" s="7"/>
      <c r="D778" s="7"/>
      <c r="E778" s="32" t="s">
        <v>205</v>
      </c>
      <c r="F778" s="32"/>
      <c r="G778" s="32">
        <v>71000</v>
      </c>
      <c r="H778" s="32" t="s">
        <v>457</v>
      </c>
      <c r="I778" s="33">
        <v>10.647</v>
      </c>
      <c r="J778" s="170"/>
      <c r="K778" s="7" t="str">
        <f>VLOOKUP($E778,Mapping!$E$11:$I$204,3,0)</f>
        <v>Replacement</v>
      </c>
      <c r="L778" s="7" t="str">
        <f>IFERROR(VLOOKUP($G778,Mapping!$E$208:$K$236,5,0),"Contracts")</f>
        <v>Labour</v>
      </c>
      <c r="M778" s="7" t="str">
        <f>IFERROR(VLOOKUP($G778,Mapping!$E$208:$K$236,7,0),"ENDirect")</f>
        <v>ENDirect</v>
      </c>
      <c r="N778" s="7" t="str">
        <f>IFERROR(HLOOKUP(L778,'Calc|Weightings'!$U$5:$W$5,1,0),"Excl")</f>
        <v>Labour</v>
      </c>
      <c r="O778" s="7" t="str">
        <f>VLOOKUP(E778,Mapping!$E$11:$I$204,5,0)</f>
        <v>SCS</v>
      </c>
      <c r="Q778" s="32" t="s">
        <v>234</v>
      </c>
      <c r="R778" s="32"/>
      <c r="S778" s="32">
        <v>71000</v>
      </c>
      <c r="T778" s="32" t="s">
        <v>457</v>
      </c>
      <c r="U778" s="33">
        <v>2361.0210000000002</v>
      </c>
      <c r="V778" s="7"/>
      <c r="W778" s="7" t="str">
        <f>VLOOKUP($Q778,Mapping!$E$11:$I$204,3,0)</f>
        <v>Replacement</v>
      </c>
      <c r="X778" s="7" t="str">
        <f>IFERROR(VLOOKUP($S778,Mapping!$E$208:$K$236,5,0),"Contracts")</f>
        <v>Labour</v>
      </c>
      <c r="Y778" s="7" t="str">
        <f>IFERROR(VLOOKUP($S778,Mapping!$E$208:$K$236,7,0),"ENDirect")</f>
        <v>ENDirect</v>
      </c>
      <c r="Z778" s="7" t="str">
        <f>IFERROR(HLOOKUP(X778,'Calc|Weightings'!$U$5:$W$5,1,0),"Excl")</f>
        <v>Labour</v>
      </c>
      <c r="AA778" s="7" t="str">
        <f>VLOOKUP(Q778,Mapping!$E$11:$I$204,5,0)</f>
        <v>SCS</v>
      </c>
      <c r="AC778" s="35" t="s">
        <v>228</v>
      </c>
      <c r="AD778" s="35"/>
      <c r="AE778" s="35">
        <v>80000</v>
      </c>
      <c r="AF778" s="35" t="s">
        <v>453</v>
      </c>
      <c r="AG778" s="36">
        <v>103.477</v>
      </c>
      <c r="AI778" s="7" t="str">
        <f>VLOOKUP($AC778,Mapping!$E$11:$I$204,3,0)</f>
        <v>Replacement</v>
      </c>
      <c r="AJ778" s="7" t="str">
        <f>IFERROR(VLOOKUP($AE778,Mapping!$E$208:$K$236,5,0),"Contracts")</f>
        <v>Overhead</v>
      </c>
      <c r="AK778" s="7" t="str">
        <f>IFERROR(VLOOKUP($AE778,Mapping!$E$208:$K$236,7,0),"ENDirect")</f>
        <v>OH</v>
      </c>
      <c r="AL778" s="7" t="str">
        <f>IFERROR(HLOOKUP(AJ778,'Calc|Weightings'!$U$5:$W$5,1,0),"Excl")</f>
        <v>Excl</v>
      </c>
      <c r="AM778" s="7" t="str">
        <f>VLOOKUP(AC778,Mapping!$E$11:$I$204,5,0)</f>
        <v>SCS</v>
      </c>
      <c r="AO778" s="35" t="s">
        <v>212</v>
      </c>
      <c r="AP778" s="35"/>
      <c r="AQ778" s="35">
        <v>83010</v>
      </c>
      <c r="AR778" s="35" t="s">
        <v>591</v>
      </c>
      <c r="AS778" s="121">
        <v>167.97003999999998</v>
      </c>
      <c r="AU778" s="7" t="str">
        <f>VLOOKUP($AO778,Mapping!$E$11:$I$204,3,0)</f>
        <v>Replacement</v>
      </c>
      <c r="AV778" s="7" t="str">
        <f>IFERROR(VLOOKUP($AQ778,Mapping!$E$208:$K$236,5,0),"Contracts")</f>
        <v>Contracts</v>
      </c>
      <c r="AW778" s="7" t="str">
        <f>IFERROR(VLOOKUP($AQ778,Mapping!$E$208:$K$236,7,0),"ENDirect")</f>
        <v>ENDirect</v>
      </c>
      <c r="AX778" s="7" t="str">
        <f>IFERROR(HLOOKUP(AV778,'Calc|Weightings'!$U$5:$W$5,1,0),"Excl")</f>
        <v>Contracts</v>
      </c>
      <c r="AY778" s="7" t="str">
        <f>VLOOKUP(AO778,Mapping!$E$11:$I$204,5,0)</f>
        <v>SCS</v>
      </c>
    </row>
    <row r="779" spans="1:51" x14ac:dyDescent="0.3">
      <c r="A779" s="7"/>
      <c r="B779" s="7"/>
      <c r="C779" s="7"/>
      <c r="D779" s="7"/>
      <c r="E779" s="32" t="s">
        <v>205</v>
      </c>
      <c r="F779" s="32"/>
      <c r="G779" s="32">
        <v>71005</v>
      </c>
      <c r="H779" s="32" t="s">
        <v>461</v>
      </c>
      <c r="I779" s="33">
        <v>2.78</v>
      </c>
      <c r="J779" s="170"/>
      <c r="K779" s="7" t="str">
        <f>VLOOKUP($E779,Mapping!$E$11:$I$204,3,0)</f>
        <v>Replacement</v>
      </c>
      <c r="L779" s="7" t="str">
        <f>IFERROR(VLOOKUP($G779,Mapping!$E$208:$K$236,5,0),"Contracts")</f>
        <v>Materials</v>
      </c>
      <c r="M779" s="7" t="str">
        <f>IFERROR(VLOOKUP($G779,Mapping!$E$208:$K$236,7,0),"ENDirect")</f>
        <v>ENDirect</v>
      </c>
      <c r="N779" s="7" t="str">
        <f>IFERROR(HLOOKUP(L779,'Calc|Weightings'!$U$5:$W$5,1,0),"Excl")</f>
        <v>Materials</v>
      </c>
      <c r="O779" s="7" t="str">
        <f>VLOOKUP(E779,Mapping!$E$11:$I$204,5,0)</f>
        <v>SCS</v>
      </c>
      <c r="Q779" s="32" t="s">
        <v>234</v>
      </c>
      <c r="R779" s="32"/>
      <c r="S779" s="32">
        <v>71005</v>
      </c>
      <c r="T779" s="32" t="s">
        <v>461</v>
      </c>
      <c r="U779" s="33">
        <v>601.90099999999995</v>
      </c>
      <c r="V779" s="7"/>
      <c r="W779" s="7" t="str">
        <f>VLOOKUP($Q779,Mapping!$E$11:$I$204,3,0)</f>
        <v>Replacement</v>
      </c>
      <c r="X779" s="7" t="str">
        <f>IFERROR(VLOOKUP($S779,Mapping!$E$208:$K$236,5,0),"Contracts")</f>
        <v>Materials</v>
      </c>
      <c r="Y779" s="7" t="str">
        <f>IFERROR(VLOOKUP($S779,Mapping!$E$208:$K$236,7,0),"ENDirect")</f>
        <v>ENDirect</v>
      </c>
      <c r="Z779" s="7" t="str">
        <f>IFERROR(HLOOKUP(X779,'Calc|Weightings'!$U$5:$W$5,1,0),"Excl")</f>
        <v>Materials</v>
      </c>
      <c r="AA779" s="7" t="str">
        <f>VLOOKUP(Q779,Mapping!$E$11:$I$204,5,0)</f>
        <v>SCS</v>
      </c>
      <c r="AC779" s="35" t="s">
        <v>228</v>
      </c>
      <c r="AD779" s="35"/>
      <c r="AE779" s="35">
        <v>89999</v>
      </c>
      <c r="AF779" s="35" t="s">
        <v>471</v>
      </c>
      <c r="AG779" s="36">
        <v>0</v>
      </c>
      <c r="AI779" s="7" t="str">
        <f>VLOOKUP($AC779,Mapping!$E$11:$I$204,3,0)</f>
        <v>Replacement</v>
      </c>
      <c r="AJ779" s="7" t="str">
        <f>IFERROR(VLOOKUP($AE779,Mapping!$E$208:$K$236,5,0),"Contracts")</f>
        <v>Contracts</v>
      </c>
      <c r="AK779" s="7" t="str">
        <f>IFERROR(VLOOKUP($AE779,Mapping!$E$208:$K$236,7,0),"ENDirect")</f>
        <v>ENDirect</v>
      </c>
      <c r="AL779" s="7" t="str">
        <f>IFERROR(HLOOKUP(AJ779,'Calc|Weightings'!$U$5:$W$5,1,0),"Excl")</f>
        <v>Contracts</v>
      </c>
      <c r="AM779" s="7" t="str">
        <f>VLOOKUP(AC779,Mapping!$E$11:$I$204,5,0)</f>
        <v>SCS</v>
      </c>
      <c r="AO779" s="35" t="s">
        <v>213</v>
      </c>
      <c r="AP779" s="35"/>
      <c r="AQ779" s="35">
        <v>71075</v>
      </c>
      <c r="AR779" s="35" t="s">
        <v>587</v>
      </c>
      <c r="AS779" s="121">
        <v>7.7996499999999997</v>
      </c>
      <c r="AU779" s="7" t="str">
        <f>VLOOKUP($AO779,Mapping!$E$11:$I$204,3,0)</f>
        <v>Replacement</v>
      </c>
      <c r="AV779" s="7" t="str">
        <f>IFERROR(VLOOKUP($AQ779,Mapping!$E$208:$K$236,5,0),"Contracts")</f>
        <v>Contracts</v>
      </c>
      <c r="AW779" s="7" t="str">
        <f>IFERROR(VLOOKUP($AQ779,Mapping!$E$208:$K$236,7,0),"ENDirect")</f>
        <v>ENDirect</v>
      </c>
      <c r="AX779" s="7" t="str">
        <f>IFERROR(HLOOKUP(AV779,'Calc|Weightings'!$U$5:$W$5,1,0),"Excl")</f>
        <v>Contracts</v>
      </c>
      <c r="AY779" s="7" t="str">
        <f>VLOOKUP(AO779,Mapping!$E$11:$I$204,5,0)</f>
        <v>SCS</v>
      </c>
    </row>
    <row r="780" spans="1:51" x14ac:dyDescent="0.3">
      <c r="A780" s="7"/>
      <c r="B780" s="7"/>
      <c r="C780" s="7"/>
      <c r="D780" s="7"/>
      <c r="E780" s="32" t="s">
        <v>205</v>
      </c>
      <c r="F780" s="32"/>
      <c r="G780" s="32">
        <v>71010</v>
      </c>
      <c r="H780" s="32" t="s">
        <v>462</v>
      </c>
      <c r="I780" s="33">
        <v>424.70100000000002</v>
      </c>
      <c r="J780" s="170"/>
      <c r="K780" s="7" t="str">
        <f>VLOOKUP($E780,Mapping!$E$11:$I$204,3,0)</f>
        <v>Replacement</v>
      </c>
      <c r="L780" s="7" t="str">
        <f>IFERROR(VLOOKUP($G780,Mapping!$E$208:$K$236,5,0),"Contracts")</f>
        <v>Labour</v>
      </c>
      <c r="M780" s="7" t="str">
        <f>IFERROR(VLOOKUP($G780,Mapping!$E$208:$K$236,7,0),"ENDirect")</f>
        <v>ENDirect</v>
      </c>
      <c r="N780" s="7" t="str">
        <f>IFERROR(HLOOKUP(L780,'Calc|Weightings'!$U$5:$W$5,1,0),"Excl")</f>
        <v>Labour</v>
      </c>
      <c r="O780" s="7" t="str">
        <f>VLOOKUP(E780,Mapping!$E$11:$I$204,5,0)</f>
        <v>SCS</v>
      </c>
      <c r="Q780" s="32" t="s">
        <v>234</v>
      </c>
      <c r="R780" s="32"/>
      <c r="S780" s="32">
        <v>71010</v>
      </c>
      <c r="T780" s="32" t="s">
        <v>462</v>
      </c>
      <c r="U780" s="33">
        <v>2087.4209999999998</v>
      </c>
      <c r="V780" s="7"/>
      <c r="W780" s="7" t="str">
        <f>VLOOKUP($Q780,Mapping!$E$11:$I$204,3,0)</f>
        <v>Replacement</v>
      </c>
      <c r="X780" s="7" t="str">
        <f>IFERROR(VLOOKUP($S780,Mapping!$E$208:$K$236,5,0),"Contracts")</f>
        <v>Labour</v>
      </c>
      <c r="Y780" s="7" t="str">
        <f>IFERROR(VLOOKUP($S780,Mapping!$E$208:$K$236,7,0),"ENDirect")</f>
        <v>ENDirect</v>
      </c>
      <c r="Z780" s="7" t="str">
        <f>IFERROR(HLOOKUP(X780,'Calc|Weightings'!$U$5:$W$5,1,0),"Excl")</f>
        <v>Labour</v>
      </c>
      <c r="AA780" s="7" t="str">
        <f>VLOOKUP(Q780,Mapping!$E$11:$I$204,5,0)</f>
        <v>SCS</v>
      </c>
      <c r="AC780" s="35" t="s">
        <v>229</v>
      </c>
      <c r="AD780" s="35"/>
      <c r="AE780" s="35">
        <v>71000</v>
      </c>
      <c r="AF780" s="35" t="s">
        <v>457</v>
      </c>
      <c r="AG780" s="36">
        <v>47.972999999999999</v>
      </c>
      <c r="AI780" s="7" t="str">
        <f>VLOOKUP($AC780,Mapping!$E$11:$I$204,3,0)</f>
        <v>Replacement</v>
      </c>
      <c r="AJ780" s="7" t="str">
        <f>IFERROR(VLOOKUP($AE780,Mapping!$E$208:$K$236,5,0),"Contracts")</f>
        <v>Labour</v>
      </c>
      <c r="AK780" s="7" t="str">
        <f>IFERROR(VLOOKUP($AE780,Mapping!$E$208:$K$236,7,0),"ENDirect")</f>
        <v>ENDirect</v>
      </c>
      <c r="AL780" s="7" t="str">
        <f>IFERROR(HLOOKUP(AJ780,'Calc|Weightings'!$U$5:$W$5,1,0),"Excl")</f>
        <v>Labour</v>
      </c>
      <c r="AM780" s="7" t="str">
        <f>VLOOKUP(AC780,Mapping!$E$11:$I$204,5,0)</f>
        <v>SCS</v>
      </c>
      <c r="AO780" s="35" t="s">
        <v>213</v>
      </c>
      <c r="AP780" s="35"/>
      <c r="AQ780" s="35">
        <v>80000</v>
      </c>
      <c r="AR780" s="35" t="s">
        <v>589</v>
      </c>
      <c r="AS780" s="121">
        <v>13.152709999999999</v>
      </c>
      <c r="AU780" s="7" t="str">
        <f>VLOOKUP($AO780,Mapping!$E$11:$I$204,3,0)</f>
        <v>Replacement</v>
      </c>
      <c r="AV780" s="7" t="str">
        <f>IFERROR(VLOOKUP($AQ780,Mapping!$E$208:$K$236,5,0),"Contracts")</f>
        <v>Overhead</v>
      </c>
      <c r="AW780" s="7" t="str">
        <f>IFERROR(VLOOKUP($AQ780,Mapping!$E$208:$K$236,7,0),"ENDirect")</f>
        <v>OH</v>
      </c>
      <c r="AX780" s="7" t="str">
        <f>IFERROR(HLOOKUP(AV780,'Calc|Weightings'!$U$5:$W$5,1,0),"Excl")</f>
        <v>Excl</v>
      </c>
      <c r="AY780" s="7" t="str">
        <f>VLOOKUP(AO780,Mapping!$E$11:$I$204,5,0)</f>
        <v>SCS</v>
      </c>
    </row>
    <row r="781" spans="1:51" x14ac:dyDescent="0.3">
      <c r="A781" s="7"/>
      <c r="B781" s="7"/>
      <c r="C781" s="7"/>
      <c r="D781" s="7"/>
      <c r="E781" s="32" t="s">
        <v>205</v>
      </c>
      <c r="F781" s="32"/>
      <c r="G781" s="32">
        <v>71015</v>
      </c>
      <c r="H781" s="32" t="s">
        <v>463</v>
      </c>
      <c r="I781" s="33">
        <v>3.0760000000000001</v>
      </c>
      <c r="J781" s="170"/>
      <c r="K781" s="7" t="str">
        <f>VLOOKUP($E781,Mapping!$E$11:$I$204,3,0)</f>
        <v>Replacement</v>
      </c>
      <c r="L781" s="7" t="str">
        <f>IFERROR(VLOOKUP($G781,Mapping!$E$208:$K$236,5,0),"Contracts")</f>
        <v>Materials</v>
      </c>
      <c r="M781" s="7" t="str">
        <f>IFERROR(VLOOKUP($G781,Mapping!$E$208:$K$236,7,0),"ENDirect")</f>
        <v>ENDirect</v>
      </c>
      <c r="N781" s="7" t="str">
        <f>IFERROR(HLOOKUP(L781,'Calc|Weightings'!$U$5:$W$5,1,0),"Excl")</f>
        <v>Materials</v>
      </c>
      <c r="O781" s="7" t="str">
        <f>VLOOKUP(E781,Mapping!$E$11:$I$204,5,0)</f>
        <v>SCS</v>
      </c>
      <c r="Q781" s="32" t="s">
        <v>234</v>
      </c>
      <c r="R781" s="32"/>
      <c r="S781" s="32">
        <v>71015</v>
      </c>
      <c r="T781" s="32" t="s">
        <v>463</v>
      </c>
      <c r="U781" s="33">
        <v>590</v>
      </c>
      <c r="V781" s="7"/>
      <c r="W781" s="7" t="str">
        <f>VLOOKUP($Q781,Mapping!$E$11:$I$204,3,0)</f>
        <v>Replacement</v>
      </c>
      <c r="X781" s="7" t="str">
        <f>IFERROR(VLOOKUP($S781,Mapping!$E$208:$K$236,5,0),"Contracts")</f>
        <v>Materials</v>
      </c>
      <c r="Y781" s="7" t="str">
        <f>IFERROR(VLOOKUP($S781,Mapping!$E$208:$K$236,7,0),"ENDirect")</f>
        <v>ENDirect</v>
      </c>
      <c r="Z781" s="7" t="str">
        <f>IFERROR(HLOOKUP(X781,'Calc|Weightings'!$U$5:$W$5,1,0),"Excl")</f>
        <v>Materials</v>
      </c>
      <c r="AA781" s="7" t="str">
        <f>VLOOKUP(Q781,Mapping!$E$11:$I$204,5,0)</f>
        <v>SCS</v>
      </c>
      <c r="AC781" s="35" t="s">
        <v>229</v>
      </c>
      <c r="AD781" s="35"/>
      <c r="AE781" s="35">
        <v>71005</v>
      </c>
      <c r="AF781" s="35" t="s">
        <v>461</v>
      </c>
      <c r="AG781" s="36">
        <v>2.992</v>
      </c>
      <c r="AI781" s="7" t="str">
        <f>VLOOKUP($AC781,Mapping!$E$11:$I$204,3,0)</f>
        <v>Replacement</v>
      </c>
      <c r="AJ781" s="7" t="str">
        <f>IFERROR(VLOOKUP($AE781,Mapping!$E$208:$K$236,5,0),"Contracts")</f>
        <v>Materials</v>
      </c>
      <c r="AK781" s="7" t="str">
        <f>IFERROR(VLOOKUP($AE781,Mapping!$E$208:$K$236,7,0),"ENDirect")</f>
        <v>ENDirect</v>
      </c>
      <c r="AL781" s="7" t="str">
        <f>IFERROR(HLOOKUP(AJ781,'Calc|Weightings'!$U$5:$W$5,1,0),"Excl")</f>
        <v>Materials</v>
      </c>
      <c r="AM781" s="7" t="str">
        <f>VLOOKUP(AC781,Mapping!$E$11:$I$204,5,0)</f>
        <v>SCS</v>
      </c>
      <c r="AO781" s="35" t="s">
        <v>213</v>
      </c>
      <c r="AP781" s="35"/>
      <c r="AQ781" s="35">
        <v>83010</v>
      </c>
      <c r="AR781" s="35" t="s">
        <v>591</v>
      </c>
      <c r="AS781" s="121">
        <v>66.131419999999991</v>
      </c>
      <c r="AU781" s="7" t="str">
        <f>VLOOKUP($AO781,Mapping!$E$11:$I$204,3,0)</f>
        <v>Replacement</v>
      </c>
      <c r="AV781" s="7" t="str">
        <f>IFERROR(VLOOKUP($AQ781,Mapping!$E$208:$K$236,5,0),"Contracts")</f>
        <v>Contracts</v>
      </c>
      <c r="AW781" s="7" t="str">
        <f>IFERROR(VLOOKUP($AQ781,Mapping!$E$208:$K$236,7,0),"ENDirect")</f>
        <v>ENDirect</v>
      </c>
      <c r="AX781" s="7" t="str">
        <f>IFERROR(HLOOKUP(AV781,'Calc|Weightings'!$U$5:$W$5,1,0),"Excl")</f>
        <v>Contracts</v>
      </c>
      <c r="AY781" s="7" t="str">
        <f>VLOOKUP(AO781,Mapping!$E$11:$I$204,5,0)</f>
        <v>SCS</v>
      </c>
    </row>
    <row r="782" spans="1:51" x14ac:dyDescent="0.3">
      <c r="A782" s="7"/>
      <c r="B782" s="7"/>
      <c r="C782" s="7"/>
      <c r="D782" s="7"/>
      <c r="E782" s="32" t="s">
        <v>205</v>
      </c>
      <c r="F782" s="32"/>
      <c r="G782" s="32">
        <v>71030</v>
      </c>
      <c r="H782" s="32" t="s">
        <v>464</v>
      </c>
      <c r="I782" s="33">
        <v>39.188000000000002</v>
      </c>
      <c r="J782" s="170"/>
      <c r="K782" s="7" t="str">
        <f>VLOOKUP($E782,Mapping!$E$11:$I$204,3,0)</f>
        <v>Replacement</v>
      </c>
      <c r="L782" s="7" t="str">
        <f>IFERROR(VLOOKUP($G782,Mapping!$E$208:$K$236,5,0),"Contracts")</f>
        <v>Contracts</v>
      </c>
      <c r="M782" s="7" t="str">
        <f>IFERROR(VLOOKUP($G782,Mapping!$E$208:$K$236,7,0),"ENDirect")</f>
        <v>ENDirect</v>
      </c>
      <c r="N782" s="7" t="str">
        <f>IFERROR(HLOOKUP(L782,'Calc|Weightings'!$U$5:$W$5,1,0),"Excl")</f>
        <v>Contracts</v>
      </c>
      <c r="O782" s="7" t="str">
        <f>VLOOKUP(E782,Mapping!$E$11:$I$204,5,0)</f>
        <v>SCS</v>
      </c>
      <c r="Q782" s="32" t="s">
        <v>234</v>
      </c>
      <c r="R782" s="32"/>
      <c r="S782" s="32">
        <v>71020</v>
      </c>
      <c r="T782" s="32" t="s">
        <v>459</v>
      </c>
      <c r="U782" s="33">
        <v>-3.448</v>
      </c>
      <c r="V782" s="7"/>
      <c r="W782" s="7" t="str">
        <f>VLOOKUP($Q782,Mapping!$E$11:$I$204,3,0)</f>
        <v>Replacement</v>
      </c>
      <c r="X782" s="7" t="str">
        <f>IFERROR(VLOOKUP($S782,Mapping!$E$208:$K$236,5,0),"Contracts")</f>
        <v>Contracts</v>
      </c>
      <c r="Y782" s="7" t="str">
        <f>IFERROR(VLOOKUP($S782,Mapping!$E$208:$K$236,7,0),"ENDirect")</f>
        <v>ENDirect</v>
      </c>
      <c r="Z782" s="7" t="str">
        <f>IFERROR(HLOOKUP(X782,'Calc|Weightings'!$U$5:$W$5,1,0),"Excl")</f>
        <v>Contracts</v>
      </c>
      <c r="AA782" s="7" t="str">
        <f>VLOOKUP(Q782,Mapping!$E$11:$I$204,5,0)</f>
        <v>SCS</v>
      </c>
      <c r="AC782" s="35" t="s">
        <v>229</v>
      </c>
      <c r="AD782" s="35"/>
      <c r="AE782" s="35">
        <v>71010</v>
      </c>
      <c r="AF782" s="35" t="s">
        <v>462</v>
      </c>
      <c r="AG782" s="36">
        <v>2.4590000000000001</v>
      </c>
      <c r="AI782" s="7" t="str">
        <f>VLOOKUP($AC782,Mapping!$E$11:$I$204,3,0)</f>
        <v>Replacement</v>
      </c>
      <c r="AJ782" s="7" t="str">
        <f>IFERROR(VLOOKUP($AE782,Mapping!$E$208:$K$236,5,0),"Contracts")</f>
        <v>Labour</v>
      </c>
      <c r="AK782" s="7" t="str">
        <f>IFERROR(VLOOKUP($AE782,Mapping!$E$208:$K$236,7,0),"ENDirect")</f>
        <v>ENDirect</v>
      </c>
      <c r="AL782" s="7" t="str">
        <f>IFERROR(HLOOKUP(AJ782,'Calc|Weightings'!$U$5:$W$5,1,0),"Excl")</f>
        <v>Labour</v>
      </c>
      <c r="AM782" s="7" t="str">
        <f>VLOOKUP(AC782,Mapping!$E$11:$I$204,5,0)</f>
        <v>SCS</v>
      </c>
      <c r="AO782" s="35" t="s">
        <v>215</v>
      </c>
      <c r="AP782" s="35"/>
      <c r="AQ782" s="35">
        <v>71075</v>
      </c>
      <c r="AR782" s="35" t="s">
        <v>587</v>
      </c>
      <c r="AS782" s="121">
        <v>1.23424</v>
      </c>
      <c r="AU782" s="7" t="str">
        <f>VLOOKUP($AO782,Mapping!$E$11:$I$204,3,0)</f>
        <v>Replacement</v>
      </c>
      <c r="AV782" s="7" t="str">
        <f>IFERROR(VLOOKUP($AQ782,Mapping!$E$208:$K$236,5,0),"Contracts")</f>
        <v>Contracts</v>
      </c>
      <c r="AW782" s="7" t="str">
        <f>IFERROR(VLOOKUP($AQ782,Mapping!$E$208:$K$236,7,0),"ENDirect")</f>
        <v>ENDirect</v>
      </c>
      <c r="AX782" s="7" t="str">
        <f>IFERROR(HLOOKUP(AV782,'Calc|Weightings'!$U$5:$W$5,1,0),"Excl")</f>
        <v>Contracts</v>
      </c>
      <c r="AY782" s="7" t="str">
        <f>VLOOKUP(AO782,Mapping!$E$11:$I$204,5,0)</f>
        <v>SCS</v>
      </c>
    </row>
    <row r="783" spans="1:51" x14ac:dyDescent="0.3">
      <c r="A783" s="7"/>
      <c r="B783" s="7"/>
      <c r="C783" s="7"/>
      <c r="D783" s="7"/>
      <c r="E783" s="32" t="s">
        <v>205</v>
      </c>
      <c r="F783" s="32"/>
      <c r="G783" s="32">
        <v>71055</v>
      </c>
      <c r="H783" s="32" t="s">
        <v>465</v>
      </c>
      <c r="I783" s="33">
        <v>119.78400000000001</v>
      </c>
      <c r="J783" s="170"/>
      <c r="K783" s="7" t="str">
        <f>VLOOKUP($E783,Mapping!$E$11:$I$204,3,0)</f>
        <v>Replacement</v>
      </c>
      <c r="L783" s="7" t="str">
        <f>IFERROR(VLOOKUP($G783,Mapping!$E$208:$K$236,5,0),"Contracts")</f>
        <v>Contracts</v>
      </c>
      <c r="M783" s="7" t="str">
        <f>IFERROR(VLOOKUP($G783,Mapping!$E$208:$K$236,7,0),"ENDirect")</f>
        <v>ENDirect</v>
      </c>
      <c r="N783" s="7" t="str">
        <f>IFERROR(HLOOKUP(L783,'Calc|Weightings'!$U$5:$W$5,1,0),"Excl")</f>
        <v>Contracts</v>
      </c>
      <c r="O783" s="7" t="str">
        <f>VLOOKUP(E783,Mapping!$E$11:$I$204,5,0)</f>
        <v>SCS</v>
      </c>
      <c r="Q783" s="32" t="s">
        <v>234</v>
      </c>
      <c r="R783" s="32"/>
      <c r="S783" s="32">
        <v>71030</v>
      </c>
      <c r="T783" s="32" t="s">
        <v>464</v>
      </c>
      <c r="U783" s="33">
        <v>458.04500000000002</v>
      </c>
      <c r="V783" s="7"/>
      <c r="W783" s="7" t="str">
        <f>VLOOKUP($Q783,Mapping!$E$11:$I$204,3,0)</f>
        <v>Replacement</v>
      </c>
      <c r="X783" s="7" t="str">
        <f>IFERROR(VLOOKUP($S783,Mapping!$E$208:$K$236,5,0),"Contracts")</f>
        <v>Contracts</v>
      </c>
      <c r="Y783" s="7" t="str">
        <f>IFERROR(VLOOKUP($S783,Mapping!$E$208:$K$236,7,0),"ENDirect")</f>
        <v>ENDirect</v>
      </c>
      <c r="Z783" s="7" t="str">
        <f>IFERROR(HLOOKUP(X783,'Calc|Weightings'!$U$5:$W$5,1,0),"Excl")</f>
        <v>Contracts</v>
      </c>
      <c r="AA783" s="7" t="str">
        <f>VLOOKUP(Q783,Mapping!$E$11:$I$204,5,0)</f>
        <v>SCS</v>
      </c>
      <c r="AC783" s="35" t="s">
        <v>229</v>
      </c>
      <c r="AD783" s="35"/>
      <c r="AE783" s="35">
        <v>71015</v>
      </c>
      <c r="AF783" s="35" t="s">
        <v>463</v>
      </c>
      <c r="AG783" s="36">
        <v>9.6069999999999993</v>
      </c>
      <c r="AI783" s="7" t="str">
        <f>VLOOKUP($AC783,Mapping!$E$11:$I$204,3,0)</f>
        <v>Replacement</v>
      </c>
      <c r="AJ783" s="7" t="str">
        <f>IFERROR(VLOOKUP($AE783,Mapping!$E$208:$K$236,5,0),"Contracts")</f>
        <v>Materials</v>
      </c>
      <c r="AK783" s="7" t="str">
        <f>IFERROR(VLOOKUP($AE783,Mapping!$E$208:$K$236,7,0),"ENDirect")</f>
        <v>ENDirect</v>
      </c>
      <c r="AL783" s="7" t="str">
        <f>IFERROR(HLOOKUP(AJ783,'Calc|Weightings'!$U$5:$W$5,1,0),"Excl")</f>
        <v>Materials</v>
      </c>
      <c r="AM783" s="7" t="str">
        <f>VLOOKUP(AC783,Mapping!$E$11:$I$204,5,0)</f>
        <v>SCS</v>
      </c>
      <c r="AO783" s="35" t="s">
        <v>215</v>
      </c>
      <c r="AP783" s="35"/>
      <c r="AQ783" s="35">
        <v>80000</v>
      </c>
      <c r="AR783" s="35" t="s">
        <v>589</v>
      </c>
      <c r="AS783" s="121">
        <v>2.3096499999999995</v>
      </c>
      <c r="AU783" s="7" t="str">
        <f>VLOOKUP($AO783,Mapping!$E$11:$I$204,3,0)</f>
        <v>Replacement</v>
      </c>
      <c r="AV783" s="7" t="str">
        <f>IFERROR(VLOOKUP($AQ783,Mapping!$E$208:$K$236,5,0),"Contracts")</f>
        <v>Overhead</v>
      </c>
      <c r="AW783" s="7" t="str">
        <f>IFERROR(VLOOKUP($AQ783,Mapping!$E$208:$K$236,7,0),"ENDirect")</f>
        <v>OH</v>
      </c>
      <c r="AX783" s="7" t="str">
        <f>IFERROR(HLOOKUP(AV783,'Calc|Weightings'!$U$5:$W$5,1,0),"Excl")</f>
        <v>Excl</v>
      </c>
      <c r="AY783" s="7" t="str">
        <f>VLOOKUP(AO783,Mapping!$E$11:$I$204,5,0)</f>
        <v>SCS</v>
      </c>
    </row>
    <row r="784" spans="1:51" x14ac:dyDescent="0.3">
      <c r="A784" s="7"/>
      <c r="B784" s="7"/>
      <c r="C784" s="7"/>
      <c r="D784" s="7"/>
      <c r="E784" s="32" t="s">
        <v>205</v>
      </c>
      <c r="F784" s="32"/>
      <c r="G784" s="32">
        <v>80000</v>
      </c>
      <c r="H784" s="32" t="s">
        <v>453</v>
      </c>
      <c r="I784" s="33">
        <v>58.405000000000001</v>
      </c>
      <c r="J784" s="170"/>
      <c r="K784" s="7" t="str">
        <f>VLOOKUP($E784,Mapping!$E$11:$I$204,3,0)</f>
        <v>Replacement</v>
      </c>
      <c r="L784" s="7" t="str">
        <f>IFERROR(VLOOKUP($G784,Mapping!$E$208:$K$236,5,0),"Contracts")</f>
        <v>Overhead</v>
      </c>
      <c r="M784" s="7" t="str">
        <f>IFERROR(VLOOKUP($G784,Mapping!$E$208:$K$236,7,0),"ENDirect")</f>
        <v>OH</v>
      </c>
      <c r="N784" s="7" t="str">
        <f>IFERROR(HLOOKUP(L784,'Calc|Weightings'!$U$5:$W$5,1,0),"Excl")</f>
        <v>Excl</v>
      </c>
      <c r="O784" s="7" t="str">
        <f>VLOOKUP(E784,Mapping!$E$11:$I$204,5,0)</f>
        <v>SCS</v>
      </c>
      <c r="Q784" s="32" t="s">
        <v>234</v>
      </c>
      <c r="R784" s="32"/>
      <c r="S784" s="32">
        <v>71055</v>
      </c>
      <c r="T784" s="32" t="s">
        <v>465</v>
      </c>
      <c r="U784" s="33">
        <v>906.548</v>
      </c>
      <c r="V784" s="7"/>
      <c r="W784" s="7" t="str">
        <f>VLOOKUP($Q784,Mapping!$E$11:$I$204,3,0)</f>
        <v>Replacement</v>
      </c>
      <c r="X784" s="7" t="str">
        <f>IFERROR(VLOOKUP($S784,Mapping!$E$208:$K$236,5,0),"Contracts")</f>
        <v>Contracts</v>
      </c>
      <c r="Y784" s="7" t="str">
        <f>IFERROR(VLOOKUP($S784,Mapping!$E$208:$K$236,7,0),"ENDirect")</f>
        <v>ENDirect</v>
      </c>
      <c r="Z784" s="7" t="str">
        <f>IFERROR(HLOOKUP(X784,'Calc|Weightings'!$U$5:$W$5,1,0),"Excl")</f>
        <v>Contracts</v>
      </c>
      <c r="AA784" s="7" t="str">
        <f>VLOOKUP(Q784,Mapping!$E$11:$I$204,5,0)</f>
        <v>SCS</v>
      </c>
      <c r="AC784" s="35" t="s">
        <v>229</v>
      </c>
      <c r="AD784" s="35"/>
      <c r="AE784" s="35">
        <v>71030</v>
      </c>
      <c r="AF784" s="35" t="s">
        <v>464</v>
      </c>
      <c r="AG784" s="36">
        <v>5.3689999999999998</v>
      </c>
      <c r="AI784" s="7" t="str">
        <f>VLOOKUP($AC784,Mapping!$E$11:$I$204,3,0)</f>
        <v>Replacement</v>
      </c>
      <c r="AJ784" s="7" t="str">
        <f>IFERROR(VLOOKUP($AE784,Mapping!$E$208:$K$236,5,0),"Contracts")</f>
        <v>Contracts</v>
      </c>
      <c r="AK784" s="7" t="str">
        <f>IFERROR(VLOOKUP($AE784,Mapping!$E$208:$K$236,7,0),"ENDirect")</f>
        <v>ENDirect</v>
      </c>
      <c r="AL784" s="7" t="str">
        <f>IFERROR(HLOOKUP(AJ784,'Calc|Weightings'!$U$5:$W$5,1,0),"Excl")</f>
        <v>Contracts</v>
      </c>
      <c r="AM784" s="7" t="str">
        <f>VLOOKUP(AC784,Mapping!$E$11:$I$204,5,0)</f>
        <v>SCS</v>
      </c>
      <c r="AO784" s="35" t="s">
        <v>215</v>
      </c>
      <c r="AP784" s="35"/>
      <c r="AQ784" s="35">
        <v>83010</v>
      </c>
      <c r="AR784" s="35" t="s">
        <v>591</v>
      </c>
      <c r="AS784" s="121">
        <v>11.51568</v>
      </c>
      <c r="AU784" s="7" t="str">
        <f>VLOOKUP($AO784,Mapping!$E$11:$I$204,3,0)</f>
        <v>Replacement</v>
      </c>
      <c r="AV784" s="7" t="str">
        <f>IFERROR(VLOOKUP($AQ784,Mapping!$E$208:$K$236,5,0),"Contracts")</f>
        <v>Contracts</v>
      </c>
      <c r="AW784" s="7" t="str">
        <f>IFERROR(VLOOKUP($AQ784,Mapping!$E$208:$K$236,7,0),"ENDirect")</f>
        <v>ENDirect</v>
      </c>
      <c r="AX784" s="7" t="str">
        <f>IFERROR(HLOOKUP(AV784,'Calc|Weightings'!$U$5:$W$5,1,0),"Excl")</f>
        <v>Contracts</v>
      </c>
      <c r="AY784" s="7" t="str">
        <f>VLOOKUP(AO784,Mapping!$E$11:$I$204,5,0)</f>
        <v>SCS</v>
      </c>
    </row>
    <row r="785" spans="1:51" x14ac:dyDescent="0.3">
      <c r="A785" s="7"/>
      <c r="B785" s="7"/>
      <c r="C785" s="7"/>
      <c r="D785" s="7"/>
      <c r="E785" s="32" t="s">
        <v>206</v>
      </c>
      <c r="F785" s="32"/>
      <c r="G785" s="32">
        <v>71000</v>
      </c>
      <c r="H785" s="32" t="s">
        <v>457</v>
      </c>
      <c r="I785" s="33">
        <v>-1.4330000000000001</v>
      </c>
      <c r="J785" s="170"/>
      <c r="K785" s="7" t="str">
        <f>VLOOKUP($E785,Mapping!$E$11:$I$204,3,0)</f>
        <v>Replacement</v>
      </c>
      <c r="L785" s="7" t="str">
        <f>IFERROR(VLOOKUP($G785,Mapping!$E$208:$K$236,5,0),"Contracts")</f>
        <v>Labour</v>
      </c>
      <c r="M785" s="7" t="str">
        <f>IFERROR(VLOOKUP($G785,Mapping!$E$208:$K$236,7,0),"ENDirect")</f>
        <v>ENDirect</v>
      </c>
      <c r="N785" s="7" t="str">
        <f>IFERROR(HLOOKUP(L785,'Calc|Weightings'!$U$5:$W$5,1,0),"Excl")</f>
        <v>Labour</v>
      </c>
      <c r="O785" s="7" t="str">
        <f>VLOOKUP(E785,Mapping!$E$11:$I$204,5,0)</f>
        <v>SCS</v>
      </c>
      <c r="Q785" s="32" t="s">
        <v>234</v>
      </c>
      <c r="R785" s="32"/>
      <c r="S785" s="32">
        <v>80000</v>
      </c>
      <c r="T785" s="32" t="s">
        <v>453</v>
      </c>
      <c r="U785" s="33">
        <v>878.73800000000006</v>
      </c>
      <c r="V785" s="7"/>
      <c r="W785" s="7" t="str">
        <f>VLOOKUP($Q785,Mapping!$E$11:$I$204,3,0)</f>
        <v>Replacement</v>
      </c>
      <c r="X785" s="7" t="str">
        <f>IFERROR(VLOOKUP($S785,Mapping!$E$208:$K$236,5,0),"Contracts")</f>
        <v>Overhead</v>
      </c>
      <c r="Y785" s="7" t="str">
        <f>IFERROR(VLOOKUP($S785,Mapping!$E$208:$K$236,7,0),"ENDirect")</f>
        <v>OH</v>
      </c>
      <c r="Z785" s="7" t="str">
        <f>IFERROR(HLOOKUP(X785,'Calc|Weightings'!$U$5:$W$5,1,0),"Excl")</f>
        <v>Excl</v>
      </c>
      <c r="AA785" s="7" t="str">
        <f>VLOOKUP(Q785,Mapping!$E$11:$I$204,5,0)</f>
        <v>SCS</v>
      </c>
      <c r="AC785" s="35" t="s">
        <v>229</v>
      </c>
      <c r="AD785" s="35"/>
      <c r="AE785" s="35">
        <v>71055</v>
      </c>
      <c r="AF785" s="35" t="s">
        <v>465</v>
      </c>
      <c r="AG785" s="36">
        <v>14.811999999999999</v>
      </c>
      <c r="AI785" s="7" t="str">
        <f>VLOOKUP($AC785,Mapping!$E$11:$I$204,3,0)</f>
        <v>Replacement</v>
      </c>
      <c r="AJ785" s="7" t="str">
        <f>IFERROR(VLOOKUP($AE785,Mapping!$E$208:$K$236,5,0),"Contracts")</f>
        <v>Contracts</v>
      </c>
      <c r="AK785" s="7" t="str">
        <f>IFERROR(VLOOKUP($AE785,Mapping!$E$208:$K$236,7,0),"ENDirect")</f>
        <v>ENDirect</v>
      </c>
      <c r="AL785" s="7" t="str">
        <f>IFERROR(HLOOKUP(AJ785,'Calc|Weightings'!$U$5:$W$5,1,0),"Excl")</f>
        <v>Contracts</v>
      </c>
      <c r="AM785" s="7" t="str">
        <f>VLOOKUP(AC785,Mapping!$E$11:$I$204,5,0)</f>
        <v>SCS</v>
      </c>
      <c r="AO785" s="35" t="s">
        <v>216</v>
      </c>
      <c r="AP785" s="35"/>
      <c r="AQ785" s="35">
        <v>71075</v>
      </c>
      <c r="AR785" s="35" t="s">
        <v>587</v>
      </c>
      <c r="AS785" s="121">
        <v>2.5458400000000001</v>
      </c>
      <c r="AU785" s="7" t="str">
        <f>VLOOKUP($AO785,Mapping!$E$11:$I$204,3,0)</f>
        <v>Replacement</v>
      </c>
      <c r="AV785" s="7" t="str">
        <f>IFERROR(VLOOKUP($AQ785,Mapping!$E$208:$K$236,5,0),"Contracts")</f>
        <v>Contracts</v>
      </c>
      <c r="AW785" s="7" t="str">
        <f>IFERROR(VLOOKUP($AQ785,Mapping!$E$208:$K$236,7,0),"ENDirect")</f>
        <v>ENDirect</v>
      </c>
      <c r="AX785" s="7" t="str">
        <f>IFERROR(HLOOKUP(AV785,'Calc|Weightings'!$U$5:$W$5,1,0),"Excl")</f>
        <v>Contracts</v>
      </c>
      <c r="AY785" s="7" t="str">
        <f>VLOOKUP(AO785,Mapping!$E$11:$I$204,5,0)</f>
        <v>SCS</v>
      </c>
    </row>
    <row r="786" spans="1:51" x14ac:dyDescent="0.3">
      <c r="A786" s="7"/>
      <c r="B786" s="7"/>
      <c r="C786" s="7"/>
      <c r="D786" s="7"/>
      <c r="E786" s="32" t="s">
        <v>206</v>
      </c>
      <c r="F786" s="32"/>
      <c r="G786" s="32">
        <v>71010</v>
      </c>
      <c r="H786" s="32" t="s">
        <v>462</v>
      </c>
      <c r="I786" s="33">
        <v>607.26900000000001</v>
      </c>
      <c r="J786" s="170"/>
      <c r="K786" s="7" t="str">
        <f>VLOOKUP($E786,Mapping!$E$11:$I$204,3,0)</f>
        <v>Replacement</v>
      </c>
      <c r="L786" s="7" t="str">
        <f>IFERROR(VLOOKUP($G786,Mapping!$E$208:$K$236,5,0),"Contracts")</f>
        <v>Labour</v>
      </c>
      <c r="M786" s="7" t="str">
        <f>IFERROR(VLOOKUP($G786,Mapping!$E$208:$K$236,7,0),"ENDirect")</f>
        <v>ENDirect</v>
      </c>
      <c r="N786" s="7" t="str">
        <f>IFERROR(HLOOKUP(L786,'Calc|Weightings'!$U$5:$W$5,1,0),"Excl")</f>
        <v>Labour</v>
      </c>
      <c r="O786" s="7" t="str">
        <f>VLOOKUP(E786,Mapping!$E$11:$I$204,5,0)</f>
        <v>SCS</v>
      </c>
      <c r="Q786" s="32" t="s">
        <v>234</v>
      </c>
      <c r="R786" s="32"/>
      <c r="S786" s="32">
        <v>89999</v>
      </c>
      <c r="T786" s="32" t="s">
        <v>471</v>
      </c>
      <c r="U786" s="33">
        <v>0</v>
      </c>
      <c r="V786" s="7"/>
      <c r="W786" s="7" t="str">
        <f>VLOOKUP($Q786,Mapping!$E$11:$I$204,3,0)</f>
        <v>Replacement</v>
      </c>
      <c r="X786" s="7" t="str">
        <f>IFERROR(VLOOKUP($S786,Mapping!$E$208:$K$236,5,0),"Contracts")</f>
        <v>Contracts</v>
      </c>
      <c r="Y786" s="7" t="str">
        <f>IFERROR(VLOOKUP($S786,Mapping!$E$208:$K$236,7,0),"ENDirect")</f>
        <v>ENDirect</v>
      </c>
      <c r="Z786" s="7" t="str">
        <f>IFERROR(HLOOKUP(X786,'Calc|Weightings'!$U$5:$W$5,1,0),"Excl")</f>
        <v>Contracts</v>
      </c>
      <c r="AA786" s="7" t="str">
        <f>VLOOKUP(Q786,Mapping!$E$11:$I$204,5,0)</f>
        <v>SCS</v>
      </c>
      <c r="AC786" s="35" t="s">
        <v>229</v>
      </c>
      <c r="AD786" s="35"/>
      <c r="AE786" s="35">
        <v>80000</v>
      </c>
      <c r="AF786" s="35" t="s">
        <v>453</v>
      </c>
      <c r="AG786" s="36">
        <v>9.6989999999999998</v>
      </c>
      <c r="AI786" s="7" t="str">
        <f>VLOOKUP($AC786,Mapping!$E$11:$I$204,3,0)</f>
        <v>Replacement</v>
      </c>
      <c r="AJ786" s="7" t="str">
        <f>IFERROR(VLOOKUP($AE786,Mapping!$E$208:$K$236,5,0),"Contracts")</f>
        <v>Overhead</v>
      </c>
      <c r="AK786" s="7" t="str">
        <f>IFERROR(VLOOKUP($AE786,Mapping!$E$208:$K$236,7,0),"ENDirect")</f>
        <v>OH</v>
      </c>
      <c r="AL786" s="7" t="str">
        <f>IFERROR(HLOOKUP(AJ786,'Calc|Weightings'!$U$5:$W$5,1,0),"Excl")</f>
        <v>Excl</v>
      </c>
      <c r="AM786" s="7" t="str">
        <f>VLOOKUP(AC786,Mapping!$E$11:$I$204,5,0)</f>
        <v>SCS</v>
      </c>
      <c r="AO786" s="35" t="s">
        <v>216</v>
      </c>
      <c r="AP786" s="35"/>
      <c r="AQ786" s="35">
        <v>80000</v>
      </c>
      <c r="AR786" s="35" t="s">
        <v>589</v>
      </c>
      <c r="AS786" s="121">
        <v>4.8206099999999994</v>
      </c>
      <c r="AU786" s="7" t="str">
        <f>VLOOKUP($AO786,Mapping!$E$11:$I$204,3,0)</f>
        <v>Replacement</v>
      </c>
      <c r="AV786" s="7" t="str">
        <f>IFERROR(VLOOKUP($AQ786,Mapping!$E$208:$K$236,5,0),"Contracts")</f>
        <v>Overhead</v>
      </c>
      <c r="AW786" s="7" t="str">
        <f>IFERROR(VLOOKUP($AQ786,Mapping!$E$208:$K$236,7,0),"ENDirect")</f>
        <v>OH</v>
      </c>
      <c r="AX786" s="7" t="str">
        <f>IFERROR(HLOOKUP(AV786,'Calc|Weightings'!$U$5:$W$5,1,0),"Excl")</f>
        <v>Excl</v>
      </c>
      <c r="AY786" s="7" t="str">
        <f>VLOOKUP(AO786,Mapping!$E$11:$I$204,5,0)</f>
        <v>SCS</v>
      </c>
    </row>
    <row r="787" spans="1:51" x14ac:dyDescent="0.3">
      <c r="A787" s="7"/>
      <c r="B787" s="7"/>
      <c r="C787" s="7"/>
      <c r="D787" s="7"/>
      <c r="E787" s="32" t="s">
        <v>206</v>
      </c>
      <c r="F787" s="32"/>
      <c r="G787" s="32">
        <v>71015</v>
      </c>
      <c r="H787" s="32" t="s">
        <v>463</v>
      </c>
      <c r="I787" s="33">
        <v>0.437</v>
      </c>
      <c r="J787" s="170"/>
      <c r="K787" s="7" t="str">
        <f>VLOOKUP($E787,Mapping!$E$11:$I$204,3,0)</f>
        <v>Replacement</v>
      </c>
      <c r="L787" s="7" t="str">
        <f>IFERROR(VLOOKUP($G787,Mapping!$E$208:$K$236,5,0),"Contracts")</f>
        <v>Materials</v>
      </c>
      <c r="M787" s="7" t="str">
        <f>IFERROR(VLOOKUP($G787,Mapping!$E$208:$K$236,7,0),"ENDirect")</f>
        <v>ENDirect</v>
      </c>
      <c r="N787" s="7" t="str">
        <f>IFERROR(HLOOKUP(L787,'Calc|Weightings'!$U$5:$W$5,1,0),"Excl")</f>
        <v>Materials</v>
      </c>
      <c r="O787" s="7" t="str">
        <f>VLOOKUP(E787,Mapping!$E$11:$I$204,5,0)</f>
        <v>SCS</v>
      </c>
      <c r="Q787" s="32" t="s">
        <v>237</v>
      </c>
      <c r="R787" s="32"/>
      <c r="S787" s="32">
        <v>71000</v>
      </c>
      <c r="T787" s="32" t="s">
        <v>457</v>
      </c>
      <c r="U787" s="33">
        <v>6.31</v>
      </c>
      <c r="V787" s="7"/>
      <c r="W787" s="7" t="str">
        <f>VLOOKUP($Q787,Mapping!$E$11:$I$204,3,0)</f>
        <v>Replacement</v>
      </c>
      <c r="X787" s="7" t="str">
        <f>IFERROR(VLOOKUP($S787,Mapping!$E$208:$K$236,5,0),"Contracts")</f>
        <v>Labour</v>
      </c>
      <c r="Y787" s="7" t="str">
        <f>IFERROR(VLOOKUP($S787,Mapping!$E$208:$K$236,7,0),"ENDirect")</f>
        <v>ENDirect</v>
      </c>
      <c r="Z787" s="7" t="str">
        <f>IFERROR(HLOOKUP(X787,'Calc|Weightings'!$U$5:$W$5,1,0),"Excl")</f>
        <v>Labour</v>
      </c>
      <c r="AA787" s="7" t="str">
        <f>VLOOKUP(Q787,Mapping!$E$11:$I$204,5,0)</f>
        <v>SCS</v>
      </c>
      <c r="AC787" s="35" t="s">
        <v>229</v>
      </c>
      <c r="AD787" s="35"/>
      <c r="AE787" s="35">
        <v>89999</v>
      </c>
      <c r="AF787" s="35" t="s">
        <v>471</v>
      </c>
      <c r="AG787" s="36">
        <v>0</v>
      </c>
      <c r="AI787" s="7" t="str">
        <f>VLOOKUP($AC787,Mapping!$E$11:$I$204,3,0)</f>
        <v>Replacement</v>
      </c>
      <c r="AJ787" s="7" t="str">
        <f>IFERROR(VLOOKUP($AE787,Mapping!$E$208:$K$236,5,0),"Contracts")</f>
        <v>Contracts</v>
      </c>
      <c r="AK787" s="7" t="str">
        <f>IFERROR(VLOOKUP($AE787,Mapping!$E$208:$K$236,7,0),"ENDirect")</f>
        <v>ENDirect</v>
      </c>
      <c r="AL787" s="7" t="str">
        <f>IFERROR(HLOOKUP(AJ787,'Calc|Weightings'!$U$5:$W$5,1,0),"Excl")</f>
        <v>Contracts</v>
      </c>
      <c r="AM787" s="7" t="str">
        <f>VLOOKUP(AC787,Mapping!$E$11:$I$204,5,0)</f>
        <v>SCS</v>
      </c>
      <c r="AO787" s="35" t="s">
        <v>216</v>
      </c>
      <c r="AP787" s="35"/>
      <c r="AQ787" s="35">
        <v>83010</v>
      </c>
      <c r="AR787" s="35" t="s">
        <v>591</v>
      </c>
      <c r="AS787" s="121">
        <v>24.341919999999998</v>
      </c>
      <c r="AU787" s="7" t="str">
        <f>VLOOKUP($AO787,Mapping!$E$11:$I$204,3,0)</f>
        <v>Replacement</v>
      </c>
      <c r="AV787" s="7" t="str">
        <f>IFERROR(VLOOKUP($AQ787,Mapping!$E$208:$K$236,5,0),"Contracts")</f>
        <v>Contracts</v>
      </c>
      <c r="AW787" s="7" t="str">
        <f>IFERROR(VLOOKUP($AQ787,Mapping!$E$208:$K$236,7,0),"ENDirect")</f>
        <v>ENDirect</v>
      </c>
      <c r="AX787" s="7" t="str">
        <f>IFERROR(HLOOKUP(AV787,'Calc|Weightings'!$U$5:$W$5,1,0),"Excl")</f>
        <v>Contracts</v>
      </c>
      <c r="AY787" s="7" t="str">
        <f>VLOOKUP(AO787,Mapping!$E$11:$I$204,5,0)</f>
        <v>SCS</v>
      </c>
    </row>
    <row r="788" spans="1:51" x14ac:dyDescent="0.3">
      <c r="A788" s="7"/>
      <c r="B788" s="7"/>
      <c r="C788" s="7"/>
      <c r="D788" s="7"/>
      <c r="E788" s="32" t="s">
        <v>206</v>
      </c>
      <c r="F788" s="32"/>
      <c r="G788" s="32">
        <v>71020</v>
      </c>
      <c r="H788" s="32" t="s">
        <v>459</v>
      </c>
      <c r="I788" s="33">
        <v>0.14000000000000001</v>
      </c>
      <c r="J788" s="170"/>
      <c r="K788" s="7" t="str">
        <f>VLOOKUP($E788,Mapping!$E$11:$I$204,3,0)</f>
        <v>Replacement</v>
      </c>
      <c r="L788" s="7" t="str">
        <f>IFERROR(VLOOKUP($G788,Mapping!$E$208:$K$236,5,0),"Contracts")</f>
        <v>Contracts</v>
      </c>
      <c r="M788" s="7" t="str">
        <f>IFERROR(VLOOKUP($G788,Mapping!$E$208:$K$236,7,0),"ENDirect")</f>
        <v>ENDirect</v>
      </c>
      <c r="N788" s="7" t="str">
        <f>IFERROR(HLOOKUP(L788,'Calc|Weightings'!$U$5:$W$5,1,0),"Excl")</f>
        <v>Contracts</v>
      </c>
      <c r="O788" s="7" t="str">
        <f>VLOOKUP(E788,Mapping!$E$11:$I$204,5,0)</f>
        <v>SCS</v>
      </c>
      <c r="Q788" s="32" t="s">
        <v>237</v>
      </c>
      <c r="R788" s="32"/>
      <c r="S788" s="32">
        <v>71005</v>
      </c>
      <c r="T788" s="32" t="s">
        <v>461</v>
      </c>
      <c r="U788" s="33">
        <v>1.246</v>
      </c>
      <c r="V788" s="7"/>
      <c r="W788" s="7" t="str">
        <f>VLOOKUP($Q788,Mapping!$E$11:$I$204,3,0)</f>
        <v>Replacement</v>
      </c>
      <c r="X788" s="7" t="str">
        <f>IFERROR(VLOOKUP($S788,Mapping!$E$208:$K$236,5,0),"Contracts")</f>
        <v>Materials</v>
      </c>
      <c r="Y788" s="7" t="str">
        <f>IFERROR(VLOOKUP($S788,Mapping!$E$208:$K$236,7,0),"ENDirect")</f>
        <v>ENDirect</v>
      </c>
      <c r="Z788" s="7" t="str">
        <f>IFERROR(HLOOKUP(X788,'Calc|Weightings'!$U$5:$W$5,1,0),"Excl")</f>
        <v>Materials</v>
      </c>
      <c r="AA788" s="7" t="str">
        <f>VLOOKUP(Q788,Mapping!$E$11:$I$204,5,0)</f>
        <v>SCS</v>
      </c>
      <c r="AC788" s="35" t="s">
        <v>230</v>
      </c>
      <c r="AD788" s="35"/>
      <c r="AE788" s="35">
        <v>71000</v>
      </c>
      <c r="AF788" s="35" t="s">
        <v>457</v>
      </c>
      <c r="AG788" s="36">
        <v>1174.1679999999999</v>
      </c>
      <c r="AI788" s="7" t="str">
        <f>VLOOKUP($AC788,Mapping!$E$11:$I$204,3,0)</f>
        <v>Replacement</v>
      </c>
      <c r="AJ788" s="7" t="str">
        <f>IFERROR(VLOOKUP($AE788,Mapping!$E$208:$K$236,5,0),"Contracts")</f>
        <v>Labour</v>
      </c>
      <c r="AK788" s="7" t="str">
        <f>IFERROR(VLOOKUP($AE788,Mapping!$E$208:$K$236,7,0),"ENDirect")</f>
        <v>ENDirect</v>
      </c>
      <c r="AL788" s="7" t="str">
        <f>IFERROR(HLOOKUP(AJ788,'Calc|Weightings'!$U$5:$W$5,1,0),"Excl")</f>
        <v>Labour</v>
      </c>
      <c r="AM788" s="7" t="str">
        <f>VLOOKUP(AC788,Mapping!$E$11:$I$204,5,0)</f>
        <v>SCS</v>
      </c>
      <c r="AO788" s="35" t="s">
        <v>217</v>
      </c>
      <c r="AP788" s="35"/>
      <c r="AQ788" s="35">
        <v>71075</v>
      </c>
      <c r="AR788" s="35" t="s">
        <v>587</v>
      </c>
      <c r="AS788" s="121">
        <v>77.307490000000001</v>
      </c>
      <c r="AU788" s="7" t="str">
        <f>VLOOKUP($AO788,Mapping!$E$11:$I$204,3,0)</f>
        <v>Replacement</v>
      </c>
      <c r="AV788" s="7" t="str">
        <f>IFERROR(VLOOKUP($AQ788,Mapping!$E$208:$K$236,5,0),"Contracts")</f>
        <v>Contracts</v>
      </c>
      <c r="AW788" s="7" t="str">
        <f>IFERROR(VLOOKUP($AQ788,Mapping!$E$208:$K$236,7,0),"ENDirect")</f>
        <v>ENDirect</v>
      </c>
      <c r="AX788" s="7" t="str">
        <f>IFERROR(HLOOKUP(AV788,'Calc|Weightings'!$U$5:$W$5,1,0),"Excl")</f>
        <v>Contracts</v>
      </c>
      <c r="AY788" s="7" t="str">
        <f>VLOOKUP(AO788,Mapping!$E$11:$I$204,5,0)</f>
        <v>SCS</v>
      </c>
    </row>
    <row r="789" spans="1:51" x14ac:dyDescent="0.3">
      <c r="A789" s="7"/>
      <c r="B789" s="7"/>
      <c r="C789" s="7"/>
      <c r="D789" s="7"/>
      <c r="E789" s="32" t="s">
        <v>206</v>
      </c>
      <c r="F789" s="32"/>
      <c r="G789" s="32">
        <v>71030</v>
      </c>
      <c r="H789" s="32" t="s">
        <v>464</v>
      </c>
      <c r="I789" s="33">
        <v>54.293999999999997</v>
      </c>
      <c r="J789" s="170"/>
      <c r="K789" s="7" t="str">
        <f>VLOOKUP($E789,Mapping!$E$11:$I$204,3,0)</f>
        <v>Replacement</v>
      </c>
      <c r="L789" s="7" t="str">
        <f>IFERROR(VLOOKUP($G789,Mapping!$E$208:$K$236,5,0),"Contracts")</f>
        <v>Contracts</v>
      </c>
      <c r="M789" s="7" t="str">
        <f>IFERROR(VLOOKUP($G789,Mapping!$E$208:$K$236,7,0),"ENDirect")</f>
        <v>ENDirect</v>
      </c>
      <c r="N789" s="7" t="str">
        <f>IFERROR(HLOOKUP(L789,'Calc|Weightings'!$U$5:$W$5,1,0),"Excl")</f>
        <v>Contracts</v>
      </c>
      <c r="O789" s="7" t="str">
        <f>VLOOKUP(E789,Mapping!$E$11:$I$204,5,0)</f>
        <v>SCS</v>
      </c>
      <c r="Q789" s="32" t="s">
        <v>237</v>
      </c>
      <c r="R789" s="32"/>
      <c r="S789" s="32">
        <v>71010</v>
      </c>
      <c r="T789" s="32" t="s">
        <v>462</v>
      </c>
      <c r="U789" s="33">
        <v>5.8380000000000001</v>
      </c>
      <c r="V789" s="7"/>
      <c r="W789" s="7" t="str">
        <f>VLOOKUP($Q789,Mapping!$E$11:$I$204,3,0)</f>
        <v>Replacement</v>
      </c>
      <c r="X789" s="7" t="str">
        <f>IFERROR(VLOOKUP($S789,Mapping!$E$208:$K$236,5,0),"Contracts")</f>
        <v>Labour</v>
      </c>
      <c r="Y789" s="7" t="str">
        <f>IFERROR(VLOOKUP($S789,Mapping!$E$208:$K$236,7,0),"ENDirect")</f>
        <v>ENDirect</v>
      </c>
      <c r="Z789" s="7" t="str">
        <f>IFERROR(HLOOKUP(X789,'Calc|Weightings'!$U$5:$W$5,1,0),"Excl")</f>
        <v>Labour</v>
      </c>
      <c r="AA789" s="7" t="str">
        <f>VLOOKUP(Q789,Mapping!$E$11:$I$204,5,0)</f>
        <v>SCS</v>
      </c>
      <c r="AC789" s="35" t="s">
        <v>230</v>
      </c>
      <c r="AD789" s="35"/>
      <c r="AE789" s="35">
        <v>71005</v>
      </c>
      <c r="AF789" s="35" t="s">
        <v>461</v>
      </c>
      <c r="AG789" s="36">
        <v>307.43900000000002</v>
      </c>
      <c r="AI789" s="7" t="str">
        <f>VLOOKUP($AC789,Mapping!$E$11:$I$204,3,0)</f>
        <v>Replacement</v>
      </c>
      <c r="AJ789" s="7" t="str">
        <f>IFERROR(VLOOKUP($AE789,Mapping!$E$208:$K$236,5,0),"Contracts")</f>
        <v>Materials</v>
      </c>
      <c r="AK789" s="7" t="str">
        <f>IFERROR(VLOOKUP($AE789,Mapping!$E$208:$K$236,7,0),"ENDirect")</f>
        <v>ENDirect</v>
      </c>
      <c r="AL789" s="7" t="str">
        <f>IFERROR(HLOOKUP(AJ789,'Calc|Weightings'!$U$5:$W$5,1,0),"Excl")</f>
        <v>Materials</v>
      </c>
      <c r="AM789" s="7" t="str">
        <f>VLOOKUP(AC789,Mapping!$E$11:$I$204,5,0)</f>
        <v>SCS</v>
      </c>
      <c r="AO789" s="35" t="s">
        <v>217</v>
      </c>
      <c r="AP789" s="35"/>
      <c r="AQ789" s="35">
        <v>80000</v>
      </c>
      <c r="AR789" s="35" t="s">
        <v>589</v>
      </c>
      <c r="AS789" s="121">
        <v>123.91081</v>
      </c>
      <c r="AU789" s="7" t="str">
        <f>VLOOKUP($AO789,Mapping!$E$11:$I$204,3,0)</f>
        <v>Replacement</v>
      </c>
      <c r="AV789" s="7" t="str">
        <f>IFERROR(VLOOKUP($AQ789,Mapping!$E$208:$K$236,5,0),"Contracts")</f>
        <v>Overhead</v>
      </c>
      <c r="AW789" s="7" t="str">
        <f>IFERROR(VLOOKUP($AQ789,Mapping!$E$208:$K$236,7,0),"ENDirect")</f>
        <v>OH</v>
      </c>
      <c r="AX789" s="7" t="str">
        <f>IFERROR(HLOOKUP(AV789,'Calc|Weightings'!$U$5:$W$5,1,0),"Excl")</f>
        <v>Excl</v>
      </c>
      <c r="AY789" s="7" t="str">
        <f>VLOOKUP(AO789,Mapping!$E$11:$I$204,5,0)</f>
        <v>SCS</v>
      </c>
    </row>
    <row r="790" spans="1:51" x14ac:dyDescent="0.3">
      <c r="A790" s="7"/>
      <c r="B790" s="7"/>
      <c r="C790" s="7"/>
      <c r="D790" s="7"/>
      <c r="E790" s="32" t="s">
        <v>206</v>
      </c>
      <c r="F790" s="32"/>
      <c r="G790" s="32">
        <v>71055</v>
      </c>
      <c r="H790" s="32" t="s">
        <v>465</v>
      </c>
      <c r="I790" s="33">
        <v>166.881</v>
      </c>
      <c r="J790" s="170"/>
      <c r="K790" s="7" t="str">
        <f>VLOOKUP($E790,Mapping!$E$11:$I$204,3,0)</f>
        <v>Replacement</v>
      </c>
      <c r="L790" s="7" t="str">
        <f>IFERROR(VLOOKUP($G790,Mapping!$E$208:$K$236,5,0),"Contracts")</f>
        <v>Contracts</v>
      </c>
      <c r="M790" s="7" t="str">
        <f>IFERROR(VLOOKUP($G790,Mapping!$E$208:$K$236,7,0),"ENDirect")</f>
        <v>ENDirect</v>
      </c>
      <c r="N790" s="7" t="str">
        <f>IFERROR(HLOOKUP(L790,'Calc|Weightings'!$U$5:$W$5,1,0),"Excl")</f>
        <v>Contracts</v>
      </c>
      <c r="O790" s="7" t="str">
        <f>VLOOKUP(E790,Mapping!$E$11:$I$204,5,0)</f>
        <v>SCS</v>
      </c>
      <c r="Q790" s="32" t="s">
        <v>237</v>
      </c>
      <c r="R790" s="32"/>
      <c r="S790" s="32">
        <v>71015</v>
      </c>
      <c r="T790" s="32" t="s">
        <v>463</v>
      </c>
      <c r="U790" s="33">
        <v>1.401</v>
      </c>
      <c r="V790" s="7"/>
      <c r="W790" s="7" t="str">
        <f>VLOOKUP($Q790,Mapping!$E$11:$I$204,3,0)</f>
        <v>Replacement</v>
      </c>
      <c r="X790" s="7" t="str">
        <f>IFERROR(VLOOKUP($S790,Mapping!$E$208:$K$236,5,0),"Contracts")</f>
        <v>Materials</v>
      </c>
      <c r="Y790" s="7" t="str">
        <f>IFERROR(VLOOKUP($S790,Mapping!$E$208:$K$236,7,0),"ENDirect")</f>
        <v>ENDirect</v>
      </c>
      <c r="Z790" s="7" t="str">
        <f>IFERROR(HLOOKUP(X790,'Calc|Weightings'!$U$5:$W$5,1,0),"Excl")</f>
        <v>Materials</v>
      </c>
      <c r="AA790" s="7" t="str">
        <f>VLOOKUP(Q790,Mapping!$E$11:$I$204,5,0)</f>
        <v>SCS</v>
      </c>
      <c r="AC790" s="35" t="s">
        <v>230</v>
      </c>
      <c r="AD790" s="35"/>
      <c r="AE790" s="35">
        <v>71010</v>
      </c>
      <c r="AF790" s="35" t="s">
        <v>462</v>
      </c>
      <c r="AG790" s="36">
        <v>328.62099999999998</v>
      </c>
      <c r="AI790" s="7" t="str">
        <f>VLOOKUP($AC790,Mapping!$E$11:$I$204,3,0)</f>
        <v>Replacement</v>
      </c>
      <c r="AJ790" s="7" t="str">
        <f>IFERROR(VLOOKUP($AE790,Mapping!$E$208:$K$236,5,0),"Contracts")</f>
        <v>Labour</v>
      </c>
      <c r="AK790" s="7" t="str">
        <f>IFERROR(VLOOKUP($AE790,Mapping!$E$208:$K$236,7,0),"ENDirect")</f>
        <v>ENDirect</v>
      </c>
      <c r="AL790" s="7" t="str">
        <f>IFERROR(HLOOKUP(AJ790,'Calc|Weightings'!$U$5:$W$5,1,0),"Excl")</f>
        <v>Labour</v>
      </c>
      <c r="AM790" s="7" t="str">
        <f>VLOOKUP(AC790,Mapping!$E$11:$I$204,5,0)</f>
        <v>SCS</v>
      </c>
      <c r="AO790" s="35" t="s">
        <v>217</v>
      </c>
      <c r="AP790" s="35"/>
      <c r="AQ790" s="35">
        <v>83010</v>
      </c>
      <c r="AR790" s="35" t="s">
        <v>591</v>
      </c>
      <c r="AS790" s="121">
        <v>715.20749999999998</v>
      </c>
      <c r="AU790" s="7" t="str">
        <f>VLOOKUP($AO790,Mapping!$E$11:$I$204,3,0)</f>
        <v>Replacement</v>
      </c>
      <c r="AV790" s="7" t="str">
        <f>IFERROR(VLOOKUP($AQ790,Mapping!$E$208:$K$236,5,0),"Contracts")</f>
        <v>Contracts</v>
      </c>
      <c r="AW790" s="7" t="str">
        <f>IFERROR(VLOOKUP($AQ790,Mapping!$E$208:$K$236,7,0),"ENDirect")</f>
        <v>ENDirect</v>
      </c>
      <c r="AX790" s="7" t="str">
        <f>IFERROR(HLOOKUP(AV790,'Calc|Weightings'!$U$5:$W$5,1,0),"Excl")</f>
        <v>Contracts</v>
      </c>
      <c r="AY790" s="7" t="str">
        <f>VLOOKUP(AO790,Mapping!$E$11:$I$204,5,0)</f>
        <v>SCS</v>
      </c>
    </row>
    <row r="791" spans="1:51" x14ac:dyDescent="0.3">
      <c r="A791" s="7"/>
      <c r="B791" s="7"/>
      <c r="C791" s="7"/>
      <c r="D791" s="7"/>
      <c r="E791" s="32" t="s">
        <v>206</v>
      </c>
      <c r="F791" s="32"/>
      <c r="G791" s="32">
        <v>80000</v>
      </c>
      <c r="H791" s="32" t="s">
        <v>453</v>
      </c>
      <c r="I791" s="33">
        <v>80.536000000000001</v>
      </c>
      <c r="J791" s="170"/>
      <c r="K791" s="7" t="str">
        <f>VLOOKUP($E791,Mapping!$E$11:$I$204,3,0)</f>
        <v>Replacement</v>
      </c>
      <c r="L791" s="7" t="str">
        <f>IFERROR(VLOOKUP($G791,Mapping!$E$208:$K$236,5,0),"Contracts")</f>
        <v>Overhead</v>
      </c>
      <c r="M791" s="7" t="str">
        <f>IFERROR(VLOOKUP($G791,Mapping!$E$208:$K$236,7,0),"ENDirect")</f>
        <v>OH</v>
      </c>
      <c r="N791" s="7" t="str">
        <f>IFERROR(HLOOKUP(L791,'Calc|Weightings'!$U$5:$W$5,1,0),"Excl")</f>
        <v>Excl</v>
      </c>
      <c r="O791" s="7" t="str">
        <f>VLOOKUP(E791,Mapping!$E$11:$I$204,5,0)</f>
        <v>SCS</v>
      </c>
      <c r="Q791" s="32" t="s">
        <v>237</v>
      </c>
      <c r="R791" s="32"/>
      <c r="S791" s="32">
        <v>71030</v>
      </c>
      <c r="T791" s="32" t="s">
        <v>464</v>
      </c>
      <c r="U791" s="33">
        <v>1.256</v>
      </c>
      <c r="V791" s="7"/>
      <c r="W791" s="7" t="str">
        <f>VLOOKUP($Q791,Mapping!$E$11:$I$204,3,0)</f>
        <v>Replacement</v>
      </c>
      <c r="X791" s="7" t="str">
        <f>IFERROR(VLOOKUP($S791,Mapping!$E$208:$K$236,5,0),"Contracts")</f>
        <v>Contracts</v>
      </c>
      <c r="Y791" s="7" t="str">
        <f>IFERROR(VLOOKUP($S791,Mapping!$E$208:$K$236,7,0),"ENDirect")</f>
        <v>ENDirect</v>
      </c>
      <c r="Z791" s="7" t="str">
        <f>IFERROR(HLOOKUP(X791,'Calc|Weightings'!$U$5:$W$5,1,0),"Excl")</f>
        <v>Contracts</v>
      </c>
      <c r="AA791" s="7" t="str">
        <f>VLOOKUP(Q791,Mapping!$E$11:$I$204,5,0)</f>
        <v>SCS</v>
      </c>
      <c r="AC791" s="35" t="s">
        <v>230</v>
      </c>
      <c r="AD791" s="35"/>
      <c r="AE791" s="35">
        <v>71015</v>
      </c>
      <c r="AF791" s="35" t="s">
        <v>463</v>
      </c>
      <c r="AG791" s="36">
        <v>256.113</v>
      </c>
      <c r="AI791" s="7" t="str">
        <f>VLOOKUP($AC791,Mapping!$E$11:$I$204,3,0)</f>
        <v>Replacement</v>
      </c>
      <c r="AJ791" s="7" t="str">
        <f>IFERROR(VLOOKUP($AE791,Mapping!$E$208:$K$236,5,0),"Contracts")</f>
        <v>Materials</v>
      </c>
      <c r="AK791" s="7" t="str">
        <f>IFERROR(VLOOKUP($AE791,Mapping!$E$208:$K$236,7,0),"ENDirect")</f>
        <v>ENDirect</v>
      </c>
      <c r="AL791" s="7" t="str">
        <f>IFERROR(HLOOKUP(AJ791,'Calc|Weightings'!$U$5:$W$5,1,0),"Excl")</f>
        <v>Materials</v>
      </c>
      <c r="AM791" s="7" t="str">
        <f>VLOOKUP(AC791,Mapping!$E$11:$I$204,5,0)</f>
        <v>SCS</v>
      </c>
      <c r="AO791" s="35" t="s">
        <v>218</v>
      </c>
      <c r="AP791" s="35"/>
      <c r="AQ791" s="35">
        <v>71000</v>
      </c>
      <c r="AR791" s="35" t="s">
        <v>457</v>
      </c>
      <c r="AS791" s="121">
        <v>0.13300000000000001</v>
      </c>
      <c r="AU791" s="7" t="str">
        <f>VLOOKUP($AO791,Mapping!$E$11:$I$204,3,0)</f>
        <v>Replacement</v>
      </c>
      <c r="AV791" s="7" t="str">
        <f>IFERROR(VLOOKUP($AQ791,Mapping!$E$208:$K$236,5,0),"Contracts")</f>
        <v>Labour</v>
      </c>
      <c r="AW791" s="7" t="str">
        <f>IFERROR(VLOOKUP($AQ791,Mapping!$E$208:$K$236,7,0),"ENDirect")</f>
        <v>ENDirect</v>
      </c>
      <c r="AX791" s="7" t="str">
        <f>IFERROR(HLOOKUP(AV791,'Calc|Weightings'!$U$5:$W$5,1,0),"Excl")</f>
        <v>Labour</v>
      </c>
      <c r="AY791" s="7" t="str">
        <f>VLOOKUP(AO791,Mapping!$E$11:$I$204,5,0)</f>
        <v>SCS</v>
      </c>
    </row>
    <row r="792" spans="1:51" x14ac:dyDescent="0.3">
      <c r="A792" s="7"/>
      <c r="B792" s="7"/>
      <c r="C792" s="7"/>
      <c r="D792" s="7"/>
      <c r="E792" s="32" t="s">
        <v>209</v>
      </c>
      <c r="F792" s="32"/>
      <c r="G792" s="32">
        <v>71000</v>
      </c>
      <c r="H792" s="32" t="s">
        <v>457</v>
      </c>
      <c r="I792" s="33">
        <v>5.4390000000000001</v>
      </c>
      <c r="J792" s="170"/>
      <c r="K792" s="7" t="str">
        <f>VLOOKUP($E792,Mapping!$E$11:$I$204,3,0)</f>
        <v>Replacement</v>
      </c>
      <c r="L792" s="7" t="str">
        <f>IFERROR(VLOOKUP($G792,Mapping!$E$208:$K$236,5,0),"Contracts")</f>
        <v>Labour</v>
      </c>
      <c r="M792" s="7" t="str">
        <f>IFERROR(VLOOKUP($G792,Mapping!$E$208:$K$236,7,0),"ENDirect")</f>
        <v>ENDirect</v>
      </c>
      <c r="N792" s="7" t="str">
        <f>IFERROR(HLOOKUP(L792,'Calc|Weightings'!$U$5:$W$5,1,0),"Excl")</f>
        <v>Labour</v>
      </c>
      <c r="O792" s="7" t="str">
        <f>VLOOKUP(E792,Mapping!$E$11:$I$204,5,0)</f>
        <v>SCS</v>
      </c>
      <c r="Q792" s="32" t="s">
        <v>237</v>
      </c>
      <c r="R792" s="32"/>
      <c r="S792" s="32">
        <v>71055</v>
      </c>
      <c r="T792" s="32" t="s">
        <v>465</v>
      </c>
      <c r="U792" s="33">
        <v>3.1429999999999998</v>
      </c>
      <c r="V792" s="7"/>
      <c r="W792" s="7" t="str">
        <f>VLOOKUP($Q792,Mapping!$E$11:$I$204,3,0)</f>
        <v>Replacement</v>
      </c>
      <c r="X792" s="7" t="str">
        <f>IFERROR(VLOOKUP($S792,Mapping!$E$208:$K$236,5,0),"Contracts")</f>
        <v>Contracts</v>
      </c>
      <c r="Y792" s="7" t="str">
        <f>IFERROR(VLOOKUP($S792,Mapping!$E$208:$K$236,7,0),"ENDirect")</f>
        <v>ENDirect</v>
      </c>
      <c r="Z792" s="7" t="str">
        <f>IFERROR(HLOOKUP(X792,'Calc|Weightings'!$U$5:$W$5,1,0),"Excl")</f>
        <v>Contracts</v>
      </c>
      <c r="AA792" s="7" t="str">
        <f>VLOOKUP(Q792,Mapping!$E$11:$I$204,5,0)</f>
        <v>SCS</v>
      </c>
      <c r="AC792" s="35" t="s">
        <v>230</v>
      </c>
      <c r="AD792" s="35"/>
      <c r="AE792" s="35">
        <v>71020</v>
      </c>
      <c r="AF792" s="35" t="s">
        <v>459</v>
      </c>
      <c r="AG792" s="36">
        <v>3.2429999999999999</v>
      </c>
      <c r="AI792" s="7" t="str">
        <f>VLOOKUP($AC792,Mapping!$E$11:$I$204,3,0)</f>
        <v>Replacement</v>
      </c>
      <c r="AJ792" s="7" t="str">
        <f>IFERROR(VLOOKUP($AE792,Mapping!$E$208:$K$236,5,0),"Contracts")</f>
        <v>Contracts</v>
      </c>
      <c r="AK792" s="7" t="str">
        <f>IFERROR(VLOOKUP($AE792,Mapping!$E$208:$K$236,7,0),"ENDirect")</f>
        <v>ENDirect</v>
      </c>
      <c r="AL792" s="7" t="str">
        <f>IFERROR(HLOOKUP(AJ792,'Calc|Weightings'!$U$5:$W$5,1,0),"Excl")</f>
        <v>Contracts</v>
      </c>
      <c r="AM792" s="7" t="str">
        <f>VLOOKUP(AC792,Mapping!$E$11:$I$204,5,0)</f>
        <v>SCS</v>
      </c>
      <c r="AO792" s="35" t="s">
        <v>218</v>
      </c>
      <c r="AP792" s="35"/>
      <c r="AQ792" s="35">
        <v>71005</v>
      </c>
      <c r="AR792" s="35" t="s">
        <v>461</v>
      </c>
      <c r="AS792" s="121">
        <v>4.2189999999999998E-2</v>
      </c>
      <c r="AU792" s="7" t="str">
        <f>VLOOKUP($AO792,Mapping!$E$11:$I$204,3,0)</f>
        <v>Replacement</v>
      </c>
      <c r="AV792" s="7" t="str">
        <f>IFERROR(VLOOKUP($AQ792,Mapping!$E$208:$K$236,5,0),"Contracts")</f>
        <v>Materials</v>
      </c>
      <c r="AW792" s="7" t="str">
        <f>IFERROR(VLOOKUP($AQ792,Mapping!$E$208:$K$236,7,0),"ENDirect")</f>
        <v>ENDirect</v>
      </c>
      <c r="AX792" s="7" t="str">
        <f>IFERROR(HLOOKUP(AV792,'Calc|Weightings'!$U$5:$W$5,1,0),"Excl")</f>
        <v>Materials</v>
      </c>
      <c r="AY792" s="7" t="str">
        <f>VLOOKUP(AO792,Mapping!$E$11:$I$204,5,0)</f>
        <v>SCS</v>
      </c>
    </row>
    <row r="793" spans="1:51" x14ac:dyDescent="0.3">
      <c r="A793" s="7"/>
      <c r="B793" s="7"/>
      <c r="C793" s="7"/>
      <c r="D793" s="7"/>
      <c r="E793" s="32" t="s">
        <v>209</v>
      </c>
      <c r="F793" s="32"/>
      <c r="G793" s="32">
        <v>71010</v>
      </c>
      <c r="H793" s="32" t="s">
        <v>462</v>
      </c>
      <c r="I793" s="33">
        <v>47.691000000000003</v>
      </c>
      <c r="J793" s="170"/>
      <c r="K793" s="7" t="str">
        <f>VLOOKUP($E793,Mapping!$E$11:$I$204,3,0)</f>
        <v>Replacement</v>
      </c>
      <c r="L793" s="7" t="str">
        <f>IFERROR(VLOOKUP($G793,Mapping!$E$208:$K$236,5,0),"Contracts")</f>
        <v>Labour</v>
      </c>
      <c r="M793" s="7" t="str">
        <f>IFERROR(VLOOKUP($G793,Mapping!$E$208:$K$236,7,0),"ENDirect")</f>
        <v>ENDirect</v>
      </c>
      <c r="N793" s="7" t="str">
        <f>IFERROR(HLOOKUP(L793,'Calc|Weightings'!$U$5:$W$5,1,0),"Excl")</f>
        <v>Labour</v>
      </c>
      <c r="O793" s="7" t="str">
        <f>VLOOKUP(E793,Mapping!$E$11:$I$204,5,0)</f>
        <v>SCS</v>
      </c>
      <c r="Q793" s="32" t="s">
        <v>237</v>
      </c>
      <c r="R793" s="32"/>
      <c r="S793" s="32">
        <v>80000</v>
      </c>
      <c r="T793" s="32" t="s">
        <v>453</v>
      </c>
      <c r="U793" s="33">
        <v>2.6579999999999999</v>
      </c>
      <c r="V793" s="7"/>
      <c r="W793" s="7" t="str">
        <f>VLOOKUP($Q793,Mapping!$E$11:$I$204,3,0)</f>
        <v>Replacement</v>
      </c>
      <c r="X793" s="7" t="str">
        <f>IFERROR(VLOOKUP($S793,Mapping!$E$208:$K$236,5,0),"Contracts")</f>
        <v>Overhead</v>
      </c>
      <c r="Y793" s="7" t="str">
        <f>IFERROR(VLOOKUP($S793,Mapping!$E$208:$K$236,7,0),"ENDirect")</f>
        <v>OH</v>
      </c>
      <c r="Z793" s="7" t="str">
        <f>IFERROR(HLOOKUP(X793,'Calc|Weightings'!$U$5:$W$5,1,0),"Excl")</f>
        <v>Excl</v>
      </c>
      <c r="AA793" s="7" t="str">
        <f>VLOOKUP(Q793,Mapping!$E$11:$I$204,5,0)</f>
        <v>SCS</v>
      </c>
      <c r="AC793" s="35" t="s">
        <v>230</v>
      </c>
      <c r="AD793" s="35"/>
      <c r="AE793" s="35">
        <v>71030</v>
      </c>
      <c r="AF793" s="35" t="s">
        <v>464</v>
      </c>
      <c r="AG793" s="36">
        <v>163.42699999999999</v>
      </c>
      <c r="AI793" s="7" t="str">
        <f>VLOOKUP($AC793,Mapping!$E$11:$I$204,3,0)</f>
        <v>Replacement</v>
      </c>
      <c r="AJ793" s="7" t="str">
        <f>IFERROR(VLOOKUP($AE793,Mapping!$E$208:$K$236,5,0),"Contracts")</f>
        <v>Contracts</v>
      </c>
      <c r="AK793" s="7" t="str">
        <f>IFERROR(VLOOKUP($AE793,Mapping!$E$208:$K$236,7,0),"ENDirect")</f>
        <v>ENDirect</v>
      </c>
      <c r="AL793" s="7" t="str">
        <f>IFERROR(HLOOKUP(AJ793,'Calc|Weightings'!$U$5:$W$5,1,0),"Excl")</f>
        <v>Contracts</v>
      </c>
      <c r="AM793" s="7" t="str">
        <f>VLOOKUP(AC793,Mapping!$E$11:$I$204,5,0)</f>
        <v>SCS</v>
      </c>
      <c r="AO793" s="35" t="s">
        <v>218</v>
      </c>
      <c r="AP793" s="35"/>
      <c r="AQ793" s="35">
        <v>71015</v>
      </c>
      <c r="AR793" s="35" t="s">
        <v>585</v>
      </c>
      <c r="AS793" s="121">
        <v>6.1100000000000002E-2</v>
      </c>
      <c r="AU793" s="7" t="str">
        <f>VLOOKUP($AO793,Mapping!$E$11:$I$204,3,0)</f>
        <v>Replacement</v>
      </c>
      <c r="AV793" s="7" t="str">
        <f>IFERROR(VLOOKUP($AQ793,Mapping!$E$208:$K$236,5,0),"Contracts")</f>
        <v>Materials</v>
      </c>
      <c r="AW793" s="7" t="str">
        <f>IFERROR(VLOOKUP($AQ793,Mapping!$E$208:$K$236,7,0),"ENDirect")</f>
        <v>ENDirect</v>
      </c>
      <c r="AX793" s="7" t="str">
        <f>IFERROR(HLOOKUP(AV793,'Calc|Weightings'!$U$5:$W$5,1,0),"Excl")</f>
        <v>Materials</v>
      </c>
      <c r="AY793" s="7" t="str">
        <f>VLOOKUP(AO793,Mapping!$E$11:$I$204,5,0)</f>
        <v>SCS</v>
      </c>
    </row>
    <row r="794" spans="1:51" x14ac:dyDescent="0.3">
      <c r="A794" s="7"/>
      <c r="B794" s="7"/>
      <c r="C794" s="7"/>
      <c r="D794" s="7"/>
      <c r="E794" s="32" t="s">
        <v>209</v>
      </c>
      <c r="F794" s="32"/>
      <c r="G794" s="32">
        <v>71015</v>
      </c>
      <c r="H794" s="32" t="s">
        <v>463</v>
      </c>
      <c r="I794" s="33">
        <v>0.27900000000000003</v>
      </c>
      <c r="J794" s="170"/>
      <c r="K794" s="7" t="str">
        <f>VLOOKUP($E794,Mapping!$E$11:$I$204,3,0)</f>
        <v>Replacement</v>
      </c>
      <c r="L794" s="7" t="str">
        <f>IFERROR(VLOOKUP($G794,Mapping!$E$208:$K$236,5,0),"Contracts")</f>
        <v>Materials</v>
      </c>
      <c r="M794" s="7" t="str">
        <f>IFERROR(VLOOKUP($G794,Mapping!$E$208:$K$236,7,0),"ENDirect")</f>
        <v>ENDirect</v>
      </c>
      <c r="N794" s="7" t="str">
        <f>IFERROR(HLOOKUP(L794,'Calc|Weightings'!$U$5:$W$5,1,0),"Excl")</f>
        <v>Materials</v>
      </c>
      <c r="O794" s="7" t="str">
        <f>VLOOKUP(E794,Mapping!$E$11:$I$204,5,0)</f>
        <v>SCS</v>
      </c>
      <c r="Q794" s="32" t="s">
        <v>237</v>
      </c>
      <c r="R794" s="32"/>
      <c r="S794" s="32">
        <v>89999</v>
      </c>
      <c r="T794" s="32" t="s">
        <v>471</v>
      </c>
      <c r="U794" s="33">
        <v>0</v>
      </c>
      <c r="V794" s="7"/>
      <c r="W794" s="7" t="str">
        <f>VLOOKUP($Q794,Mapping!$E$11:$I$204,3,0)</f>
        <v>Replacement</v>
      </c>
      <c r="X794" s="7" t="str">
        <f>IFERROR(VLOOKUP($S794,Mapping!$E$208:$K$236,5,0),"Contracts")</f>
        <v>Contracts</v>
      </c>
      <c r="Y794" s="7" t="str">
        <f>IFERROR(VLOOKUP($S794,Mapping!$E$208:$K$236,7,0),"ENDirect")</f>
        <v>ENDirect</v>
      </c>
      <c r="Z794" s="7" t="str">
        <f>IFERROR(HLOOKUP(X794,'Calc|Weightings'!$U$5:$W$5,1,0),"Excl")</f>
        <v>Contracts</v>
      </c>
      <c r="AA794" s="7" t="str">
        <f>VLOOKUP(Q794,Mapping!$E$11:$I$204,5,0)</f>
        <v>SCS</v>
      </c>
      <c r="AC794" s="35" t="s">
        <v>230</v>
      </c>
      <c r="AD794" s="35"/>
      <c r="AE794" s="35">
        <v>71055</v>
      </c>
      <c r="AF794" s="35" t="s">
        <v>465</v>
      </c>
      <c r="AG794" s="36">
        <v>340.04199999999997</v>
      </c>
      <c r="AI794" s="7" t="str">
        <f>VLOOKUP($AC794,Mapping!$E$11:$I$204,3,0)</f>
        <v>Replacement</v>
      </c>
      <c r="AJ794" s="7" t="str">
        <f>IFERROR(VLOOKUP($AE794,Mapping!$E$208:$K$236,5,0),"Contracts")</f>
        <v>Contracts</v>
      </c>
      <c r="AK794" s="7" t="str">
        <f>IFERROR(VLOOKUP($AE794,Mapping!$E$208:$K$236,7,0),"ENDirect")</f>
        <v>ENDirect</v>
      </c>
      <c r="AL794" s="7" t="str">
        <f>IFERROR(HLOOKUP(AJ794,'Calc|Weightings'!$U$5:$W$5,1,0),"Excl")</f>
        <v>Contracts</v>
      </c>
      <c r="AM794" s="7" t="str">
        <f>VLOOKUP(AC794,Mapping!$E$11:$I$204,5,0)</f>
        <v>SCS</v>
      </c>
      <c r="AO794" s="35" t="s">
        <v>218</v>
      </c>
      <c r="AP794" s="35"/>
      <c r="AQ794" s="35">
        <v>71030</v>
      </c>
      <c r="AR794" s="35" t="s">
        <v>464</v>
      </c>
      <c r="AS794" s="121">
        <v>1.8780000000000002E-2</v>
      </c>
      <c r="AU794" s="7" t="str">
        <f>VLOOKUP($AO794,Mapping!$E$11:$I$204,3,0)</f>
        <v>Replacement</v>
      </c>
      <c r="AV794" s="7" t="str">
        <f>IFERROR(VLOOKUP($AQ794,Mapping!$E$208:$K$236,5,0),"Contracts")</f>
        <v>Contracts</v>
      </c>
      <c r="AW794" s="7" t="str">
        <f>IFERROR(VLOOKUP($AQ794,Mapping!$E$208:$K$236,7,0),"ENDirect")</f>
        <v>ENDirect</v>
      </c>
      <c r="AX794" s="7" t="str">
        <f>IFERROR(HLOOKUP(AV794,'Calc|Weightings'!$U$5:$W$5,1,0),"Excl")</f>
        <v>Contracts</v>
      </c>
      <c r="AY794" s="7" t="str">
        <f>VLOOKUP(AO794,Mapping!$E$11:$I$204,5,0)</f>
        <v>SCS</v>
      </c>
    </row>
    <row r="795" spans="1:51" x14ac:dyDescent="0.3">
      <c r="A795" s="7"/>
      <c r="B795" s="7"/>
      <c r="C795" s="7"/>
      <c r="D795" s="7"/>
      <c r="E795" s="32" t="s">
        <v>209</v>
      </c>
      <c r="F795" s="32"/>
      <c r="G795" s="32">
        <v>71030</v>
      </c>
      <c r="H795" s="32" t="s">
        <v>464</v>
      </c>
      <c r="I795" s="33">
        <v>4.7009999999999996</v>
      </c>
      <c r="J795" s="170"/>
      <c r="K795" s="7" t="str">
        <f>VLOOKUP($E795,Mapping!$E$11:$I$204,3,0)</f>
        <v>Replacement</v>
      </c>
      <c r="L795" s="7" t="str">
        <f>IFERROR(VLOOKUP($G795,Mapping!$E$208:$K$236,5,0),"Contracts")</f>
        <v>Contracts</v>
      </c>
      <c r="M795" s="7" t="str">
        <f>IFERROR(VLOOKUP($G795,Mapping!$E$208:$K$236,7,0),"ENDirect")</f>
        <v>ENDirect</v>
      </c>
      <c r="N795" s="7" t="str">
        <f>IFERROR(HLOOKUP(L795,'Calc|Weightings'!$U$5:$W$5,1,0),"Excl")</f>
        <v>Contracts</v>
      </c>
      <c r="O795" s="7" t="str">
        <f>VLOOKUP(E795,Mapping!$E$11:$I$204,5,0)</f>
        <v>SCS</v>
      </c>
      <c r="Q795" s="32" t="s">
        <v>240</v>
      </c>
      <c r="R795" s="32"/>
      <c r="S795" s="32">
        <v>71000</v>
      </c>
      <c r="T795" s="32" t="s">
        <v>457</v>
      </c>
      <c r="U795" s="33">
        <v>339.47500000000002</v>
      </c>
      <c r="V795" s="7"/>
      <c r="W795" s="7" t="str">
        <f>VLOOKUP($Q795,Mapping!$E$11:$I$204,3,0)</f>
        <v>Replacement</v>
      </c>
      <c r="X795" s="7" t="str">
        <f>IFERROR(VLOOKUP($S795,Mapping!$E$208:$K$236,5,0),"Contracts")</f>
        <v>Labour</v>
      </c>
      <c r="Y795" s="7" t="str">
        <f>IFERROR(VLOOKUP($S795,Mapping!$E$208:$K$236,7,0),"ENDirect")</f>
        <v>ENDirect</v>
      </c>
      <c r="Z795" s="7" t="str">
        <f>IFERROR(HLOOKUP(X795,'Calc|Weightings'!$U$5:$W$5,1,0),"Excl")</f>
        <v>Labour</v>
      </c>
      <c r="AA795" s="7" t="str">
        <f>VLOOKUP(Q795,Mapping!$E$11:$I$204,5,0)</f>
        <v>SCS</v>
      </c>
      <c r="AC795" s="35" t="s">
        <v>230</v>
      </c>
      <c r="AD795" s="35"/>
      <c r="AE795" s="35">
        <v>80000</v>
      </c>
      <c r="AF795" s="35" t="s">
        <v>453</v>
      </c>
      <c r="AG795" s="36">
        <v>334.90199999999999</v>
      </c>
      <c r="AI795" s="7" t="str">
        <f>VLOOKUP($AC795,Mapping!$E$11:$I$204,3,0)</f>
        <v>Replacement</v>
      </c>
      <c r="AJ795" s="7" t="str">
        <f>IFERROR(VLOOKUP($AE795,Mapping!$E$208:$K$236,5,0),"Contracts")</f>
        <v>Overhead</v>
      </c>
      <c r="AK795" s="7" t="str">
        <f>IFERROR(VLOOKUP($AE795,Mapping!$E$208:$K$236,7,0),"ENDirect")</f>
        <v>OH</v>
      </c>
      <c r="AL795" s="7" t="str">
        <f>IFERROR(HLOOKUP(AJ795,'Calc|Weightings'!$U$5:$W$5,1,0),"Excl")</f>
        <v>Excl</v>
      </c>
      <c r="AM795" s="7" t="str">
        <f>VLOOKUP(AC795,Mapping!$E$11:$I$204,5,0)</f>
        <v>SCS</v>
      </c>
      <c r="AO795" s="35" t="s">
        <v>218</v>
      </c>
      <c r="AP795" s="35"/>
      <c r="AQ795" s="35">
        <v>71055</v>
      </c>
      <c r="AR795" s="35" t="s">
        <v>465</v>
      </c>
      <c r="AS795" s="121">
        <v>3.1809999999999998E-2</v>
      </c>
      <c r="AU795" s="7" t="str">
        <f>VLOOKUP($AO795,Mapping!$E$11:$I$204,3,0)</f>
        <v>Replacement</v>
      </c>
      <c r="AV795" s="7" t="str">
        <f>IFERROR(VLOOKUP($AQ795,Mapping!$E$208:$K$236,5,0),"Contracts")</f>
        <v>Contracts</v>
      </c>
      <c r="AW795" s="7" t="str">
        <f>IFERROR(VLOOKUP($AQ795,Mapping!$E$208:$K$236,7,0),"ENDirect")</f>
        <v>ENDirect</v>
      </c>
      <c r="AX795" s="7" t="str">
        <f>IFERROR(HLOOKUP(AV795,'Calc|Weightings'!$U$5:$W$5,1,0),"Excl")</f>
        <v>Contracts</v>
      </c>
      <c r="AY795" s="7" t="str">
        <f>VLOOKUP(AO795,Mapping!$E$11:$I$204,5,0)</f>
        <v>SCS</v>
      </c>
    </row>
    <row r="796" spans="1:51" x14ac:dyDescent="0.3">
      <c r="A796" s="7"/>
      <c r="B796" s="7"/>
      <c r="C796" s="7"/>
      <c r="D796" s="7"/>
      <c r="E796" s="32" t="s">
        <v>209</v>
      </c>
      <c r="F796" s="32"/>
      <c r="G796" s="32">
        <v>71055</v>
      </c>
      <c r="H796" s="32" t="s">
        <v>465</v>
      </c>
      <c r="I796" s="33">
        <v>12.475</v>
      </c>
      <c r="J796" s="170"/>
      <c r="K796" s="7" t="str">
        <f>VLOOKUP($E796,Mapping!$E$11:$I$204,3,0)</f>
        <v>Replacement</v>
      </c>
      <c r="L796" s="7" t="str">
        <f>IFERROR(VLOOKUP($G796,Mapping!$E$208:$K$236,5,0),"Contracts")</f>
        <v>Contracts</v>
      </c>
      <c r="M796" s="7" t="str">
        <f>IFERROR(VLOOKUP($G796,Mapping!$E$208:$K$236,7,0),"ENDirect")</f>
        <v>ENDirect</v>
      </c>
      <c r="N796" s="7" t="str">
        <f>IFERROR(HLOOKUP(L796,'Calc|Weightings'!$U$5:$W$5,1,0),"Excl")</f>
        <v>Contracts</v>
      </c>
      <c r="O796" s="7" t="str">
        <f>VLOOKUP(E796,Mapping!$E$11:$I$204,5,0)</f>
        <v>SCS</v>
      </c>
      <c r="Q796" s="32" t="s">
        <v>240</v>
      </c>
      <c r="R796" s="32"/>
      <c r="S796" s="32">
        <v>71005</v>
      </c>
      <c r="T796" s="32" t="s">
        <v>461</v>
      </c>
      <c r="U796" s="33">
        <v>112.857</v>
      </c>
      <c r="V796" s="7"/>
      <c r="W796" s="7" t="str">
        <f>VLOOKUP($Q796,Mapping!$E$11:$I$204,3,0)</f>
        <v>Replacement</v>
      </c>
      <c r="X796" s="7" t="str">
        <f>IFERROR(VLOOKUP($S796,Mapping!$E$208:$K$236,5,0),"Contracts")</f>
        <v>Materials</v>
      </c>
      <c r="Y796" s="7" t="str">
        <f>IFERROR(VLOOKUP($S796,Mapping!$E$208:$K$236,7,0),"ENDirect")</f>
        <v>ENDirect</v>
      </c>
      <c r="Z796" s="7" t="str">
        <f>IFERROR(HLOOKUP(X796,'Calc|Weightings'!$U$5:$W$5,1,0),"Excl")</f>
        <v>Materials</v>
      </c>
      <c r="AA796" s="7" t="str">
        <f>VLOOKUP(Q796,Mapping!$E$11:$I$204,5,0)</f>
        <v>SCS</v>
      </c>
      <c r="AC796" s="35" t="s">
        <v>230</v>
      </c>
      <c r="AD796" s="35"/>
      <c r="AE796" s="35">
        <v>89999</v>
      </c>
      <c r="AF796" s="35" t="s">
        <v>471</v>
      </c>
      <c r="AG796" s="36">
        <v>0</v>
      </c>
      <c r="AI796" s="7" t="str">
        <f>VLOOKUP($AC796,Mapping!$E$11:$I$204,3,0)</f>
        <v>Replacement</v>
      </c>
      <c r="AJ796" s="7" t="str">
        <f>IFERROR(VLOOKUP($AE796,Mapping!$E$208:$K$236,5,0),"Contracts")</f>
        <v>Contracts</v>
      </c>
      <c r="AK796" s="7" t="str">
        <f>IFERROR(VLOOKUP($AE796,Mapping!$E$208:$K$236,7,0),"ENDirect")</f>
        <v>ENDirect</v>
      </c>
      <c r="AL796" s="7" t="str">
        <f>IFERROR(HLOOKUP(AJ796,'Calc|Weightings'!$U$5:$W$5,1,0),"Excl")</f>
        <v>Contracts</v>
      </c>
      <c r="AM796" s="7" t="str">
        <f>VLOOKUP(AC796,Mapping!$E$11:$I$204,5,0)</f>
        <v>SCS</v>
      </c>
      <c r="AO796" s="35" t="s">
        <v>218</v>
      </c>
      <c r="AP796" s="35"/>
      <c r="AQ796" s="35">
        <v>71075</v>
      </c>
      <c r="AR796" s="35" t="s">
        <v>587</v>
      </c>
      <c r="AS796" s="121">
        <v>23.380630000000004</v>
      </c>
      <c r="AU796" s="7" t="str">
        <f>VLOOKUP($AO796,Mapping!$E$11:$I$204,3,0)</f>
        <v>Replacement</v>
      </c>
      <c r="AV796" s="7" t="str">
        <f>IFERROR(VLOOKUP($AQ796,Mapping!$E$208:$K$236,5,0),"Contracts")</f>
        <v>Contracts</v>
      </c>
      <c r="AW796" s="7" t="str">
        <f>IFERROR(VLOOKUP($AQ796,Mapping!$E$208:$K$236,7,0),"ENDirect")</f>
        <v>ENDirect</v>
      </c>
      <c r="AX796" s="7" t="str">
        <f>IFERROR(HLOOKUP(AV796,'Calc|Weightings'!$U$5:$W$5,1,0),"Excl")</f>
        <v>Contracts</v>
      </c>
      <c r="AY796" s="7" t="str">
        <f>VLOOKUP(AO796,Mapping!$E$11:$I$204,5,0)</f>
        <v>SCS</v>
      </c>
    </row>
    <row r="797" spans="1:51" x14ac:dyDescent="0.3">
      <c r="A797" s="7"/>
      <c r="B797" s="7"/>
      <c r="C797" s="7"/>
      <c r="D797" s="7"/>
      <c r="E797" s="32" t="s">
        <v>209</v>
      </c>
      <c r="F797" s="32"/>
      <c r="G797" s="32">
        <v>80000</v>
      </c>
      <c r="H797" s="32" t="s">
        <v>453</v>
      </c>
      <c r="I797" s="33">
        <v>6.6870000000000003</v>
      </c>
      <c r="J797" s="170"/>
      <c r="K797" s="7" t="str">
        <f>VLOOKUP($E797,Mapping!$E$11:$I$204,3,0)</f>
        <v>Replacement</v>
      </c>
      <c r="L797" s="7" t="str">
        <f>IFERROR(VLOOKUP($G797,Mapping!$E$208:$K$236,5,0),"Contracts")</f>
        <v>Overhead</v>
      </c>
      <c r="M797" s="7" t="str">
        <f>IFERROR(VLOOKUP($G797,Mapping!$E$208:$K$236,7,0),"ENDirect")</f>
        <v>OH</v>
      </c>
      <c r="N797" s="7" t="str">
        <f>IFERROR(HLOOKUP(L797,'Calc|Weightings'!$U$5:$W$5,1,0),"Excl")</f>
        <v>Excl</v>
      </c>
      <c r="O797" s="7" t="str">
        <f>VLOOKUP(E797,Mapping!$E$11:$I$204,5,0)</f>
        <v>SCS</v>
      </c>
      <c r="Q797" s="32" t="s">
        <v>240</v>
      </c>
      <c r="R797" s="32"/>
      <c r="S797" s="32">
        <v>71010</v>
      </c>
      <c r="T797" s="32" t="s">
        <v>462</v>
      </c>
      <c r="U797" s="33">
        <v>236.74100000000001</v>
      </c>
      <c r="V797" s="7"/>
      <c r="W797" s="7" t="str">
        <f>VLOOKUP($Q797,Mapping!$E$11:$I$204,3,0)</f>
        <v>Replacement</v>
      </c>
      <c r="X797" s="7" t="str">
        <f>IFERROR(VLOOKUP($S797,Mapping!$E$208:$K$236,5,0),"Contracts")</f>
        <v>Labour</v>
      </c>
      <c r="Y797" s="7" t="str">
        <f>IFERROR(VLOOKUP($S797,Mapping!$E$208:$K$236,7,0),"ENDirect")</f>
        <v>ENDirect</v>
      </c>
      <c r="Z797" s="7" t="str">
        <f>IFERROR(HLOOKUP(X797,'Calc|Weightings'!$U$5:$W$5,1,0),"Excl")</f>
        <v>Labour</v>
      </c>
      <c r="AA797" s="7" t="str">
        <f>VLOOKUP(Q797,Mapping!$E$11:$I$204,5,0)</f>
        <v>SCS</v>
      </c>
      <c r="AC797" s="35" t="s">
        <v>231</v>
      </c>
      <c r="AD797" s="35"/>
      <c r="AE797" s="35">
        <v>71000</v>
      </c>
      <c r="AF797" s="35" t="s">
        <v>457</v>
      </c>
      <c r="AG797" s="36">
        <v>186.56200000000001</v>
      </c>
      <c r="AI797" s="7" t="str">
        <f>VLOOKUP($AC797,Mapping!$E$11:$I$204,3,0)</f>
        <v>Replacement</v>
      </c>
      <c r="AJ797" s="7" t="str">
        <f>IFERROR(VLOOKUP($AE797,Mapping!$E$208:$K$236,5,0),"Contracts")</f>
        <v>Labour</v>
      </c>
      <c r="AK797" s="7" t="str">
        <f>IFERROR(VLOOKUP($AE797,Mapping!$E$208:$K$236,7,0),"ENDirect")</f>
        <v>ENDirect</v>
      </c>
      <c r="AL797" s="7" t="str">
        <f>IFERROR(HLOOKUP(AJ797,'Calc|Weightings'!$U$5:$W$5,1,0),"Excl")</f>
        <v>Labour</v>
      </c>
      <c r="AM797" s="7" t="str">
        <f>VLOOKUP(AC797,Mapping!$E$11:$I$204,5,0)</f>
        <v>SCS</v>
      </c>
      <c r="AO797" s="35" t="s">
        <v>218</v>
      </c>
      <c r="AP797" s="35"/>
      <c r="AQ797" s="35">
        <v>80000</v>
      </c>
      <c r="AR797" s="35" t="s">
        <v>589</v>
      </c>
      <c r="AS797" s="121">
        <v>38.747199999999999</v>
      </c>
      <c r="AU797" s="7" t="str">
        <f>VLOOKUP($AO797,Mapping!$E$11:$I$204,3,0)</f>
        <v>Replacement</v>
      </c>
      <c r="AV797" s="7" t="str">
        <f>IFERROR(VLOOKUP($AQ797,Mapping!$E$208:$K$236,5,0),"Contracts")</f>
        <v>Overhead</v>
      </c>
      <c r="AW797" s="7" t="str">
        <f>IFERROR(VLOOKUP($AQ797,Mapping!$E$208:$K$236,7,0),"ENDirect")</f>
        <v>OH</v>
      </c>
      <c r="AX797" s="7" t="str">
        <f>IFERROR(HLOOKUP(AV797,'Calc|Weightings'!$U$5:$W$5,1,0),"Excl")</f>
        <v>Excl</v>
      </c>
      <c r="AY797" s="7" t="str">
        <f>VLOOKUP(AO797,Mapping!$E$11:$I$204,5,0)</f>
        <v>SCS</v>
      </c>
    </row>
    <row r="798" spans="1:51" x14ac:dyDescent="0.3">
      <c r="A798" s="7"/>
      <c r="B798" s="7"/>
      <c r="C798" s="7"/>
      <c r="D798" s="7"/>
      <c r="E798" s="32" t="s">
        <v>217</v>
      </c>
      <c r="F798" s="32"/>
      <c r="G798" s="32">
        <v>71000</v>
      </c>
      <c r="H798" s="32" t="s">
        <v>457</v>
      </c>
      <c r="I798" s="33">
        <v>64.376000000000005</v>
      </c>
      <c r="J798" s="170"/>
      <c r="K798" s="7" t="str">
        <f>VLOOKUP($E798,Mapping!$E$11:$I$204,3,0)</f>
        <v>Replacement</v>
      </c>
      <c r="L798" s="7" t="str">
        <f>IFERROR(VLOOKUP($G798,Mapping!$E$208:$K$236,5,0),"Contracts")</f>
        <v>Labour</v>
      </c>
      <c r="M798" s="7" t="str">
        <f>IFERROR(VLOOKUP($G798,Mapping!$E$208:$K$236,7,0),"ENDirect")</f>
        <v>ENDirect</v>
      </c>
      <c r="N798" s="7" t="str">
        <f>IFERROR(HLOOKUP(L798,'Calc|Weightings'!$U$5:$W$5,1,0),"Excl")</f>
        <v>Labour</v>
      </c>
      <c r="O798" s="7" t="str">
        <f>VLOOKUP(E798,Mapping!$E$11:$I$204,5,0)</f>
        <v>SCS</v>
      </c>
      <c r="Q798" s="32" t="s">
        <v>240</v>
      </c>
      <c r="R798" s="32"/>
      <c r="S798" s="32">
        <v>71015</v>
      </c>
      <c r="T798" s="32" t="s">
        <v>463</v>
      </c>
      <c r="U798" s="33">
        <v>83.332999999999998</v>
      </c>
      <c r="V798" s="7"/>
      <c r="W798" s="7" t="str">
        <f>VLOOKUP($Q798,Mapping!$E$11:$I$204,3,0)</f>
        <v>Replacement</v>
      </c>
      <c r="X798" s="7" t="str">
        <f>IFERROR(VLOOKUP($S798,Mapping!$E$208:$K$236,5,0),"Contracts")</f>
        <v>Materials</v>
      </c>
      <c r="Y798" s="7" t="str">
        <f>IFERROR(VLOOKUP($S798,Mapping!$E$208:$K$236,7,0),"ENDirect")</f>
        <v>ENDirect</v>
      </c>
      <c r="Z798" s="7" t="str">
        <f>IFERROR(HLOOKUP(X798,'Calc|Weightings'!$U$5:$W$5,1,0),"Excl")</f>
        <v>Materials</v>
      </c>
      <c r="AA798" s="7" t="str">
        <f>VLOOKUP(Q798,Mapping!$E$11:$I$204,5,0)</f>
        <v>SCS</v>
      </c>
      <c r="AC798" s="35" t="s">
        <v>231</v>
      </c>
      <c r="AD798" s="35"/>
      <c r="AE798" s="35">
        <v>71005</v>
      </c>
      <c r="AF798" s="35" t="s">
        <v>461</v>
      </c>
      <c r="AG798" s="36">
        <v>42.759</v>
      </c>
      <c r="AI798" s="7" t="str">
        <f>VLOOKUP($AC798,Mapping!$E$11:$I$204,3,0)</f>
        <v>Replacement</v>
      </c>
      <c r="AJ798" s="7" t="str">
        <f>IFERROR(VLOOKUP($AE798,Mapping!$E$208:$K$236,5,0),"Contracts")</f>
        <v>Materials</v>
      </c>
      <c r="AK798" s="7" t="str">
        <f>IFERROR(VLOOKUP($AE798,Mapping!$E$208:$K$236,7,0),"ENDirect")</f>
        <v>ENDirect</v>
      </c>
      <c r="AL798" s="7" t="str">
        <f>IFERROR(HLOOKUP(AJ798,'Calc|Weightings'!$U$5:$W$5,1,0),"Excl")</f>
        <v>Materials</v>
      </c>
      <c r="AM798" s="7" t="str">
        <f>VLOOKUP(AC798,Mapping!$E$11:$I$204,5,0)</f>
        <v>SCS</v>
      </c>
      <c r="AO798" s="35" t="s">
        <v>218</v>
      </c>
      <c r="AP798" s="35"/>
      <c r="AQ798" s="35">
        <v>83010</v>
      </c>
      <c r="AR798" s="35" t="s">
        <v>591</v>
      </c>
      <c r="AS798" s="121">
        <v>188.70591999999999</v>
      </c>
      <c r="AU798" s="7" t="str">
        <f>VLOOKUP($AO798,Mapping!$E$11:$I$204,3,0)</f>
        <v>Replacement</v>
      </c>
      <c r="AV798" s="7" t="str">
        <f>IFERROR(VLOOKUP($AQ798,Mapping!$E$208:$K$236,5,0),"Contracts")</f>
        <v>Contracts</v>
      </c>
      <c r="AW798" s="7" t="str">
        <f>IFERROR(VLOOKUP($AQ798,Mapping!$E$208:$K$236,7,0),"ENDirect")</f>
        <v>ENDirect</v>
      </c>
      <c r="AX798" s="7" t="str">
        <f>IFERROR(HLOOKUP(AV798,'Calc|Weightings'!$U$5:$W$5,1,0),"Excl")</f>
        <v>Contracts</v>
      </c>
      <c r="AY798" s="7" t="str">
        <f>VLOOKUP(AO798,Mapping!$E$11:$I$204,5,0)</f>
        <v>SCS</v>
      </c>
    </row>
    <row r="799" spans="1:51" x14ac:dyDescent="0.3">
      <c r="A799" s="7"/>
      <c r="B799" s="7"/>
      <c r="C799" s="7"/>
      <c r="D799" s="7"/>
      <c r="E799" s="32" t="s">
        <v>217</v>
      </c>
      <c r="F799" s="32"/>
      <c r="G799" s="32">
        <v>71005</v>
      </c>
      <c r="H799" s="32" t="s">
        <v>461</v>
      </c>
      <c r="I799" s="33">
        <v>43.542000000000002</v>
      </c>
      <c r="J799" s="170"/>
      <c r="K799" s="7" t="str">
        <f>VLOOKUP($E799,Mapping!$E$11:$I$204,3,0)</f>
        <v>Replacement</v>
      </c>
      <c r="L799" s="7" t="str">
        <f>IFERROR(VLOOKUP($G799,Mapping!$E$208:$K$236,5,0),"Contracts")</f>
        <v>Materials</v>
      </c>
      <c r="M799" s="7" t="str">
        <f>IFERROR(VLOOKUP($G799,Mapping!$E$208:$K$236,7,0),"ENDirect")</f>
        <v>ENDirect</v>
      </c>
      <c r="N799" s="7" t="str">
        <f>IFERROR(HLOOKUP(L799,'Calc|Weightings'!$U$5:$W$5,1,0),"Excl")</f>
        <v>Materials</v>
      </c>
      <c r="O799" s="7" t="str">
        <f>VLOOKUP(E799,Mapping!$E$11:$I$204,5,0)</f>
        <v>SCS</v>
      </c>
      <c r="Q799" s="32" t="s">
        <v>240</v>
      </c>
      <c r="R799" s="32"/>
      <c r="S799" s="32">
        <v>71020</v>
      </c>
      <c r="T799" s="32" t="s">
        <v>459</v>
      </c>
      <c r="U799" s="33">
        <v>1.911</v>
      </c>
      <c r="V799" s="7"/>
      <c r="W799" s="7" t="str">
        <f>VLOOKUP($Q799,Mapping!$E$11:$I$204,3,0)</f>
        <v>Replacement</v>
      </c>
      <c r="X799" s="7" t="str">
        <f>IFERROR(VLOOKUP($S799,Mapping!$E$208:$K$236,5,0),"Contracts")</f>
        <v>Contracts</v>
      </c>
      <c r="Y799" s="7" t="str">
        <f>IFERROR(VLOOKUP($S799,Mapping!$E$208:$K$236,7,0),"ENDirect")</f>
        <v>ENDirect</v>
      </c>
      <c r="Z799" s="7" t="str">
        <f>IFERROR(HLOOKUP(X799,'Calc|Weightings'!$U$5:$W$5,1,0),"Excl")</f>
        <v>Contracts</v>
      </c>
      <c r="AA799" s="7" t="str">
        <f>VLOOKUP(Q799,Mapping!$E$11:$I$204,5,0)</f>
        <v>SCS</v>
      </c>
      <c r="AC799" s="35" t="s">
        <v>231</v>
      </c>
      <c r="AD799" s="35"/>
      <c r="AE799" s="35">
        <v>71010</v>
      </c>
      <c r="AF799" s="35" t="s">
        <v>462</v>
      </c>
      <c r="AG799" s="36">
        <v>28.777000000000001</v>
      </c>
      <c r="AI799" s="7" t="str">
        <f>VLOOKUP($AC799,Mapping!$E$11:$I$204,3,0)</f>
        <v>Replacement</v>
      </c>
      <c r="AJ799" s="7" t="str">
        <f>IFERROR(VLOOKUP($AE799,Mapping!$E$208:$K$236,5,0),"Contracts")</f>
        <v>Labour</v>
      </c>
      <c r="AK799" s="7" t="str">
        <f>IFERROR(VLOOKUP($AE799,Mapping!$E$208:$K$236,7,0),"ENDirect")</f>
        <v>ENDirect</v>
      </c>
      <c r="AL799" s="7" t="str">
        <f>IFERROR(HLOOKUP(AJ799,'Calc|Weightings'!$U$5:$W$5,1,0),"Excl")</f>
        <v>Labour</v>
      </c>
      <c r="AM799" s="7" t="str">
        <f>VLOOKUP(AC799,Mapping!$E$11:$I$204,5,0)</f>
        <v>SCS</v>
      </c>
      <c r="AO799" s="35" t="s">
        <v>219</v>
      </c>
      <c r="AP799" s="35"/>
      <c r="AQ799" s="35">
        <v>71075</v>
      </c>
      <c r="AR799" s="35" t="s">
        <v>587</v>
      </c>
      <c r="AS799" s="121">
        <v>3.44556</v>
      </c>
      <c r="AU799" s="7" t="str">
        <f>VLOOKUP($AO799,Mapping!$E$11:$I$204,3,0)</f>
        <v>Replacement</v>
      </c>
      <c r="AV799" s="7" t="str">
        <f>IFERROR(VLOOKUP($AQ799,Mapping!$E$208:$K$236,5,0),"Contracts")</f>
        <v>Contracts</v>
      </c>
      <c r="AW799" s="7" t="str">
        <f>IFERROR(VLOOKUP($AQ799,Mapping!$E$208:$K$236,7,0),"ENDirect")</f>
        <v>ENDirect</v>
      </c>
      <c r="AX799" s="7" t="str">
        <f>IFERROR(HLOOKUP(AV799,'Calc|Weightings'!$U$5:$W$5,1,0),"Excl")</f>
        <v>Contracts</v>
      </c>
      <c r="AY799" s="7" t="str">
        <f>VLOOKUP(AO799,Mapping!$E$11:$I$204,5,0)</f>
        <v>SCS</v>
      </c>
    </row>
    <row r="800" spans="1:51" x14ac:dyDescent="0.3">
      <c r="A800" s="7"/>
      <c r="B800" s="7"/>
      <c r="C800" s="7"/>
      <c r="D800" s="7"/>
      <c r="E800" s="32" t="s">
        <v>217</v>
      </c>
      <c r="F800" s="32"/>
      <c r="G800" s="32">
        <v>71010</v>
      </c>
      <c r="H800" s="32" t="s">
        <v>462</v>
      </c>
      <c r="I800" s="33">
        <v>257.59899999999999</v>
      </c>
      <c r="J800" s="170"/>
      <c r="K800" s="7" t="str">
        <f>VLOOKUP($E800,Mapping!$E$11:$I$204,3,0)</f>
        <v>Replacement</v>
      </c>
      <c r="L800" s="7" t="str">
        <f>IFERROR(VLOOKUP($G800,Mapping!$E$208:$K$236,5,0),"Contracts")</f>
        <v>Labour</v>
      </c>
      <c r="M800" s="7" t="str">
        <f>IFERROR(VLOOKUP($G800,Mapping!$E$208:$K$236,7,0),"ENDirect")</f>
        <v>ENDirect</v>
      </c>
      <c r="N800" s="7" t="str">
        <f>IFERROR(HLOOKUP(L800,'Calc|Weightings'!$U$5:$W$5,1,0),"Excl")</f>
        <v>Labour</v>
      </c>
      <c r="O800" s="7" t="str">
        <f>VLOOKUP(E800,Mapping!$E$11:$I$204,5,0)</f>
        <v>SCS</v>
      </c>
      <c r="Q800" s="32" t="s">
        <v>240</v>
      </c>
      <c r="R800" s="32"/>
      <c r="S800" s="32">
        <v>71030</v>
      </c>
      <c r="T800" s="32" t="s">
        <v>464</v>
      </c>
      <c r="U800" s="33">
        <v>61.677</v>
      </c>
      <c r="V800" s="7"/>
      <c r="W800" s="7" t="str">
        <f>VLOOKUP($Q800,Mapping!$E$11:$I$204,3,0)</f>
        <v>Replacement</v>
      </c>
      <c r="X800" s="7" t="str">
        <f>IFERROR(VLOOKUP($S800,Mapping!$E$208:$K$236,5,0),"Contracts")</f>
        <v>Contracts</v>
      </c>
      <c r="Y800" s="7" t="str">
        <f>IFERROR(VLOOKUP($S800,Mapping!$E$208:$K$236,7,0),"ENDirect")</f>
        <v>ENDirect</v>
      </c>
      <c r="Z800" s="7" t="str">
        <f>IFERROR(HLOOKUP(X800,'Calc|Weightings'!$U$5:$W$5,1,0),"Excl")</f>
        <v>Contracts</v>
      </c>
      <c r="AA800" s="7" t="str">
        <f>VLOOKUP(Q800,Mapping!$E$11:$I$204,5,0)</f>
        <v>SCS</v>
      </c>
      <c r="AC800" s="35" t="s">
        <v>231</v>
      </c>
      <c r="AD800" s="35"/>
      <c r="AE800" s="35">
        <v>71015</v>
      </c>
      <c r="AF800" s="35" t="s">
        <v>463</v>
      </c>
      <c r="AG800" s="36">
        <v>40.793999999999997</v>
      </c>
      <c r="AI800" s="7" t="str">
        <f>VLOOKUP($AC800,Mapping!$E$11:$I$204,3,0)</f>
        <v>Replacement</v>
      </c>
      <c r="AJ800" s="7" t="str">
        <f>IFERROR(VLOOKUP($AE800,Mapping!$E$208:$K$236,5,0),"Contracts")</f>
        <v>Materials</v>
      </c>
      <c r="AK800" s="7" t="str">
        <f>IFERROR(VLOOKUP($AE800,Mapping!$E$208:$K$236,7,0),"ENDirect")</f>
        <v>ENDirect</v>
      </c>
      <c r="AL800" s="7" t="str">
        <f>IFERROR(HLOOKUP(AJ800,'Calc|Weightings'!$U$5:$W$5,1,0),"Excl")</f>
        <v>Materials</v>
      </c>
      <c r="AM800" s="7" t="str">
        <f>VLOOKUP(AC800,Mapping!$E$11:$I$204,5,0)</f>
        <v>SCS</v>
      </c>
      <c r="AO800" s="35" t="s">
        <v>219</v>
      </c>
      <c r="AP800" s="35"/>
      <c r="AQ800" s="35">
        <v>80000</v>
      </c>
      <c r="AR800" s="35" t="s">
        <v>589</v>
      </c>
      <c r="AS800" s="121">
        <v>5.5238099999999992</v>
      </c>
      <c r="AU800" s="7" t="str">
        <f>VLOOKUP($AO800,Mapping!$E$11:$I$204,3,0)</f>
        <v>Replacement</v>
      </c>
      <c r="AV800" s="7" t="str">
        <f>IFERROR(VLOOKUP($AQ800,Mapping!$E$208:$K$236,5,0),"Contracts")</f>
        <v>Overhead</v>
      </c>
      <c r="AW800" s="7" t="str">
        <f>IFERROR(VLOOKUP($AQ800,Mapping!$E$208:$K$236,7,0),"ENDirect")</f>
        <v>OH</v>
      </c>
      <c r="AX800" s="7" t="str">
        <f>IFERROR(HLOOKUP(AV800,'Calc|Weightings'!$U$5:$W$5,1,0),"Excl")</f>
        <v>Excl</v>
      </c>
      <c r="AY800" s="7" t="str">
        <f>VLOOKUP(AO800,Mapping!$E$11:$I$204,5,0)</f>
        <v>SCS</v>
      </c>
    </row>
    <row r="801" spans="1:51" x14ac:dyDescent="0.3">
      <c r="A801" s="7"/>
      <c r="B801" s="7"/>
      <c r="C801" s="7"/>
      <c r="D801" s="7"/>
      <c r="E801" s="32" t="s">
        <v>217</v>
      </c>
      <c r="F801" s="32"/>
      <c r="G801" s="32">
        <v>71015</v>
      </c>
      <c r="H801" s="32" t="s">
        <v>463</v>
      </c>
      <c r="I801" s="33">
        <v>19.303000000000001</v>
      </c>
      <c r="J801" s="170"/>
      <c r="K801" s="7" t="str">
        <f>VLOOKUP($E801,Mapping!$E$11:$I$204,3,0)</f>
        <v>Replacement</v>
      </c>
      <c r="L801" s="7" t="str">
        <f>IFERROR(VLOOKUP($G801,Mapping!$E$208:$K$236,5,0),"Contracts")</f>
        <v>Materials</v>
      </c>
      <c r="M801" s="7" t="str">
        <f>IFERROR(VLOOKUP($G801,Mapping!$E$208:$K$236,7,0),"ENDirect")</f>
        <v>ENDirect</v>
      </c>
      <c r="N801" s="7" t="str">
        <f>IFERROR(HLOOKUP(L801,'Calc|Weightings'!$U$5:$W$5,1,0),"Excl")</f>
        <v>Materials</v>
      </c>
      <c r="O801" s="7" t="str">
        <f>VLOOKUP(E801,Mapping!$E$11:$I$204,5,0)</f>
        <v>SCS</v>
      </c>
      <c r="Q801" s="32" t="s">
        <v>240</v>
      </c>
      <c r="R801" s="32"/>
      <c r="S801" s="32">
        <v>71055</v>
      </c>
      <c r="T801" s="32" t="s">
        <v>465</v>
      </c>
      <c r="U801" s="33">
        <v>108.19499999999999</v>
      </c>
      <c r="V801" s="7"/>
      <c r="W801" s="7" t="str">
        <f>VLOOKUP($Q801,Mapping!$E$11:$I$204,3,0)</f>
        <v>Replacement</v>
      </c>
      <c r="X801" s="7" t="str">
        <f>IFERROR(VLOOKUP($S801,Mapping!$E$208:$K$236,5,0),"Contracts")</f>
        <v>Contracts</v>
      </c>
      <c r="Y801" s="7" t="str">
        <f>IFERROR(VLOOKUP($S801,Mapping!$E$208:$K$236,7,0),"ENDirect")</f>
        <v>ENDirect</v>
      </c>
      <c r="Z801" s="7" t="str">
        <f>IFERROR(HLOOKUP(X801,'Calc|Weightings'!$U$5:$W$5,1,0),"Excl")</f>
        <v>Contracts</v>
      </c>
      <c r="AA801" s="7" t="str">
        <f>VLOOKUP(Q801,Mapping!$E$11:$I$204,5,0)</f>
        <v>SCS</v>
      </c>
      <c r="AC801" s="35" t="s">
        <v>231</v>
      </c>
      <c r="AD801" s="35"/>
      <c r="AE801" s="35">
        <v>71030</v>
      </c>
      <c r="AF801" s="35" t="s">
        <v>464</v>
      </c>
      <c r="AG801" s="36">
        <v>24.437000000000001</v>
      </c>
      <c r="AI801" s="7" t="str">
        <f>VLOOKUP($AC801,Mapping!$E$11:$I$204,3,0)</f>
        <v>Replacement</v>
      </c>
      <c r="AJ801" s="7" t="str">
        <f>IFERROR(VLOOKUP($AE801,Mapping!$E$208:$K$236,5,0),"Contracts")</f>
        <v>Contracts</v>
      </c>
      <c r="AK801" s="7" t="str">
        <f>IFERROR(VLOOKUP($AE801,Mapping!$E$208:$K$236,7,0),"ENDirect")</f>
        <v>ENDirect</v>
      </c>
      <c r="AL801" s="7" t="str">
        <f>IFERROR(HLOOKUP(AJ801,'Calc|Weightings'!$U$5:$W$5,1,0),"Excl")</f>
        <v>Contracts</v>
      </c>
      <c r="AM801" s="7" t="str">
        <f>VLOOKUP(AC801,Mapping!$E$11:$I$204,5,0)</f>
        <v>SCS</v>
      </c>
      <c r="AO801" s="35" t="s">
        <v>219</v>
      </c>
      <c r="AP801" s="35"/>
      <c r="AQ801" s="35">
        <v>83010</v>
      </c>
      <c r="AR801" s="35" t="s">
        <v>591</v>
      </c>
      <c r="AS801" s="121">
        <v>27.245959999999997</v>
      </c>
      <c r="AU801" s="7" t="str">
        <f>VLOOKUP($AO801,Mapping!$E$11:$I$204,3,0)</f>
        <v>Replacement</v>
      </c>
      <c r="AV801" s="7" t="str">
        <f>IFERROR(VLOOKUP($AQ801,Mapping!$E$208:$K$236,5,0),"Contracts")</f>
        <v>Contracts</v>
      </c>
      <c r="AW801" s="7" t="str">
        <f>IFERROR(VLOOKUP($AQ801,Mapping!$E$208:$K$236,7,0),"ENDirect")</f>
        <v>ENDirect</v>
      </c>
      <c r="AX801" s="7" t="str">
        <f>IFERROR(HLOOKUP(AV801,'Calc|Weightings'!$U$5:$W$5,1,0),"Excl")</f>
        <v>Contracts</v>
      </c>
      <c r="AY801" s="7" t="str">
        <f>VLOOKUP(AO801,Mapping!$E$11:$I$204,5,0)</f>
        <v>SCS</v>
      </c>
    </row>
    <row r="802" spans="1:51" x14ac:dyDescent="0.3">
      <c r="A802" s="7"/>
      <c r="B802" s="7"/>
      <c r="C802" s="7"/>
      <c r="D802" s="7"/>
      <c r="E802" s="32" t="s">
        <v>217</v>
      </c>
      <c r="F802" s="32"/>
      <c r="G802" s="32">
        <v>71030</v>
      </c>
      <c r="H802" s="32" t="s">
        <v>464</v>
      </c>
      <c r="I802" s="33">
        <v>41.143000000000001</v>
      </c>
      <c r="J802" s="170"/>
      <c r="K802" s="7" t="str">
        <f>VLOOKUP($E802,Mapping!$E$11:$I$204,3,0)</f>
        <v>Replacement</v>
      </c>
      <c r="L802" s="7" t="str">
        <f>IFERROR(VLOOKUP($G802,Mapping!$E$208:$K$236,5,0),"Contracts")</f>
        <v>Contracts</v>
      </c>
      <c r="M802" s="7" t="str">
        <f>IFERROR(VLOOKUP($G802,Mapping!$E$208:$K$236,7,0),"ENDirect")</f>
        <v>ENDirect</v>
      </c>
      <c r="N802" s="7" t="str">
        <f>IFERROR(HLOOKUP(L802,'Calc|Weightings'!$U$5:$W$5,1,0),"Excl")</f>
        <v>Contracts</v>
      </c>
      <c r="O802" s="7" t="str">
        <f>VLOOKUP(E802,Mapping!$E$11:$I$204,5,0)</f>
        <v>SCS</v>
      </c>
      <c r="Q802" s="32" t="s">
        <v>240</v>
      </c>
      <c r="R802" s="32"/>
      <c r="S802" s="32">
        <v>80000</v>
      </c>
      <c r="T802" s="32" t="s">
        <v>453</v>
      </c>
      <c r="U802" s="33">
        <v>117.33799999999999</v>
      </c>
      <c r="V802" s="7"/>
      <c r="W802" s="7" t="str">
        <f>VLOOKUP($Q802,Mapping!$E$11:$I$204,3,0)</f>
        <v>Replacement</v>
      </c>
      <c r="X802" s="7" t="str">
        <f>IFERROR(VLOOKUP($S802,Mapping!$E$208:$K$236,5,0),"Contracts")</f>
        <v>Overhead</v>
      </c>
      <c r="Y802" s="7" t="str">
        <f>IFERROR(VLOOKUP($S802,Mapping!$E$208:$K$236,7,0),"ENDirect")</f>
        <v>OH</v>
      </c>
      <c r="Z802" s="7" t="str">
        <f>IFERROR(HLOOKUP(X802,'Calc|Weightings'!$U$5:$W$5,1,0),"Excl")</f>
        <v>Excl</v>
      </c>
      <c r="AA802" s="7" t="str">
        <f>VLOOKUP(Q802,Mapping!$E$11:$I$204,5,0)</f>
        <v>SCS</v>
      </c>
      <c r="AC802" s="35" t="s">
        <v>231</v>
      </c>
      <c r="AD802" s="35"/>
      <c r="AE802" s="35">
        <v>71055</v>
      </c>
      <c r="AF802" s="35" t="s">
        <v>465</v>
      </c>
      <c r="AG802" s="36">
        <v>54.220999999999997</v>
      </c>
      <c r="AI802" s="7" t="str">
        <f>VLOOKUP($AC802,Mapping!$E$11:$I$204,3,0)</f>
        <v>Replacement</v>
      </c>
      <c r="AJ802" s="7" t="str">
        <f>IFERROR(VLOOKUP($AE802,Mapping!$E$208:$K$236,5,0),"Contracts")</f>
        <v>Contracts</v>
      </c>
      <c r="AK802" s="7" t="str">
        <f>IFERROR(VLOOKUP($AE802,Mapping!$E$208:$K$236,7,0),"ENDirect")</f>
        <v>ENDirect</v>
      </c>
      <c r="AL802" s="7" t="str">
        <f>IFERROR(HLOOKUP(AJ802,'Calc|Weightings'!$U$5:$W$5,1,0),"Excl")</f>
        <v>Contracts</v>
      </c>
      <c r="AM802" s="7" t="str">
        <f>VLOOKUP(AC802,Mapping!$E$11:$I$204,5,0)</f>
        <v>SCS</v>
      </c>
      <c r="AO802" s="35" t="s">
        <v>220</v>
      </c>
      <c r="AP802" s="35"/>
      <c r="AQ802" s="35">
        <v>71000</v>
      </c>
      <c r="AR802" s="35" t="s">
        <v>457</v>
      </c>
      <c r="AS802" s="121">
        <v>-0.44083999999999995</v>
      </c>
      <c r="AU802" s="7" t="str">
        <f>VLOOKUP($AO802,Mapping!$E$11:$I$204,3,0)</f>
        <v>Replacement</v>
      </c>
      <c r="AV802" s="7" t="str">
        <f>IFERROR(VLOOKUP($AQ802,Mapping!$E$208:$K$236,5,0),"Contracts")</f>
        <v>Labour</v>
      </c>
      <c r="AW802" s="7" t="str">
        <f>IFERROR(VLOOKUP($AQ802,Mapping!$E$208:$K$236,7,0),"ENDirect")</f>
        <v>ENDirect</v>
      </c>
      <c r="AX802" s="7" t="str">
        <f>IFERROR(HLOOKUP(AV802,'Calc|Weightings'!$U$5:$W$5,1,0),"Excl")</f>
        <v>Labour</v>
      </c>
      <c r="AY802" s="7" t="str">
        <f>VLOOKUP(AO802,Mapping!$E$11:$I$204,5,0)</f>
        <v>SCS</v>
      </c>
    </row>
    <row r="803" spans="1:51" x14ac:dyDescent="0.3">
      <c r="A803" s="7"/>
      <c r="B803" s="7"/>
      <c r="C803" s="7"/>
      <c r="D803" s="7"/>
      <c r="E803" s="32" t="s">
        <v>217</v>
      </c>
      <c r="F803" s="32"/>
      <c r="G803" s="32">
        <v>71055</v>
      </c>
      <c r="H803" s="32" t="s">
        <v>465</v>
      </c>
      <c r="I803" s="33">
        <v>202.92599999999999</v>
      </c>
      <c r="J803" s="170"/>
      <c r="K803" s="7" t="str">
        <f>VLOOKUP($E803,Mapping!$E$11:$I$204,3,0)</f>
        <v>Replacement</v>
      </c>
      <c r="L803" s="7" t="str">
        <f>IFERROR(VLOOKUP($G803,Mapping!$E$208:$K$236,5,0),"Contracts")</f>
        <v>Contracts</v>
      </c>
      <c r="M803" s="7" t="str">
        <f>IFERROR(VLOOKUP($G803,Mapping!$E$208:$K$236,7,0),"ENDirect")</f>
        <v>ENDirect</v>
      </c>
      <c r="N803" s="7" t="str">
        <f>IFERROR(HLOOKUP(L803,'Calc|Weightings'!$U$5:$W$5,1,0),"Excl")</f>
        <v>Contracts</v>
      </c>
      <c r="O803" s="7" t="str">
        <f>VLOOKUP(E803,Mapping!$E$11:$I$204,5,0)</f>
        <v>SCS</v>
      </c>
      <c r="Q803" s="32" t="s">
        <v>240</v>
      </c>
      <c r="R803" s="32"/>
      <c r="S803" s="32">
        <v>89999</v>
      </c>
      <c r="T803" s="32" t="s">
        <v>471</v>
      </c>
      <c r="U803" s="33">
        <v>0</v>
      </c>
      <c r="V803" s="7"/>
      <c r="W803" s="7" t="str">
        <f>VLOOKUP($Q803,Mapping!$E$11:$I$204,3,0)</f>
        <v>Replacement</v>
      </c>
      <c r="X803" s="7" t="str">
        <f>IFERROR(VLOOKUP($S803,Mapping!$E$208:$K$236,5,0),"Contracts")</f>
        <v>Contracts</v>
      </c>
      <c r="Y803" s="7" t="str">
        <f>IFERROR(VLOOKUP($S803,Mapping!$E$208:$K$236,7,0),"ENDirect")</f>
        <v>ENDirect</v>
      </c>
      <c r="Z803" s="7" t="str">
        <f>IFERROR(HLOOKUP(X803,'Calc|Weightings'!$U$5:$W$5,1,0),"Excl")</f>
        <v>Contracts</v>
      </c>
      <c r="AA803" s="7" t="str">
        <f>VLOOKUP(Q803,Mapping!$E$11:$I$204,5,0)</f>
        <v>SCS</v>
      </c>
      <c r="AC803" s="35" t="s">
        <v>231</v>
      </c>
      <c r="AD803" s="35"/>
      <c r="AE803" s="35">
        <v>80000</v>
      </c>
      <c r="AF803" s="35" t="s">
        <v>453</v>
      </c>
      <c r="AG803" s="36">
        <v>39.68</v>
      </c>
      <c r="AI803" s="7" t="str">
        <f>VLOOKUP($AC803,Mapping!$E$11:$I$204,3,0)</f>
        <v>Replacement</v>
      </c>
      <c r="AJ803" s="7" t="str">
        <f>IFERROR(VLOOKUP($AE803,Mapping!$E$208:$K$236,5,0),"Contracts")</f>
        <v>Overhead</v>
      </c>
      <c r="AK803" s="7" t="str">
        <f>IFERROR(VLOOKUP($AE803,Mapping!$E$208:$K$236,7,0),"ENDirect")</f>
        <v>OH</v>
      </c>
      <c r="AL803" s="7" t="str">
        <f>IFERROR(HLOOKUP(AJ803,'Calc|Weightings'!$U$5:$W$5,1,0),"Excl")</f>
        <v>Excl</v>
      </c>
      <c r="AM803" s="7" t="str">
        <f>VLOOKUP(AC803,Mapping!$E$11:$I$204,5,0)</f>
        <v>SCS</v>
      </c>
      <c r="AO803" s="35" t="s">
        <v>220</v>
      </c>
      <c r="AP803" s="35"/>
      <c r="AQ803" s="35">
        <v>71005</v>
      </c>
      <c r="AR803" s="35" t="s">
        <v>461</v>
      </c>
      <c r="AS803" s="121">
        <v>-0.19246000000000002</v>
      </c>
      <c r="AU803" s="7" t="str">
        <f>VLOOKUP($AO803,Mapping!$E$11:$I$204,3,0)</f>
        <v>Replacement</v>
      </c>
      <c r="AV803" s="7" t="str">
        <f>IFERROR(VLOOKUP($AQ803,Mapping!$E$208:$K$236,5,0),"Contracts")</f>
        <v>Materials</v>
      </c>
      <c r="AW803" s="7" t="str">
        <f>IFERROR(VLOOKUP($AQ803,Mapping!$E$208:$K$236,7,0),"ENDirect")</f>
        <v>ENDirect</v>
      </c>
      <c r="AX803" s="7" t="str">
        <f>IFERROR(HLOOKUP(AV803,'Calc|Weightings'!$U$5:$W$5,1,0),"Excl")</f>
        <v>Materials</v>
      </c>
      <c r="AY803" s="7" t="str">
        <f>VLOOKUP(AO803,Mapping!$E$11:$I$204,5,0)</f>
        <v>SCS</v>
      </c>
    </row>
    <row r="804" spans="1:51" x14ac:dyDescent="0.3">
      <c r="A804" s="7"/>
      <c r="B804" s="7"/>
      <c r="C804" s="7"/>
      <c r="D804" s="7"/>
      <c r="E804" s="32" t="s">
        <v>217</v>
      </c>
      <c r="F804" s="32"/>
      <c r="G804" s="32">
        <v>80000</v>
      </c>
      <c r="H804" s="32" t="s">
        <v>453</v>
      </c>
      <c r="I804" s="33">
        <v>66.534999999999997</v>
      </c>
      <c r="J804" s="170"/>
      <c r="K804" s="7" t="str">
        <f>VLOOKUP($E804,Mapping!$E$11:$I$204,3,0)</f>
        <v>Replacement</v>
      </c>
      <c r="L804" s="7" t="str">
        <f>IFERROR(VLOOKUP($G804,Mapping!$E$208:$K$236,5,0),"Contracts")</f>
        <v>Overhead</v>
      </c>
      <c r="M804" s="7" t="str">
        <f>IFERROR(VLOOKUP($G804,Mapping!$E$208:$K$236,7,0),"ENDirect")</f>
        <v>OH</v>
      </c>
      <c r="N804" s="7" t="str">
        <f>IFERROR(HLOOKUP(L804,'Calc|Weightings'!$U$5:$W$5,1,0),"Excl")</f>
        <v>Excl</v>
      </c>
      <c r="O804" s="7" t="str">
        <f>VLOOKUP(E804,Mapping!$E$11:$I$204,5,0)</f>
        <v>SCS</v>
      </c>
      <c r="Q804" s="32" t="s">
        <v>241</v>
      </c>
      <c r="R804" s="32"/>
      <c r="S804" s="32">
        <v>71000</v>
      </c>
      <c r="T804" s="32" t="s">
        <v>457</v>
      </c>
      <c r="U804" s="33">
        <v>58.78</v>
      </c>
      <c r="V804" s="7"/>
      <c r="W804" s="7" t="str">
        <f>VLOOKUP($Q804,Mapping!$E$11:$I$204,3,0)</f>
        <v>Replacement</v>
      </c>
      <c r="X804" s="7" t="str">
        <f>IFERROR(VLOOKUP($S804,Mapping!$E$208:$K$236,5,0),"Contracts")</f>
        <v>Labour</v>
      </c>
      <c r="Y804" s="7" t="str">
        <f>IFERROR(VLOOKUP($S804,Mapping!$E$208:$K$236,7,0),"ENDirect")</f>
        <v>ENDirect</v>
      </c>
      <c r="Z804" s="7" t="str">
        <f>IFERROR(HLOOKUP(X804,'Calc|Weightings'!$U$5:$W$5,1,0),"Excl")</f>
        <v>Labour</v>
      </c>
      <c r="AA804" s="7" t="str">
        <f>VLOOKUP(Q804,Mapping!$E$11:$I$204,5,0)</f>
        <v>SCS</v>
      </c>
      <c r="AC804" s="35" t="s">
        <v>231</v>
      </c>
      <c r="AD804" s="35"/>
      <c r="AE804" s="35">
        <v>89999</v>
      </c>
      <c r="AF804" s="35" t="s">
        <v>471</v>
      </c>
      <c r="AG804" s="36">
        <v>0</v>
      </c>
      <c r="AI804" s="7" t="str">
        <f>VLOOKUP($AC804,Mapping!$E$11:$I$204,3,0)</f>
        <v>Replacement</v>
      </c>
      <c r="AJ804" s="7" t="str">
        <f>IFERROR(VLOOKUP($AE804,Mapping!$E$208:$K$236,5,0),"Contracts")</f>
        <v>Contracts</v>
      </c>
      <c r="AK804" s="7" t="str">
        <f>IFERROR(VLOOKUP($AE804,Mapping!$E$208:$K$236,7,0),"ENDirect")</f>
        <v>ENDirect</v>
      </c>
      <c r="AL804" s="7" t="str">
        <f>IFERROR(HLOOKUP(AJ804,'Calc|Weightings'!$U$5:$W$5,1,0),"Excl")</f>
        <v>Contracts</v>
      </c>
      <c r="AM804" s="7" t="str">
        <f>VLOOKUP(AC804,Mapping!$E$11:$I$204,5,0)</f>
        <v>SCS</v>
      </c>
      <c r="AO804" s="35" t="s">
        <v>220</v>
      </c>
      <c r="AP804" s="35"/>
      <c r="AQ804" s="35">
        <v>71010</v>
      </c>
      <c r="AR804" s="35" t="s">
        <v>487</v>
      </c>
      <c r="AS804" s="121">
        <v>-0.20057</v>
      </c>
      <c r="AU804" s="7" t="str">
        <f>VLOOKUP($AO804,Mapping!$E$11:$I$204,3,0)</f>
        <v>Replacement</v>
      </c>
      <c r="AV804" s="7" t="str">
        <f>IFERROR(VLOOKUP($AQ804,Mapping!$E$208:$K$236,5,0),"Contracts")</f>
        <v>Labour</v>
      </c>
      <c r="AW804" s="7" t="str">
        <f>IFERROR(VLOOKUP($AQ804,Mapping!$E$208:$K$236,7,0),"ENDirect")</f>
        <v>ENDirect</v>
      </c>
      <c r="AX804" s="7" t="str">
        <f>IFERROR(HLOOKUP(AV804,'Calc|Weightings'!$U$5:$W$5,1,0),"Excl")</f>
        <v>Labour</v>
      </c>
      <c r="AY804" s="7" t="str">
        <f>VLOOKUP(AO804,Mapping!$E$11:$I$204,5,0)</f>
        <v>SCS</v>
      </c>
    </row>
    <row r="805" spans="1:51" x14ac:dyDescent="0.3">
      <c r="A805" s="7"/>
      <c r="B805" s="7"/>
      <c r="C805" s="7"/>
      <c r="D805" s="7"/>
      <c r="E805" s="32" t="s">
        <v>218</v>
      </c>
      <c r="F805" s="32"/>
      <c r="G805" s="32">
        <v>71000</v>
      </c>
      <c r="H805" s="32" t="s">
        <v>457</v>
      </c>
      <c r="I805" s="33">
        <v>51.19</v>
      </c>
      <c r="J805" s="170"/>
      <c r="K805" s="7" t="str">
        <f>VLOOKUP($E805,Mapping!$E$11:$I$204,3,0)</f>
        <v>Replacement</v>
      </c>
      <c r="L805" s="7" t="str">
        <f>IFERROR(VLOOKUP($G805,Mapping!$E$208:$K$236,5,0),"Contracts")</f>
        <v>Labour</v>
      </c>
      <c r="M805" s="7" t="str">
        <f>IFERROR(VLOOKUP($G805,Mapping!$E$208:$K$236,7,0),"ENDirect")</f>
        <v>ENDirect</v>
      </c>
      <c r="N805" s="7" t="str">
        <f>IFERROR(HLOOKUP(L805,'Calc|Weightings'!$U$5:$W$5,1,0),"Excl")</f>
        <v>Labour</v>
      </c>
      <c r="O805" s="7" t="str">
        <f>VLOOKUP(E805,Mapping!$E$11:$I$204,5,0)</f>
        <v>SCS</v>
      </c>
      <c r="Q805" s="32" t="s">
        <v>241</v>
      </c>
      <c r="R805" s="32"/>
      <c r="S805" s="32">
        <v>71005</v>
      </c>
      <c r="T805" s="32" t="s">
        <v>461</v>
      </c>
      <c r="U805" s="33">
        <v>7.5880000000000001</v>
      </c>
      <c r="V805" s="7"/>
      <c r="W805" s="7" t="str">
        <f>VLOOKUP($Q805,Mapping!$E$11:$I$204,3,0)</f>
        <v>Replacement</v>
      </c>
      <c r="X805" s="7" t="str">
        <f>IFERROR(VLOOKUP($S805,Mapping!$E$208:$K$236,5,0),"Contracts")</f>
        <v>Materials</v>
      </c>
      <c r="Y805" s="7" t="str">
        <f>IFERROR(VLOOKUP($S805,Mapping!$E$208:$K$236,7,0),"ENDirect")</f>
        <v>ENDirect</v>
      </c>
      <c r="Z805" s="7" t="str">
        <f>IFERROR(HLOOKUP(X805,'Calc|Weightings'!$U$5:$W$5,1,0),"Excl")</f>
        <v>Materials</v>
      </c>
      <c r="AA805" s="7" t="str">
        <f>VLOOKUP(Q805,Mapping!$E$11:$I$204,5,0)</f>
        <v>SCS</v>
      </c>
      <c r="AC805" s="35" t="s">
        <v>234</v>
      </c>
      <c r="AD805" s="35"/>
      <c r="AE805" s="35">
        <v>71000</v>
      </c>
      <c r="AF805" s="35" t="s">
        <v>457</v>
      </c>
      <c r="AG805" s="36">
        <v>2719.6509999999998</v>
      </c>
      <c r="AI805" s="7" t="str">
        <f>VLOOKUP($AC805,Mapping!$E$11:$I$204,3,0)</f>
        <v>Replacement</v>
      </c>
      <c r="AJ805" s="7" t="str">
        <f>IFERROR(VLOOKUP($AE805,Mapping!$E$208:$K$236,5,0),"Contracts")</f>
        <v>Labour</v>
      </c>
      <c r="AK805" s="7" t="str">
        <f>IFERROR(VLOOKUP($AE805,Mapping!$E$208:$K$236,7,0),"ENDirect")</f>
        <v>ENDirect</v>
      </c>
      <c r="AL805" s="7" t="str">
        <f>IFERROR(HLOOKUP(AJ805,'Calc|Weightings'!$U$5:$W$5,1,0),"Excl")</f>
        <v>Labour</v>
      </c>
      <c r="AM805" s="7" t="str">
        <f>VLOOKUP(AC805,Mapping!$E$11:$I$204,5,0)</f>
        <v>SCS</v>
      </c>
      <c r="AO805" s="35" t="s">
        <v>220</v>
      </c>
      <c r="AP805" s="35"/>
      <c r="AQ805" s="35">
        <v>71015</v>
      </c>
      <c r="AR805" s="35" t="s">
        <v>585</v>
      </c>
      <c r="AS805" s="121">
        <v>-7.6260000000000008E-2</v>
      </c>
      <c r="AU805" s="7" t="str">
        <f>VLOOKUP($AO805,Mapping!$E$11:$I$204,3,0)</f>
        <v>Replacement</v>
      </c>
      <c r="AV805" s="7" t="str">
        <f>IFERROR(VLOOKUP($AQ805,Mapping!$E$208:$K$236,5,0),"Contracts")</f>
        <v>Materials</v>
      </c>
      <c r="AW805" s="7" t="str">
        <f>IFERROR(VLOOKUP($AQ805,Mapping!$E$208:$K$236,7,0),"ENDirect")</f>
        <v>ENDirect</v>
      </c>
      <c r="AX805" s="7" t="str">
        <f>IFERROR(HLOOKUP(AV805,'Calc|Weightings'!$U$5:$W$5,1,0),"Excl")</f>
        <v>Materials</v>
      </c>
      <c r="AY805" s="7" t="str">
        <f>VLOOKUP(AO805,Mapping!$E$11:$I$204,5,0)</f>
        <v>SCS</v>
      </c>
    </row>
    <row r="806" spans="1:51" x14ac:dyDescent="0.3">
      <c r="A806" s="7"/>
      <c r="B806" s="7"/>
      <c r="C806" s="7"/>
      <c r="D806" s="7"/>
      <c r="E806" s="32" t="s">
        <v>218</v>
      </c>
      <c r="F806" s="32"/>
      <c r="G806" s="32">
        <v>71005</v>
      </c>
      <c r="H806" s="32" t="s">
        <v>461</v>
      </c>
      <c r="I806" s="33">
        <v>18.321000000000002</v>
      </c>
      <c r="J806" s="170"/>
      <c r="K806" s="7" t="str">
        <f>VLOOKUP($E806,Mapping!$E$11:$I$204,3,0)</f>
        <v>Replacement</v>
      </c>
      <c r="L806" s="7" t="str">
        <f>IFERROR(VLOOKUP($G806,Mapping!$E$208:$K$236,5,0),"Contracts")</f>
        <v>Materials</v>
      </c>
      <c r="M806" s="7" t="str">
        <f>IFERROR(VLOOKUP($G806,Mapping!$E$208:$K$236,7,0),"ENDirect")</f>
        <v>ENDirect</v>
      </c>
      <c r="N806" s="7" t="str">
        <f>IFERROR(HLOOKUP(L806,'Calc|Weightings'!$U$5:$W$5,1,0),"Excl")</f>
        <v>Materials</v>
      </c>
      <c r="O806" s="7" t="str">
        <f>VLOOKUP(E806,Mapping!$E$11:$I$204,5,0)</f>
        <v>SCS</v>
      </c>
      <c r="Q806" s="32" t="s">
        <v>241</v>
      </c>
      <c r="R806" s="32"/>
      <c r="S806" s="32">
        <v>71010</v>
      </c>
      <c r="T806" s="32" t="s">
        <v>462</v>
      </c>
      <c r="U806" s="33">
        <v>40.478000000000002</v>
      </c>
      <c r="V806" s="7"/>
      <c r="W806" s="7" t="str">
        <f>VLOOKUP($Q806,Mapping!$E$11:$I$204,3,0)</f>
        <v>Replacement</v>
      </c>
      <c r="X806" s="7" t="str">
        <f>IFERROR(VLOOKUP($S806,Mapping!$E$208:$K$236,5,0),"Contracts")</f>
        <v>Labour</v>
      </c>
      <c r="Y806" s="7" t="str">
        <f>IFERROR(VLOOKUP($S806,Mapping!$E$208:$K$236,7,0),"ENDirect")</f>
        <v>ENDirect</v>
      </c>
      <c r="Z806" s="7" t="str">
        <f>IFERROR(HLOOKUP(X806,'Calc|Weightings'!$U$5:$W$5,1,0),"Excl")</f>
        <v>Labour</v>
      </c>
      <c r="AA806" s="7" t="str">
        <f>VLOOKUP(Q806,Mapping!$E$11:$I$204,5,0)</f>
        <v>SCS</v>
      </c>
      <c r="AC806" s="35" t="s">
        <v>234</v>
      </c>
      <c r="AD806" s="35"/>
      <c r="AE806" s="35">
        <v>71005</v>
      </c>
      <c r="AF806" s="35" t="s">
        <v>461</v>
      </c>
      <c r="AG806" s="36">
        <v>524.03499999999997</v>
      </c>
      <c r="AI806" s="7" t="str">
        <f>VLOOKUP($AC806,Mapping!$E$11:$I$204,3,0)</f>
        <v>Replacement</v>
      </c>
      <c r="AJ806" s="7" t="str">
        <f>IFERROR(VLOOKUP($AE806,Mapping!$E$208:$K$236,5,0),"Contracts")</f>
        <v>Materials</v>
      </c>
      <c r="AK806" s="7" t="str">
        <f>IFERROR(VLOOKUP($AE806,Mapping!$E$208:$K$236,7,0),"ENDirect")</f>
        <v>ENDirect</v>
      </c>
      <c r="AL806" s="7" t="str">
        <f>IFERROR(HLOOKUP(AJ806,'Calc|Weightings'!$U$5:$W$5,1,0),"Excl")</f>
        <v>Materials</v>
      </c>
      <c r="AM806" s="7" t="str">
        <f>VLOOKUP(AC806,Mapping!$E$11:$I$204,5,0)</f>
        <v>SCS</v>
      </c>
      <c r="AO806" s="35" t="s">
        <v>220</v>
      </c>
      <c r="AP806" s="35"/>
      <c r="AQ806" s="35">
        <v>71030</v>
      </c>
      <c r="AR806" s="35" t="s">
        <v>464</v>
      </c>
      <c r="AS806" s="121">
        <v>-7.9989999999999992E-2</v>
      </c>
      <c r="AU806" s="7" t="str">
        <f>VLOOKUP($AO806,Mapping!$E$11:$I$204,3,0)</f>
        <v>Replacement</v>
      </c>
      <c r="AV806" s="7" t="str">
        <f>IFERROR(VLOOKUP($AQ806,Mapping!$E$208:$K$236,5,0),"Contracts")</f>
        <v>Contracts</v>
      </c>
      <c r="AW806" s="7" t="str">
        <f>IFERROR(VLOOKUP($AQ806,Mapping!$E$208:$K$236,7,0),"ENDirect")</f>
        <v>ENDirect</v>
      </c>
      <c r="AX806" s="7" t="str">
        <f>IFERROR(HLOOKUP(AV806,'Calc|Weightings'!$U$5:$W$5,1,0),"Excl")</f>
        <v>Contracts</v>
      </c>
      <c r="AY806" s="7" t="str">
        <f>VLOOKUP(AO806,Mapping!$E$11:$I$204,5,0)</f>
        <v>SCS</v>
      </c>
    </row>
    <row r="807" spans="1:51" x14ac:dyDescent="0.3">
      <c r="A807" s="7"/>
      <c r="B807" s="7"/>
      <c r="C807" s="7"/>
      <c r="D807" s="7"/>
      <c r="E807" s="32" t="s">
        <v>218</v>
      </c>
      <c r="F807" s="32"/>
      <c r="G807" s="32">
        <v>71010</v>
      </c>
      <c r="H807" s="32" t="s">
        <v>462</v>
      </c>
      <c r="I807" s="33">
        <v>42.073999999999998</v>
      </c>
      <c r="J807" s="170"/>
      <c r="K807" s="7" t="str">
        <f>VLOOKUP($E807,Mapping!$E$11:$I$204,3,0)</f>
        <v>Replacement</v>
      </c>
      <c r="L807" s="7" t="str">
        <f>IFERROR(VLOOKUP($G807,Mapping!$E$208:$K$236,5,0),"Contracts")</f>
        <v>Labour</v>
      </c>
      <c r="M807" s="7" t="str">
        <f>IFERROR(VLOOKUP($G807,Mapping!$E$208:$K$236,7,0),"ENDirect")</f>
        <v>ENDirect</v>
      </c>
      <c r="N807" s="7" t="str">
        <f>IFERROR(HLOOKUP(L807,'Calc|Weightings'!$U$5:$W$5,1,0),"Excl")</f>
        <v>Labour</v>
      </c>
      <c r="O807" s="7" t="str">
        <f>VLOOKUP(E807,Mapping!$E$11:$I$204,5,0)</f>
        <v>SCS</v>
      </c>
      <c r="Q807" s="32" t="s">
        <v>241</v>
      </c>
      <c r="R807" s="32"/>
      <c r="S807" s="32">
        <v>71015</v>
      </c>
      <c r="T807" s="32" t="s">
        <v>463</v>
      </c>
      <c r="U807" s="33">
        <v>17.835000000000001</v>
      </c>
      <c r="V807" s="7"/>
      <c r="W807" s="7" t="str">
        <f>VLOOKUP($Q807,Mapping!$E$11:$I$204,3,0)</f>
        <v>Replacement</v>
      </c>
      <c r="X807" s="7" t="str">
        <f>IFERROR(VLOOKUP($S807,Mapping!$E$208:$K$236,5,0),"Contracts")</f>
        <v>Materials</v>
      </c>
      <c r="Y807" s="7" t="str">
        <f>IFERROR(VLOOKUP($S807,Mapping!$E$208:$K$236,7,0),"ENDirect")</f>
        <v>ENDirect</v>
      </c>
      <c r="Z807" s="7" t="str">
        <f>IFERROR(HLOOKUP(X807,'Calc|Weightings'!$U$5:$W$5,1,0),"Excl")</f>
        <v>Materials</v>
      </c>
      <c r="AA807" s="7" t="str">
        <f>VLOOKUP(Q807,Mapping!$E$11:$I$204,5,0)</f>
        <v>SCS</v>
      </c>
      <c r="AC807" s="35" t="s">
        <v>234</v>
      </c>
      <c r="AD807" s="35"/>
      <c r="AE807" s="35">
        <v>71010</v>
      </c>
      <c r="AF807" s="35" t="s">
        <v>462</v>
      </c>
      <c r="AG807" s="36">
        <v>895.79300000000001</v>
      </c>
      <c r="AI807" s="7" t="str">
        <f>VLOOKUP($AC807,Mapping!$E$11:$I$204,3,0)</f>
        <v>Replacement</v>
      </c>
      <c r="AJ807" s="7" t="str">
        <f>IFERROR(VLOOKUP($AE807,Mapping!$E$208:$K$236,5,0),"Contracts")</f>
        <v>Labour</v>
      </c>
      <c r="AK807" s="7" t="str">
        <f>IFERROR(VLOOKUP($AE807,Mapping!$E$208:$K$236,7,0),"ENDirect")</f>
        <v>ENDirect</v>
      </c>
      <c r="AL807" s="7" t="str">
        <f>IFERROR(HLOOKUP(AJ807,'Calc|Weightings'!$U$5:$W$5,1,0),"Excl")</f>
        <v>Labour</v>
      </c>
      <c r="AM807" s="7" t="str">
        <f>VLOOKUP(AC807,Mapping!$E$11:$I$204,5,0)</f>
        <v>SCS</v>
      </c>
      <c r="AO807" s="35" t="s">
        <v>220</v>
      </c>
      <c r="AP807" s="35"/>
      <c r="AQ807" s="35">
        <v>71055</v>
      </c>
      <c r="AR807" s="35" t="s">
        <v>465</v>
      </c>
      <c r="AS807" s="121">
        <v>-0.23241999999999999</v>
      </c>
      <c r="AU807" s="7" t="str">
        <f>VLOOKUP($AO807,Mapping!$E$11:$I$204,3,0)</f>
        <v>Replacement</v>
      </c>
      <c r="AV807" s="7" t="str">
        <f>IFERROR(VLOOKUP($AQ807,Mapping!$E$208:$K$236,5,0),"Contracts")</f>
        <v>Contracts</v>
      </c>
      <c r="AW807" s="7" t="str">
        <f>IFERROR(VLOOKUP($AQ807,Mapping!$E$208:$K$236,7,0),"ENDirect")</f>
        <v>ENDirect</v>
      </c>
      <c r="AX807" s="7" t="str">
        <f>IFERROR(HLOOKUP(AV807,'Calc|Weightings'!$U$5:$W$5,1,0),"Excl")</f>
        <v>Contracts</v>
      </c>
      <c r="AY807" s="7" t="str">
        <f>VLOOKUP(AO807,Mapping!$E$11:$I$204,5,0)</f>
        <v>SCS</v>
      </c>
    </row>
    <row r="808" spans="1:51" x14ac:dyDescent="0.3">
      <c r="A808" s="7"/>
      <c r="B808" s="7"/>
      <c r="C808" s="7"/>
      <c r="D808" s="7"/>
      <c r="E808" s="32" t="s">
        <v>218</v>
      </c>
      <c r="F808" s="32"/>
      <c r="G808" s="32">
        <v>71015</v>
      </c>
      <c r="H808" s="32" t="s">
        <v>463</v>
      </c>
      <c r="I808" s="33">
        <v>10.904999999999999</v>
      </c>
      <c r="J808" s="170"/>
      <c r="K808" s="7" t="str">
        <f>VLOOKUP($E808,Mapping!$E$11:$I$204,3,0)</f>
        <v>Replacement</v>
      </c>
      <c r="L808" s="7" t="str">
        <f>IFERROR(VLOOKUP($G808,Mapping!$E$208:$K$236,5,0),"Contracts")</f>
        <v>Materials</v>
      </c>
      <c r="M808" s="7" t="str">
        <f>IFERROR(VLOOKUP($G808,Mapping!$E$208:$K$236,7,0),"ENDirect")</f>
        <v>ENDirect</v>
      </c>
      <c r="N808" s="7" t="str">
        <f>IFERROR(HLOOKUP(L808,'Calc|Weightings'!$U$5:$W$5,1,0),"Excl")</f>
        <v>Materials</v>
      </c>
      <c r="O808" s="7" t="str">
        <f>VLOOKUP(E808,Mapping!$E$11:$I$204,5,0)</f>
        <v>SCS</v>
      </c>
      <c r="Q808" s="32" t="s">
        <v>241</v>
      </c>
      <c r="R808" s="32"/>
      <c r="S808" s="32">
        <v>71030</v>
      </c>
      <c r="T808" s="32" t="s">
        <v>464</v>
      </c>
      <c r="U808" s="33">
        <v>10.311999999999999</v>
      </c>
      <c r="V808" s="7"/>
      <c r="W808" s="7" t="str">
        <f>VLOOKUP($Q808,Mapping!$E$11:$I$204,3,0)</f>
        <v>Replacement</v>
      </c>
      <c r="X808" s="7" t="str">
        <f>IFERROR(VLOOKUP($S808,Mapping!$E$208:$K$236,5,0),"Contracts")</f>
        <v>Contracts</v>
      </c>
      <c r="Y808" s="7" t="str">
        <f>IFERROR(VLOOKUP($S808,Mapping!$E$208:$K$236,7,0),"ENDirect")</f>
        <v>ENDirect</v>
      </c>
      <c r="Z808" s="7" t="str">
        <f>IFERROR(HLOOKUP(X808,'Calc|Weightings'!$U$5:$W$5,1,0),"Excl")</f>
        <v>Contracts</v>
      </c>
      <c r="AA808" s="7" t="str">
        <f>VLOOKUP(Q808,Mapping!$E$11:$I$204,5,0)</f>
        <v>SCS</v>
      </c>
      <c r="AC808" s="35" t="s">
        <v>234</v>
      </c>
      <c r="AD808" s="35"/>
      <c r="AE808" s="35">
        <v>71015</v>
      </c>
      <c r="AF808" s="35" t="s">
        <v>463</v>
      </c>
      <c r="AG808" s="36">
        <v>651.89400000000001</v>
      </c>
      <c r="AI808" s="7" t="str">
        <f>VLOOKUP($AC808,Mapping!$E$11:$I$204,3,0)</f>
        <v>Replacement</v>
      </c>
      <c r="AJ808" s="7" t="str">
        <f>IFERROR(VLOOKUP($AE808,Mapping!$E$208:$K$236,5,0),"Contracts")</f>
        <v>Materials</v>
      </c>
      <c r="AK808" s="7" t="str">
        <f>IFERROR(VLOOKUP($AE808,Mapping!$E$208:$K$236,7,0),"ENDirect")</f>
        <v>ENDirect</v>
      </c>
      <c r="AL808" s="7" t="str">
        <f>IFERROR(HLOOKUP(AJ808,'Calc|Weightings'!$U$5:$W$5,1,0),"Excl")</f>
        <v>Materials</v>
      </c>
      <c r="AM808" s="7" t="str">
        <f>VLOOKUP(AC808,Mapping!$E$11:$I$204,5,0)</f>
        <v>SCS</v>
      </c>
      <c r="AO808" s="35" t="s">
        <v>220</v>
      </c>
      <c r="AP808" s="35"/>
      <c r="AQ808" s="35">
        <v>71075</v>
      </c>
      <c r="AR808" s="35" t="s">
        <v>587</v>
      </c>
      <c r="AS808" s="121">
        <v>1.4923299999999999</v>
      </c>
      <c r="AU808" s="7" t="str">
        <f>VLOOKUP($AO808,Mapping!$E$11:$I$204,3,0)</f>
        <v>Replacement</v>
      </c>
      <c r="AV808" s="7" t="str">
        <f>IFERROR(VLOOKUP($AQ808,Mapping!$E$208:$K$236,5,0),"Contracts")</f>
        <v>Contracts</v>
      </c>
      <c r="AW808" s="7" t="str">
        <f>IFERROR(VLOOKUP($AQ808,Mapping!$E$208:$K$236,7,0),"ENDirect")</f>
        <v>ENDirect</v>
      </c>
      <c r="AX808" s="7" t="str">
        <f>IFERROR(HLOOKUP(AV808,'Calc|Weightings'!$U$5:$W$5,1,0),"Excl")</f>
        <v>Contracts</v>
      </c>
      <c r="AY808" s="7" t="str">
        <f>VLOOKUP(AO808,Mapping!$E$11:$I$204,5,0)</f>
        <v>SCS</v>
      </c>
    </row>
    <row r="809" spans="1:51" x14ac:dyDescent="0.3">
      <c r="A809" s="7"/>
      <c r="B809" s="7"/>
      <c r="C809" s="7"/>
      <c r="D809" s="7"/>
      <c r="E809" s="32" t="s">
        <v>218</v>
      </c>
      <c r="F809" s="32"/>
      <c r="G809" s="32">
        <v>71030</v>
      </c>
      <c r="H809" s="32" t="s">
        <v>464</v>
      </c>
      <c r="I809" s="33">
        <v>10.792999999999999</v>
      </c>
      <c r="J809" s="170"/>
      <c r="K809" s="7" t="str">
        <f>VLOOKUP($E809,Mapping!$E$11:$I$204,3,0)</f>
        <v>Replacement</v>
      </c>
      <c r="L809" s="7" t="str">
        <f>IFERROR(VLOOKUP($G809,Mapping!$E$208:$K$236,5,0),"Contracts")</f>
        <v>Contracts</v>
      </c>
      <c r="M809" s="7" t="str">
        <f>IFERROR(VLOOKUP($G809,Mapping!$E$208:$K$236,7,0),"ENDirect")</f>
        <v>ENDirect</v>
      </c>
      <c r="N809" s="7" t="str">
        <f>IFERROR(HLOOKUP(L809,'Calc|Weightings'!$U$5:$W$5,1,0),"Excl")</f>
        <v>Contracts</v>
      </c>
      <c r="O809" s="7" t="str">
        <f>VLOOKUP(E809,Mapping!$E$11:$I$204,5,0)</f>
        <v>SCS</v>
      </c>
      <c r="Q809" s="32" t="s">
        <v>241</v>
      </c>
      <c r="R809" s="32"/>
      <c r="S809" s="32">
        <v>71055</v>
      </c>
      <c r="T809" s="32" t="s">
        <v>465</v>
      </c>
      <c r="U809" s="33">
        <v>22.635999999999999</v>
      </c>
      <c r="V809" s="7"/>
      <c r="W809" s="7" t="str">
        <f>VLOOKUP($Q809,Mapping!$E$11:$I$204,3,0)</f>
        <v>Replacement</v>
      </c>
      <c r="X809" s="7" t="str">
        <f>IFERROR(VLOOKUP($S809,Mapping!$E$208:$K$236,5,0),"Contracts")</f>
        <v>Contracts</v>
      </c>
      <c r="Y809" s="7" t="str">
        <f>IFERROR(VLOOKUP($S809,Mapping!$E$208:$K$236,7,0),"ENDirect")</f>
        <v>ENDirect</v>
      </c>
      <c r="Z809" s="7" t="str">
        <f>IFERROR(HLOOKUP(X809,'Calc|Weightings'!$U$5:$W$5,1,0),"Excl")</f>
        <v>Contracts</v>
      </c>
      <c r="AA809" s="7" t="str">
        <f>VLOOKUP(Q809,Mapping!$E$11:$I$204,5,0)</f>
        <v>SCS</v>
      </c>
      <c r="AC809" s="35" t="s">
        <v>234</v>
      </c>
      <c r="AD809" s="35"/>
      <c r="AE809" s="35">
        <v>71020</v>
      </c>
      <c r="AF809" s="35" t="s">
        <v>459</v>
      </c>
      <c r="AG809" s="36">
        <v>2.58</v>
      </c>
      <c r="AI809" s="7" t="str">
        <f>VLOOKUP($AC809,Mapping!$E$11:$I$204,3,0)</f>
        <v>Replacement</v>
      </c>
      <c r="AJ809" s="7" t="str">
        <f>IFERROR(VLOOKUP($AE809,Mapping!$E$208:$K$236,5,0),"Contracts")</f>
        <v>Contracts</v>
      </c>
      <c r="AK809" s="7" t="str">
        <f>IFERROR(VLOOKUP($AE809,Mapping!$E$208:$K$236,7,0),"ENDirect")</f>
        <v>ENDirect</v>
      </c>
      <c r="AL809" s="7" t="str">
        <f>IFERROR(HLOOKUP(AJ809,'Calc|Weightings'!$U$5:$W$5,1,0),"Excl")</f>
        <v>Contracts</v>
      </c>
      <c r="AM809" s="7" t="str">
        <f>VLOOKUP(AC809,Mapping!$E$11:$I$204,5,0)</f>
        <v>SCS</v>
      </c>
      <c r="AO809" s="35" t="s">
        <v>220</v>
      </c>
      <c r="AP809" s="35"/>
      <c r="AQ809" s="35">
        <v>80000</v>
      </c>
      <c r="AR809" s="35" t="s">
        <v>589</v>
      </c>
      <c r="AS809" s="121">
        <v>1.12923</v>
      </c>
      <c r="AU809" s="7" t="str">
        <f>VLOOKUP($AO809,Mapping!$E$11:$I$204,3,0)</f>
        <v>Replacement</v>
      </c>
      <c r="AV809" s="7" t="str">
        <f>IFERROR(VLOOKUP($AQ809,Mapping!$E$208:$K$236,5,0),"Contracts")</f>
        <v>Overhead</v>
      </c>
      <c r="AW809" s="7" t="str">
        <f>IFERROR(VLOOKUP($AQ809,Mapping!$E$208:$K$236,7,0),"ENDirect")</f>
        <v>OH</v>
      </c>
      <c r="AX809" s="7" t="str">
        <f>IFERROR(HLOOKUP(AV809,'Calc|Weightings'!$U$5:$W$5,1,0),"Excl")</f>
        <v>Excl</v>
      </c>
      <c r="AY809" s="7" t="str">
        <f>VLOOKUP(AO809,Mapping!$E$11:$I$204,5,0)</f>
        <v>SCS</v>
      </c>
    </row>
    <row r="810" spans="1:51" x14ac:dyDescent="0.3">
      <c r="A810" s="7"/>
      <c r="B810" s="7"/>
      <c r="C810" s="7"/>
      <c r="D810" s="7"/>
      <c r="E810" s="32" t="s">
        <v>218</v>
      </c>
      <c r="F810" s="32"/>
      <c r="G810" s="32">
        <v>71055</v>
      </c>
      <c r="H810" s="32" t="s">
        <v>465</v>
      </c>
      <c r="I810" s="33">
        <v>31.69</v>
      </c>
      <c r="J810" s="170"/>
      <c r="K810" s="7" t="str">
        <f>VLOOKUP($E810,Mapping!$E$11:$I$204,3,0)</f>
        <v>Replacement</v>
      </c>
      <c r="L810" s="7" t="str">
        <f>IFERROR(VLOOKUP($G810,Mapping!$E$208:$K$236,5,0),"Contracts")</f>
        <v>Contracts</v>
      </c>
      <c r="M810" s="7" t="str">
        <f>IFERROR(VLOOKUP($G810,Mapping!$E$208:$K$236,7,0),"ENDirect")</f>
        <v>ENDirect</v>
      </c>
      <c r="N810" s="7" t="str">
        <f>IFERROR(HLOOKUP(L810,'Calc|Weightings'!$U$5:$W$5,1,0),"Excl")</f>
        <v>Contracts</v>
      </c>
      <c r="O810" s="7" t="str">
        <f>VLOOKUP(E810,Mapping!$E$11:$I$204,5,0)</f>
        <v>SCS</v>
      </c>
      <c r="Q810" s="32" t="s">
        <v>241</v>
      </c>
      <c r="R810" s="32"/>
      <c r="S810" s="32">
        <v>80000</v>
      </c>
      <c r="T810" s="32" t="s">
        <v>453</v>
      </c>
      <c r="U810" s="33">
        <v>19.620999999999999</v>
      </c>
      <c r="V810" s="7"/>
      <c r="W810" s="7" t="str">
        <f>VLOOKUP($Q810,Mapping!$E$11:$I$204,3,0)</f>
        <v>Replacement</v>
      </c>
      <c r="X810" s="7" t="str">
        <f>IFERROR(VLOOKUP($S810,Mapping!$E$208:$K$236,5,0),"Contracts")</f>
        <v>Overhead</v>
      </c>
      <c r="Y810" s="7" t="str">
        <f>IFERROR(VLOOKUP($S810,Mapping!$E$208:$K$236,7,0),"ENDirect")</f>
        <v>OH</v>
      </c>
      <c r="Z810" s="7" t="str">
        <f>IFERROR(HLOOKUP(X810,'Calc|Weightings'!$U$5:$W$5,1,0),"Excl")</f>
        <v>Excl</v>
      </c>
      <c r="AA810" s="7" t="str">
        <f>VLOOKUP(Q810,Mapping!$E$11:$I$204,5,0)</f>
        <v>SCS</v>
      </c>
      <c r="AC810" s="35" t="s">
        <v>234</v>
      </c>
      <c r="AD810" s="35"/>
      <c r="AE810" s="35">
        <v>71030</v>
      </c>
      <c r="AF810" s="35" t="s">
        <v>464</v>
      </c>
      <c r="AG810" s="36">
        <v>386.87200000000001</v>
      </c>
      <c r="AI810" s="7" t="str">
        <f>VLOOKUP($AC810,Mapping!$E$11:$I$204,3,0)</f>
        <v>Replacement</v>
      </c>
      <c r="AJ810" s="7" t="str">
        <f>IFERROR(VLOOKUP($AE810,Mapping!$E$208:$K$236,5,0),"Contracts")</f>
        <v>Contracts</v>
      </c>
      <c r="AK810" s="7" t="str">
        <f>IFERROR(VLOOKUP($AE810,Mapping!$E$208:$K$236,7,0),"ENDirect")</f>
        <v>ENDirect</v>
      </c>
      <c r="AL810" s="7" t="str">
        <f>IFERROR(HLOOKUP(AJ810,'Calc|Weightings'!$U$5:$W$5,1,0),"Excl")</f>
        <v>Contracts</v>
      </c>
      <c r="AM810" s="7" t="str">
        <f>VLOOKUP(AC810,Mapping!$E$11:$I$204,5,0)</f>
        <v>SCS</v>
      </c>
      <c r="AO810" s="35" t="s">
        <v>220</v>
      </c>
      <c r="AP810" s="35"/>
      <c r="AQ810" s="35">
        <v>83010</v>
      </c>
      <c r="AR810" s="35" t="s">
        <v>591</v>
      </c>
      <c r="AS810" s="121">
        <v>9.6834500000000023</v>
      </c>
      <c r="AU810" s="7" t="str">
        <f>VLOOKUP($AO810,Mapping!$E$11:$I$204,3,0)</f>
        <v>Replacement</v>
      </c>
      <c r="AV810" s="7" t="str">
        <f>IFERROR(VLOOKUP($AQ810,Mapping!$E$208:$K$236,5,0),"Contracts")</f>
        <v>Contracts</v>
      </c>
      <c r="AW810" s="7" t="str">
        <f>IFERROR(VLOOKUP($AQ810,Mapping!$E$208:$K$236,7,0),"ENDirect")</f>
        <v>ENDirect</v>
      </c>
      <c r="AX810" s="7" t="str">
        <f>IFERROR(HLOOKUP(AV810,'Calc|Weightings'!$U$5:$W$5,1,0),"Excl")</f>
        <v>Contracts</v>
      </c>
      <c r="AY810" s="7" t="str">
        <f>VLOOKUP(AO810,Mapping!$E$11:$I$204,5,0)</f>
        <v>SCS</v>
      </c>
    </row>
    <row r="811" spans="1:51" x14ac:dyDescent="0.3">
      <c r="A811" s="7"/>
      <c r="B811" s="7"/>
      <c r="C811" s="7"/>
      <c r="D811" s="7"/>
      <c r="E811" s="32" t="s">
        <v>218</v>
      </c>
      <c r="F811" s="32"/>
      <c r="G811" s="32">
        <v>80000</v>
      </c>
      <c r="H811" s="32" t="s">
        <v>453</v>
      </c>
      <c r="I811" s="33">
        <v>16.55</v>
      </c>
      <c r="J811" s="170"/>
      <c r="K811" s="7" t="str">
        <f>VLOOKUP($E811,Mapping!$E$11:$I$204,3,0)</f>
        <v>Replacement</v>
      </c>
      <c r="L811" s="7" t="str">
        <f>IFERROR(VLOOKUP($G811,Mapping!$E$208:$K$236,5,0),"Contracts")</f>
        <v>Overhead</v>
      </c>
      <c r="M811" s="7" t="str">
        <f>IFERROR(VLOOKUP($G811,Mapping!$E$208:$K$236,7,0),"ENDirect")</f>
        <v>OH</v>
      </c>
      <c r="N811" s="7" t="str">
        <f>IFERROR(HLOOKUP(L811,'Calc|Weightings'!$U$5:$W$5,1,0),"Excl")</f>
        <v>Excl</v>
      </c>
      <c r="O811" s="7" t="str">
        <f>VLOOKUP(E811,Mapping!$E$11:$I$204,5,0)</f>
        <v>SCS</v>
      </c>
      <c r="Q811" s="32" t="s">
        <v>244</v>
      </c>
      <c r="R811" s="32"/>
      <c r="S811" s="32">
        <v>71000</v>
      </c>
      <c r="T811" s="32" t="s">
        <v>457</v>
      </c>
      <c r="U811" s="33">
        <v>224.84700000000001</v>
      </c>
      <c r="V811" s="7"/>
      <c r="W811" s="7" t="str">
        <f>VLOOKUP($Q811,Mapping!$E$11:$I$204,3,0)</f>
        <v>Replacement</v>
      </c>
      <c r="X811" s="7" t="str">
        <f>IFERROR(VLOOKUP($S811,Mapping!$E$208:$K$236,5,0),"Contracts")</f>
        <v>Labour</v>
      </c>
      <c r="Y811" s="7" t="str">
        <f>IFERROR(VLOOKUP($S811,Mapping!$E$208:$K$236,7,0),"ENDirect")</f>
        <v>ENDirect</v>
      </c>
      <c r="Z811" s="7" t="str">
        <f>IFERROR(HLOOKUP(X811,'Calc|Weightings'!$U$5:$W$5,1,0),"Excl")</f>
        <v>Labour</v>
      </c>
      <c r="AA811" s="7" t="str">
        <f>VLOOKUP(Q811,Mapping!$E$11:$I$204,5,0)</f>
        <v>SCS</v>
      </c>
      <c r="AC811" s="35" t="s">
        <v>234</v>
      </c>
      <c r="AD811" s="35"/>
      <c r="AE811" s="35">
        <v>71055</v>
      </c>
      <c r="AF811" s="35" t="s">
        <v>465</v>
      </c>
      <c r="AG811" s="36">
        <v>806.34799999999996</v>
      </c>
      <c r="AI811" s="7" t="str">
        <f>VLOOKUP($AC811,Mapping!$E$11:$I$204,3,0)</f>
        <v>Replacement</v>
      </c>
      <c r="AJ811" s="7" t="str">
        <f>IFERROR(VLOOKUP($AE811,Mapping!$E$208:$K$236,5,0),"Contracts")</f>
        <v>Contracts</v>
      </c>
      <c r="AK811" s="7" t="str">
        <f>IFERROR(VLOOKUP($AE811,Mapping!$E$208:$K$236,7,0),"ENDirect")</f>
        <v>ENDirect</v>
      </c>
      <c r="AL811" s="7" t="str">
        <f>IFERROR(HLOOKUP(AJ811,'Calc|Weightings'!$U$5:$W$5,1,0),"Excl")</f>
        <v>Contracts</v>
      </c>
      <c r="AM811" s="7" t="str">
        <f>VLOOKUP(AC811,Mapping!$E$11:$I$204,5,0)</f>
        <v>SCS</v>
      </c>
      <c r="AO811" s="35" t="s">
        <v>221</v>
      </c>
      <c r="AP811" s="35"/>
      <c r="AQ811" s="35">
        <v>71000</v>
      </c>
      <c r="AR811" s="35" t="s">
        <v>457</v>
      </c>
      <c r="AS811" s="121">
        <v>7.8986400000000003</v>
      </c>
      <c r="AU811" s="7" t="str">
        <f>VLOOKUP($AO811,Mapping!$E$11:$I$204,3,0)</f>
        <v>Replacement</v>
      </c>
      <c r="AV811" s="7" t="str">
        <f>IFERROR(VLOOKUP($AQ811,Mapping!$E$208:$K$236,5,0),"Contracts")</f>
        <v>Labour</v>
      </c>
      <c r="AW811" s="7" t="str">
        <f>IFERROR(VLOOKUP($AQ811,Mapping!$E$208:$K$236,7,0),"ENDirect")</f>
        <v>ENDirect</v>
      </c>
      <c r="AX811" s="7" t="str">
        <f>IFERROR(HLOOKUP(AV811,'Calc|Weightings'!$U$5:$W$5,1,0),"Excl")</f>
        <v>Labour</v>
      </c>
      <c r="AY811" s="7" t="str">
        <f>VLOOKUP(AO811,Mapping!$E$11:$I$204,5,0)</f>
        <v>SCS</v>
      </c>
    </row>
    <row r="812" spans="1:51" x14ac:dyDescent="0.3">
      <c r="A812" s="7"/>
      <c r="B812" s="7"/>
      <c r="C812" s="7"/>
      <c r="D812" s="7"/>
      <c r="E812" s="32" t="s">
        <v>220</v>
      </c>
      <c r="F812" s="32"/>
      <c r="G812" s="32">
        <v>71010</v>
      </c>
      <c r="H812" s="32" t="s">
        <v>462</v>
      </c>
      <c r="I812" s="33">
        <v>39.021999999999998</v>
      </c>
      <c r="J812" s="170"/>
      <c r="K812" s="7" t="str">
        <f>VLOOKUP($E812,Mapping!$E$11:$I$204,3,0)</f>
        <v>Replacement</v>
      </c>
      <c r="L812" s="7" t="str">
        <f>IFERROR(VLOOKUP($G812,Mapping!$E$208:$K$236,5,0),"Contracts")</f>
        <v>Labour</v>
      </c>
      <c r="M812" s="7" t="str">
        <f>IFERROR(VLOOKUP($G812,Mapping!$E$208:$K$236,7,0),"ENDirect")</f>
        <v>ENDirect</v>
      </c>
      <c r="N812" s="7" t="str">
        <f>IFERROR(HLOOKUP(L812,'Calc|Weightings'!$U$5:$W$5,1,0),"Excl")</f>
        <v>Labour</v>
      </c>
      <c r="O812" s="7" t="str">
        <f>VLOOKUP(E812,Mapping!$E$11:$I$204,5,0)</f>
        <v>SCS</v>
      </c>
      <c r="Q812" s="32" t="s">
        <v>244</v>
      </c>
      <c r="R812" s="32"/>
      <c r="S812" s="32">
        <v>71005</v>
      </c>
      <c r="T812" s="32" t="s">
        <v>461</v>
      </c>
      <c r="U812" s="33">
        <v>57.981000000000002</v>
      </c>
      <c r="V812" s="7"/>
      <c r="W812" s="7" t="str">
        <f>VLOOKUP($Q812,Mapping!$E$11:$I$204,3,0)</f>
        <v>Replacement</v>
      </c>
      <c r="X812" s="7" t="str">
        <f>IFERROR(VLOOKUP($S812,Mapping!$E$208:$K$236,5,0),"Contracts")</f>
        <v>Materials</v>
      </c>
      <c r="Y812" s="7" t="str">
        <f>IFERROR(VLOOKUP($S812,Mapping!$E$208:$K$236,7,0),"ENDirect")</f>
        <v>ENDirect</v>
      </c>
      <c r="Z812" s="7" t="str">
        <f>IFERROR(HLOOKUP(X812,'Calc|Weightings'!$U$5:$W$5,1,0),"Excl")</f>
        <v>Materials</v>
      </c>
      <c r="AA812" s="7" t="str">
        <f>VLOOKUP(Q812,Mapping!$E$11:$I$204,5,0)</f>
        <v>SCS</v>
      </c>
      <c r="AC812" s="35" t="s">
        <v>234</v>
      </c>
      <c r="AD812" s="35"/>
      <c r="AE812" s="35">
        <v>80000</v>
      </c>
      <c r="AF812" s="35" t="s">
        <v>453</v>
      </c>
      <c r="AG812" s="36">
        <v>639.13699999999994</v>
      </c>
      <c r="AI812" s="7" t="str">
        <f>VLOOKUP($AC812,Mapping!$E$11:$I$204,3,0)</f>
        <v>Replacement</v>
      </c>
      <c r="AJ812" s="7" t="str">
        <f>IFERROR(VLOOKUP($AE812,Mapping!$E$208:$K$236,5,0),"Contracts")</f>
        <v>Overhead</v>
      </c>
      <c r="AK812" s="7" t="str">
        <f>IFERROR(VLOOKUP($AE812,Mapping!$E$208:$K$236,7,0),"ENDirect")</f>
        <v>OH</v>
      </c>
      <c r="AL812" s="7" t="str">
        <f>IFERROR(HLOOKUP(AJ812,'Calc|Weightings'!$U$5:$W$5,1,0),"Excl")</f>
        <v>Excl</v>
      </c>
      <c r="AM812" s="7" t="str">
        <f>VLOOKUP(AC812,Mapping!$E$11:$I$204,5,0)</f>
        <v>SCS</v>
      </c>
      <c r="AO812" s="35" t="s">
        <v>221</v>
      </c>
      <c r="AP812" s="35"/>
      <c r="AQ812" s="35">
        <v>71005</v>
      </c>
      <c r="AR812" s="35" t="s">
        <v>461</v>
      </c>
      <c r="AS812" s="121">
        <v>1.59832</v>
      </c>
      <c r="AU812" s="7" t="str">
        <f>VLOOKUP($AO812,Mapping!$E$11:$I$204,3,0)</f>
        <v>Replacement</v>
      </c>
      <c r="AV812" s="7" t="str">
        <f>IFERROR(VLOOKUP($AQ812,Mapping!$E$208:$K$236,5,0),"Contracts")</f>
        <v>Materials</v>
      </c>
      <c r="AW812" s="7" t="str">
        <f>IFERROR(VLOOKUP($AQ812,Mapping!$E$208:$K$236,7,0),"ENDirect")</f>
        <v>ENDirect</v>
      </c>
      <c r="AX812" s="7" t="str">
        <f>IFERROR(HLOOKUP(AV812,'Calc|Weightings'!$U$5:$W$5,1,0),"Excl")</f>
        <v>Materials</v>
      </c>
      <c r="AY812" s="7" t="str">
        <f>VLOOKUP(AO812,Mapping!$E$11:$I$204,5,0)</f>
        <v>SCS</v>
      </c>
    </row>
    <row r="813" spans="1:51" x14ac:dyDescent="0.3">
      <c r="A813" s="7"/>
      <c r="B813" s="7"/>
      <c r="C813" s="7"/>
      <c r="D813" s="7"/>
      <c r="E813" s="32" t="s">
        <v>220</v>
      </c>
      <c r="F813" s="32"/>
      <c r="G813" s="32">
        <v>71030</v>
      </c>
      <c r="H813" s="32" t="s">
        <v>464</v>
      </c>
      <c r="I813" s="33">
        <v>6.5369999999999999</v>
      </c>
      <c r="J813" s="170"/>
      <c r="K813" s="7" t="str">
        <f>VLOOKUP($E813,Mapping!$E$11:$I$204,3,0)</f>
        <v>Replacement</v>
      </c>
      <c r="L813" s="7" t="str">
        <f>IFERROR(VLOOKUP($G813,Mapping!$E$208:$K$236,5,0),"Contracts")</f>
        <v>Contracts</v>
      </c>
      <c r="M813" s="7" t="str">
        <f>IFERROR(VLOOKUP($G813,Mapping!$E$208:$K$236,7,0),"ENDirect")</f>
        <v>ENDirect</v>
      </c>
      <c r="N813" s="7" t="str">
        <f>IFERROR(HLOOKUP(L813,'Calc|Weightings'!$U$5:$W$5,1,0),"Excl")</f>
        <v>Contracts</v>
      </c>
      <c r="O813" s="7" t="str">
        <f>VLOOKUP(E813,Mapping!$E$11:$I$204,5,0)</f>
        <v>SCS</v>
      </c>
      <c r="Q813" s="32" t="s">
        <v>244</v>
      </c>
      <c r="R813" s="32"/>
      <c r="S813" s="32">
        <v>71010</v>
      </c>
      <c r="T813" s="32" t="s">
        <v>462</v>
      </c>
      <c r="U813" s="33">
        <v>136.58000000000001</v>
      </c>
      <c r="V813" s="7"/>
      <c r="W813" s="7" t="str">
        <f>VLOOKUP($Q813,Mapping!$E$11:$I$204,3,0)</f>
        <v>Replacement</v>
      </c>
      <c r="X813" s="7" t="str">
        <f>IFERROR(VLOOKUP($S813,Mapping!$E$208:$K$236,5,0),"Contracts")</f>
        <v>Labour</v>
      </c>
      <c r="Y813" s="7" t="str">
        <f>IFERROR(VLOOKUP($S813,Mapping!$E$208:$K$236,7,0),"ENDirect")</f>
        <v>ENDirect</v>
      </c>
      <c r="Z813" s="7" t="str">
        <f>IFERROR(HLOOKUP(X813,'Calc|Weightings'!$U$5:$W$5,1,0),"Excl")</f>
        <v>Labour</v>
      </c>
      <c r="AA813" s="7" t="str">
        <f>VLOOKUP(Q813,Mapping!$E$11:$I$204,5,0)</f>
        <v>SCS</v>
      </c>
      <c r="AC813" s="35" t="s">
        <v>234</v>
      </c>
      <c r="AD813" s="35"/>
      <c r="AE813" s="35">
        <v>89999</v>
      </c>
      <c r="AF813" s="35" t="s">
        <v>471</v>
      </c>
      <c r="AG813" s="36">
        <v>0</v>
      </c>
      <c r="AI813" s="7" t="str">
        <f>VLOOKUP($AC813,Mapping!$E$11:$I$204,3,0)</f>
        <v>Replacement</v>
      </c>
      <c r="AJ813" s="7" t="str">
        <f>IFERROR(VLOOKUP($AE813,Mapping!$E$208:$K$236,5,0),"Contracts")</f>
        <v>Contracts</v>
      </c>
      <c r="AK813" s="7" t="str">
        <f>IFERROR(VLOOKUP($AE813,Mapping!$E$208:$K$236,7,0),"ENDirect")</f>
        <v>ENDirect</v>
      </c>
      <c r="AL813" s="7" t="str">
        <f>IFERROR(HLOOKUP(AJ813,'Calc|Weightings'!$U$5:$W$5,1,0),"Excl")</f>
        <v>Contracts</v>
      </c>
      <c r="AM813" s="7" t="str">
        <f>VLOOKUP(AC813,Mapping!$E$11:$I$204,5,0)</f>
        <v>SCS</v>
      </c>
      <c r="AO813" s="35" t="s">
        <v>221</v>
      </c>
      <c r="AP813" s="35"/>
      <c r="AQ813" s="35">
        <v>71010</v>
      </c>
      <c r="AR813" s="35" t="s">
        <v>487</v>
      </c>
      <c r="AS813" s="121">
        <v>1.33152</v>
      </c>
      <c r="AU813" s="7" t="str">
        <f>VLOOKUP($AO813,Mapping!$E$11:$I$204,3,0)</f>
        <v>Replacement</v>
      </c>
      <c r="AV813" s="7" t="str">
        <f>IFERROR(VLOOKUP($AQ813,Mapping!$E$208:$K$236,5,0),"Contracts")</f>
        <v>Labour</v>
      </c>
      <c r="AW813" s="7" t="str">
        <f>IFERROR(VLOOKUP($AQ813,Mapping!$E$208:$K$236,7,0),"ENDirect")</f>
        <v>ENDirect</v>
      </c>
      <c r="AX813" s="7" t="str">
        <f>IFERROR(HLOOKUP(AV813,'Calc|Weightings'!$U$5:$W$5,1,0),"Excl")</f>
        <v>Labour</v>
      </c>
      <c r="AY813" s="7" t="str">
        <f>VLOOKUP(AO813,Mapping!$E$11:$I$204,5,0)</f>
        <v>SCS</v>
      </c>
    </row>
    <row r="814" spans="1:51" x14ac:dyDescent="0.3">
      <c r="A814" s="7"/>
      <c r="B814" s="7"/>
      <c r="C814" s="7"/>
      <c r="D814" s="7"/>
      <c r="E814" s="32" t="s">
        <v>220</v>
      </c>
      <c r="F814" s="32"/>
      <c r="G814" s="32">
        <v>71055</v>
      </c>
      <c r="H814" s="32" t="s">
        <v>465</v>
      </c>
      <c r="I814" s="33">
        <v>21.925000000000001</v>
      </c>
      <c r="J814" s="170"/>
      <c r="K814" s="7" t="str">
        <f>VLOOKUP($E814,Mapping!$E$11:$I$204,3,0)</f>
        <v>Replacement</v>
      </c>
      <c r="L814" s="7" t="str">
        <f>IFERROR(VLOOKUP($G814,Mapping!$E$208:$K$236,5,0),"Contracts")</f>
        <v>Contracts</v>
      </c>
      <c r="M814" s="7" t="str">
        <f>IFERROR(VLOOKUP($G814,Mapping!$E$208:$K$236,7,0),"ENDirect")</f>
        <v>ENDirect</v>
      </c>
      <c r="N814" s="7" t="str">
        <f>IFERROR(HLOOKUP(L814,'Calc|Weightings'!$U$5:$W$5,1,0),"Excl")</f>
        <v>Contracts</v>
      </c>
      <c r="O814" s="7" t="str">
        <f>VLOOKUP(E814,Mapping!$E$11:$I$204,5,0)</f>
        <v>SCS</v>
      </c>
      <c r="Q814" s="32" t="s">
        <v>244</v>
      </c>
      <c r="R814" s="32"/>
      <c r="S814" s="32">
        <v>71015</v>
      </c>
      <c r="T814" s="32" t="s">
        <v>463</v>
      </c>
      <c r="U814" s="33">
        <v>64.046000000000006</v>
      </c>
      <c r="V814" s="7"/>
      <c r="W814" s="7" t="str">
        <f>VLOOKUP($Q814,Mapping!$E$11:$I$204,3,0)</f>
        <v>Replacement</v>
      </c>
      <c r="X814" s="7" t="str">
        <f>IFERROR(VLOOKUP($S814,Mapping!$E$208:$K$236,5,0),"Contracts")</f>
        <v>Materials</v>
      </c>
      <c r="Y814" s="7" t="str">
        <f>IFERROR(VLOOKUP($S814,Mapping!$E$208:$K$236,7,0),"ENDirect")</f>
        <v>ENDirect</v>
      </c>
      <c r="Z814" s="7" t="str">
        <f>IFERROR(HLOOKUP(X814,'Calc|Weightings'!$U$5:$W$5,1,0),"Excl")</f>
        <v>Materials</v>
      </c>
      <c r="AA814" s="7" t="str">
        <f>VLOOKUP(Q814,Mapping!$E$11:$I$204,5,0)</f>
        <v>SCS</v>
      </c>
      <c r="AC814" s="35" t="s">
        <v>237</v>
      </c>
      <c r="AD814" s="35"/>
      <c r="AE814" s="35">
        <v>71000</v>
      </c>
      <c r="AF814" s="35" t="s">
        <v>457</v>
      </c>
      <c r="AG814" s="36">
        <v>15.489000000000001</v>
      </c>
      <c r="AI814" s="7" t="str">
        <f>VLOOKUP($AC814,Mapping!$E$11:$I$204,3,0)</f>
        <v>Replacement</v>
      </c>
      <c r="AJ814" s="7" t="str">
        <f>IFERROR(VLOOKUP($AE814,Mapping!$E$208:$K$236,5,0),"Contracts")</f>
        <v>Labour</v>
      </c>
      <c r="AK814" s="7" t="str">
        <f>IFERROR(VLOOKUP($AE814,Mapping!$E$208:$K$236,7,0),"ENDirect")</f>
        <v>ENDirect</v>
      </c>
      <c r="AL814" s="7" t="str">
        <f>IFERROR(HLOOKUP(AJ814,'Calc|Weightings'!$U$5:$W$5,1,0),"Excl")</f>
        <v>Labour</v>
      </c>
      <c r="AM814" s="7" t="str">
        <f>VLOOKUP(AC814,Mapping!$E$11:$I$204,5,0)</f>
        <v>SCS</v>
      </c>
      <c r="AO814" s="35" t="s">
        <v>221</v>
      </c>
      <c r="AP814" s="35"/>
      <c r="AQ814" s="35">
        <v>71015</v>
      </c>
      <c r="AR814" s="35" t="s">
        <v>585</v>
      </c>
      <c r="AS814" s="121">
        <v>0.40035000000000004</v>
      </c>
      <c r="AU814" s="7" t="str">
        <f>VLOOKUP($AO814,Mapping!$E$11:$I$204,3,0)</f>
        <v>Replacement</v>
      </c>
      <c r="AV814" s="7" t="str">
        <f>IFERROR(VLOOKUP($AQ814,Mapping!$E$208:$K$236,5,0),"Contracts")</f>
        <v>Materials</v>
      </c>
      <c r="AW814" s="7" t="str">
        <f>IFERROR(VLOOKUP($AQ814,Mapping!$E$208:$K$236,7,0),"ENDirect")</f>
        <v>ENDirect</v>
      </c>
      <c r="AX814" s="7" t="str">
        <f>IFERROR(HLOOKUP(AV814,'Calc|Weightings'!$U$5:$W$5,1,0),"Excl")</f>
        <v>Materials</v>
      </c>
      <c r="AY814" s="7" t="str">
        <f>VLOOKUP(AO814,Mapping!$E$11:$I$204,5,0)</f>
        <v>SCS</v>
      </c>
    </row>
    <row r="815" spans="1:51" x14ac:dyDescent="0.3">
      <c r="A815" s="7"/>
      <c r="B815" s="7"/>
      <c r="C815" s="7"/>
      <c r="D815" s="7"/>
      <c r="E815" s="32" t="s">
        <v>220</v>
      </c>
      <c r="F815" s="32"/>
      <c r="G815" s="32">
        <v>80000</v>
      </c>
      <c r="H815" s="32" t="s">
        <v>453</v>
      </c>
      <c r="I815" s="33">
        <v>8.8710000000000004</v>
      </c>
      <c r="J815" s="170"/>
      <c r="K815" s="7" t="str">
        <f>VLOOKUP($E815,Mapping!$E$11:$I$204,3,0)</f>
        <v>Replacement</v>
      </c>
      <c r="L815" s="7" t="str">
        <f>IFERROR(VLOOKUP($G815,Mapping!$E$208:$K$236,5,0),"Contracts")</f>
        <v>Overhead</v>
      </c>
      <c r="M815" s="7" t="str">
        <f>IFERROR(VLOOKUP($G815,Mapping!$E$208:$K$236,7,0),"ENDirect")</f>
        <v>OH</v>
      </c>
      <c r="N815" s="7" t="str">
        <f>IFERROR(HLOOKUP(L815,'Calc|Weightings'!$U$5:$W$5,1,0),"Excl")</f>
        <v>Excl</v>
      </c>
      <c r="O815" s="7" t="str">
        <f>VLOOKUP(E815,Mapping!$E$11:$I$204,5,0)</f>
        <v>SCS</v>
      </c>
      <c r="Q815" s="32" t="s">
        <v>244</v>
      </c>
      <c r="R815" s="32"/>
      <c r="S815" s="32">
        <v>71030</v>
      </c>
      <c r="T815" s="32" t="s">
        <v>464</v>
      </c>
      <c r="U815" s="33">
        <v>39.344000000000001</v>
      </c>
      <c r="V815" s="7"/>
      <c r="W815" s="7" t="str">
        <f>VLOOKUP($Q815,Mapping!$E$11:$I$204,3,0)</f>
        <v>Replacement</v>
      </c>
      <c r="X815" s="7" t="str">
        <f>IFERROR(VLOOKUP($S815,Mapping!$E$208:$K$236,5,0),"Contracts")</f>
        <v>Contracts</v>
      </c>
      <c r="Y815" s="7" t="str">
        <f>IFERROR(VLOOKUP($S815,Mapping!$E$208:$K$236,7,0),"ENDirect")</f>
        <v>ENDirect</v>
      </c>
      <c r="Z815" s="7" t="str">
        <f>IFERROR(HLOOKUP(X815,'Calc|Weightings'!$U$5:$W$5,1,0),"Excl")</f>
        <v>Contracts</v>
      </c>
      <c r="AA815" s="7" t="str">
        <f>VLOOKUP(Q815,Mapping!$E$11:$I$204,5,0)</f>
        <v>SCS</v>
      </c>
      <c r="AC815" s="35" t="s">
        <v>237</v>
      </c>
      <c r="AD815" s="35"/>
      <c r="AE815" s="35">
        <v>71005</v>
      </c>
      <c r="AF815" s="35" t="s">
        <v>461</v>
      </c>
      <c r="AG815" s="36">
        <v>2.5569999999999999</v>
      </c>
      <c r="AI815" s="7" t="str">
        <f>VLOOKUP($AC815,Mapping!$E$11:$I$204,3,0)</f>
        <v>Replacement</v>
      </c>
      <c r="AJ815" s="7" t="str">
        <f>IFERROR(VLOOKUP($AE815,Mapping!$E$208:$K$236,5,0),"Contracts")</f>
        <v>Materials</v>
      </c>
      <c r="AK815" s="7" t="str">
        <f>IFERROR(VLOOKUP($AE815,Mapping!$E$208:$K$236,7,0),"ENDirect")</f>
        <v>ENDirect</v>
      </c>
      <c r="AL815" s="7" t="str">
        <f>IFERROR(HLOOKUP(AJ815,'Calc|Weightings'!$U$5:$W$5,1,0),"Excl")</f>
        <v>Materials</v>
      </c>
      <c r="AM815" s="7" t="str">
        <f>VLOOKUP(AC815,Mapping!$E$11:$I$204,5,0)</f>
        <v>SCS</v>
      </c>
      <c r="AO815" s="35" t="s">
        <v>221</v>
      </c>
      <c r="AP815" s="35"/>
      <c r="AQ815" s="35">
        <v>71030</v>
      </c>
      <c r="AR815" s="35" t="s">
        <v>464</v>
      </c>
      <c r="AS815" s="121">
        <v>0.92342000000000002</v>
      </c>
      <c r="AU815" s="7" t="str">
        <f>VLOOKUP($AO815,Mapping!$E$11:$I$204,3,0)</f>
        <v>Replacement</v>
      </c>
      <c r="AV815" s="7" t="str">
        <f>IFERROR(VLOOKUP($AQ815,Mapping!$E$208:$K$236,5,0),"Contracts")</f>
        <v>Contracts</v>
      </c>
      <c r="AW815" s="7" t="str">
        <f>IFERROR(VLOOKUP($AQ815,Mapping!$E$208:$K$236,7,0),"ENDirect")</f>
        <v>ENDirect</v>
      </c>
      <c r="AX815" s="7" t="str">
        <f>IFERROR(HLOOKUP(AV815,'Calc|Weightings'!$U$5:$W$5,1,0),"Excl")</f>
        <v>Contracts</v>
      </c>
      <c r="AY815" s="7" t="str">
        <f>VLOOKUP(AO815,Mapping!$E$11:$I$204,5,0)</f>
        <v>SCS</v>
      </c>
    </row>
    <row r="816" spans="1:51" x14ac:dyDescent="0.3">
      <c r="A816" s="7"/>
      <c r="B816" s="7"/>
      <c r="C816" s="7"/>
      <c r="D816" s="7"/>
      <c r="E816" s="32" t="s">
        <v>221</v>
      </c>
      <c r="F816" s="32"/>
      <c r="G816" s="32">
        <v>71000</v>
      </c>
      <c r="H816" s="32" t="s">
        <v>457</v>
      </c>
      <c r="I816" s="33">
        <v>76.040999999999997</v>
      </c>
      <c r="J816" s="170"/>
      <c r="K816" s="7" t="str">
        <f>VLOOKUP($E816,Mapping!$E$11:$I$204,3,0)</f>
        <v>Replacement</v>
      </c>
      <c r="L816" s="7" t="str">
        <f>IFERROR(VLOOKUP($G816,Mapping!$E$208:$K$236,5,0),"Contracts")</f>
        <v>Labour</v>
      </c>
      <c r="M816" s="7" t="str">
        <f>IFERROR(VLOOKUP($G816,Mapping!$E$208:$K$236,7,0),"ENDirect")</f>
        <v>ENDirect</v>
      </c>
      <c r="N816" s="7" t="str">
        <f>IFERROR(HLOOKUP(L816,'Calc|Weightings'!$U$5:$W$5,1,0),"Excl")</f>
        <v>Labour</v>
      </c>
      <c r="O816" s="7" t="str">
        <f>VLOOKUP(E816,Mapping!$E$11:$I$204,5,0)</f>
        <v>SCS</v>
      </c>
      <c r="Q816" s="32" t="s">
        <v>244</v>
      </c>
      <c r="R816" s="32"/>
      <c r="S816" s="32">
        <v>71055</v>
      </c>
      <c r="T816" s="32" t="s">
        <v>465</v>
      </c>
      <c r="U816" s="33">
        <v>78.599999999999994</v>
      </c>
      <c r="V816" s="7"/>
      <c r="W816" s="7" t="str">
        <f>VLOOKUP($Q816,Mapping!$E$11:$I$204,3,0)</f>
        <v>Replacement</v>
      </c>
      <c r="X816" s="7" t="str">
        <f>IFERROR(VLOOKUP($S816,Mapping!$E$208:$K$236,5,0),"Contracts")</f>
        <v>Contracts</v>
      </c>
      <c r="Y816" s="7" t="str">
        <f>IFERROR(VLOOKUP($S816,Mapping!$E$208:$K$236,7,0),"ENDirect")</f>
        <v>ENDirect</v>
      </c>
      <c r="Z816" s="7" t="str">
        <f>IFERROR(HLOOKUP(X816,'Calc|Weightings'!$U$5:$W$5,1,0),"Excl")</f>
        <v>Contracts</v>
      </c>
      <c r="AA816" s="7" t="str">
        <f>VLOOKUP(Q816,Mapping!$E$11:$I$204,5,0)</f>
        <v>SCS</v>
      </c>
      <c r="AC816" s="35" t="s">
        <v>237</v>
      </c>
      <c r="AD816" s="35"/>
      <c r="AE816" s="35">
        <v>71010</v>
      </c>
      <c r="AF816" s="35" t="s">
        <v>462</v>
      </c>
      <c r="AG816" s="36">
        <v>3.2730000000000001</v>
      </c>
      <c r="AI816" s="7" t="str">
        <f>VLOOKUP($AC816,Mapping!$E$11:$I$204,3,0)</f>
        <v>Replacement</v>
      </c>
      <c r="AJ816" s="7" t="str">
        <f>IFERROR(VLOOKUP($AE816,Mapping!$E$208:$K$236,5,0),"Contracts")</f>
        <v>Labour</v>
      </c>
      <c r="AK816" s="7" t="str">
        <f>IFERROR(VLOOKUP($AE816,Mapping!$E$208:$K$236,7,0),"ENDirect")</f>
        <v>ENDirect</v>
      </c>
      <c r="AL816" s="7" t="str">
        <f>IFERROR(HLOOKUP(AJ816,'Calc|Weightings'!$U$5:$W$5,1,0),"Excl")</f>
        <v>Labour</v>
      </c>
      <c r="AM816" s="7" t="str">
        <f>VLOOKUP(AC816,Mapping!$E$11:$I$204,5,0)</f>
        <v>SCS</v>
      </c>
      <c r="AO816" s="35" t="s">
        <v>221</v>
      </c>
      <c r="AP816" s="35"/>
      <c r="AQ816" s="35">
        <v>71055</v>
      </c>
      <c r="AR816" s="35" t="s">
        <v>465</v>
      </c>
      <c r="AS816" s="121">
        <v>1.96258</v>
      </c>
      <c r="AU816" s="7" t="str">
        <f>VLOOKUP($AO816,Mapping!$E$11:$I$204,3,0)</f>
        <v>Replacement</v>
      </c>
      <c r="AV816" s="7" t="str">
        <f>IFERROR(VLOOKUP($AQ816,Mapping!$E$208:$K$236,5,0),"Contracts")</f>
        <v>Contracts</v>
      </c>
      <c r="AW816" s="7" t="str">
        <f>IFERROR(VLOOKUP($AQ816,Mapping!$E$208:$K$236,7,0),"ENDirect")</f>
        <v>ENDirect</v>
      </c>
      <c r="AX816" s="7" t="str">
        <f>IFERROR(HLOOKUP(AV816,'Calc|Weightings'!$U$5:$W$5,1,0),"Excl")</f>
        <v>Contracts</v>
      </c>
      <c r="AY816" s="7" t="str">
        <f>VLOOKUP(AO816,Mapping!$E$11:$I$204,5,0)</f>
        <v>SCS</v>
      </c>
    </row>
    <row r="817" spans="1:51" x14ac:dyDescent="0.3">
      <c r="A817" s="7"/>
      <c r="B817" s="7"/>
      <c r="C817" s="7"/>
      <c r="D817" s="7"/>
      <c r="E817" s="32" t="s">
        <v>221</v>
      </c>
      <c r="F817" s="32"/>
      <c r="G817" s="32">
        <v>71005</v>
      </c>
      <c r="H817" s="32" t="s">
        <v>461</v>
      </c>
      <c r="I817" s="33">
        <v>26.975999999999999</v>
      </c>
      <c r="J817" s="170"/>
      <c r="K817" s="7" t="str">
        <f>VLOOKUP($E817,Mapping!$E$11:$I$204,3,0)</f>
        <v>Replacement</v>
      </c>
      <c r="L817" s="7" t="str">
        <f>IFERROR(VLOOKUP($G817,Mapping!$E$208:$K$236,5,0),"Contracts")</f>
        <v>Materials</v>
      </c>
      <c r="M817" s="7" t="str">
        <f>IFERROR(VLOOKUP($G817,Mapping!$E$208:$K$236,7,0),"ENDirect")</f>
        <v>ENDirect</v>
      </c>
      <c r="N817" s="7" t="str">
        <f>IFERROR(HLOOKUP(L817,'Calc|Weightings'!$U$5:$W$5,1,0),"Excl")</f>
        <v>Materials</v>
      </c>
      <c r="O817" s="7" t="str">
        <f>VLOOKUP(E817,Mapping!$E$11:$I$204,5,0)</f>
        <v>SCS</v>
      </c>
      <c r="Q817" s="32" t="s">
        <v>244</v>
      </c>
      <c r="R817" s="32"/>
      <c r="S817" s="32">
        <v>80000</v>
      </c>
      <c r="T817" s="32" t="s">
        <v>453</v>
      </c>
      <c r="U817" s="33">
        <v>80.02</v>
      </c>
      <c r="V817" s="7"/>
      <c r="W817" s="7" t="str">
        <f>VLOOKUP($Q817,Mapping!$E$11:$I$204,3,0)</f>
        <v>Replacement</v>
      </c>
      <c r="X817" s="7" t="str">
        <f>IFERROR(VLOOKUP($S817,Mapping!$E$208:$K$236,5,0),"Contracts")</f>
        <v>Overhead</v>
      </c>
      <c r="Y817" s="7" t="str">
        <f>IFERROR(VLOOKUP($S817,Mapping!$E$208:$K$236,7,0),"ENDirect")</f>
        <v>OH</v>
      </c>
      <c r="Z817" s="7" t="str">
        <f>IFERROR(HLOOKUP(X817,'Calc|Weightings'!$U$5:$W$5,1,0),"Excl")</f>
        <v>Excl</v>
      </c>
      <c r="AA817" s="7" t="str">
        <f>VLOOKUP(Q817,Mapping!$E$11:$I$204,5,0)</f>
        <v>SCS</v>
      </c>
      <c r="AC817" s="35" t="s">
        <v>237</v>
      </c>
      <c r="AD817" s="35"/>
      <c r="AE817" s="35">
        <v>71015</v>
      </c>
      <c r="AF817" s="35" t="s">
        <v>463</v>
      </c>
      <c r="AG817" s="36">
        <v>3.2639999999999998</v>
      </c>
      <c r="AI817" s="7" t="str">
        <f>VLOOKUP($AC817,Mapping!$E$11:$I$204,3,0)</f>
        <v>Replacement</v>
      </c>
      <c r="AJ817" s="7" t="str">
        <f>IFERROR(VLOOKUP($AE817,Mapping!$E$208:$K$236,5,0),"Contracts")</f>
        <v>Materials</v>
      </c>
      <c r="AK817" s="7" t="str">
        <f>IFERROR(VLOOKUP($AE817,Mapping!$E$208:$K$236,7,0),"ENDirect")</f>
        <v>ENDirect</v>
      </c>
      <c r="AL817" s="7" t="str">
        <f>IFERROR(HLOOKUP(AJ817,'Calc|Weightings'!$U$5:$W$5,1,0),"Excl")</f>
        <v>Materials</v>
      </c>
      <c r="AM817" s="7" t="str">
        <f>VLOOKUP(AC817,Mapping!$E$11:$I$204,5,0)</f>
        <v>SCS</v>
      </c>
      <c r="AO817" s="35" t="s">
        <v>221</v>
      </c>
      <c r="AP817" s="35"/>
      <c r="AQ817" s="35">
        <v>71070</v>
      </c>
      <c r="AR817" s="35" t="s">
        <v>586</v>
      </c>
      <c r="AS817" s="121">
        <v>6.5959399999999997</v>
      </c>
      <c r="AU817" s="7" t="str">
        <f>VLOOKUP($AO817,Mapping!$E$11:$I$204,3,0)</f>
        <v>Replacement</v>
      </c>
      <c r="AV817" s="7" t="str">
        <f>IFERROR(VLOOKUP($AQ817,Mapping!$E$208:$K$236,5,0),"Contracts")</f>
        <v>Contracts</v>
      </c>
      <c r="AW817" s="7" t="str">
        <f>IFERROR(VLOOKUP($AQ817,Mapping!$E$208:$K$236,7,0),"ENDirect")</f>
        <v>ENDirect</v>
      </c>
      <c r="AX817" s="7" t="str">
        <f>IFERROR(HLOOKUP(AV817,'Calc|Weightings'!$U$5:$W$5,1,0),"Excl")</f>
        <v>Contracts</v>
      </c>
      <c r="AY817" s="7" t="str">
        <f>VLOOKUP(AO817,Mapping!$E$11:$I$204,5,0)</f>
        <v>SCS</v>
      </c>
    </row>
    <row r="818" spans="1:51" x14ac:dyDescent="0.3">
      <c r="A818" s="7"/>
      <c r="B818" s="7"/>
      <c r="C818" s="7"/>
      <c r="D818" s="7"/>
      <c r="E818" s="32" t="s">
        <v>221</v>
      </c>
      <c r="F818" s="32"/>
      <c r="G818" s="32">
        <v>71010</v>
      </c>
      <c r="H818" s="32" t="s">
        <v>462</v>
      </c>
      <c r="I818" s="33">
        <v>16.524000000000001</v>
      </c>
      <c r="J818" s="170"/>
      <c r="K818" s="7" t="str">
        <f>VLOOKUP($E818,Mapping!$E$11:$I$204,3,0)</f>
        <v>Replacement</v>
      </c>
      <c r="L818" s="7" t="str">
        <f>IFERROR(VLOOKUP($G818,Mapping!$E$208:$K$236,5,0),"Contracts")</f>
        <v>Labour</v>
      </c>
      <c r="M818" s="7" t="str">
        <f>IFERROR(VLOOKUP($G818,Mapping!$E$208:$K$236,7,0),"ENDirect")</f>
        <v>ENDirect</v>
      </c>
      <c r="N818" s="7" t="str">
        <f>IFERROR(HLOOKUP(L818,'Calc|Weightings'!$U$5:$W$5,1,0),"Excl")</f>
        <v>Labour</v>
      </c>
      <c r="O818" s="7" t="str">
        <f>VLOOKUP(E818,Mapping!$E$11:$I$204,5,0)</f>
        <v>SCS</v>
      </c>
      <c r="Q818" s="32" t="s">
        <v>244</v>
      </c>
      <c r="R818" s="32"/>
      <c r="S818" s="32">
        <v>89999</v>
      </c>
      <c r="T818" s="32" t="s">
        <v>471</v>
      </c>
      <c r="U818" s="33">
        <v>0</v>
      </c>
      <c r="V818" s="7"/>
      <c r="W818" s="7" t="str">
        <f>VLOOKUP($Q818,Mapping!$E$11:$I$204,3,0)</f>
        <v>Replacement</v>
      </c>
      <c r="X818" s="7" t="str">
        <f>IFERROR(VLOOKUP($S818,Mapping!$E$208:$K$236,5,0),"Contracts")</f>
        <v>Contracts</v>
      </c>
      <c r="Y818" s="7" t="str">
        <f>IFERROR(VLOOKUP($S818,Mapping!$E$208:$K$236,7,0),"ENDirect")</f>
        <v>ENDirect</v>
      </c>
      <c r="Z818" s="7" t="str">
        <f>IFERROR(HLOOKUP(X818,'Calc|Weightings'!$U$5:$W$5,1,0),"Excl")</f>
        <v>Contracts</v>
      </c>
      <c r="AA818" s="7" t="str">
        <f>VLOOKUP(Q818,Mapping!$E$11:$I$204,5,0)</f>
        <v>SCS</v>
      </c>
      <c r="AC818" s="35" t="s">
        <v>237</v>
      </c>
      <c r="AD818" s="35"/>
      <c r="AE818" s="35">
        <v>71030</v>
      </c>
      <c r="AF818" s="35" t="s">
        <v>464</v>
      </c>
      <c r="AG818" s="36">
        <v>1.954</v>
      </c>
      <c r="AI818" s="7" t="str">
        <f>VLOOKUP($AC818,Mapping!$E$11:$I$204,3,0)</f>
        <v>Replacement</v>
      </c>
      <c r="AJ818" s="7" t="str">
        <f>IFERROR(VLOOKUP($AE818,Mapping!$E$208:$K$236,5,0),"Contracts")</f>
        <v>Contracts</v>
      </c>
      <c r="AK818" s="7" t="str">
        <f>IFERROR(VLOOKUP($AE818,Mapping!$E$208:$K$236,7,0),"ENDirect")</f>
        <v>ENDirect</v>
      </c>
      <c r="AL818" s="7" t="str">
        <f>IFERROR(HLOOKUP(AJ818,'Calc|Weightings'!$U$5:$W$5,1,0),"Excl")</f>
        <v>Contracts</v>
      </c>
      <c r="AM818" s="7" t="str">
        <f>VLOOKUP(AC818,Mapping!$E$11:$I$204,5,0)</f>
        <v>SCS</v>
      </c>
      <c r="AO818" s="35" t="s">
        <v>221</v>
      </c>
      <c r="AP818" s="35"/>
      <c r="AQ818" s="35">
        <v>71075</v>
      </c>
      <c r="AR818" s="35" t="s">
        <v>587</v>
      </c>
      <c r="AS818" s="121">
        <v>27.039030000000004</v>
      </c>
      <c r="AU818" s="7" t="str">
        <f>VLOOKUP($AO818,Mapping!$E$11:$I$204,3,0)</f>
        <v>Replacement</v>
      </c>
      <c r="AV818" s="7" t="str">
        <f>IFERROR(VLOOKUP($AQ818,Mapping!$E$208:$K$236,5,0),"Contracts")</f>
        <v>Contracts</v>
      </c>
      <c r="AW818" s="7" t="str">
        <f>IFERROR(VLOOKUP($AQ818,Mapping!$E$208:$K$236,7,0),"ENDirect")</f>
        <v>ENDirect</v>
      </c>
      <c r="AX818" s="7" t="str">
        <f>IFERROR(HLOOKUP(AV818,'Calc|Weightings'!$U$5:$W$5,1,0),"Excl")</f>
        <v>Contracts</v>
      </c>
      <c r="AY818" s="7" t="str">
        <f>VLOOKUP(AO818,Mapping!$E$11:$I$204,5,0)</f>
        <v>SCS</v>
      </c>
    </row>
    <row r="819" spans="1:51" x14ac:dyDescent="0.3">
      <c r="A819" s="7"/>
      <c r="B819" s="7"/>
      <c r="C819" s="7"/>
      <c r="D819" s="7"/>
      <c r="E819" s="32" t="s">
        <v>221</v>
      </c>
      <c r="F819" s="32"/>
      <c r="G819" s="32">
        <v>71015</v>
      </c>
      <c r="H819" s="32" t="s">
        <v>463</v>
      </c>
      <c r="I819" s="33">
        <v>34.042000000000002</v>
      </c>
      <c r="J819" s="170"/>
      <c r="K819" s="7" t="str">
        <f>VLOOKUP($E819,Mapping!$E$11:$I$204,3,0)</f>
        <v>Replacement</v>
      </c>
      <c r="L819" s="7" t="str">
        <f>IFERROR(VLOOKUP($G819,Mapping!$E$208:$K$236,5,0),"Contracts")</f>
        <v>Materials</v>
      </c>
      <c r="M819" s="7" t="str">
        <f>IFERROR(VLOOKUP($G819,Mapping!$E$208:$K$236,7,0),"ENDirect")</f>
        <v>ENDirect</v>
      </c>
      <c r="N819" s="7" t="str">
        <f>IFERROR(HLOOKUP(L819,'Calc|Weightings'!$U$5:$W$5,1,0),"Excl")</f>
        <v>Materials</v>
      </c>
      <c r="O819" s="7" t="str">
        <f>VLOOKUP(E819,Mapping!$E$11:$I$204,5,0)</f>
        <v>SCS</v>
      </c>
      <c r="Q819" s="32" t="s">
        <v>246</v>
      </c>
      <c r="R819" s="32"/>
      <c r="S819" s="32">
        <v>71000</v>
      </c>
      <c r="T819" s="32" t="s">
        <v>457</v>
      </c>
      <c r="U819" s="33">
        <v>-0.17199999999999999</v>
      </c>
      <c r="V819" s="7"/>
      <c r="W819" s="7" t="str">
        <f>VLOOKUP($Q819,Mapping!$E$11:$I$204,3,0)</f>
        <v>ACS</v>
      </c>
      <c r="X819" s="7" t="str">
        <f>IFERROR(VLOOKUP($S819,Mapping!$E$208:$K$236,5,0),"Contracts")</f>
        <v>Labour</v>
      </c>
      <c r="Y819" s="7" t="str">
        <f>IFERROR(VLOOKUP($S819,Mapping!$E$208:$K$236,7,0),"ENDirect")</f>
        <v>ENDirect</v>
      </c>
      <c r="Z819" s="7" t="str">
        <f>IFERROR(HLOOKUP(X819,'Calc|Weightings'!$U$5:$W$5,1,0),"Excl")</f>
        <v>Labour</v>
      </c>
      <c r="AA819" s="7" t="str">
        <f>VLOOKUP(Q819,Mapping!$E$11:$I$204,5,0)</f>
        <v>ACS</v>
      </c>
      <c r="AC819" s="35" t="s">
        <v>237</v>
      </c>
      <c r="AD819" s="35"/>
      <c r="AE819" s="35">
        <v>71055</v>
      </c>
      <c r="AF819" s="35" t="s">
        <v>465</v>
      </c>
      <c r="AG819" s="36">
        <v>3.677</v>
      </c>
      <c r="AI819" s="7" t="str">
        <f>VLOOKUP($AC819,Mapping!$E$11:$I$204,3,0)</f>
        <v>Replacement</v>
      </c>
      <c r="AJ819" s="7" t="str">
        <f>IFERROR(VLOOKUP($AE819,Mapping!$E$208:$K$236,5,0),"Contracts")</f>
        <v>Contracts</v>
      </c>
      <c r="AK819" s="7" t="str">
        <f>IFERROR(VLOOKUP($AE819,Mapping!$E$208:$K$236,7,0),"ENDirect")</f>
        <v>ENDirect</v>
      </c>
      <c r="AL819" s="7" t="str">
        <f>IFERROR(HLOOKUP(AJ819,'Calc|Weightings'!$U$5:$W$5,1,0),"Excl")</f>
        <v>Contracts</v>
      </c>
      <c r="AM819" s="7" t="str">
        <f>VLOOKUP(AC819,Mapping!$E$11:$I$204,5,0)</f>
        <v>SCS</v>
      </c>
      <c r="AO819" s="35" t="s">
        <v>221</v>
      </c>
      <c r="AP819" s="35"/>
      <c r="AQ819" s="35">
        <v>80000</v>
      </c>
      <c r="AR819" s="35" t="s">
        <v>589</v>
      </c>
      <c r="AS819" s="121">
        <v>43.539850000000008</v>
      </c>
      <c r="AU819" s="7" t="str">
        <f>VLOOKUP($AO819,Mapping!$E$11:$I$204,3,0)</f>
        <v>Replacement</v>
      </c>
      <c r="AV819" s="7" t="str">
        <f>IFERROR(VLOOKUP($AQ819,Mapping!$E$208:$K$236,5,0),"Contracts")</f>
        <v>Overhead</v>
      </c>
      <c r="AW819" s="7" t="str">
        <f>IFERROR(VLOOKUP($AQ819,Mapping!$E$208:$K$236,7,0),"ENDirect")</f>
        <v>OH</v>
      </c>
      <c r="AX819" s="7" t="str">
        <f>IFERROR(HLOOKUP(AV819,'Calc|Weightings'!$U$5:$W$5,1,0),"Excl")</f>
        <v>Excl</v>
      </c>
      <c r="AY819" s="7" t="str">
        <f>VLOOKUP(AO819,Mapping!$E$11:$I$204,5,0)</f>
        <v>SCS</v>
      </c>
    </row>
    <row r="820" spans="1:51" x14ac:dyDescent="0.3">
      <c r="A820" s="7"/>
      <c r="B820" s="7"/>
      <c r="C820" s="7"/>
      <c r="D820" s="7"/>
      <c r="E820" s="32" t="s">
        <v>221</v>
      </c>
      <c r="F820" s="32"/>
      <c r="G820" s="32">
        <v>71030</v>
      </c>
      <c r="H820" s="32" t="s">
        <v>464</v>
      </c>
      <c r="I820" s="33">
        <v>12.827</v>
      </c>
      <c r="J820" s="170"/>
      <c r="K820" s="7" t="str">
        <f>VLOOKUP($E820,Mapping!$E$11:$I$204,3,0)</f>
        <v>Replacement</v>
      </c>
      <c r="L820" s="7" t="str">
        <f>IFERROR(VLOOKUP($G820,Mapping!$E$208:$K$236,5,0),"Contracts")</f>
        <v>Contracts</v>
      </c>
      <c r="M820" s="7" t="str">
        <f>IFERROR(VLOOKUP($G820,Mapping!$E$208:$K$236,7,0),"ENDirect")</f>
        <v>ENDirect</v>
      </c>
      <c r="N820" s="7" t="str">
        <f>IFERROR(HLOOKUP(L820,'Calc|Weightings'!$U$5:$W$5,1,0),"Excl")</f>
        <v>Contracts</v>
      </c>
      <c r="O820" s="7" t="str">
        <f>VLOOKUP(E820,Mapping!$E$11:$I$204,5,0)</f>
        <v>SCS</v>
      </c>
      <c r="Q820" s="32" t="s">
        <v>246</v>
      </c>
      <c r="R820" s="32"/>
      <c r="S820" s="32">
        <v>71030</v>
      </c>
      <c r="T820" s="32" t="s">
        <v>464</v>
      </c>
      <c r="U820" s="33">
        <v>5.0999999999999997E-2</v>
      </c>
      <c r="V820" s="7"/>
      <c r="W820" s="7" t="str">
        <f>VLOOKUP($Q820,Mapping!$E$11:$I$204,3,0)</f>
        <v>ACS</v>
      </c>
      <c r="X820" s="7" t="str">
        <f>IFERROR(VLOOKUP($S820,Mapping!$E$208:$K$236,5,0),"Contracts")</f>
        <v>Contracts</v>
      </c>
      <c r="Y820" s="7" t="str">
        <f>IFERROR(VLOOKUP($S820,Mapping!$E$208:$K$236,7,0),"ENDirect")</f>
        <v>ENDirect</v>
      </c>
      <c r="Z820" s="7" t="str">
        <f>IFERROR(HLOOKUP(X820,'Calc|Weightings'!$U$5:$W$5,1,0),"Excl")</f>
        <v>Contracts</v>
      </c>
      <c r="AA820" s="7" t="str">
        <f>VLOOKUP(Q820,Mapping!$E$11:$I$204,5,0)</f>
        <v>ACS</v>
      </c>
      <c r="AC820" s="35" t="s">
        <v>237</v>
      </c>
      <c r="AD820" s="35"/>
      <c r="AE820" s="35">
        <v>80000</v>
      </c>
      <c r="AF820" s="35" t="s">
        <v>453</v>
      </c>
      <c r="AG820" s="36">
        <v>6.101</v>
      </c>
      <c r="AI820" s="7" t="str">
        <f>VLOOKUP($AC820,Mapping!$E$11:$I$204,3,0)</f>
        <v>Replacement</v>
      </c>
      <c r="AJ820" s="7" t="str">
        <f>IFERROR(VLOOKUP($AE820,Mapping!$E$208:$K$236,5,0),"Contracts")</f>
        <v>Overhead</v>
      </c>
      <c r="AK820" s="7" t="str">
        <f>IFERROR(VLOOKUP($AE820,Mapping!$E$208:$K$236,7,0),"ENDirect")</f>
        <v>OH</v>
      </c>
      <c r="AL820" s="7" t="str">
        <f>IFERROR(HLOOKUP(AJ820,'Calc|Weightings'!$U$5:$W$5,1,0),"Excl")</f>
        <v>Excl</v>
      </c>
      <c r="AM820" s="7" t="str">
        <f>VLOOKUP(AC820,Mapping!$E$11:$I$204,5,0)</f>
        <v>SCS</v>
      </c>
      <c r="AO820" s="35" t="s">
        <v>221</v>
      </c>
      <c r="AP820" s="35"/>
      <c r="AQ820" s="35">
        <v>83010</v>
      </c>
      <c r="AR820" s="35" t="s">
        <v>591</v>
      </c>
      <c r="AS820" s="121">
        <v>204.47414000000003</v>
      </c>
      <c r="AU820" s="7" t="str">
        <f>VLOOKUP($AO820,Mapping!$E$11:$I$204,3,0)</f>
        <v>Replacement</v>
      </c>
      <c r="AV820" s="7" t="str">
        <f>IFERROR(VLOOKUP($AQ820,Mapping!$E$208:$K$236,5,0),"Contracts")</f>
        <v>Contracts</v>
      </c>
      <c r="AW820" s="7" t="str">
        <f>IFERROR(VLOOKUP($AQ820,Mapping!$E$208:$K$236,7,0),"ENDirect")</f>
        <v>ENDirect</v>
      </c>
      <c r="AX820" s="7" t="str">
        <f>IFERROR(HLOOKUP(AV820,'Calc|Weightings'!$U$5:$W$5,1,0),"Excl")</f>
        <v>Contracts</v>
      </c>
      <c r="AY820" s="7" t="str">
        <f>VLOOKUP(AO820,Mapping!$E$11:$I$204,5,0)</f>
        <v>SCS</v>
      </c>
    </row>
    <row r="821" spans="1:51" x14ac:dyDescent="0.3">
      <c r="A821" s="7"/>
      <c r="B821" s="7"/>
      <c r="C821" s="7"/>
      <c r="D821" s="7"/>
      <c r="E821" s="32" t="s">
        <v>221</v>
      </c>
      <c r="F821" s="32"/>
      <c r="G821" s="32">
        <v>71055</v>
      </c>
      <c r="H821" s="32" t="s">
        <v>465</v>
      </c>
      <c r="I821" s="33">
        <v>28.545000000000002</v>
      </c>
      <c r="J821" s="170"/>
      <c r="K821" s="7" t="str">
        <f>VLOOKUP($E821,Mapping!$E$11:$I$204,3,0)</f>
        <v>Replacement</v>
      </c>
      <c r="L821" s="7" t="str">
        <f>IFERROR(VLOOKUP($G821,Mapping!$E$208:$K$236,5,0),"Contracts")</f>
        <v>Contracts</v>
      </c>
      <c r="M821" s="7" t="str">
        <f>IFERROR(VLOOKUP($G821,Mapping!$E$208:$K$236,7,0),"ENDirect")</f>
        <v>ENDirect</v>
      </c>
      <c r="N821" s="7" t="str">
        <f>IFERROR(HLOOKUP(L821,'Calc|Weightings'!$U$5:$W$5,1,0),"Excl")</f>
        <v>Contracts</v>
      </c>
      <c r="O821" s="7" t="str">
        <f>VLOOKUP(E821,Mapping!$E$11:$I$204,5,0)</f>
        <v>SCS</v>
      </c>
      <c r="Q821" s="32" t="s">
        <v>246</v>
      </c>
      <c r="R821" s="32"/>
      <c r="S821" s="32">
        <v>71055</v>
      </c>
      <c r="T821" s="32" t="s">
        <v>465</v>
      </c>
      <c r="U821" s="33">
        <v>0.121</v>
      </c>
      <c r="V821" s="7"/>
      <c r="W821" s="7" t="str">
        <f>VLOOKUP($Q821,Mapping!$E$11:$I$204,3,0)</f>
        <v>ACS</v>
      </c>
      <c r="X821" s="7" t="str">
        <f>IFERROR(VLOOKUP($S821,Mapping!$E$208:$K$236,5,0),"Contracts")</f>
        <v>Contracts</v>
      </c>
      <c r="Y821" s="7" t="str">
        <f>IFERROR(VLOOKUP($S821,Mapping!$E$208:$K$236,7,0),"ENDirect")</f>
        <v>ENDirect</v>
      </c>
      <c r="Z821" s="7" t="str">
        <f>IFERROR(HLOOKUP(X821,'Calc|Weightings'!$U$5:$W$5,1,0),"Excl")</f>
        <v>Contracts</v>
      </c>
      <c r="AA821" s="7" t="str">
        <f>VLOOKUP(Q821,Mapping!$E$11:$I$204,5,0)</f>
        <v>ACS</v>
      </c>
      <c r="AC821" s="35" t="s">
        <v>237</v>
      </c>
      <c r="AD821" s="35"/>
      <c r="AE821" s="35">
        <v>89999</v>
      </c>
      <c r="AF821" s="35" t="s">
        <v>471</v>
      </c>
      <c r="AG821" s="36">
        <v>0</v>
      </c>
      <c r="AI821" s="7" t="str">
        <f>VLOOKUP($AC821,Mapping!$E$11:$I$204,3,0)</f>
        <v>Replacement</v>
      </c>
      <c r="AJ821" s="7" t="str">
        <f>IFERROR(VLOOKUP($AE821,Mapping!$E$208:$K$236,5,0),"Contracts")</f>
        <v>Contracts</v>
      </c>
      <c r="AK821" s="7" t="str">
        <f>IFERROR(VLOOKUP($AE821,Mapping!$E$208:$K$236,7,0),"ENDirect")</f>
        <v>ENDirect</v>
      </c>
      <c r="AL821" s="7" t="str">
        <f>IFERROR(HLOOKUP(AJ821,'Calc|Weightings'!$U$5:$W$5,1,0),"Excl")</f>
        <v>Contracts</v>
      </c>
      <c r="AM821" s="7" t="str">
        <f>VLOOKUP(AC821,Mapping!$E$11:$I$204,5,0)</f>
        <v>SCS</v>
      </c>
      <c r="AO821" s="35" t="s">
        <v>222</v>
      </c>
      <c r="AP821" s="35"/>
      <c r="AQ821" s="35">
        <v>71000</v>
      </c>
      <c r="AR821" s="35" t="s">
        <v>457</v>
      </c>
      <c r="AS821" s="121">
        <v>161.49841000000004</v>
      </c>
      <c r="AU821" s="7" t="str">
        <f>VLOOKUP($AO821,Mapping!$E$11:$I$204,3,0)</f>
        <v>Replacement</v>
      </c>
      <c r="AV821" s="7" t="str">
        <f>IFERROR(VLOOKUP($AQ821,Mapping!$E$208:$K$236,5,0),"Contracts")</f>
        <v>Labour</v>
      </c>
      <c r="AW821" s="7" t="str">
        <f>IFERROR(VLOOKUP($AQ821,Mapping!$E$208:$K$236,7,0),"ENDirect")</f>
        <v>ENDirect</v>
      </c>
      <c r="AX821" s="7" t="str">
        <f>IFERROR(HLOOKUP(AV821,'Calc|Weightings'!$U$5:$W$5,1,0),"Excl")</f>
        <v>Labour</v>
      </c>
      <c r="AY821" s="7" t="str">
        <f>VLOOKUP(AO821,Mapping!$E$11:$I$204,5,0)</f>
        <v>SCS</v>
      </c>
    </row>
    <row r="822" spans="1:51" x14ac:dyDescent="0.3">
      <c r="A822" s="7"/>
      <c r="B822" s="7"/>
      <c r="C822" s="7"/>
      <c r="D822" s="7"/>
      <c r="E822" s="32" t="s">
        <v>221</v>
      </c>
      <c r="F822" s="32"/>
      <c r="G822" s="32">
        <v>80000</v>
      </c>
      <c r="H822" s="32" t="s">
        <v>453</v>
      </c>
      <c r="I822" s="33">
        <v>17.925000000000001</v>
      </c>
      <c r="J822" s="170"/>
      <c r="K822" s="7" t="str">
        <f>VLOOKUP($E822,Mapping!$E$11:$I$204,3,0)</f>
        <v>Replacement</v>
      </c>
      <c r="L822" s="7" t="str">
        <f>IFERROR(VLOOKUP($G822,Mapping!$E$208:$K$236,5,0),"Contracts")</f>
        <v>Overhead</v>
      </c>
      <c r="M822" s="7" t="str">
        <f>IFERROR(VLOOKUP($G822,Mapping!$E$208:$K$236,7,0),"ENDirect")</f>
        <v>OH</v>
      </c>
      <c r="N822" s="7" t="str">
        <f>IFERROR(HLOOKUP(L822,'Calc|Weightings'!$U$5:$W$5,1,0),"Excl")</f>
        <v>Excl</v>
      </c>
      <c r="O822" s="7" t="str">
        <f>VLOOKUP(E822,Mapping!$E$11:$I$204,5,0)</f>
        <v>SCS</v>
      </c>
      <c r="Q822" s="32" t="s">
        <v>247</v>
      </c>
      <c r="R822" s="32"/>
      <c r="S822" s="32">
        <v>71000</v>
      </c>
      <c r="T822" s="32" t="s">
        <v>457</v>
      </c>
      <c r="U822" s="33">
        <v>-37.878999999999998</v>
      </c>
      <c r="V822" s="7"/>
      <c r="W822" s="7" t="str">
        <f>VLOOKUP($Q822,Mapping!$E$11:$I$204,3,0)</f>
        <v>ACS</v>
      </c>
      <c r="X822" s="7" t="str">
        <f>IFERROR(VLOOKUP($S822,Mapping!$E$208:$K$236,5,0),"Contracts")</f>
        <v>Labour</v>
      </c>
      <c r="Y822" s="7" t="str">
        <f>IFERROR(VLOOKUP($S822,Mapping!$E$208:$K$236,7,0),"ENDirect")</f>
        <v>ENDirect</v>
      </c>
      <c r="Z822" s="7" t="str">
        <f>IFERROR(HLOOKUP(X822,'Calc|Weightings'!$U$5:$W$5,1,0),"Excl")</f>
        <v>Labour</v>
      </c>
      <c r="AA822" s="7" t="str">
        <f>VLOOKUP(Q822,Mapping!$E$11:$I$204,5,0)</f>
        <v>ACS</v>
      </c>
      <c r="AC822" s="35" t="s">
        <v>240</v>
      </c>
      <c r="AD822" s="35"/>
      <c r="AE822" s="35">
        <v>71000</v>
      </c>
      <c r="AF822" s="35" t="s">
        <v>457</v>
      </c>
      <c r="AG822" s="36">
        <v>161.22200000000001</v>
      </c>
      <c r="AI822" s="7" t="str">
        <f>VLOOKUP($AC822,Mapping!$E$11:$I$204,3,0)</f>
        <v>Replacement</v>
      </c>
      <c r="AJ822" s="7" t="str">
        <f>IFERROR(VLOOKUP($AE822,Mapping!$E$208:$K$236,5,0),"Contracts")</f>
        <v>Labour</v>
      </c>
      <c r="AK822" s="7" t="str">
        <f>IFERROR(VLOOKUP($AE822,Mapping!$E$208:$K$236,7,0),"ENDirect")</f>
        <v>ENDirect</v>
      </c>
      <c r="AL822" s="7" t="str">
        <f>IFERROR(HLOOKUP(AJ822,'Calc|Weightings'!$U$5:$W$5,1,0),"Excl")</f>
        <v>Labour</v>
      </c>
      <c r="AM822" s="7" t="str">
        <f>VLOOKUP(AC822,Mapping!$E$11:$I$204,5,0)</f>
        <v>SCS</v>
      </c>
      <c r="AO822" s="35" t="s">
        <v>222</v>
      </c>
      <c r="AP822" s="35"/>
      <c r="AQ822" s="35">
        <v>71005</v>
      </c>
      <c r="AR822" s="35" t="s">
        <v>461</v>
      </c>
      <c r="AS822" s="121">
        <v>20.024759999999993</v>
      </c>
      <c r="AU822" s="7" t="str">
        <f>VLOOKUP($AO822,Mapping!$E$11:$I$204,3,0)</f>
        <v>Replacement</v>
      </c>
      <c r="AV822" s="7" t="str">
        <f>IFERROR(VLOOKUP($AQ822,Mapping!$E$208:$K$236,5,0),"Contracts")</f>
        <v>Materials</v>
      </c>
      <c r="AW822" s="7" t="str">
        <f>IFERROR(VLOOKUP($AQ822,Mapping!$E$208:$K$236,7,0),"ENDirect")</f>
        <v>ENDirect</v>
      </c>
      <c r="AX822" s="7" t="str">
        <f>IFERROR(HLOOKUP(AV822,'Calc|Weightings'!$U$5:$W$5,1,0),"Excl")</f>
        <v>Materials</v>
      </c>
      <c r="AY822" s="7" t="str">
        <f>VLOOKUP(AO822,Mapping!$E$11:$I$204,5,0)</f>
        <v>SCS</v>
      </c>
    </row>
    <row r="823" spans="1:51" x14ac:dyDescent="0.3">
      <c r="A823" s="7"/>
      <c r="B823" s="7"/>
      <c r="C823" s="7"/>
      <c r="D823" s="7"/>
      <c r="E823" s="32" t="s">
        <v>222</v>
      </c>
      <c r="F823" s="32"/>
      <c r="G823" s="32">
        <v>71000</v>
      </c>
      <c r="H823" s="32" t="s">
        <v>457</v>
      </c>
      <c r="I823" s="33">
        <v>389.81799999999998</v>
      </c>
      <c r="J823" s="170"/>
      <c r="K823" s="7" t="str">
        <f>VLOOKUP($E823,Mapping!$E$11:$I$204,3,0)</f>
        <v>Replacement</v>
      </c>
      <c r="L823" s="7" t="str">
        <f>IFERROR(VLOOKUP($G823,Mapping!$E$208:$K$236,5,0),"Contracts")</f>
        <v>Labour</v>
      </c>
      <c r="M823" s="7" t="str">
        <f>IFERROR(VLOOKUP($G823,Mapping!$E$208:$K$236,7,0),"ENDirect")</f>
        <v>ENDirect</v>
      </c>
      <c r="N823" s="7" t="str">
        <f>IFERROR(HLOOKUP(L823,'Calc|Weightings'!$U$5:$W$5,1,0),"Excl")</f>
        <v>Labour</v>
      </c>
      <c r="O823" s="7" t="str">
        <f>VLOOKUP(E823,Mapping!$E$11:$I$204,5,0)</f>
        <v>SCS</v>
      </c>
      <c r="Q823" s="32" t="s">
        <v>247</v>
      </c>
      <c r="R823" s="32"/>
      <c r="S823" s="32">
        <v>71005</v>
      </c>
      <c r="T823" s="32" t="s">
        <v>461</v>
      </c>
      <c r="U823" s="33">
        <v>0.46300000000000002</v>
      </c>
      <c r="V823" s="7"/>
      <c r="W823" s="7" t="str">
        <f>VLOOKUP($Q823,Mapping!$E$11:$I$204,3,0)</f>
        <v>ACS</v>
      </c>
      <c r="X823" s="7" t="str">
        <f>IFERROR(VLOOKUP($S823,Mapping!$E$208:$K$236,5,0),"Contracts")</f>
        <v>Materials</v>
      </c>
      <c r="Y823" s="7" t="str">
        <f>IFERROR(VLOOKUP($S823,Mapping!$E$208:$K$236,7,0),"ENDirect")</f>
        <v>ENDirect</v>
      </c>
      <c r="Z823" s="7" t="str">
        <f>IFERROR(HLOOKUP(X823,'Calc|Weightings'!$U$5:$W$5,1,0),"Excl")</f>
        <v>Materials</v>
      </c>
      <c r="AA823" s="7" t="str">
        <f>VLOOKUP(Q823,Mapping!$E$11:$I$204,5,0)</f>
        <v>ACS</v>
      </c>
      <c r="AC823" s="35" t="s">
        <v>240</v>
      </c>
      <c r="AD823" s="35"/>
      <c r="AE823" s="35">
        <v>71005</v>
      </c>
      <c r="AF823" s="35" t="s">
        <v>461</v>
      </c>
      <c r="AG823" s="36">
        <v>47.756</v>
      </c>
      <c r="AI823" s="7" t="str">
        <f>VLOOKUP($AC823,Mapping!$E$11:$I$204,3,0)</f>
        <v>Replacement</v>
      </c>
      <c r="AJ823" s="7" t="str">
        <f>IFERROR(VLOOKUP($AE823,Mapping!$E$208:$K$236,5,0),"Contracts")</f>
        <v>Materials</v>
      </c>
      <c r="AK823" s="7" t="str">
        <f>IFERROR(VLOOKUP($AE823,Mapping!$E$208:$K$236,7,0),"ENDirect")</f>
        <v>ENDirect</v>
      </c>
      <c r="AL823" s="7" t="str">
        <f>IFERROR(HLOOKUP(AJ823,'Calc|Weightings'!$U$5:$W$5,1,0),"Excl")</f>
        <v>Materials</v>
      </c>
      <c r="AM823" s="7" t="str">
        <f>VLOOKUP(AC823,Mapping!$E$11:$I$204,5,0)</f>
        <v>SCS</v>
      </c>
      <c r="AO823" s="35" t="s">
        <v>222</v>
      </c>
      <c r="AP823" s="35"/>
      <c r="AQ823" s="35">
        <v>71010</v>
      </c>
      <c r="AR823" s="35" t="s">
        <v>487</v>
      </c>
      <c r="AS823" s="121">
        <v>114.70576</v>
      </c>
      <c r="AU823" s="7" t="str">
        <f>VLOOKUP($AO823,Mapping!$E$11:$I$204,3,0)</f>
        <v>Replacement</v>
      </c>
      <c r="AV823" s="7" t="str">
        <f>IFERROR(VLOOKUP($AQ823,Mapping!$E$208:$K$236,5,0),"Contracts")</f>
        <v>Labour</v>
      </c>
      <c r="AW823" s="7" t="str">
        <f>IFERROR(VLOOKUP($AQ823,Mapping!$E$208:$K$236,7,0),"ENDirect")</f>
        <v>ENDirect</v>
      </c>
      <c r="AX823" s="7" t="str">
        <f>IFERROR(HLOOKUP(AV823,'Calc|Weightings'!$U$5:$W$5,1,0),"Excl")</f>
        <v>Labour</v>
      </c>
      <c r="AY823" s="7" t="str">
        <f>VLOOKUP(AO823,Mapping!$E$11:$I$204,5,0)</f>
        <v>SCS</v>
      </c>
    </row>
    <row r="824" spans="1:51" x14ac:dyDescent="0.3">
      <c r="A824" s="7"/>
      <c r="B824" s="7"/>
      <c r="C824" s="7"/>
      <c r="D824" s="7"/>
      <c r="E824" s="32" t="s">
        <v>222</v>
      </c>
      <c r="F824" s="32"/>
      <c r="G824" s="32">
        <v>71005</v>
      </c>
      <c r="H824" s="32" t="s">
        <v>461</v>
      </c>
      <c r="I824" s="33">
        <v>115.14700000000001</v>
      </c>
      <c r="J824" s="170"/>
      <c r="K824" s="7" t="str">
        <f>VLOOKUP($E824,Mapping!$E$11:$I$204,3,0)</f>
        <v>Replacement</v>
      </c>
      <c r="L824" s="7" t="str">
        <f>IFERROR(VLOOKUP($G824,Mapping!$E$208:$K$236,5,0),"Contracts")</f>
        <v>Materials</v>
      </c>
      <c r="M824" s="7" t="str">
        <f>IFERROR(VLOOKUP($G824,Mapping!$E$208:$K$236,7,0),"ENDirect")</f>
        <v>ENDirect</v>
      </c>
      <c r="N824" s="7" t="str">
        <f>IFERROR(HLOOKUP(L824,'Calc|Weightings'!$U$5:$W$5,1,0),"Excl")</f>
        <v>Materials</v>
      </c>
      <c r="O824" s="7" t="str">
        <f>VLOOKUP(E824,Mapping!$E$11:$I$204,5,0)</f>
        <v>SCS</v>
      </c>
      <c r="Q824" s="32" t="s">
        <v>247</v>
      </c>
      <c r="R824" s="32"/>
      <c r="S824" s="32">
        <v>71030</v>
      </c>
      <c r="T824" s="32" t="s">
        <v>464</v>
      </c>
      <c r="U824" s="33">
        <v>7.98</v>
      </c>
      <c r="V824" s="7"/>
      <c r="W824" s="7" t="str">
        <f>VLOOKUP($Q824,Mapping!$E$11:$I$204,3,0)</f>
        <v>ACS</v>
      </c>
      <c r="X824" s="7" t="str">
        <f>IFERROR(VLOOKUP($S824,Mapping!$E$208:$K$236,5,0),"Contracts")</f>
        <v>Contracts</v>
      </c>
      <c r="Y824" s="7" t="str">
        <f>IFERROR(VLOOKUP($S824,Mapping!$E$208:$K$236,7,0),"ENDirect")</f>
        <v>ENDirect</v>
      </c>
      <c r="Z824" s="7" t="str">
        <f>IFERROR(HLOOKUP(X824,'Calc|Weightings'!$U$5:$W$5,1,0),"Excl")</f>
        <v>Contracts</v>
      </c>
      <c r="AA824" s="7" t="str">
        <f>VLOOKUP(Q824,Mapping!$E$11:$I$204,5,0)</f>
        <v>ACS</v>
      </c>
      <c r="AC824" s="35" t="s">
        <v>240</v>
      </c>
      <c r="AD824" s="35"/>
      <c r="AE824" s="35">
        <v>71010</v>
      </c>
      <c r="AF824" s="35" t="s">
        <v>462</v>
      </c>
      <c r="AG824" s="36">
        <v>36.472000000000001</v>
      </c>
      <c r="AI824" s="7" t="str">
        <f>VLOOKUP($AC824,Mapping!$E$11:$I$204,3,0)</f>
        <v>Replacement</v>
      </c>
      <c r="AJ824" s="7" t="str">
        <f>IFERROR(VLOOKUP($AE824,Mapping!$E$208:$K$236,5,0),"Contracts")</f>
        <v>Labour</v>
      </c>
      <c r="AK824" s="7" t="str">
        <f>IFERROR(VLOOKUP($AE824,Mapping!$E$208:$K$236,7,0),"ENDirect")</f>
        <v>ENDirect</v>
      </c>
      <c r="AL824" s="7" t="str">
        <f>IFERROR(HLOOKUP(AJ824,'Calc|Weightings'!$U$5:$W$5,1,0),"Excl")</f>
        <v>Labour</v>
      </c>
      <c r="AM824" s="7" t="str">
        <f>VLOOKUP(AC824,Mapping!$E$11:$I$204,5,0)</f>
        <v>SCS</v>
      </c>
      <c r="AO824" s="35" t="s">
        <v>222</v>
      </c>
      <c r="AP824" s="35"/>
      <c r="AQ824" s="35">
        <v>71015</v>
      </c>
      <c r="AR824" s="35" t="s">
        <v>585</v>
      </c>
      <c r="AS824" s="121">
        <v>23.252829999999999</v>
      </c>
      <c r="AU824" s="7" t="str">
        <f>VLOOKUP($AO824,Mapping!$E$11:$I$204,3,0)</f>
        <v>Replacement</v>
      </c>
      <c r="AV824" s="7" t="str">
        <f>IFERROR(VLOOKUP($AQ824,Mapping!$E$208:$K$236,5,0),"Contracts")</f>
        <v>Materials</v>
      </c>
      <c r="AW824" s="7" t="str">
        <f>IFERROR(VLOOKUP($AQ824,Mapping!$E$208:$K$236,7,0),"ENDirect")</f>
        <v>ENDirect</v>
      </c>
      <c r="AX824" s="7" t="str">
        <f>IFERROR(HLOOKUP(AV824,'Calc|Weightings'!$U$5:$W$5,1,0),"Excl")</f>
        <v>Materials</v>
      </c>
      <c r="AY824" s="7" t="str">
        <f>VLOOKUP(AO824,Mapping!$E$11:$I$204,5,0)</f>
        <v>SCS</v>
      </c>
    </row>
    <row r="825" spans="1:51" x14ac:dyDescent="0.3">
      <c r="A825" s="7"/>
      <c r="B825" s="7"/>
      <c r="C825" s="7"/>
      <c r="D825" s="7"/>
      <c r="E825" s="32" t="s">
        <v>222</v>
      </c>
      <c r="F825" s="32"/>
      <c r="G825" s="32">
        <v>71010</v>
      </c>
      <c r="H825" s="32" t="s">
        <v>462</v>
      </c>
      <c r="I825" s="33">
        <v>226.81800000000001</v>
      </c>
      <c r="J825" s="170"/>
      <c r="K825" s="7" t="str">
        <f>VLOOKUP($E825,Mapping!$E$11:$I$204,3,0)</f>
        <v>Replacement</v>
      </c>
      <c r="L825" s="7" t="str">
        <f>IFERROR(VLOOKUP($G825,Mapping!$E$208:$K$236,5,0),"Contracts")</f>
        <v>Labour</v>
      </c>
      <c r="M825" s="7" t="str">
        <f>IFERROR(VLOOKUP($G825,Mapping!$E$208:$K$236,7,0),"ENDirect")</f>
        <v>ENDirect</v>
      </c>
      <c r="N825" s="7" t="str">
        <f>IFERROR(HLOOKUP(L825,'Calc|Weightings'!$U$5:$W$5,1,0),"Excl")</f>
        <v>Labour</v>
      </c>
      <c r="O825" s="7" t="str">
        <f>VLOOKUP(E825,Mapping!$E$11:$I$204,5,0)</f>
        <v>SCS</v>
      </c>
      <c r="Q825" s="32" t="s">
        <v>247</v>
      </c>
      <c r="R825" s="32"/>
      <c r="S825" s="32">
        <v>71055</v>
      </c>
      <c r="T825" s="32" t="s">
        <v>465</v>
      </c>
      <c r="U825" s="33">
        <v>24.536000000000001</v>
      </c>
      <c r="V825" s="7"/>
      <c r="W825" s="7" t="str">
        <f>VLOOKUP($Q825,Mapping!$E$11:$I$204,3,0)</f>
        <v>ACS</v>
      </c>
      <c r="X825" s="7" t="str">
        <f>IFERROR(VLOOKUP($S825,Mapping!$E$208:$K$236,5,0),"Contracts")</f>
        <v>Contracts</v>
      </c>
      <c r="Y825" s="7" t="str">
        <f>IFERROR(VLOOKUP($S825,Mapping!$E$208:$K$236,7,0),"ENDirect")</f>
        <v>ENDirect</v>
      </c>
      <c r="Z825" s="7" t="str">
        <f>IFERROR(HLOOKUP(X825,'Calc|Weightings'!$U$5:$W$5,1,0),"Excl")</f>
        <v>Contracts</v>
      </c>
      <c r="AA825" s="7" t="str">
        <f>VLOOKUP(Q825,Mapping!$E$11:$I$204,5,0)</f>
        <v>ACS</v>
      </c>
      <c r="AC825" s="35" t="s">
        <v>240</v>
      </c>
      <c r="AD825" s="35"/>
      <c r="AE825" s="35">
        <v>71015</v>
      </c>
      <c r="AF825" s="35" t="s">
        <v>463</v>
      </c>
      <c r="AG825" s="36">
        <v>36.49</v>
      </c>
      <c r="AI825" s="7" t="str">
        <f>VLOOKUP($AC825,Mapping!$E$11:$I$204,3,0)</f>
        <v>Replacement</v>
      </c>
      <c r="AJ825" s="7" t="str">
        <f>IFERROR(VLOOKUP($AE825,Mapping!$E$208:$K$236,5,0),"Contracts")</f>
        <v>Materials</v>
      </c>
      <c r="AK825" s="7" t="str">
        <f>IFERROR(VLOOKUP($AE825,Mapping!$E$208:$K$236,7,0),"ENDirect")</f>
        <v>ENDirect</v>
      </c>
      <c r="AL825" s="7" t="str">
        <f>IFERROR(HLOOKUP(AJ825,'Calc|Weightings'!$U$5:$W$5,1,0),"Excl")</f>
        <v>Materials</v>
      </c>
      <c r="AM825" s="7" t="str">
        <f>VLOOKUP(AC825,Mapping!$E$11:$I$204,5,0)</f>
        <v>SCS</v>
      </c>
      <c r="AO825" s="35" t="s">
        <v>222</v>
      </c>
      <c r="AP825" s="35"/>
      <c r="AQ825" s="35">
        <v>71030</v>
      </c>
      <c r="AR825" s="35" t="s">
        <v>464</v>
      </c>
      <c r="AS825" s="121">
        <v>27.293970000000002</v>
      </c>
      <c r="AU825" s="7" t="str">
        <f>VLOOKUP($AO825,Mapping!$E$11:$I$204,3,0)</f>
        <v>Replacement</v>
      </c>
      <c r="AV825" s="7" t="str">
        <f>IFERROR(VLOOKUP($AQ825,Mapping!$E$208:$K$236,5,0),"Contracts")</f>
        <v>Contracts</v>
      </c>
      <c r="AW825" s="7" t="str">
        <f>IFERROR(VLOOKUP($AQ825,Mapping!$E$208:$K$236,7,0),"ENDirect")</f>
        <v>ENDirect</v>
      </c>
      <c r="AX825" s="7" t="str">
        <f>IFERROR(HLOOKUP(AV825,'Calc|Weightings'!$U$5:$W$5,1,0),"Excl")</f>
        <v>Contracts</v>
      </c>
      <c r="AY825" s="7" t="str">
        <f>VLOOKUP(AO825,Mapping!$E$11:$I$204,5,0)</f>
        <v>SCS</v>
      </c>
    </row>
    <row r="826" spans="1:51" x14ac:dyDescent="0.3">
      <c r="A826" s="7"/>
      <c r="B826" s="7"/>
      <c r="C826" s="7"/>
      <c r="D826" s="7"/>
      <c r="E826" s="32" t="s">
        <v>222</v>
      </c>
      <c r="F826" s="32"/>
      <c r="G826" s="32">
        <v>71015</v>
      </c>
      <c r="H826" s="32" t="s">
        <v>463</v>
      </c>
      <c r="I826" s="33">
        <v>85.852000000000004</v>
      </c>
      <c r="J826" s="170"/>
      <c r="K826" s="7" t="str">
        <f>VLOOKUP($E826,Mapping!$E$11:$I$204,3,0)</f>
        <v>Replacement</v>
      </c>
      <c r="L826" s="7" t="str">
        <f>IFERROR(VLOOKUP($G826,Mapping!$E$208:$K$236,5,0),"Contracts")</f>
        <v>Materials</v>
      </c>
      <c r="M826" s="7" t="str">
        <f>IFERROR(VLOOKUP($G826,Mapping!$E$208:$K$236,7,0),"ENDirect")</f>
        <v>ENDirect</v>
      </c>
      <c r="N826" s="7" t="str">
        <f>IFERROR(HLOOKUP(L826,'Calc|Weightings'!$U$5:$W$5,1,0),"Excl")</f>
        <v>Materials</v>
      </c>
      <c r="O826" s="7" t="str">
        <f>VLOOKUP(E826,Mapping!$E$11:$I$204,5,0)</f>
        <v>SCS</v>
      </c>
      <c r="Q826" s="32" t="s">
        <v>247</v>
      </c>
      <c r="R826" s="32"/>
      <c r="S826" s="32">
        <v>80000</v>
      </c>
      <c r="T826" s="32" t="s">
        <v>453</v>
      </c>
      <c r="U826" s="33">
        <v>1.7000000000000001E-2</v>
      </c>
      <c r="V826" s="7"/>
      <c r="W826" s="7" t="str">
        <f>VLOOKUP($Q826,Mapping!$E$11:$I$204,3,0)</f>
        <v>ACS</v>
      </c>
      <c r="X826" s="7" t="str">
        <f>IFERROR(VLOOKUP($S826,Mapping!$E$208:$K$236,5,0),"Contracts")</f>
        <v>Overhead</v>
      </c>
      <c r="Y826" s="7" t="str">
        <f>IFERROR(VLOOKUP($S826,Mapping!$E$208:$K$236,7,0),"ENDirect")</f>
        <v>OH</v>
      </c>
      <c r="Z826" s="7" t="str">
        <f>IFERROR(HLOOKUP(X826,'Calc|Weightings'!$U$5:$W$5,1,0),"Excl")</f>
        <v>Excl</v>
      </c>
      <c r="AA826" s="7" t="str">
        <f>VLOOKUP(Q826,Mapping!$E$11:$I$204,5,0)</f>
        <v>ACS</v>
      </c>
      <c r="AC826" s="35" t="s">
        <v>240</v>
      </c>
      <c r="AD826" s="35"/>
      <c r="AE826" s="35">
        <v>71030</v>
      </c>
      <c r="AF826" s="35" t="s">
        <v>464</v>
      </c>
      <c r="AG826" s="36">
        <v>21.963000000000001</v>
      </c>
      <c r="AI826" s="7" t="str">
        <f>VLOOKUP($AC826,Mapping!$E$11:$I$204,3,0)</f>
        <v>Replacement</v>
      </c>
      <c r="AJ826" s="7" t="str">
        <f>IFERROR(VLOOKUP($AE826,Mapping!$E$208:$K$236,5,0),"Contracts")</f>
        <v>Contracts</v>
      </c>
      <c r="AK826" s="7" t="str">
        <f>IFERROR(VLOOKUP($AE826,Mapping!$E$208:$K$236,7,0),"ENDirect")</f>
        <v>ENDirect</v>
      </c>
      <c r="AL826" s="7" t="str">
        <f>IFERROR(HLOOKUP(AJ826,'Calc|Weightings'!$U$5:$W$5,1,0),"Excl")</f>
        <v>Contracts</v>
      </c>
      <c r="AM826" s="7" t="str">
        <f>VLOOKUP(AC826,Mapping!$E$11:$I$204,5,0)</f>
        <v>SCS</v>
      </c>
      <c r="AO826" s="35" t="s">
        <v>222</v>
      </c>
      <c r="AP826" s="35"/>
      <c r="AQ826" s="35">
        <v>71055</v>
      </c>
      <c r="AR826" s="35" t="s">
        <v>465</v>
      </c>
      <c r="AS826" s="121">
        <v>70.431339999999992</v>
      </c>
      <c r="AU826" s="7" t="str">
        <f>VLOOKUP($AO826,Mapping!$E$11:$I$204,3,0)</f>
        <v>Replacement</v>
      </c>
      <c r="AV826" s="7" t="str">
        <f>IFERROR(VLOOKUP($AQ826,Mapping!$E$208:$K$236,5,0),"Contracts")</f>
        <v>Contracts</v>
      </c>
      <c r="AW826" s="7" t="str">
        <f>IFERROR(VLOOKUP($AQ826,Mapping!$E$208:$K$236,7,0),"ENDirect")</f>
        <v>ENDirect</v>
      </c>
      <c r="AX826" s="7" t="str">
        <f>IFERROR(HLOOKUP(AV826,'Calc|Weightings'!$U$5:$W$5,1,0),"Excl")</f>
        <v>Contracts</v>
      </c>
      <c r="AY826" s="7" t="str">
        <f>VLOOKUP(AO826,Mapping!$E$11:$I$204,5,0)</f>
        <v>SCS</v>
      </c>
    </row>
    <row r="827" spans="1:51" x14ac:dyDescent="0.3">
      <c r="A827" s="7"/>
      <c r="B827" s="7"/>
      <c r="C827" s="7"/>
      <c r="D827" s="7"/>
      <c r="E827" s="32" t="s">
        <v>222</v>
      </c>
      <c r="F827" s="32"/>
      <c r="G827" s="32">
        <v>71030</v>
      </c>
      <c r="H827" s="32" t="s">
        <v>464</v>
      </c>
      <c r="I827" s="33">
        <v>67.677999999999997</v>
      </c>
      <c r="J827" s="170"/>
      <c r="K827" s="7" t="str">
        <f>VLOOKUP($E827,Mapping!$E$11:$I$204,3,0)</f>
        <v>Replacement</v>
      </c>
      <c r="L827" s="7" t="str">
        <f>IFERROR(VLOOKUP($G827,Mapping!$E$208:$K$236,5,0),"Contracts")</f>
        <v>Contracts</v>
      </c>
      <c r="M827" s="7" t="str">
        <f>IFERROR(VLOOKUP($G827,Mapping!$E$208:$K$236,7,0),"ENDirect")</f>
        <v>ENDirect</v>
      </c>
      <c r="N827" s="7" t="str">
        <f>IFERROR(HLOOKUP(L827,'Calc|Weightings'!$U$5:$W$5,1,0),"Excl")</f>
        <v>Contracts</v>
      </c>
      <c r="O827" s="7" t="str">
        <f>VLOOKUP(E827,Mapping!$E$11:$I$204,5,0)</f>
        <v>SCS</v>
      </c>
      <c r="Q827" s="32" t="s">
        <v>248</v>
      </c>
      <c r="R827" s="32"/>
      <c r="S827" s="32">
        <v>71000</v>
      </c>
      <c r="T827" s="32" t="s">
        <v>457</v>
      </c>
      <c r="U827" s="33">
        <v>23.202000000000002</v>
      </c>
      <c r="V827" s="7"/>
      <c r="W827" s="7" t="str">
        <f>VLOOKUP($Q827,Mapping!$E$11:$I$204,3,0)</f>
        <v>ACS</v>
      </c>
      <c r="X827" s="7" t="str">
        <f>IFERROR(VLOOKUP($S827,Mapping!$E$208:$K$236,5,0),"Contracts")</f>
        <v>Labour</v>
      </c>
      <c r="Y827" s="7" t="str">
        <f>IFERROR(VLOOKUP($S827,Mapping!$E$208:$K$236,7,0),"ENDirect")</f>
        <v>ENDirect</v>
      </c>
      <c r="Z827" s="7" t="str">
        <f>IFERROR(HLOOKUP(X827,'Calc|Weightings'!$U$5:$W$5,1,0),"Excl")</f>
        <v>Labour</v>
      </c>
      <c r="AA827" s="7" t="str">
        <f>VLOOKUP(Q827,Mapping!$E$11:$I$204,5,0)</f>
        <v>ACS</v>
      </c>
      <c r="AC827" s="35" t="s">
        <v>240</v>
      </c>
      <c r="AD827" s="35"/>
      <c r="AE827" s="35">
        <v>71055</v>
      </c>
      <c r="AF827" s="35" t="s">
        <v>465</v>
      </c>
      <c r="AG827" s="36">
        <v>40.427</v>
      </c>
      <c r="AI827" s="7" t="str">
        <f>VLOOKUP($AC827,Mapping!$E$11:$I$204,3,0)</f>
        <v>Replacement</v>
      </c>
      <c r="AJ827" s="7" t="str">
        <f>IFERROR(VLOOKUP($AE827,Mapping!$E$208:$K$236,5,0),"Contracts")</f>
        <v>Contracts</v>
      </c>
      <c r="AK827" s="7" t="str">
        <f>IFERROR(VLOOKUP($AE827,Mapping!$E$208:$K$236,7,0),"ENDirect")</f>
        <v>ENDirect</v>
      </c>
      <c r="AL827" s="7" t="str">
        <f>IFERROR(HLOOKUP(AJ827,'Calc|Weightings'!$U$5:$W$5,1,0),"Excl")</f>
        <v>Contracts</v>
      </c>
      <c r="AM827" s="7" t="str">
        <f>VLOOKUP(AC827,Mapping!$E$11:$I$204,5,0)</f>
        <v>SCS</v>
      </c>
      <c r="AO827" s="35" t="s">
        <v>222</v>
      </c>
      <c r="AP827" s="35"/>
      <c r="AQ827" s="35">
        <v>71070</v>
      </c>
      <c r="AR827" s="35" t="s">
        <v>586</v>
      </c>
      <c r="AS827" s="121">
        <v>11.927919999999999</v>
      </c>
      <c r="AU827" s="7" t="str">
        <f>VLOOKUP($AO827,Mapping!$E$11:$I$204,3,0)</f>
        <v>Replacement</v>
      </c>
      <c r="AV827" s="7" t="str">
        <f>IFERROR(VLOOKUP($AQ827,Mapping!$E$208:$K$236,5,0),"Contracts")</f>
        <v>Contracts</v>
      </c>
      <c r="AW827" s="7" t="str">
        <f>IFERROR(VLOOKUP($AQ827,Mapping!$E$208:$K$236,7,0),"ENDirect")</f>
        <v>ENDirect</v>
      </c>
      <c r="AX827" s="7" t="str">
        <f>IFERROR(HLOOKUP(AV827,'Calc|Weightings'!$U$5:$W$5,1,0),"Excl")</f>
        <v>Contracts</v>
      </c>
      <c r="AY827" s="7" t="str">
        <f>VLOOKUP(AO827,Mapping!$E$11:$I$204,5,0)</f>
        <v>SCS</v>
      </c>
    </row>
    <row r="828" spans="1:51" x14ac:dyDescent="0.3">
      <c r="A828" s="7"/>
      <c r="B828" s="7"/>
      <c r="C828" s="7"/>
      <c r="D828" s="7"/>
      <c r="E828" s="32" t="s">
        <v>222</v>
      </c>
      <c r="F828" s="32"/>
      <c r="G828" s="32">
        <v>71055</v>
      </c>
      <c r="H828" s="32" t="s">
        <v>465</v>
      </c>
      <c r="I828" s="33">
        <v>153.32</v>
      </c>
      <c r="J828" s="170"/>
      <c r="K828" s="7" t="str">
        <f>VLOOKUP($E828,Mapping!$E$11:$I$204,3,0)</f>
        <v>Replacement</v>
      </c>
      <c r="L828" s="7" t="str">
        <f>IFERROR(VLOOKUP($G828,Mapping!$E$208:$K$236,5,0),"Contracts")</f>
        <v>Contracts</v>
      </c>
      <c r="M828" s="7" t="str">
        <f>IFERROR(VLOOKUP($G828,Mapping!$E$208:$K$236,7,0),"ENDirect")</f>
        <v>ENDirect</v>
      </c>
      <c r="N828" s="7" t="str">
        <f>IFERROR(HLOOKUP(L828,'Calc|Weightings'!$U$5:$W$5,1,0),"Excl")</f>
        <v>Contracts</v>
      </c>
      <c r="O828" s="7" t="str">
        <f>VLOOKUP(E828,Mapping!$E$11:$I$204,5,0)</f>
        <v>SCS</v>
      </c>
      <c r="Q828" s="32" t="s">
        <v>248</v>
      </c>
      <c r="R828" s="32"/>
      <c r="S828" s="32">
        <v>71005</v>
      </c>
      <c r="T828" s="32" t="s">
        <v>461</v>
      </c>
      <c r="U828" s="33">
        <v>1.228</v>
      </c>
      <c r="V828" s="7"/>
      <c r="W828" s="7" t="str">
        <f>VLOOKUP($Q828,Mapping!$E$11:$I$204,3,0)</f>
        <v>ACS</v>
      </c>
      <c r="X828" s="7" t="str">
        <f>IFERROR(VLOOKUP($S828,Mapping!$E$208:$K$236,5,0),"Contracts")</f>
        <v>Materials</v>
      </c>
      <c r="Y828" s="7" t="str">
        <f>IFERROR(VLOOKUP($S828,Mapping!$E$208:$K$236,7,0),"ENDirect")</f>
        <v>ENDirect</v>
      </c>
      <c r="Z828" s="7" t="str">
        <f>IFERROR(HLOOKUP(X828,'Calc|Weightings'!$U$5:$W$5,1,0),"Excl")</f>
        <v>Materials</v>
      </c>
      <c r="AA828" s="7" t="str">
        <f>VLOOKUP(Q828,Mapping!$E$11:$I$204,5,0)</f>
        <v>ACS</v>
      </c>
      <c r="AC828" s="35" t="s">
        <v>240</v>
      </c>
      <c r="AD828" s="35"/>
      <c r="AE828" s="35">
        <v>80000</v>
      </c>
      <c r="AF828" s="35" t="s">
        <v>453</v>
      </c>
      <c r="AG828" s="36">
        <v>23.324000000000002</v>
      </c>
      <c r="AI828" s="7" t="str">
        <f>VLOOKUP($AC828,Mapping!$E$11:$I$204,3,0)</f>
        <v>Replacement</v>
      </c>
      <c r="AJ828" s="7" t="str">
        <f>IFERROR(VLOOKUP($AE828,Mapping!$E$208:$K$236,5,0),"Contracts")</f>
        <v>Overhead</v>
      </c>
      <c r="AK828" s="7" t="str">
        <f>IFERROR(VLOOKUP($AE828,Mapping!$E$208:$K$236,7,0),"ENDirect")</f>
        <v>OH</v>
      </c>
      <c r="AL828" s="7" t="str">
        <f>IFERROR(HLOOKUP(AJ828,'Calc|Weightings'!$U$5:$W$5,1,0),"Excl")</f>
        <v>Excl</v>
      </c>
      <c r="AM828" s="7" t="str">
        <f>VLOOKUP(AC828,Mapping!$E$11:$I$204,5,0)</f>
        <v>SCS</v>
      </c>
      <c r="AO828" s="35" t="s">
        <v>222</v>
      </c>
      <c r="AP828" s="35"/>
      <c r="AQ828" s="35">
        <v>71075</v>
      </c>
      <c r="AR828" s="35" t="s">
        <v>587</v>
      </c>
      <c r="AS828" s="121">
        <v>149.06385000000003</v>
      </c>
      <c r="AU828" s="7" t="str">
        <f>VLOOKUP($AO828,Mapping!$E$11:$I$204,3,0)</f>
        <v>Replacement</v>
      </c>
      <c r="AV828" s="7" t="str">
        <f>IFERROR(VLOOKUP($AQ828,Mapping!$E$208:$K$236,5,0),"Contracts")</f>
        <v>Contracts</v>
      </c>
      <c r="AW828" s="7" t="str">
        <f>IFERROR(VLOOKUP($AQ828,Mapping!$E$208:$K$236,7,0),"ENDirect")</f>
        <v>ENDirect</v>
      </c>
      <c r="AX828" s="7" t="str">
        <f>IFERROR(HLOOKUP(AV828,'Calc|Weightings'!$U$5:$W$5,1,0),"Excl")</f>
        <v>Contracts</v>
      </c>
      <c r="AY828" s="7" t="str">
        <f>VLOOKUP(AO828,Mapping!$E$11:$I$204,5,0)</f>
        <v>SCS</v>
      </c>
    </row>
    <row r="829" spans="1:51" x14ac:dyDescent="0.3">
      <c r="A829" s="7"/>
      <c r="B829" s="7"/>
      <c r="C829" s="7"/>
      <c r="D829" s="7"/>
      <c r="E829" s="32" t="s">
        <v>222</v>
      </c>
      <c r="F829" s="32"/>
      <c r="G829" s="32">
        <v>80000</v>
      </c>
      <c r="H829" s="32" t="s">
        <v>453</v>
      </c>
      <c r="I829" s="33">
        <v>95.289000000000001</v>
      </c>
      <c r="J829" s="170"/>
      <c r="K829" s="7" t="str">
        <f>VLOOKUP($E829,Mapping!$E$11:$I$204,3,0)</f>
        <v>Replacement</v>
      </c>
      <c r="L829" s="7" t="str">
        <f>IFERROR(VLOOKUP($G829,Mapping!$E$208:$K$236,5,0),"Contracts")</f>
        <v>Overhead</v>
      </c>
      <c r="M829" s="7" t="str">
        <f>IFERROR(VLOOKUP($G829,Mapping!$E$208:$K$236,7,0),"ENDirect")</f>
        <v>OH</v>
      </c>
      <c r="N829" s="7" t="str">
        <f>IFERROR(HLOOKUP(L829,'Calc|Weightings'!$U$5:$W$5,1,0),"Excl")</f>
        <v>Excl</v>
      </c>
      <c r="O829" s="7" t="str">
        <f>VLOOKUP(E829,Mapping!$E$11:$I$204,5,0)</f>
        <v>SCS</v>
      </c>
      <c r="Q829" s="32" t="s">
        <v>248</v>
      </c>
      <c r="R829" s="32"/>
      <c r="S829" s="32">
        <v>71010</v>
      </c>
      <c r="T829" s="32" t="s">
        <v>462</v>
      </c>
      <c r="U829" s="33">
        <v>2.0219999999999998</v>
      </c>
      <c r="V829" s="7"/>
      <c r="W829" s="7" t="str">
        <f>VLOOKUP($Q829,Mapping!$E$11:$I$204,3,0)</f>
        <v>ACS</v>
      </c>
      <c r="X829" s="7" t="str">
        <f>IFERROR(VLOOKUP($S829,Mapping!$E$208:$K$236,5,0),"Contracts")</f>
        <v>Labour</v>
      </c>
      <c r="Y829" s="7" t="str">
        <f>IFERROR(VLOOKUP($S829,Mapping!$E$208:$K$236,7,0),"ENDirect")</f>
        <v>ENDirect</v>
      </c>
      <c r="Z829" s="7" t="str">
        <f>IFERROR(HLOOKUP(X829,'Calc|Weightings'!$U$5:$W$5,1,0),"Excl")</f>
        <v>Labour</v>
      </c>
      <c r="AA829" s="7" t="str">
        <f>VLOOKUP(Q829,Mapping!$E$11:$I$204,5,0)</f>
        <v>ACS</v>
      </c>
      <c r="AC829" s="35" t="s">
        <v>240</v>
      </c>
      <c r="AD829" s="35"/>
      <c r="AE829" s="35">
        <v>89999</v>
      </c>
      <c r="AF829" s="35" t="s">
        <v>471</v>
      </c>
      <c r="AG829" s="36">
        <v>0</v>
      </c>
      <c r="AI829" s="7" t="str">
        <f>VLOOKUP($AC829,Mapping!$E$11:$I$204,3,0)</f>
        <v>Replacement</v>
      </c>
      <c r="AJ829" s="7" t="str">
        <f>IFERROR(VLOOKUP($AE829,Mapping!$E$208:$K$236,5,0),"Contracts")</f>
        <v>Contracts</v>
      </c>
      <c r="AK829" s="7" t="str">
        <f>IFERROR(VLOOKUP($AE829,Mapping!$E$208:$K$236,7,0),"ENDirect")</f>
        <v>ENDirect</v>
      </c>
      <c r="AL829" s="7" t="str">
        <f>IFERROR(HLOOKUP(AJ829,'Calc|Weightings'!$U$5:$W$5,1,0),"Excl")</f>
        <v>Contracts</v>
      </c>
      <c r="AM829" s="7" t="str">
        <f>VLOOKUP(AC829,Mapping!$E$11:$I$204,5,0)</f>
        <v>SCS</v>
      </c>
      <c r="AO829" s="35" t="s">
        <v>222</v>
      </c>
      <c r="AP829" s="35"/>
      <c r="AQ829" s="35">
        <v>80000</v>
      </c>
      <c r="AR829" s="35" t="s">
        <v>589</v>
      </c>
      <c r="AS829" s="121">
        <v>311.65560999999997</v>
      </c>
      <c r="AU829" s="7" t="str">
        <f>VLOOKUP($AO829,Mapping!$E$11:$I$204,3,0)</f>
        <v>Replacement</v>
      </c>
      <c r="AV829" s="7" t="str">
        <f>IFERROR(VLOOKUP($AQ829,Mapping!$E$208:$K$236,5,0),"Contracts")</f>
        <v>Overhead</v>
      </c>
      <c r="AW829" s="7" t="str">
        <f>IFERROR(VLOOKUP($AQ829,Mapping!$E$208:$K$236,7,0),"ENDirect")</f>
        <v>OH</v>
      </c>
      <c r="AX829" s="7" t="str">
        <f>IFERROR(HLOOKUP(AV829,'Calc|Weightings'!$U$5:$W$5,1,0),"Excl")</f>
        <v>Excl</v>
      </c>
      <c r="AY829" s="7" t="str">
        <f>VLOOKUP(AO829,Mapping!$E$11:$I$204,5,0)</f>
        <v>SCS</v>
      </c>
    </row>
    <row r="830" spans="1:51" x14ac:dyDescent="0.3">
      <c r="A830" s="7"/>
      <c r="B830" s="7"/>
      <c r="C830" s="7"/>
      <c r="D830" s="7"/>
      <c r="E830" s="32" t="s">
        <v>223</v>
      </c>
      <c r="F830" s="32"/>
      <c r="G830" s="32">
        <v>71000</v>
      </c>
      <c r="H830" s="32" t="s">
        <v>457</v>
      </c>
      <c r="I830" s="33">
        <v>232.82300000000001</v>
      </c>
      <c r="J830" s="170"/>
      <c r="K830" s="7" t="str">
        <f>VLOOKUP($E830,Mapping!$E$11:$I$204,3,0)</f>
        <v>Replacement</v>
      </c>
      <c r="L830" s="7" t="str">
        <f>IFERROR(VLOOKUP($G830,Mapping!$E$208:$K$236,5,0),"Contracts")</f>
        <v>Labour</v>
      </c>
      <c r="M830" s="7" t="str">
        <f>IFERROR(VLOOKUP($G830,Mapping!$E$208:$K$236,7,0),"ENDirect")</f>
        <v>ENDirect</v>
      </c>
      <c r="N830" s="7" t="str">
        <f>IFERROR(HLOOKUP(L830,'Calc|Weightings'!$U$5:$W$5,1,0),"Excl")</f>
        <v>Labour</v>
      </c>
      <c r="O830" s="7" t="str">
        <f>VLOOKUP(E830,Mapping!$E$11:$I$204,5,0)</f>
        <v>SCS</v>
      </c>
      <c r="Q830" s="32" t="s">
        <v>248</v>
      </c>
      <c r="R830" s="32"/>
      <c r="S830" s="32">
        <v>71015</v>
      </c>
      <c r="T830" s="32" t="s">
        <v>463</v>
      </c>
      <c r="U830" s="33">
        <v>5.6950000000000003</v>
      </c>
      <c r="V830" s="7"/>
      <c r="W830" s="7" t="str">
        <f>VLOOKUP($Q830,Mapping!$E$11:$I$204,3,0)</f>
        <v>ACS</v>
      </c>
      <c r="X830" s="7" t="str">
        <f>IFERROR(VLOOKUP($S830,Mapping!$E$208:$K$236,5,0),"Contracts")</f>
        <v>Materials</v>
      </c>
      <c r="Y830" s="7" t="str">
        <f>IFERROR(VLOOKUP($S830,Mapping!$E$208:$K$236,7,0),"ENDirect")</f>
        <v>ENDirect</v>
      </c>
      <c r="Z830" s="7" t="str">
        <f>IFERROR(HLOOKUP(X830,'Calc|Weightings'!$U$5:$W$5,1,0),"Excl")</f>
        <v>Materials</v>
      </c>
      <c r="AA830" s="7" t="str">
        <f>VLOOKUP(Q830,Mapping!$E$11:$I$204,5,0)</f>
        <v>ACS</v>
      </c>
      <c r="AC830" s="35" t="s">
        <v>241</v>
      </c>
      <c r="AD830" s="35"/>
      <c r="AE830" s="35">
        <v>71000</v>
      </c>
      <c r="AF830" s="35" t="s">
        <v>457</v>
      </c>
      <c r="AG830" s="36">
        <v>46.555</v>
      </c>
      <c r="AI830" s="7" t="str">
        <f>VLOOKUP($AC830,Mapping!$E$11:$I$204,3,0)</f>
        <v>Replacement</v>
      </c>
      <c r="AJ830" s="7" t="str">
        <f>IFERROR(VLOOKUP($AE830,Mapping!$E$208:$K$236,5,0),"Contracts")</f>
        <v>Labour</v>
      </c>
      <c r="AK830" s="7" t="str">
        <f>IFERROR(VLOOKUP($AE830,Mapping!$E$208:$K$236,7,0),"ENDirect")</f>
        <v>ENDirect</v>
      </c>
      <c r="AL830" s="7" t="str">
        <f>IFERROR(HLOOKUP(AJ830,'Calc|Weightings'!$U$5:$W$5,1,0),"Excl")</f>
        <v>Labour</v>
      </c>
      <c r="AM830" s="7" t="str">
        <f>VLOOKUP(AC830,Mapping!$E$11:$I$204,5,0)</f>
        <v>SCS</v>
      </c>
      <c r="AO830" s="35" t="s">
        <v>222</v>
      </c>
      <c r="AP830" s="35"/>
      <c r="AQ830" s="35">
        <v>83010</v>
      </c>
      <c r="AR830" s="35" t="s">
        <v>591</v>
      </c>
      <c r="AS830" s="121">
        <v>1204.7199199999993</v>
      </c>
      <c r="AU830" s="7" t="str">
        <f>VLOOKUP($AO830,Mapping!$E$11:$I$204,3,0)</f>
        <v>Replacement</v>
      </c>
      <c r="AV830" s="7" t="str">
        <f>IFERROR(VLOOKUP($AQ830,Mapping!$E$208:$K$236,5,0),"Contracts")</f>
        <v>Contracts</v>
      </c>
      <c r="AW830" s="7" t="str">
        <f>IFERROR(VLOOKUP($AQ830,Mapping!$E$208:$K$236,7,0),"ENDirect")</f>
        <v>ENDirect</v>
      </c>
      <c r="AX830" s="7" t="str">
        <f>IFERROR(HLOOKUP(AV830,'Calc|Weightings'!$U$5:$W$5,1,0),"Excl")</f>
        <v>Contracts</v>
      </c>
      <c r="AY830" s="7" t="str">
        <f>VLOOKUP(AO830,Mapping!$E$11:$I$204,5,0)</f>
        <v>SCS</v>
      </c>
    </row>
    <row r="831" spans="1:51" x14ac:dyDescent="0.3">
      <c r="A831" s="7"/>
      <c r="B831" s="7"/>
      <c r="C831" s="7"/>
      <c r="D831" s="7"/>
      <c r="E831" s="32" t="s">
        <v>223</v>
      </c>
      <c r="F831" s="32"/>
      <c r="G831" s="32">
        <v>71005</v>
      </c>
      <c r="H831" s="32" t="s">
        <v>461</v>
      </c>
      <c r="I831" s="33">
        <v>64.19</v>
      </c>
      <c r="J831" s="170"/>
      <c r="K831" s="7" t="str">
        <f>VLOOKUP($E831,Mapping!$E$11:$I$204,3,0)</f>
        <v>Replacement</v>
      </c>
      <c r="L831" s="7" t="str">
        <f>IFERROR(VLOOKUP($G831,Mapping!$E$208:$K$236,5,0),"Contracts")</f>
        <v>Materials</v>
      </c>
      <c r="M831" s="7" t="str">
        <f>IFERROR(VLOOKUP($G831,Mapping!$E$208:$K$236,7,0),"ENDirect")</f>
        <v>ENDirect</v>
      </c>
      <c r="N831" s="7" t="str">
        <f>IFERROR(HLOOKUP(L831,'Calc|Weightings'!$U$5:$W$5,1,0),"Excl")</f>
        <v>Materials</v>
      </c>
      <c r="O831" s="7" t="str">
        <f>VLOOKUP(E831,Mapping!$E$11:$I$204,5,0)</f>
        <v>SCS</v>
      </c>
      <c r="Q831" s="32" t="s">
        <v>248</v>
      </c>
      <c r="R831" s="32"/>
      <c r="S831" s="32">
        <v>71030</v>
      </c>
      <c r="T831" s="32" t="s">
        <v>464</v>
      </c>
      <c r="U831" s="33">
        <v>2.677</v>
      </c>
      <c r="V831" s="7"/>
      <c r="W831" s="7" t="str">
        <f>VLOOKUP($Q831,Mapping!$E$11:$I$204,3,0)</f>
        <v>ACS</v>
      </c>
      <c r="X831" s="7" t="str">
        <f>IFERROR(VLOOKUP($S831,Mapping!$E$208:$K$236,5,0),"Contracts")</f>
        <v>Contracts</v>
      </c>
      <c r="Y831" s="7" t="str">
        <f>IFERROR(VLOOKUP($S831,Mapping!$E$208:$K$236,7,0),"ENDirect")</f>
        <v>ENDirect</v>
      </c>
      <c r="Z831" s="7" t="str">
        <f>IFERROR(HLOOKUP(X831,'Calc|Weightings'!$U$5:$W$5,1,0),"Excl")</f>
        <v>Contracts</v>
      </c>
      <c r="AA831" s="7" t="str">
        <f>VLOOKUP(Q831,Mapping!$E$11:$I$204,5,0)</f>
        <v>ACS</v>
      </c>
      <c r="AC831" s="35" t="s">
        <v>241</v>
      </c>
      <c r="AD831" s="35"/>
      <c r="AE831" s="35">
        <v>71005</v>
      </c>
      <c r="AF831" s="35" t="s">
        <v>461</v>
      </c>
      <c r="AG831" s="36">
        <v>1.4350000000000001</v>
      </c>
      <c r="AI831" s="7" t="str">
        <f>VLOOKUP($AC831,Mapping!$E$11:$I$204,3,0)</f>
        <v>Replacement</v>
      </c>
      <c r="AJ831" s="7" t="str">
        <f>IFERROR(VLOOKUP($AE831,Mapping!$E$208:$K$236,5,0),"Contracts")</f>
        <v>Materials</v>
      </c>
      <c r="AK831" s="7" t="str">
        <f>IFERROR(VLOOKUP($AE831,Mapping!$E$208:$K$236,7,0),"ENDirect")</f>
        <v>ENDirect</v>
      </c>
      <c r="AL831" s="7" t="str">
        <f>IFERROR(HLOOKUP(AJ831,'Calc|Weightings'!$U$5:$W$5,1,0),"Excl")</f>
        <v>Materials</v>
      </c>
      <c r="AM831" s="7" t="str">
        <f>VLOOKUP(AC831,Mapping!$E$11:$I$204,5,0)</f>
        <v>SCS</v>
      </c>
      <c r="AO831" s="35" t="s">
        <v>223</v>
      </c>
      <c r="AP831" s="35"/>
      <c r="AQ831" s="35">
        <v>71000</v>
      </c>
      <c r="AR831" s="35" t="s">
        <v>457</v>
      </c>
      <c r="AS831" s="121">
        <v>29.792950000000001</v>
      </c>
      <c r="AU831" s="7" t="str">
        <f>VLOOKUP($AO831,Mapping!$E$11:$I$204,3,0)</f>
        <v>Replacement</v>
      </c>
      <c r="AV831" s="7" t="str">
        <f>IFERROR(VLOOKUP($AQ831,Mapping!$E$208:$K$236,5,0),"Contracts")</f>
        <v>Labour</v>
      </c>
      <c r="AW831" s="7" t="str">
        <f>IFERROR(VLOOKUP($AQ831,Mapping!$E$208:$K$236,7,0),"ENDirect")</f>
        <v>ENDirect</v>
      </c>
      <c r="AX831" s="7" t="str">
        <f>IFERROR(HLOOKUP(AV831,'Calc|Weightings'!$U$5:$W$5,1,0),"Excl")</f>
        <v>Labour</v>
      </c>
      <c r="AY831" s="7" t="str">
        <f>VLOOKUP(AO831,Mapping!$E$11:$I$204,5,0)</f>
        <v>SCS</v>
      </c>
    </row>
    <row r="832" spans="1:51" x14ac:dyDescent="0.3">
      <c r="A832" s="7"/>
      <c r="B832" s="7"/>
      <c r="C832" s="7"/>
      <c r="D832" s="7"/>
      <c r="E832" s="32" t="s">
        <v>223</v>
      </c>
      <c r="F832" s="32"/>
      <c r="G832" s="32">
        <v>71010</v>
      </c>
      <c r="H832" s="32" t="s">
        <v>462</v>
      </c>
      <c r="I832" s="33">
        <v>176.50399999999999</v>
      </c>
      <c r="J832" s="170"/>
      <c r="K832" s="7" t="str">
        <f>VLOOKUP($E832,Mapping!$E$11:$I$204,3,0)</f>
        <v>Replacement</v>
      </c>
      <c r="L832" s="7" t="str">
        <f>IFERROR(VLOOKUP($G832,Mapping!$E$208:$K$236,5,0),"Contracts")</f>
        <v>Labour</v>
      </c>
      <c r="M832" s="7" t="str">
        <f>IFERROR(VLOOKUP($G832,Mapping!$E$208:$K$236,7,0),"ENDirect")</f>
        <v>ENDirect</v>
      </c>
      <c r="N832" s="7" t="str">
        <f>IFERROR(HLOOKUP(L832,'Calc|Weightings'!$U$5:$W$5,1,0),"Excl")</f>
        <v>Labour</v>
      </c>
      <c r="O832" s="7" t="str">
        <f>VLOOKUP(E832,Mapping!$E$11:$I$204,5,0)</f>
        <v>SCS</v>
      </c>
      <c r="Q832" s="32" t="s">
        <v>248</v>
      </c>
      <c r="R832" s="32"/>
      <c r="S832" s="32">
        <v>71055</v>
      </c>
      <c r="T832" s="32" t="s">
        <v>465</v>
      </c>
      <c r="U832" s="33">
        <v>6.0960000000000001</v>
      </c>
      <c r="V832" s="7"/>
      <c r="W832" s="7" t="str">
        <f>VLOOKUP($Q832,Mapping!$E$11:$I$204,3,0)</f>
        <v>ACS</v>
      </c>
      <c r="X832" s="7" t="str">
        <f>IFERROR(VLOOKUP($S832,Mapping!$E$208:$K$236,5,0),"Contracts")</f>
        <v>Contracts</v>
      </c>
      <c r="Y832" s="7" t="str">
        <f>IFERROR(VLOOKUP($S832,Mapping!$E$208:$K$236,7,0),"ENDirect")</f>
        <v>ENDirect</v>
      </c>
      <c r="Z832" s="7" t="str">
        <f>IFERROR(HLOOKUP(X832,'Calc|Weightings'!$U$5:$W$5,1,0),"Excl")</f>
        <v>Contracts</v>
      </c>
      <c r="AA832" s="7" t="str">
        <f>VLOOKUP(Q832,Mapping!$E$11:$I$204,5,0)</f>
        <v>ACS</v>
      </c>
      <c r="AC832" s="35" t="s">
        <v>241</v>
      </c>
      <c r="AD832" s="35"/>
      <c r="AE832" s="35">
        <v>71006</v>
      </c>
      <c r="AF832" s="35" t="s">
        <v>468</v>
      </c>
      <c r="AG832" s="36">
        <v>8.6630000000000003</v>
      </c>
      <c r="AI832" s="7" t="str">
        <f>VLOOKUP($AC832,Mapping!$E$11:$I$204,3,0)</f>
        <v>Replacement</v>
      </c>
      <c r="AJ832" s="7" t="str">
        <f>IFERROR(VLOOKUP($AE832,Mapping!$E$208:$K$236,5,0),"Contracts")</f>
        <v>Materials</v>
      </c>
      <c r="AK832" s="7" t="str">
        <f>IFERROR(VLOOKUP($AE832,Mapping!$E$208:$K$236,7,0),"ENDirect")</f>
        <v>ENDirect</v>
      </c>
      <c r="AL832" s="7" t="str">
        <f>IFERROR(HLOOKUP(AJ832,'Calc|Weightings'!$U$5:$W$5,1,0),"Excl")</f>
        <v>Materials</v>
      </c>
      <c r="AM832" s="7" t="str">
        <f>VLOOKUP(AC832,Mapping!$E$11:$I$204,5,0)</f>
        <v>SCS</v>
      </c>
      <c r="AO832" s="35" t="s">
        <v>223</v>
      </c>
      <c r="AP832" s="35"/>
      <c r="AQ832" s="35">
        <v>71005</v>
      </c>
      <c r="AR832" s="35" t="s">
        <v>461</v>
      </c>
      <c r="AS832" s="121">
        <v>0.69164000000000003</v>
      </c>
      <c r="AU832" s="7" t="str">
        <f>VLOOKUP($AO832,Mapping!$E$11:$I$204,3,0)</f>
        <v>Replacement</v>
      </c>
      <c r="AV832" s="7" t="str">
        <f>IFERROR(VLOOKUP($AQ832,Mapping!$E$208:$K$236,5,0),"Contracts")</f>
        <v>Materials</v>
      </c>
      <c r="AW832" s="7" t="str">
        <f>IFERROR(VLOOKUP($AQ832,Mapping!$E$208:$K$236,7,0),"ENDirect")</f>
        <v>ENDirect</v>
      </c>
      <c r="AX832" s="7" t="str">
        <f>IFERROR(HLOOKUP(AV832,'Calc|Weightings'!$U$5:$W$5,1,0),"Excl")</f>
        <v>Materials</v>
      </c>
      <c r="AY832" s="7" t="str">
        <f>VLOOKUP(AO832,Mapping!$E$11:$I$204,5,0)</f>
        <v>SCS</v>
      </c>
    </row>
    <row r="833" spans="1:51" x14ac:dyDescent="0.3">
      <c r="A833" s="7"/>
      <c r="B833" s="7"/>
      <c r="C833" s="7"/>
      <c r="D833" s="7"/>
      <c r="E833" s="32" t="s">
        <v>223</v>
      </c>
      <c r="F833" s="32"/>
      <c r="G833" s="32">
        <v>71015</v>
      </c>
      <c r="H833" s="32" t="s">
        <v>463</v>
      </c>
      <c r="I833" s="33">
        <v>49.48</v>
      </c>
      <c r="J833" s="170"/>
      <c r="K833" s="7" t="str">
        <f>VLOOKUP($E833,Mapping!$E$11:$I$204,3,0)</f>
        <v>Replacement</v>
      </c>
      <c r="L833" s="7" t="str">
        <f>IFERROR(VLOOKUP($G833,Mapping!$E$208:$K$236,5,0),"Contracts")</f>
        <v>Materials</v>
      </c>
      <c r="M833" s="7" t="str">
        <f>IFERROR(VLOOKUP($G833,Mapping!$E$208:$K$236,7,0),"ENDirect")</f>
        <v>ENDirect</v>
      </c>
      <c r="N833" s="7" t="str">
        <f>IFERROR(HLOOKUP(L833,'Calc|Weightings'!$U$5:$W$5,1,0),"Excl")</f>
        <v>Materials</v>
      </c>
      <c r="O833" s="7" t="str">
        <f>VLOOKUP(E833,Mapping!$E$11:$I$204,5,0)</f>
        <v>SCS</v>
      </c>
      <c r="Q833" s="32" t="s">
        <v>248</v>
      </c>
      <c r="R833" s="32"/>
      <c r="S833" s="32">
        <v>80000</v>
      </c>
      <c r="T833" s="32" t="s">
        <v>453</v>
      </c>
      <c r="U833" s="33">
        <v>5.8070000000000004</v>
      </c>
      <c r="V833" s="7"/>
      <c r="W833" s="7" t="str">
        <f>VLOOKUP($Q833,Mapping!$E$11:$I$204,3,0)</f>
        <v>ACS</v>
      </c>
      <c r="X833" s="7" t="str">
        <f>IFERROR(VLOOKUP($S833,Mapping!$E$208:$K$236,5,0),"Contracts")</f>
        <v>Overhead</v>
      </c>
      <c r="Y833" s="7" t="str">
        <f>IFERROR(VLOOKUP($S833,Mapping!$E$208:$K$236,7,0),"ENDirect")</f>
        <v>OH</v>
      </c>
      <c r="Z833" s="7" t="str">
        <f>IFERROR(HLOOKUP(X833,'Calc|Weightings'!$U$5:$W$5,1,0),"Excl")</f>
        <v>Excl</v>
      </c>
      <c r="AA833" s="7" t="str">
        <f>VLOOKUP(Q833,Mapping!$E$11:$I$204,5,0)</f>
        <v>ACS</v>
      </c>
      <c r="AC833" s="35" t="s">
        <v>241</v>
      </c>
      <c r="AD833" s="35"/>
      <c r="AE833" s="35">
        <v>71010</v>
      </c>
      <c r="AF833" s="35" t="s">
        <v>462</v>
      </c>
      <c r="AG833" s="36">
        <v>5.8250000000000002</v>
      </c>
      <c r="AI833" s="7" t="str">
        <f>VLOOKUP($AC833,Mapping!$E$11:$I$204,3,0)</f>
        <v>Replacement</v>
      </c>
      <c r="AJ833" s="7" t="str">
        <f>IFERROR(VLOOKUP($AE833,Mapping!$E$208:$K$236,5,0),"Contracts")</f>
        <v>Labour</v>
      </c>
      <c r="AK833" s="7" t="str">
        <f>IFERROR(VLOOKUP($AE833,Mapping!$E$208:$K$236,7,0),"ENDirect")</f>
        <v>ENDirect</v>
      </c>
      <c r="AL833" s="7" t="str">
        <f>IFERROR(HLOOKUP(AJ833,'Calc|Weightings'!$U$5:$W$5,1,0),"Excl")</f>
        <v>Labour</v>
      </c>
      <c r="AM833" s="7" t="str">
        <f>VLOOKUP(AC833,Mapping!$E$11:$I$204,5,0)</f>
        <v>SCS</v>
      </c>
      <c r="AO833" s="35" t="s">
        <v>223</v>
      </c>
      <c r="AP833" s="35"/>
      <c r="AQ833" s="35">
        <v>71010</v>
      </c>
      <c r="AR833" s="35" t="s">
        <v>487</v>
      </c>
      <c r="AS833" s="121">
        <v>5.4524800000000004</v>
      </c>
      <c r="AU833" s="7" t="str">
        <f>VLOOKUP($AO833,Mapping!$E$11:$I$204,3,0)</f>
        <v>Replacement</v>
      </c>
      <c r="AV833" s="7" t="str">
        <f>IFERROR(VLOOKUP($AQ833,Mapping!$E$208:$K$236,5,0),"Contracts")</f>
        <v>Labour</v>
      </c>
      <c r="AW833" s="7" t="str">
        <f>IFERROR(VLOOKUP($AQ833,Mapping!$E$208:$K$236,7,0),"ENDirect")</f>
        <v>ENDirect</v>
      </c>
      <c r="AX833" s="7" t="str">
        <f>IFERROR(HLOOKUP(AV833,'Calc|Weightings'!$U$5:$W$5,1,0),"Excl")</f>
        <v>Labour</v>
      </c>
      <c r="AY833" s="7" t="str">
        <f>VLOOKUP(AO833,Mapping!$E$11:$I$204,5,0)</f>
        <v>SCS</v>
      </c>
    </row>
    <row r="834" spans="1:51" x14ac:dyDescent="0.3">
      <c r="A834" s="7"/>
      <c r="B834" s="7"/>
      <c r="C834" s="7"/>
      <c r="D834" s="7"/>
      <c r="E834" s="32" t="s">
        <v>223</v>
      </c>
      <c r="F834" s="32"/>
      <c r="G834" s="32">
        <v>71030</v>
      </c>
      <c r="H834" s="32" t="s">
        <v>464</v>
      </c>
      <c r="I834" s="33">
        <v>47.26</v>
      </c>
      <c r="J834" s="170"/>
      <c r="K834" s="7" t="str">
        <f>VLOOKUP($E834,Mapping!$E$11:$I$204,3,0)</f>
        <v>Replacement</v>
      </c>
      <c r="L834" s="7" t="str">
        <f>IFERROR(VLOOKUP($G834,Mapping!$E$208:$K$236,5,0),"Contracts")</f>
        <v>Contracts</v>
      </c>
      <c r="M834" s="7" t="str">
        <f>IFERROR(VLOOKUP($G834,Mapping!$E$208:$K$236,7,0),"ENDirect")</f>
        <v>ENDirect</v>
      </c>
      <c r="N834" s="7" t="str">
        <f>IFERROR(HLOOKUP(L834,'Calc|Weightings'!$U$5:$W$5,1,0),"Excl")</f>
        <v>Contracts</v>
      </c>
      <c r="O834" s="7" t="str">
        <f>VLOOKUP(E834,Mapping!$E$11:$I$204,5,0)</f>
        <v>SCS</v>
      </c>
      <c r="Q834" s="32" t="s">
        <v>249</v>
      </c>
      <c r="R834" s="32"/>
      <c r="S834" s="32">
        <v>71000</v>
      </c>
      <c r="T834" s="32" t="s">
        <v>457</v>
      </c>
      <c r="U834" s="33">
        <v>66.805000000000007</v>
      </c>
      <c r="V834" s="7"/>
      <c r="W834" s="7" t="str">
        <f>VLOOKUP($Q834,Mapping!$E$11:$I$204,3,0)</f>
        <v>ACS</v>
      </c>
      <c r="X834" s="7" t="str">
        <f>IFERROR(VLOOKUP($S834,Mapping!$E$208:$K$236,5,0),"Contracts")</f>
        <v>Labour</v>
      </c>
      <c r="Y834" s="7" t="str">
        <f>IFERROR(VLOOKUP($S834,Mapping!$E$208:$K$236,7,0),"ENDirect")</f>
        <v>ENDirect</v>
      </c>
      <c r="Z834" s="7" t="str">
        <f>IFERROR(HLOOKUP(X834,'Calc|Weightings'!$U$5:$W$5,1,0),"Excl")</f>
        <v>Labour</v>
      </c>
      <c r="AA834" s="7" t="str">
        <f>VLOOKUP(Q834,Mapping!$E$11:$I$204,5,0)</f>
        <v>ACS</v>
      </c>
      <c r="AC834" s="35" t="s">
        <v>241</v>
      </c>
      <c r="AD834" s="35"/>
      <c r="AE834" s="35">
        <v>71015</v>
      </c>
      <c r="AF834" s="35" t="s">
        <v>463</v>
      </c>
      <c r="AG834" s="36">
        <v>10.132999999999999</v>
      </c>
      <c r="AI834" s="7" t="str">
        <f>VLOOKUP($AC834,Mapping!$E$11:$I$204,3,0)</f>
        <v>Replacement</v>
      </c>
      <c r="AJ834" s="7" t="str">
        <f>IFERROR(VLOOKUP($AE834,Mapping!$E$208:$K$236,5,0),"Contracts")</f>
        <v>Materials</v>
      </c>
      <c r="AK834" s="7" t="str">
        <f>IFERROR(VLOOKUP($AE834,Mapping!$E$208:$K$236,7,0),"ENDirect")</f>
        <v>ENDirect</v>
      </c>
      <c r="AL834" s="7" t="str">
        <f>IFERROR(HLOOKUP(AJ834,'Calc|Weightings'!$U$5:$W$5,1,0),"Excl")</f>
        <v>Materials</v>
      </c>
      <c r="AM834" s="7" t="str">
        <f>VLOOKUP(AC834,Mapping!$E$11:$I$204,5,0)</f>
        <v>SCS</v>
      </c>
      <c r="AO834" s="35" t="s">
        <v>223</v>
      </c>
      <c r="AP834" s="35"/>
      <c r="AQ834" s="35">
        <v>71015</v>
      </c>
      <c r="AR834" s="35" t="s">
        <v>585</v>
      </c>
      <c r="AS834" s="121">
        <v>2.6461300000000003</v>
      </c>
      <c r="AU834" s="7" t="str">
        <f>VLOOKUP($AO834,Mapping!$E$11:$I$204,3,0)</f>
        <v>Replacement</v>
      </c>
      <c r="AV834" s="7" t="str">
        <f>IFERROR(VLOOKUP($AQ834,Mapping!$E$208:$K$236,5,0),"Contracts")</f>
        <v>Materials</v>
      </c>
      <c r="AW834" s="7" t="str">
        <f>IFERROR(VLOOKUP($AQ834,Mapping!$E$208:$K$236,7,0),"ENDirect")</f>
        <v>ENDirect</v>
      </c>
      <c r="AX834" s="7" t="str">
        <f>IFERROR(HLOOKUP(AV834,'Calc|Weightings'!$U$5:$W$5,1,0),"Excl")</f>
        <v>Materials</v>
      </c>
      <c r="AY834" s="7" t="str">
        <f>VLOOKUP(AO834,Mapping!$E$11:$I$204,5,0)</f>
        <v>SCS</v>
      </c>
    </row>
    <row r="835" spans="1:51" x14ac:dyDescent="0.3">
      <c r="A835" s="7"/>
      <c r="B835" s="7"/>
      <c r="C835" s="7"/>
      <c r="D835" s="7"/>
      <c r="E835" s="32" t="s">
        <v>223</v>
      </c>
      <c r="F835" s="32"/>
      <c r="G835" s="32">
        <v>71055</v>
      </c>
      <c r="H835" s="32" t="s">
        <v>465</v>
      </c>
      <c r="I835" s="33">
        <v>153.66200000000001</v>
      </c>
      <c r="J835" s="170"/>
      <c r="K835" s="7" t="str">
        <f>VLOOKUP($E835,Mapping!$E$11:$I$204,3,0)</f>
        <v>Replacement</v>
      </c>
      <c r="L835" s="7" t="str">
        <f>IFERROR(VLOOKUP($G835,Mapping!$E$208:$K$236,5,0),"Contracts")</f>
        <v>Contracts</v>
      </c>
      <c r="M835" s="7" t="str">
        <f>IFERROR(VLOOKUP($G835,Mapping!$E$208:$K$236,7,0),"ENDirect")</f>
        <v>ENDirect</v>
      </c>
      <c r="N835" s="7" t="str">
        <f>IFERROR(HLOOKUP(L835,'Calc|Weightings'!$U$5:$W$5,1,0),"Excl")</f>
        <v>Contracts</v>
      </c>
      <c r="O835" s="7" t="str">
        <f>VLOOKUP(E835,Mapping!$E$11:$I$204,5,0)</f>
        <v>SCS</v>
      </c>
      <c r="Q835" s="32" t="s">
        <v>249</v>
      </c>
      <c r="R835" s="32"/>
      <c r="S835" s="32">
        <v>71005</v>
      </c>
      <c r="T835" s="32" t="s">
        <v>461</v>
      </c>
      <c r="U835" s="33">
        <v>9.7919999999999998</v>
      </c>
      <c r="V835" s="7"/>
      <c r="W835" s="7" t="str">
        <f>VLOOKUP($Q835,Mapping!$E$11:$I$204,3,0)</f>
        <v>ACS</v>
      </c>
      <c r="X835" s="7" t="str">
        <f>IFERROR(VLOOKUP($S835,Mapping!$E$208:$K$236,5,0),"Contracts")</f>
        <v>Materials</v>
      </c>
      <c r="Y835" s="7" t="str">
        <f>IFERROR(VLOOKUP($S835,Mapping!$E$208:$K$236,7,0),"ENDirect")</f>
        <v>ENDirect</v>
      </c>
      <c r="Z835" s="7" t="str">
        <f>IFERROR(HLOOKUP(X835,'Calc|Weightings'!$U$5:$W$5,1,0),"Excl")</f>
        <v>Materials</v>
      </c>
      <c r="AA835" s="7" t="str">
        <f>VLOOKUP(Q835,Mapping!$E$11:$I$204,5,0)</f>
        <v>ACS</v>
      </c>
      <c r="AC835" s="35" t="s">
        <v>241</v>
      </c>
      <c r="AD835" s="35"/>
      <c r="AE835" s="35">
        <v>71030</v>
      </c>
      <c r="AF835" s="35" t="s">
        <v>464</v>
      </c>
      <c r="AG835" s="36">
        <v>5.1269999999999998</v>
      </c>
      <c r="AI835" s="7" t="str">
        <f>VLOOKUP($AC835,Mapping!$E$11:$I$204,3,0)</f>
        <v>Replacement</v>
      </c>
      <c r="AJ835" s="7" t="str">
        <f>IFERROR(VLOOKUP($AE835,Mapping!$E$208:$K$236,5,0),"Contracts")</f>
        <v>Contracts</v>
      </c>
      <c r="AK835" s="7" t="str">
        <f>IFERROR(VLOOKUP($AE835,Mapping!$E$208:$K$236,7,0),"ENDirect")</f>
        <v>ENDirect</v>
      </c>
      <c r="AL835" s="7" t="str">
        <f>IFERROR(HLOOKUP(AJ835,'Calc|Weightings'!$U$5:$W$5,1,0),"Excl")</f>
        <v>Contracts</v>
      </c>
      <c r="AM835" s="7" t="str">
        <f>VLOOKUP(AC835,Mapping!$E$11:$I$204,5,0)</f>
        <v>SCS</v>
      </c>
      <c r="AO835" s="35" t="s">
        <v>223</v>
      </c>
      <c r="AP835" s="35"/>
      <c r="AQ835" s="35">
        <v>71030</v>
      </c>
      <c r="AR835" s="35" t="s">
        <v>464</v>
      </c>
      <c r="AS835" s="121">
        <v>3.2170499999999995</v>
      </c>
      <c r="AU835" s="7" t="str">
        <f>VLOOKUP($AO835,Mapping!$E$11:$I$204,3,0)</f>
        <v>Replacement</v>
      </c>
      <c r="AV835" s="7" t="str">
        <f>IFERROR(VLOOKUP($AQ835,Mapping!$E$208:$K$236,5,0),"Contracts")</f>
        <v>Contracts</v>
      </c>
      <c r="AW835" s="7" t="str">
        <f>IFERROR(VLOOKUP($AQ835,Mapping!$E$208:$K$236,7,0),"ENDirect")</f>
        <v>ENDirect</v>
      </c>
      <c r="AX835" s="7" t="str">
        <f>IFERROR(HLOOKUP(AV835,'Calc|Weightings'!$U$5:$W$5,1,0),"Excl")</f>
        <v>Contracts</v>
      </c>
      <c r="AY835" s="7" t="str">
        <f>VLOOKUP(AO835,Mapping!$E$11:$I$204,5,0)</f>
        <v>SCS</v>
      </c>
    </row>
    <row r="836" spans="1:51" x14ac:dyDescent="0.3">
      <c r="A836" s="7"/>
      <c r="B836" s="7"/>
      <c r="C836" s="7"/>
      <c r="D836" s="7"/>
      <c r="E836" s="32" t="s">
        <v>223</v>
      </c>
      <c r="F836" s="32"/>
      <c r="G836" s="32">
        <v>80000</v>
      </c>
      <c r="H836" s="32" t="s">
        <v>453</v>
      </c>
      <c r="I836" s="33">
        <v>68.394000000000005</v>
      </c>
      <c r="J836" s="170"/>
      <c r="K836" s="7" t="str">
        <f>VLOOKUP($E836,Mapping!$E$11:$I$204,3,0)</f>
        <v>Replacement</v>
      </c>
      <c r="L836" s="7" t="str">
        <f>IFERROR(VLOOKUP($G836,Mapping!$E$208:$K$236,5,0),"Contracts")</f>
        <v>Overhead</v>
      </c>
      <c r="M836" s="7" t="str">
        <f>IFERROR(VLOOKUP($G836,Mapping!$E$208:$K$236,7,0),"ENDirect")</f>
        <v>OH</v>
      </c>
      <c r="N836" s="7" t="str">
        <f>IFERROR(HLOOKUP(L836,'Calc|Weightings'!$U$5:$W$5,1,0),"Excl")</f>
        <v>Excl</v>
      </c>
      <c r="O836" s="7" t="str">
        <f>VLOOKUP(E836,Mapping!$E$11:$I$204,5,0)</f>
        <v>SCS</v>
      </c>
      <c r="Q836" s="32" t="s">
        <v>249</v>
      </c>
      <c r="R836" s="32"/>
      <c r="S836" s="32">
        <v>71010</v>
      </c>
      <c r="T836" s="32" t="s">
        <v>462</v>
      </c>
      <c r="U836" s="33">
        <v>1.1639999999999999</v>
      </c>
      <c r="V836" s="7"/>
      <c r="W836" s="7" t="str">
        <f>VLOOKUP($Q836,Mapping!$E$11:$I$204,3,0)</f>
        <v>ACS</v>
      </c>
      <c r="X836" s="7" t="str">
        <f>IFERROR(VLOOKUP($S836,Mapping!$E$208:$K$236,5,0),"Contracts")</f>
        <v>Labour</v>
      </c>
      <c r="Y836" s="7" t="str">
        <f>IFERROR(VLOOKUP($S836,Mapping!$E$208:$K$236,7,0),"ENDirect")</f>
        <v>ENDirect</v>
      </c>
      <c r="Z836" s="7" t="str">
        <f>IFERROR(HLOOKUP(X836,'Calc|Weightings'!$U$5:$W$5,1,0),"Excl")</f>
        <v>Labour</v>
      </c>
      <c r="AA836" s="7" t="str">
        <f>VLOOKUP(Q836,Mapping!$E$11:$I$204,5,0)</f>
        <v>ACS</v>
      </c>
      <c r="AC836" s="35" t="s">
        <v>241</v>
      </c>
      <c r="AD836" s="35"/>
      <c r="AE836" s="35">
        <v>71055</v>
      </c>
      <c r="AF836" s="35" t="s">
        <v>465</v>
      </c>
      <c r="AG836" s="36">
        <v>10.403</v>
      </c>
      <c r="AI836" s="7" t="str">
        <f>VLOOKUP($AC836,Mapping!$E$11:$I$204,3,0)</f>
        <v>Replacement</v>
      </c>
      <c r="AJ836" s="7" t="str">
        <f>IFERROR(VLOOKUP($AE836,Mapping!$E$208:$K$236,5,0),"Contracts")</f>
        <v>Contracts</v>
      </c>
      <c r="AK836" s="7" t="str">
        <f>IFERROR(VLOOKUP($AE836,Mapping!$E$208:$K$236,7,0),"ENDirect")</f>
        <v>ENDirect</v>
      </c>
      <c r="AL836" s="7" t="str">
        <f>IFERROR(HLOOKUP(AJ836,'Calc|Weightings'!$U$5:$W$5,1,0),"Excl")</f>
        <v>Contracts</v>
      </c>
      <c r="AM836" s="7" t="str">
        <f>VLOOKUP(AC836,Mapping!$E$11:$I$204,5,0)</f>
        <v>SCS</v>
      </c>
      <c r="AO836" s="35" t="s">
        <v>223</v>
      </c>
      <c r="AP836" s="35"/>
      <c r="AQ836" s="35">
        <v>71055</v>
      </c>
      <c r="AR836" s="35" t="s">
        <v>465</v>
      </c>
      <c r="AS836" s="121">
        <v>7.3746499999999999</v>
      </c>
      <c r="AU836" s="7" t="str">
        <f>VLOOKUP($AO836,Mapping!$E$11:$I$204,3,0)</f>
        <v>Replacement</v>
      </c>
      <c r="AV836" s="7" t="str">
        <f>IFERROR(VLOOKUP($AQ836,Mapping!$E$208:$K$236,5,0),"Contracts")</f>
        <v>Contracts</v>
      </c>
      <c r="AW836" s="7" t="str">
        <f>IFERROR(VLOOKUP($AQ836,Mapping!$E$208:$K$236,7,0),"ENDirect")</f>
        <v>ENDirect</v>
      </c>
      <c r="AX836" s="7" t="str">
        <f>IFERROR(HLOOKUP(AV836,'Calc|Weightings'!$U$5:$W$5,1,0),"Excl")</f>
        <v>Contracts</v>
      </c>
      <c r="AY836" s="7" t="str">
        <f>VLOOKUP(AO836,Mapping!$E$11:$I$204,5,0)</f>
        <v>SCS</v>
      </c>
    </row>
    <row r="837" spans="1:51" x14ac:dyDescent="0.3">
      <c r="A837" s="7"/>
      <c r="B837" s="7"/>
      <c r="C837" s="7"/>
      <c r="D837" s="7"/>
      <c r="E837" s="32" t="s">
        <v>224</v>
      </c>
      <c r="F837" s="32"/>
      <c r="G837" s="32">
        <v>71000</v>
      </c>
      <c r="H837" s="32" t="s">
        <v>457</v>
      </c>
      <c r="I837" s="33">
        <v>261.52600000000001</v>
      </c>
      <c r="J837" s="170"/>
      <c r="K837" s="7" t="str">
        <f>VLOOKUP($E837,Mapping!$E$11:$I$204,3,0)</f>
        <v>Replacement</v>
      </c>
      <c r="L837" s="7" t="str">
        <f>IFERROR(VLOOKUP($G837,Mapping!$E$208:$K$236,5,0),"Contracts")</f>
        <v>Labour</v>
      </c>
      <c r="M837" s="7" t="str">
        <f>IFERROR(VLOOKUP($G837,Mapping!$E$208:$K$236,7,0),"ENDirect")</f>
        <v>ENDirect</v>
      </c>
      <c r="N837" s="7" t="str">
        <f>IFERROR(HLOOKUP(L837,'Calc|Weightings'!$U$5:$W$5,1,0),"Excl")</f>
        <v>Labour</v>
      </c>
      <c r="O837" s="7" t="str">
        <f>VLOOKUP(E837,Mapping!$E$11:$I$204,5,0)</f>
        <v>SCS</v>
      </c>
      <c r="Q837" s="32" t="s">
        <v>249</v>
      </c>
      <c r="R837" s="32"/>
      <c r="S837" s="32">
        <v>71015</v>
      </c>
      <c r="T837" s="32" t="s">
        <v>463</v>
      </c>
      <c r="U837" s="33">
        <v>13.475</v>
      </c>
      <c r="V837" s="7"/>
      <c r="W837" s="7" t="str">
        <f>VLOOKUP($Q837,Mapping!$E$11:$I$204,3,0)</f>
        <v>ACS</v>
      </c>
      <c r="X837" s="7" t="str">
        <f>IFERROR(VLOOKUP($S837,Mapping!$E$208:$K$236,5,0),"Contracts")</f>
        <v>Materials</v>
      </c>
      <c r="Y837" s="7" t="str">
        <f>IFERROR(VLOOKUP($S837,Mapping!$E$208:$K$236,7,0),"ENDirect")</f>
        <v>ENDirect</v>
      </c>
      <c r="Z837" s="7" t="str">
        <f>IFERROR(HLOOKUP(X837,'Calc|Weightings'!$U$5:$W$5,1,0),"Excl")</f>
        <v>Materials</v>
      </c>
      <c r="AA837" s="7" t="str">
        <f>VLOOKUP(Q837,Mapping!$E$11:$I$204,5,0)</f>
        <v>ACS</v>
      </c>
      <c r="AC837" s="35" t="s">
        <v>241</v>
      </c>
      <c r="AD837" s="35"/>
      <c r="AE837" s="35">
        <v>80000</v>
      </c>
      <c r="AF837" s="35" t="s">
        <v>453</v>
      </c>
      <c r="AG837" s="36">
        <v>5.4370000000000003</v>
      </c>
      <c r="AI837" s="7" t="str">
        <f>VLOOKUP($AC837,Mapping!$E$11:$I$204,3,0)</f>
        <v>Replacement</v>
      </c>
      <c r="AJ837" s="7" t="str">
        <f>IFERROR(VLOOKUP($AE837,Mapping!$E$208:$K$236,5,0),"Contracts")</f>
        <v>Overhead</v>
      </c>
      <c r="AK837" s="7" t="str">
        <f>IFERROR(VLOOKUP($AE837,Mapping!$E$208:$K$236,7,0),"ENDirect")</f>
        <v>OH</v>
      </c>
      <c r="AL837" s="7" t="str">
        <f>IFERROR(HLOOKUP(AJ837,'Calc|Weightings'!$U$5:$W$5,1,0),"Excl")</f>
        <v>Excl</v>
      </c>
      <c r="AM837" s="7" t="str">
        <f>VLOOKUP(AC837,Mapping!$E$11:$I$204,5,0)</f>
        <v>SCS</v>
      </c>
      <c r="AO837" s="35" t="s">
        <v>223</v>
      </c>
      <c r="AP837" s="35"/>
      <c r="AQ837" s="35">
        <v>71070</v>
      </c>
      <c r="AR837" s="35" t="s">
        <v>586</v>
      </c>
      <c r="AS837" s="121">
        <v>8.9485200000000003</v>
      </c>
      <c r="AU837" s="7" t="str">
        <f>VLOOKUP($AO837,Mapping!$E$11:$I$204,3,0)</f>
        <v>Replacement</v>
      </c>
      <c r="AV837" s="7" t="str">
        <f>IFERROR(VLOOKUP($AQ837,Mapping!$E$208:$K$236,5,0),"Contracts")</f>
        <v>Contracts</v>
      </c>
      <c r="AW837" s="7" t="str">
        <f>IFERROR(VLOOKUP($AQ837,Mapping!$E$208:$K$236,7,0),"ENDirect")</f>
        <v>ENDirect</v>
      </c>
      <c r="AX837" s="7" t="str">
        <f>IFERROR(HLOOKUP(AV837,'Calc|Weightings'!$U$5:$W$5,1,0),"Excl")</f>
        <v>Contracts</v>
      </c>
      <c r="AY837" s="7" t="str">
        <f>VLOOKUP(AO837,Mapping!$E$11:$I$204,5,0)</f>
        <v>SCS</v>
      </c>
    </row>
    <row r="838" spans="1:51" x14ac:dyDescent="0.3">
      <c r="A838" s="7"/>
      <c r="B838" s="7"/>
      <c r="C838" s="7"/>
      <c r="D838" s="7"/>
      <c r="E838" s="32" t="s">
        <v>224</v>
      </c>
      <c r="F838" s="32"/>
      <c r="G838" s="32">
        <v>71005</v>
      </c>
      <c r="H838" s="32" t="s">
        <v>461</v>
      </c>
      <c r="I838" s="33">
        <v>61.615000000000002</v>
      </c>
      <c r="J838" s="170"/>
      <c r="K838" s="7" t="str">
        <f>VLOOKUP($E838,Mapping!$E$11:$I$204,3,0)</f>
        <v>Replacement</v>
      </c>
      <c r="L838" s="7" t="str">
        <f>IFERROR(VLOOKUP($G838,Mapping!$E$208:$K$236,5,0),"Contracts")</f>
        <v>Materials</v>
      </c>
      <c r="M838" s="7" t="str">
        <f>IFERROR(VLOOKUP($G838,Mapping!$E$208:$K$236,7,0),"ENDirect")</f>
        <v>ENDirect</v>
      </c>
      <c r="N838" s="7" t="str">
        <f>IFERROR(HLOOKUP(L838,'Calc|Weightings'!$U$5:$W$5,1,0),"Excl")</f>
        <v>Materials</v>
      </c>
      <c r="O838" s="7" t="str">
        <f>VLOOKUP(E838,Mapping!$E$11:$I$204,5,0)</f>
        <v>SCS</v>
      </c>
      <c r="Q838" s="32" t="s">
        <v>249</v>
      </c>
      <c r="R838" s="32"/>
      <c r="S838" s="32">
        <v>71030</v>
      </c>
      <c r="T838" s="32" t="s">
        <v>464</v>
      </c>
      <c r="U838" s="33">
        <v>7.4219999999999997</v>
      </c>
      <c r="V838" s="7"/>
      <c r="W838" s="7" t="str">
        <f>VLOOKUP($Q838,Mapping!$E$11:$I$204,3,0)</f>
        <v>ACS</v>
      </c>
      <c r="X838" s="7" t="str">
        <f>IFERROR(VLOOKUP($S838,Mapping!$E$208:$K$236,5,0),"Contracts")</f>
        <v>Contracts</v>
      </c>
      <c r="Y838" s="7" t="str">
        <f>IFERROR(VLOOKUP($S838,Mapping!$E$208:$K$236,7,0),"ENDirect")</f>
        <v>ENDirect</v>
      </c>
      <c r="Z838" s="7" t="str">
        <f>IFERROR(HLOOKUP(X838,'Calc|Weightings'!$U$5:$W$5,1,0),"Excl")</f>
        <v>Contracts</v>
      </c>
      <c r="AA838" s="7" t="str">
        <f>VLOOKUP(Q838,Mapping!$E$11:$I$204,5,0)</f>
        <v>ACS</v>
      </c>
      <c r="AC838" s="35" t="s">
        <v>241</v>
      </c>
      <c r="AD838" s="35"/>
      <c r="AE838" s="35">
        <v>89999</v>
      </c>
      <c r="AF838" s="35" t="s">
        <v>471</v>
      </c>
      <c r="AG838" s="36">
        <v>0</v>
      </c>
      <c r="AI838" s="7" t="str">
        <f>VLOOKUP($AC838,Mapping!$E$11:$I$204,3,0)</f>
        <v>Replacement</v>
      </c>
      <c r="AJ838" s="7" t="str">
        <f>IFERROR(VLOOKUP($AE838,Mapping!$E$208:$K$236,5,0),"Contracts")</f>
        <v>Contracts</v>
      </c>
      <c r="AK838" s="7" t="str">
        <f>IFERROR(VLOOKUP($AE838,Mapping!$E$208:$K$236,7,0),"ENDirect")</f>
        <v>ENDirect</v>
      </c>
      <c r="AL838" s="7" t="str">
        <f>IFERROR(HLOOKUP(AJ838,'Calc|Weightings'!$U$5:$W$5,1,0),"Excl")</f>
        <v>Contracts</v>
      </c>
      <c r="AM838" s="7" t="str">
        <f>VLOOKUP(AC838,Mapping!$E$11:$I$204,5,0)</f>
        <v>SCS</v>
      </c>
      <c r="AO838" s="35" t="s">
        <v>223</v>
      </c>
      <c r="AP838" s="35"/>
      <c r="AQ838" s="35">
        <v>71075</v>
      </c>
      <c r="AR838" s="35" t="s">
        <v>587</v>
      </c>
      <c r="AS838" s="121">
        <v>98.49668000000004</v>
      </c>
      <c r="AU838" s="7" t="str">
        <f>VLOOKUP($AO838,Mapping!$E$11:$I$204,3,0)</f>
        <v>Replacement</v>
      </c>
      <c r="AV838" s="7" t="str">
        <f>IFERROR(VLOOKUP($AQ838,Mapping!$E$208:$K$236,5,0),"Contracts")</f>
        <v>Contracts</v>
      </c>
      <c r="AW838" s="7" t="str">
        <f>IFERROR(VLOOKUP($AQ838,Mapping!$E$208:$K$236,7,0),"ENDirect")</f>
        <v>ENDirect</v>
      </c>
      <c r="AX838" s="7" t="str">
        <f>IFERROR(HLOOKUP(AV838,'Calc|Weightings'!$U$5:$W$5,1,0),"Excl")</f>
        <v>Contracts</v>
      </c>
      <c r="AY838" s="7" t="str">
        <f>VLOOKUP(AO838,Mapping!$E$11:$I$204,5,0)</f>
        <v>SCS</v>
      </c>
    </row>
    <row r="839" spans="1:51" x14ac:dyDescent="0.3">
      <c r="A839" s="7"/>
      <c r="B839" s="7"/>
      <c r="C839" s="7"/>
      <c r="D839" s="7"/>
      <c r="E839" s="32" t="s">
        <v>224</v>
      </c>
      <c r="F839" s="32"/>
      <c r="G839" s="32">
        <v>71010</v>
      </c>
      <c r="H839" s="32" t="s">
        <v>462</v>
      </c>
      <c r="I839" s="33">
        <v>128.285</v>
      </c>
      <c r="J839" s="170"/>
      <c r="K839" s="7" t="str">
        <f>VLOOKUP($E839,Mapping!$E$11:$I$204,3,0)</f>
        <v>Replacement</v>
      </c>
      <c r="L839" s="7" t="str">
        <f>IFERROR(VLOOKUP($G839,Mapping!$E$208:$K$236,5,0),"Contracts")</f>
        <v>Labour</v>
      </c>
      <c r="M839" s="7" t="str">
        <f>IFERROR(VLOOKUP($G839,Mapping!$E$208:$K$236,7,0),"ENDirect")</f>
        <v>ENDirect</v>
      </c>
      <c r="N839" s="7" t="str">
        <f>IFERROR(HLOOKUP(L839,'Calc|Weightings'!$U$5:$W$5,1,0),"Excl")</f>
        <v>Labour</v>
      </c>
      <c r="O839" s="7" t="str">
        <f>VLOOKUP(E839,Mapping!$E$11:$I$204,5,0)</f>
        <v>SCS</v>
      </c>
      <c r="Q839" s="32" t="s">
        <v>249</v>
      </c>
      <c r="R839" s="32"/>
      <c r="S839" s="32">
        <v>71055</v>
      </c>
      <c r="T839" s="32" t="s">
        <v>465</v>
      </c>
      <c r="U839" s="33">
        <v>14.797000000000001</v>
      </c>
      <c r="V839" s="7"/>
      <c r="W839" s="7" t="str">
        <f>VLOOKUP($Q839,Mapping!$E$11:$I$204,3,0)</f>
        <v>ACS</v>
      </c>
      <c r="X839" s="7" t="str">
        <f>IFERROR(VLOOKUP($S839,Mapping!$E$208:$K$236,5,0),"Contracts")</f>
        <v>Contracts</v>
      </c>
      <c r="Y839" s="7" t="str">
        <f>IFERROR(VLOOKUP($S839,Mapping!$E$208:$K$236,7,0),"ENDirect")</f>
        <v>ENDirect</v>
      </c>
      <c r="Z839" s="7" t="str">
        <f>IFERROR(HLOOKUP(X839,'Calc|Weightings'!$U$5:$W$5,1,0),"Excl")</f>
        <v>Contracts</v>
      </c>
      <c r="AA839" s="7" t="str">
        <f>VLOOKUP(Q839,Mapping!$E$11:$I$204,5,0)</f>
        <v>ACS</v>
      </c>
      <c r="AC839" s="35" t="s">
        <v>244</v>
      </c>
      <c r="AD839" s="35"/>
      <c r="AE839" s="35">
        <v>71000</v>
      </c>
      <c r="AF839" s="35" t="s">
        <v>457</v>
      </c>
      <c r="AG839" s="36">
        <v>197.952</v>
      </c>
      <c r="AI839" s="7" t="str">
        <f>VLOOKUP($AC839,Mapping!$E$11:$I$204,3,0)</f>
        <v>Replacement</v>
      </c>
      <c r="AJ839" s="7" t="str">
        <f>IFERROR(VLOOKUP($AE839,Mapping!$E$208:$K$236,5,0),"Contracts")</f>
        <v>Labour</v>
      </c>
      <c r="AK839" s="7" t="str">
        <f>IFERROR(VLOOKUP($AE839,Mapping!$E$208:$K$236,7,0),"ENDirect")</f>
        <v>ENDirect</v>
      </c>
      <c r="AL839" s="7" t="str">
        <f>IFERROR(HLOOKUP(AJ839,'Calc|Weightings'!$U$5:$W$5,1,0),"Excl")</f>
        <v>Labour</v>
      </c>
      <c r="AM839" s="7" t="str">
        <f>VLOOKUP(AC839,Mapping!$E$11:$I$204,5,0)</f>
        <v>SCS</v>
      </c>
      <c r="AO839" s="35" t="s">
        <v>223</v>
      </c>
      <c r="AP839" s="35"/>
      <c r="AQ839" s="35">
        <v>80000</v>
      </c>
      <c r="AR839" s="35" t="s">
        <v>589</v>
      </c>
      <c r="AS839" s="121">
        <v>168.55275999999998</v>
      </c>
      <c r="AU839" s="7" t="str">
        <f>VLOOKUP($AO839,Mapping!$E$11:$I$204,3,0)</f>
        <v>Replacement</v>
      </c>
      <c r="AV839" s="7" t="str">
        <f>IFERROR(VLOOKUP($AQ839,Mapping!$E$208:$K$236,5,0),"Contracts")</f>
        <v>Overhead</v>
      </c>
      <c r="AW839" s="7" t="str">
        <f>IFERROR(VLOOKUP($AQ839,Mapping!$E$208:$K$236,7,0),"ENDirect")</f>
        <v>OH</v>
      </c>
      <c r="AX839" s="7" t="str">
        <f>IFERROR(HLOOKUP(AV839,'Calc|Weightings'!$U$5:$W$5,1,0),"Excl")</f>
        <v>Excl</v>
      </c>
      <c r="AY839" s="7" t="str">
        <f>VLOOKUP(AO839,Mapping!$E$11:$I$204,5,0)</f>
        <v>SCS</v>
      </c>
    </row>
    <row r="840" spans="1:51" x14ac:dyDescent="0.3">
      <c r="A840" s="7"/>
      <c r="B840" s="7"/>
      <c r="C840" s="7"/>
      <c r="D840" s="7"/>
      <c r="E840" s="32" t="s">
        <v>224</v>
      </c>
      <c r="F840" s="32"/>
      <c r="G840" s="32">
        <v>71015</v>
      </c>
      <c r="H840" s="32" t="s">
        <v>463</v>
      </c>
      <c r="I840" s="33">
        <v>80.665999999999997</v>
      </c>
      <c r="J840" s="170"/>
      <c r="K840" s="7" t="str">
        <f>VLOOKUP($E840,Mapping!$E$11:$I$204,3,0)</f>
        <v>Replacement</v>
      </c>
      <c r="L840" s="7" t="str">
        <f>IFERROR(VLOOKUP($G840,Mapping!$E$208:$K$236,5,0),"Contracts")</f>
        <v>Materials</v>
      </c>
      <c r="M840" s="7" t="str">
        <f>IFERROR(VLOOKUP($G840,Mapping!$E$208:$K$236,7,0),"ENDirect")</f>
        <v>ENDirect</v>
      </c>
      <c r="N840" s="7" t="str">
        <f>IFERROR(HLOOKUP(L840,'Calc|Weightings'!$U$5:$W$5,1,0),"Excl")</f>
        <v>Materials</v>
      </c>
      <c r="O840" s="7" t="str">
        <f>VLOOKUP(E840,Mapping!$E$11:$I$204,5,0)</f>
        <v>SCS</v>
      </c>
      <c r="Q840" s="32" t="s">
        <v>249</v>
      </c>
      <c r="R840" s="32"/>
      <c r="S840" s="32">
        <v>80000</v>
      </c>
      <c r="T840" s="32" t="s">
        <v>453</v>
      </c>
      <c r="U840" s="33">
        <v>14.513999999999999</v>
      </c>
      <c r="V840" s="7"/>
      <c r="W840" s="7" t="str">
        <f>VLOOKUP($Q840,Mapping!$E$11:$I$204,3,0)</f>
        <v>ACS</v>
      </c>
      <c r="X840" s="7" t="str">
        <f>IFERROR(VLOOKUP($S840,Mapping!$E$208:$K$236,5,0),"Contracts")</f>
        <v>Overhead</v>
      </c>
      <c r="Y840" s="7" t="str">
        <f>IFERROR(VLOOKUP($S840,Mapping!$E$208:$K$236,7,0),"ENDirect")</f>
        <v>OH</v>
      </c>
      <c r="Z840" s="7" t="str">
        <f>IFERROR(HLOOKUP(X840,'Calc|Weightings'!$U$5:$W$5,1,0),"Excl")</f>
        <v>Excl</v>
      </c>
      <c r="AA840" s="7" t="str">
        <f>VLOOKUP(Q840,Mapping!$E$11:$I$204,5,0)</f>
        <v>ACS</v>
      </c>
      <c r="AC840" s="35" t="s">
        <v>244</v>
      </c>
      <c r="AD840" s="35"/>
      <c r="AE840" s="35">
        <v>71005</v>
      </c>
      <c r="AF840" s="35" t="s">
        <v>461</v>
      </c>
      <c r="AG840" s="36">
        <v>51.33</v>
      </c>
      <c r="AI840" s="7" t="str">
        <f>VLOOKUP($AC840,Mapping!$E$11:$I$204,3,0)</f>
        <v>Replacement</v>
      </c>
      <c r="AJ840" s="7" t="str">
        <f>IFERROR(VLOOKUP($AE840,Mapping!$E$208:$K$236,5,0),"Contracts")</f>
        <v>Materials</v>
      </c>
      <c r="AK840" s="7" t="str">
        <f>IFERROR(VLOOKUP($AE840,Mapping!$E$208:$K$236,7,0),"ENDirect")</f>
        <v>ENDirect</v>
      </c>
      <c r="AL840" s="7" t="str">
        <f>IFERROR(HLOOKUP(AJ840,'Calc|Weightings'!$U$5:$W$5,1,0),"Excl")</f>
        <v>Materials</v>
      </c>
      <c r="AM840" s="7" t="str">
        <f>VLOOKUP(AC840,Mapping!$E$11:$I$204,5,0)</f>
        <v>SCS</v>
      </c>
      <c r="AO840" s="35" t="s">
        <v>223</v>
      </c>
      <c r="AP840" s="35"/>
      <c r="AQ840" s="35">
        <v>83010</v>
      </c>
      <c r="AR840" s="35" t="s">
        <v>591</v>
      </c>
      <c r="AS840" s="121">
        <v>823.26384000000064</v>
      </c>
      <c r="AU840" s="7" t="str">
        <f>VLOOKUP($AO840,Mapping!$E$11:$I$204,3,0)</f>
        <v>Replacement</v>
      </c>
      <c r="AV840" s="7" t="str">
        <f>IFERROR(VLOOKUP($AQ840,Mapping!$E$208:$K$236,5,0),"Contracts")</f>
        <v>Contracts</v>
      </c>
      <c r="AW840" s="7" t="str">
        <f>IFERROR(VLOOKUP($AQ840,Mapping!$E$208:$K$236,7,0),"ENDirect")</f>
        <v>ENDirect</v>
      </c>
      <c r="AX840" s="7" t="str">
        <f>IFERROR(HLOOKUP(AV840,'Calc|Weightings'!$U$5:$W$5,1,0),"Excl")</f>
        <v>Contracts</v>
      </c>
      <c r="AY840" s="7" t="str">
        <f>VLOOKUP(AO840,Mapping!$E$11:$I$204,5,0)</f>
        <v>SCS</v>
      </c>
    </row>
    <row r="841" spans="1:51" x14ac:dyDescent="0.3">
      <c r="A841" s="7"/>
      <c r="B841" s="7"/>
      <c r="C841" s="7"/>
      <c r="D841" s="7"/>
      <c r="E841" s="32" t="s">
        <v>224</v>
      </c>
      <c r="F841" s="32"/>
      <c r="G841" s="32">
        <v>71030</v>
      </c>
      <c r="H841" s="32" t="s">
        <v>464</v>
      </c>
      <c r="I841" s="33">
        <v>46.741</v>
      </c>
      <c r="J841" s="170"/>
      <c r="K841" s="7" t="str">
        <f>VLOOKUP($E841,Mapping!$E$11:$I$204,3,0)</f>
        <v>Replacement</v>
      </c>
      <c r="L841" s="7" t="str">
        <f>IFERROR(VLOOKUP($G841,Mapping!$E$208:$K$236,5,0),"Contracts")</f>
        <v>Contracts</v>
      </c>
      <c r="M841" s="7" t="str">
        <f>IFERROR(VLOOKUP($G841,Mapping!$E$208:$K$236,7,0),"ENDirect")</f>
        <v>ENDirect</v>
      </c>
      <c r="N841" s="7" t="str">
        <f>IFERROR(HLOOKUP(L841,'Calc|Weightings'!$U$5:$W$5,1,0),"Excl")</f>
        <v>Contracts</v>
      </c>
      <c r="O841" s="7" t="str">
        <f>VLOOKUP(E841,Mapping!$E$11:$I$204,5,0)</f>
        <v>SCS</v>
      </c>
      <c r="Q841" s="32" t="s">
        <v>251</v>
      </c>
      <c r="R841" s="32"/>
      <c r="S841" s="32">
        <v>71000</v>
      </c>
      <c r="T841" s="32" t="s">
        <v>457</v>
      </c>
      <c r="U841" s="33">
        <v>13.188000000000001</v>
      </c>
      <c r="V841" s="7"/>
      <c r="W841" s="7" t="str">
        <f>VLOOKUP($Q841,Mapping!$E$11:$I$204,3,0)</f>
        <v>ACS</v>
      </c>
      <c r="X841" s="7" t="str">
        <f>IFERROR(VLOOKUP($S841,Mapping!$E$208:$K$236,5,0),"Contracts")</f>
        <v>Labour</v>
      </c>
      <c r="Y841" s="7" t="str">
        <f>IFERROR(VLOOKUP($S841,Mapping!$E$208:$K$236,7,0),"ENDirect")</f>
        <v>ENDirect</v>
      </c>
      <c r="Z841" s="7" t="str">
        <f>IFERROR(HLOOKUP(X841,'Calc|Weightings'!$U$5:$W$5,1,0),"Excl")</f>
        <v>Labour</v>
      </c>
      <c r="AA841" s="7" t="str">
        <f>VLOOKUP(Q841,Mapping!$E$11:$I$204,5,0)</f>
        <v>ACS</v>
      </c>
      <c r="AC841" s="35" t="s">
        <v>244</v>
      </c>
      <c r="AD841" s="35"/>
      <c r="AE841" s="35">
        <v>71010</v>
      </c>
      <c r="AF841" s="35" t="s">
        <v>462</v>
      </c>
      <c r="AG841" s="36">
        <v>62.628</v>
      </c>
      <c r="AI841" s="7" t="str">
        <f>VLOOKUP($AC841,Mapping!$E$11:$I$204,3,0)</f>
        <v>Replacement</v>
      </c>
      <c r="AJ841" s="7" t="str">
        <f>IFERROR(VLOOKUP($AE841,Mapping!$E$208:$K$236,5,0),"Contracts")</f>
        <v>Labour</v>
      </c>
      <c r="AK841" s="7" t="str">
        <f>IFERROR(VLOOKUP($AE841,Mapping!$E$208:$K$236,7,0),"ENDirect")</f>
        <v>ENDirect</v>
      </c>
      <c r="AL841" s="7" t="str">
        <f>IFERROR(HLOOKUP(AJ841,'Calc|Weightings'!$U$5:$W$5,1,0),"Excl")</f>
        <v>Labour</v>
      </c>
      <c r="AM841" s="7" t="str">
        <f>VLOOKUP(AC841,Mapping!$E$11:$I$204,5,0)</f>
        <v>SCS</v>
      </c>
      <c r="AO841" s="35" t="s">
        <v>224</v>
      </c>
      <c r="AP841" s="35"/>
      <c r="AQ841" s="35">
        <v>71000</v>
      </c>
      <c r="AR841" s="35" t="s">
        <v>457</v>
      </c>
      <c r="AS841" s="121">
        <v>29.704169999999994</v>
      </c>
      <c r="AU841" s="7" t="str">
        <f>VLOOKUP($AO841,Mapping!$E$11:$I$204,3,0)</f>
        <v>Replacement</v>
      </c>
      <c r="AV841" s="7" t="str">
        <f>IFERROR(VLOOKUP($AQ841,Mapping!$E$208:$K$236,5,0),"Contracts")</f>
        <v>Labour</v>
      </c>
      <c r="AW841" s="7" t="str">
        <f>IFERROR(VLOOKUP($AQ841,Mapping!$E$208:$K$236,7,0),"ENDirect")</f>
        <v>ENDirect</v>
      </c>
      <c r="AX841" s="7" t="str">
        <f>IFERROR(HLOOKUP(AV841,'Calc|Weightings'!$U$5:$W$5,1,0),"Excl")</f>
        <v>Labour</v>
      </c>
      <c r="AY841" s="7" t="str">
        <f>VLOOKUP(AO841,Mapping!$E$11:$I$204,5,0)</f>
        <v>SCS</v>
      </c>
    </row>
    <row r="842" spans="1:51" x14ac:dyDescent="0.3">
      <c r="A842" s="7"/>
      <c r="B842" s="7"/>
      <c r="C842" s="7"/>
      <c r="D842" s="7"/>
      <c r="E842" s="32" t="s">
        <v>224</v>
      </c>
      <c r="F842" s="32"/>
      <c r="G842" s="32">
        <v>71055</v>
      </c>
      <c r="H842" s="32" t="s">
        <v>465</v>
      </c>
      <c r="I842" s="33">
        <v>134.249</v>
      </c>
      <c r="J842" s="170"/>
      <c r="K842" s="7" t="str">
        <f>VLOOKUP($E842,Mapping!$E$11:$I$204,3,0)</f>
        <v>Replacement</v>
      </c>
      <c r="L842" s="7" t="str">
        <f>IFERROR(VLOOKUP($G842,Mapping!$E$208:$K$236,5,0),"Contracts")</f>
        <v>Contracts</v>
      </c>
      <c r="M842" s="7" t="str">
        <f>IFERROR(VLOOKUP($G842,Mapping!$E$208:$K$236,7,0),"ENDirect")</f>
        <v>ENDirect</v>
      </c>
      <c r="N842" s="7" t="str">
        <f>IFERROR(HLOOKUP(L842,'Calc|Weightings'!$U$5:$W$5,1,0),"Excl")</f>
        <v>Contracts</v>
      </c>
      <c r="O842" s="7" t="str">
        <f>VLOOKUP(E842,Mapping!$E$11:$I$204,5,0)</f>
        <v>SCS</v>
      </c>
      <c r="Q842" s="32" t="s">
        <v>251</v>
      </c>
      <c r="R842" s="32"/>
      <c r="S842" s="32">
        <v>71005</v>
      </c>
      <c r="T842" s="32" t="s">
        <v>461</v>
      </c>
      <c r="U842" s="33">
        <v>1.367</v>
      </c>
      <c r="V842" s="7"/>
      <c r="W842" s="7" t="str">
        <f>VLOOKUP($Q842,Mapping!$E$11:$I$204,3,0)</f>
        <v>ACS</v>
      </c>
      <c r="X842" s="7" t="str">
        <f>IFERROR(VLOOKUP($S842,Mapping!$E$208:$K$236,5,0),"Contracts")</f>
        <v>Materials</v>
      </c>
      <c r="Y842" s="7" t="str">
        <f>IFERROR(VLOOKUP($S842,Mapping!$E$208:$K$236,7,0),"ENDirect")</f>
        <v>ENDirect</v>
      </c>
      <c r="Z842" s="7" t="str">
        <f>IFERROR(HLOOKUP(X842,'Calc|Weightings'!$U$5:$W$5,1,0),"Excl")</f>
        <v>Materials</v>
      </c>
      <c r="AA842" s="7" t="str">
        <f>VLOOKUP(Q842,Mapping!$E$11:$I$204,5,0)</f>
        <v>ACS</v>
      </c>
      <c r="AC842" s="35" t="s">
        <v>244</v>
      </c>
      <c r="AD842" s="35"/>
      <c r="AE842" s="35">
        <v>71015</v>
      </c>
      <c r="AF842" s="35" t="s">
        <v>463</v>
      </c>
      <c r="AG842" s="36">
        <v>46.616</v>
      </c>
      <c r="AI842" s="7" t="str">
        <f>VLOOKUP($AC842,Mapping!$E$11:$I$204,3,0)</f>
        <v>Replacement</v>
      </c>
      <c r="AJ842" s="7" t="str">
        <f>IFERROR(VLOOKUP($AE842,Mapping!$E$208:$K$236,5,0),"Contracts")</f>
        <v>Materials</v>
      </c>
      <c r="AK842" s="7" t="str">
        <f>IFERROR(VLOOKUP($AE842,Mapping!$E$208:$K$236,7,0),"ENDirect")</f>
        <v>ENDirect</v>
      </c>
      <c r="AL842" s="7" t="str">
        <f>IFERROR(HLOOKUP(AJ842,'Calc|Weightings'!$U$5:$W$5,1,0),"Excl")</f>
        <v>Materials</v>
      </c>
      <c r="AM842" s="7" t="str">
        <f>VLOOKUP(AC842,Mapping!$E$11:$I$204,5,0)</f>
        <v>SCS</v>
      </c>
      <c r="AO842" s="35" t="s">
        <v>224</v>
      </c>
      <c r="AP842" s="35"/>
      <c r="AQ842" s="35">
        <v>71005</v>
      </c>
      <c r="AR842" s="35" t="s">
        <v>461</v>
      </c>
      <c r="AS842" s="121">
        <v>2.6114900000000003</v>
      </c>
      <c r="AU842" s="7" t="str">
        <f>VLOOKUP($AO842,Mapping!$E$11:$I$204,3,0)</f>
        <v>Replacement</v>
      </c>
      <c r="AV842" s="7" t="str">
        <f>IFERROR(VLOOKUP($AQ842,Mapping!$E$208:$K$236,5,0),"Contracts")</f>
        <v>Materials</v>
      </c>
      <c r="AW842" s="7" t="str">
        <f>IFERROR(VLOOKUP($AQ842,Mapping!$E$208:$K$236,7,0),"ENDirect")</f>
        <v>ENDirect</v>
      </c>
      <c r="AX842" s="7" t="str">
        <f>IFERROR(HLOOKUP(AV842,'Calc|Weightings'!$U$5:$W$5,1,0),"Excl")</f>
        <v>Materials</v>
      </c>
      <c r="AY842" s="7" t="str">
        <f>VLOOKUP(AO842,Mapping!$E$11:$I$204,5,0)</f>
        <v>SCS</v>
      </c>
    </row>
    <row r="843" spans="1:51" x14ac:dyDescent="0.3">
      <c r="A843" s="7"/>
      <c r="B843" s="7"/>
      <c r="C843" s="7"/>
      <c r="D843" s="7"/>
      <c r="E843" s="32" t="s">
        <v>224</v>
      </c>
      <c r="F843" s="32"/>
      <c r="G843" s="32">
        <v>80000</v>
      </c>
      <c r="H843" s="32" t="s">
        <v>453</v>
      </c>
      <c r="I843" s="33">
        <v>68.004000000000005</v>
      </c>
      <c r="J843" s="170"/>
      <c r="K843" s="7" t="str">
        <f>VLOOKUP($E843,Mapping!$E$11:$I$204,3,0)</f>
        <v>Replacement</v>
      </c>
      <c r="L843" s="7" t="str">
        <f>IFERROR(VLOOKUP($G843,Mapping!$E$208:$K$236,5,0),"Contracts")</f>
        <v>Overhead</v>
      </c>
      <c r="M843" s="7" t="str">
        <f>IFERROR(VLOOKUP($G843,Mapping!$E$208:$K$236,7,0),"ENDirect")</f>
        <v>OH</v>
      </c>
      <c r="N843" s="7" t="str">
        <f>IFERROR(HLOOKUP(L843,'Calc|Weightings'!$U$5:$W$5,1,0),"Excl")</f>
        <v>Excl</v>
      </c>
      <c r="O843" s="7" t="str">
        <f>VLOOKUP(E843,Mapping!$E$11:$I$204,5,0)</f>
        <v>SCS</v>
      </c>
      <c r="Q843" s="32" t="s">
        <v>251</v>
      </c>
      <c r="R843" s="32"/>
      <c r="S843" s="32">
        <v>71010</v>
      </c>
      <c r="T843" s="32" t="s">
        <v>462</v>
      </c>
      <c r="U843" s="33">
        <v>0.34499999999999997</v>
      </c>
      <c r="V843" s="7"/>
      <c r="W843" s="7" t="str">
        <f>VLOOKUP($Q843,Mapping!$E$11:$I$204,3,0)</f>
        <v>ACS</v>
      </c>
      <c r="X843" s="7" t="str">
        <f>IFERROR(VLOOKUP($S843,Mapping!$E$208:$K$236,5,0),"Contracts")</f>
        <v>Labour</v>
      </c>
      <c r="Y843" s="7" t="str">
        <f>IFERROR(VLOOKUP($S843,Mapping!$E$208:$K$236,7,0),"ENDirect")</f>
        <v>ENDirect</v>
      </c>
      <c r="Z843" s="7" t="str">
        <f>IFERROR(HLOOKUP(X843,'Calc|Weightings'!$U$5:$W$5,1,0),"Excl")</f>
        <v>Labour</v>
      </c>
      <c r="AA843" s="7" t="str">
        <f>VLOOKUP(Q843,Mapping!$E$11:$I$204,5,0)</f>
        <v>ACS</v>
      </c>
      <c r="AC843" s="35" t="s">
        <v>244</v>
      </c>
      <c r="AD843" s="35"/>
      <c r="AE843" s="35">
        <v>71030</v>
      </c>
      <c r="AF843" s="35" t="s">
        <v>464</v>
      </c>
      <c r="AG843" s="36">
        <v>29.268999999999998</v>
      </c>
      <c r="AI843" s="7" t="str">
        <f>VLOOKUP($AC843,Mapping!$E$11:$I$204,3,0)</f>
        <v>Replacement</v>
      </c>
      <c r="AJ843" s="7" t="str">
        <f>IFERROR(VLOOKUP($AE843,Mapping!$E$208:$K$236,5,0),"Contracts")</f>
        <v>Contracts</v>
      </c>
      <c r="AK843" s="7" t="str">
        <f>IFERROR(VLOOKUP($AE843,Mapping!$E$208:$K$236,7,0),"ENDirect")</f>
        <v>ENDirect</v>
      </c>
      <c r="AL843" s="7" t="str">
        <f>IFERROR(HLOOKUP(AJ843,'Calc|Weightings'!$U$5:$W$5,1,0),"Excl")</f>
        <v>Contracts</v>
      </c>
      <c r="AM843" s="7" t="str">
        <f>VLOOKUP(AC843,Mapping!$E$11:$I$204,5,0)</f>
        <v>SCS</v>
      </c>
      <c r="AO843" s="35" t="s">
        <v>224</v>
      </c>
      <c r="AP843" s="35"/>
      <c r="AQ843" s="35">
        <v>71010</v>
      </c>
      <c r="AR843" s="35" t="s">
        <v>487</v>
      </c>
      <c r="AS843" s="121">
        <v>40.284189999999995</v>
      </c>
      <c r="AU843" s="7" t="str">
        <f>VLOOKUP($AO843,Mapping!$E$11:$I$204,3,0)</f>
        <v>Replacement</v>
      </c>
      <c r="AV843" s="7" t="str">
        <f>IFERROR(VLOOKUP($AQ843,Mapping!$E$208:$K$236,5,0),"Contracts")</f>
        <v>Labour</v>
      </c>
      <c r="AW843" s="7" t="str">
        <f>IFERROR(VLOOKUP($AQ843,Mapping!$E$208:$K$236,7,0),"ENDirect")</f>
        <v>ENDirect</v>
      </c>
      <c r="AX843" s="7" t="str">
        <f>IFERROR(HLOOKUP(AV843,'Calc|Weightings'!$U$5:$W$5,1,0),"Excl")</f>
        <v>Labour</v>
      </c>
      <c r="AY843" s="7" t="str">
        <f>VLOOKUP(AO843,Mapping!$E$11:$I$204,5,0)</f>
        <v>SCS</v>
      </c>
    </row>
    <row r="844" spans="1:51" x14ac:dyDescent="0.3">
      <c r="A844" s="7"/>
      <c r="B844" s="7"/>
      <c r="C844" s="7"/>
      <c r="D844" s="7"/>
      <c r="E844" s="32" t="s">
        <v>227</v>
      </c>
      <c r="F844" s="32"/>
      <c r="G844" s="32">
        <v>71000</v>
      </c>
      <c r="H844" s="32" t="s">
        <v>457</v>
      </c>
      <c r="I844" s="33">
        <v>578.36099999999999</v>
      </c>
      <c r="J844" s="170"/>
      <c r="K844" s="7" t="str">
        <f>VLOOKUP($E844,Mapping!$E$11:$I$204,3,0)</f>
        <v>Replacement</v>
      </c>
      <c r="L844" s="7" t="str">
        <f>IFERROR(VLOOKUP($G844,Mapping!$E$208:$K$236,5,0),"Contracts")</f>
        <v>Labour</v>
      </c>
      <c r="M844" s="7" t="str">
        <f>IFERROR(VLOOKUP($G844,Mapping!$E$208:$K$236,7,0),"ENDirect")</f>
        <v>ENDirect</v>
      </c>
      <c r="N844" s="7" t="str">
        <f>IFERROR(HLOOKUP(L844,'Calc|Weightings'!$U$5:$W$5,1,0),"Excl")</f>
        <v>Labour</v>
      </c>
      <c r="O844" s="7" t="str">
        <f>VLOOKUP(E844,Mapping!$E$11:$I$204,5,0)</f>
        <v>SCS</v>
      </c>
      <c r="Q844" s="32" t="s">
        <v>251</v>
      </c>
      <c r="R844" s="32"/>
      <c r="S844" s="32">
        <v>71015</v>
      </c>
      <c r="T844" s="32" t="s">
        <v>463</v>
      </c>
      <c r="U844" s="33">
        <v>2.19</v>
      </c>
      <c r="V844" s="7"/>
      <c r="W844" s="7" t="str">
        <f>VLOOKUP($Q844,Mapping!$E$11:$I$204,3,0)</f>
        <v>ACS</v>
      </c>
      <c r="X844" s="7" t="str">
        <f>IFERROR(VLOOKUP($S844,Mapping!$E$208:$K$236,5,0),"Contracts")</f>
        <v>Materials</v>
      </c>
      <c r="Y844" s="7" t="str">
        <f>IFERROR(VLOOKUP($S844,Mapping!$E$208:$K$236,7,0),"ENDirect")</f>
        <v>ENDirect</v>
      </c>
      <c r="Z844" s="7" t="str">
        <f>IFERROR(HLOOKUP(X844,'Calc|Weightings'!$U$5:$W$5,1,0),"Excl")</f>
        <v>Materials</v>
      </c>
      <c r="AA844" s="7" t="str">
        <f>VLOOKUP(Q844,Mapping!$E$11:$I$204,5,0)</f>
        <v>ACS</v>
      </c>
      <c r="AC844" s="35" t="s">
        <v>244</v>
      </c>
      <c r="AD844" s="35"/>
      <c r="AE844" s="35">
        <v>71055</v>
      </c>
      <c r="AF844" s="35" t="s">
        <v>465</v>
      </c>
      <c r="AG844" s="36">
        <v>64.650000000000006</v>
      </c>
      <c r="AI844" s="7" t="str">
        <f>VLOOKUP($AC844,Mapping!$E$11:$I$204,3,0)</f>
        <v>Replacement</v>
      </c>
      <c r="AJ844" s="7" t="str">
        <f>IFERROR(VLOOKUP($AE844,Mapping!$E$208:$K$236,5,0),"Contracts")</f>
        <v>Contracts</v>
      </c>
      <c r="AK844" s="7" t="str">
        <f>IFERROR(VLOOKUP($AE844,Mapping!$E$208:$K$236,7,0),"ENDirect")</f>
        <v>ENDirect</v>
      </c>
      <c r="AL844" s="7" t="str">
        <f>IFERROR(HLOOKUP(AJ844,'Calc|Weightings'!$U$5:$W$5,1,0),"Excl")</f>
        <v>Contracts</v>
      </c>
      <c r="AM844" s="7" t="str">
        <f>VLOOKUP(AC844,Mapping!$E$11:$I$204,5,0)</f>
        <v>SCS</v>
      </c>
      <c r="AO844" s="35" t="s">
        <v>224</v>
      </c>
      <c r="AP844" s="35"/>
      <c r="AQ844" s="35">
        <v>71015</v>
      </c>
      <c r="AR844" s="35" t="s">
        <v>585</v>
      </c>
      <c r="AS844" s="121">
        <v>10.91286</v>
      </c>
      <c r="AU844" s="7" t="str">
        <f>VLOOKUP($AO844,Mapping!$E$11:$I$204,3,0)</f>
        <v>Replacement</v>
      </c>
      <c r="AV844" s="7" t="str">
        <f>IFERROR(VLOOKUP($AQ844,Mapping!$E$208:$K$236,5,0),"Contracts")</f>
        <v>Materials</v>
      </c>
      <c r="AW844" s="7" t="str">
        <f>IFERROR(VLOOKUP($AQ844,Mapping!$E$208:$K$236,7,0),"ENDirect")</f>
        <v>ENDirect</v>
      </c>
      <c r="AX844" s="7" t="str">
        <f>IFERROR(HLOOKUP(AV844,'Calc|Weightings'!$U$5:$W$5,1,0),"Excl")</f>
        <v>Materials</v>
      </c>
      <c r="AY844" s="7" t="str">
        <f>VLOOKUP(AO844,Mapping!$E$11:$I$204,5,0)</f>
        <v>SCS</v>
      </c>
    </row>
    <row r="845" spans="1:51" x14ac:dyDescent="0.3">
      <c r="A845" s="7"/>
      <c r="B845" s="7"/>
      <c r="C845" s="7"/>
      <c r="D845" s="7"/>
      <c r="E845" s="32" t="s">
        <v>227</v>
      </c>
      <c r="F845" s="32"/>
      <c r="G845" s="32">
        <v>71005</v>
      </c>
      <c r="H845" s="32" t="s">
        <v>461</v>
      </c>
      <c r="I845" s="33">
        <v>709.16700000000003</v>
      </c>
      <c r="J845" s="170"/>
      <c r="K845" s="7" t="str">
        <f>VLOOKUP($E845,Mapping!$E$11:$I$204,3,0)</f>
        <v>Replacement</v>
      </c>
      <c r="L845" s="7" t="str">
        <f>IFERROR(VLOOKUP($G845,Mapping!$E$208:$K$236,5,0),"Contracts")</f>
        <v>Materials</v>
      </c>
      <c r="M845" s="7" t="str">
        <f>IFERROR(VLOOKUP($G845,Mapping!$E$208:$K$236,7,0),"ENDirect")</f>
        <v>ENDirect</v>
      </c>
      <c r="N845" s="7" t="str">
        <f>IFERROR(HLOOKUP(L845,'Calc|Weightings'!$U$5:$W$5,1,0),"Excl")</f>
        <v>Materials</v>
      </c>
      <c r="O845" s="7" t="str">
        <f>VLOOKUP(E845,Mapping!$E$11:$I$204,5,0)</f>
        <v>SCS</v>
      </c>
      <c r="Q845" s="32" t="s">
        <v>251</v>
      </c>
      <c r="R845" s="32"/>
      <c r="S845" s="32">
        <v>71030</v>
      </c>
      <c r="T845" s="32" t="s">
        <v>464</v>
      </c>
      <c r="U845" s="33">
        <v>1.3180000000000001</v>
      </c>
      <c r="V845" s="7"/>
      <c r="W845" s="7" t="str">
        <f>VLOOKUP($Q845,Mapping!$E$11:$I$204,3,0)</f>
        <v>ACS</v>
      </c>
      <c r="X845" s="7" t="str">
        <f>IFERROR(VLOOKUP($S845,Mapping!$E$208:$K$236,5,0),"Contracts")</f>
        <v>Contracts</v>
      </c>
      <c r="Y845" s="7" t="str">
        <f>IFERROR(VLOOKUP($S845,Mapping!$E$208:$K$236,7,0),"ENDirect")</f>
        <v>ENDirect</v>
      </c>
      <c r="Z845" s="7" t="str">
        <f>IFERROR(HLOOKUP(X845,'Calc|Weightings'!$U$5:$W$5,1,0),"Excl")</f>
        <v>Contracts</v>
      </c>
      <c r="AA845" s="7" t="str">
        <f>VLOOKUP(Q845,Mapping!$E$11:$I$204,5,0)</f>
        <v>ACS</v>
      </c>
      <c r="AC845" s="35" t="s">
        <v>244</v>
      </c>
      <c r="AD845" s="35"/>
      <c r="AE845" s="35">
        <v>80000</v>
      </c>
      <c r="AF845" s="35" t="s">
        <v>453</v>
      </c>
      <c r="AG845" s="36">
        <v>61.545000000000002</v>
      </c>
      <c r="AI845" s="7" t="str">
        <f>VLOOKUP($AC845,Mapping!$E$11:$I$204,3,0)</f>
        <v>Replacement</v>
      </c>
      <c r="AJ845" s="7" t="str">
        <f>IFERROR(VLOOKUP($AE845,Mapping!$E$208:$K$236,5,0),"Contracts")</f>
        <v>Overhead</v>
      </c>
      <c r="AK845" s="7" t="str">
        <f>IFERROR(VLOOKUP($AE845,Mapping!$E$208:$K$236,7,0),"ENDirect")</f>
        <v>OH</v>
      </c>
      <c r="AL845" s="7" t="str">
        <f>IFERROR(HLOOKUP(AJ845,'Calc|Weightings'!$U$5:$W$5,1,0),"Excl")</f>
        <v>Excl</v>
      </c>
      <c r="AM845" s="7" t="str">
        <f>VLOOKUP(AC845,Mapping!$E$11:$I$204,5,0)</f>
        <v>SCS</v>
      </c>
      <c r="AO845" s="35" t="s">
        <v>224</v>
      </c>
      <c r="AP845" s="35"/>
      <c r="AQ845" s="35">
        <v>71030</v>
      </c>
      <c r="AR845" s="35" t="s">
        <v>464</v>
      </c>
      <c r="AS845" s="121">
        <v>6.9454500000000001</v>
      </c>
      <c r="AU845" s="7" t="str">
        <f>VLOOKUP($AO845,Mapping!$E$11:$I$204,3,0)</f>
        <v>Replacement</v>
      </c>
      <c r="AV845" s="7" t="str">
        <f>IFERROR(VLOOKUP($AQ845,Mapping!$E$208:$K$236,5,0),"Contracts")</f>
        <v>Contracts</v>
      </c>
      <c r="AW845" s="7" t="str">
        <f>IFERROR(VLOOKUP($AQ845,Mapping!$E$208:$K$236,7,0),"ENDirect")</f>
        <v>ENDirect</v>
      </c>
      <c r="AX845" s="7" t="str">
        <f>IFERROR(HLOOKUP(AV845,'Calc|Weightings'!$U$5:$W$5,1,0),"Excl")</f>
        <v>Contracts</v>
      </c>
      <c r="AY845" s="7" t="str">
        <f>VLOOKUP(AO845,Mapping!$E$11:$I$204,5,0)</f>
        <v>SCS</v>
      </c>
    </row>
    <row r="846" spans="1:51" x14ac:dyDescent="0.3">
      <c r="A846" s="7"/>
      <c r="B846" s="7"/>
      <c r="C846" s="7"/>
      <c r="D846" s="7"/>
      <c r="E846" s="32" t="s">
        <v>227</v>
      </c>
      <c r="F846" s="32"/>
      <c r="G846" s="32">
        <v>71010</v>
      </c>
      <c r="H846" s="32" t="s">
        <v>462</v>
      </c>
      <c r="I846" s="33">
        <v>331.87299999999999</v>
      </c>
      <c r="J846" s="170"/>
      <c r="K846" s="7" t="str">
        <f>VLOOKUP($E846,Mapping!$E$11:$I$204,3,0)</f>
        <v>Replacement</v>
      </c>
      <c r="L846" s="7" t="str">
        <f>IFERROR(VLOOKUP($G846,Mapping!$E$208:$K$236,5,0),"Contracts")</f>
        <v>Labour</v>
      </c>
      <c r="M846" s="7" t="str">
        <f>IFERROR(VLOOKUP($G846,Mapping!$E$208:$K$236,7,0),"ENDirect")</f>
        <v>ENDirect</v>
      </c>
      <c r="N846" s="7" t="str">
        <f>IFERROR(HLOOKUP(L846,'Calc|Weightings'!$U$5:$W$5,1,0),"Excl")</f>
        <v>Labour</v>
      </c>
      <c r="O846" s="7" t="str">
        <f>VLOOKUP(E846,Mapping!$E$11:$I$204,5,0)</f>
        <v>SCS</v>
      </c>
      <c r="Q846" s="32" t="s">
        <v>251</v>
      </c>
      <c r="R846" s="32"/>
      <c r="S846" s="32">
        <v>71055</v>
      </c>
      <c r="T846" s="32" t="s">
        <v>465</v>
      </c>
      <c r="U846" s="33">
        <v>1.748</v>
      </c>
      <c r="V846" s="7"/>
      <c r="W846" s="7" t="str">
        <f>VLOOKUP($Q846,Mapping!$E$11:$I$204,3,0)</f>
        <v>ACS</v>
      </c>
      <c r="X846" s="7" t="str">
        <f>IFERROR(VLOOKUP($S846,Mapping!$E$208:$K$236,5,0),"Contracts")</f>
        <v>Contracts</v>
      </c>
      <c r="Y846" s="7" t="str">
        <f>IFERROR(VLOOKUP($S846,Mapping!$E$208:$K$236,7,0),"ENDirect")</f>
        <v>ENDirect</v>
      </c>
      <c r="Z846" s="7" t="str">
        <f>IFERROR(HLOOKUP(X846,'Calc|Weightings'!$U$5:$W$5,1,0),"Excl")</f>
        <v>Contracts</v>
      </c>
      <c r="AA846" s="7" t="str">
        <f>VLOOKUP(Q846,Mapping!$E$11:$I$204,5,0)</f>
        <v>ACS</v>
      </c>
      <c r="AC846" s="35" t="s">
        <v>244</v>
      </c>
      <c r="AD846" s="35"/>
      <c r="AE846" s="35">
        <v>89999</v>
      </c>
      <c r="AF846" s="35" t="s">
        <v>471</v>
      </c>
      <c r="AG846" s="36">
        <v>0</v>
      </c>
      <c r="AI846" s="7" t="str">
        <f>VLOOKUP($AC846,Mapping!$E$11:$I$204,3,0)</f>
        <v>Replacement</v>
      </c>
      <c r="AJ846" s="7" t="str">
        <f>IFERROR(VLOOKUP($AE846,Mapping!$E$208:$K$236,5,0),"Contracts")</f>
        <v>Contracts</v>
      </c>
      <c r="AK846" s="7" t="str">
        <f>IFERROR(VLOOKUP($AE846,Mapping!$E$208:$K$236,7,0),"ENDirect")</f>
        <v>ENDirect</v>
      </c>
      <c r="AL846" s="7" t="str">
        <f>IFERROR(HLOOKUP(AJ846,'Calc|Weightings'!$U$5:$W$5,1,0),"Excl")</f>
        <v>Contracts</v>
      </c>
      <c r="AM846" s="7" t="str">
        <f>VLOOKUP(AC846,Mapping!$E$11:$I$204,5,0)</f>
        <v>SCS</v>
      </c>
      <c r="AO846" s="35" t="s">
        <v>224</v>
      </c>
      <c r="AP846" s="35"/>
      <c r="AQ846" s="35">
        <v>71055</v>
      </c>
      <c r="AR846" s="35" t="s">
        <v>465</v>
      </c>
      <c r="AS846" s="121">
        <v>15.708119999999999</v>
      </c>
      <c r="AU846" s="7" t="str">
        <f>VLOOKUP($AO846,Mapping!$E$11:$I$204,3,0)</f>
        <v>Replacement</v>
      </c>
      <c r="AV846" s="7" t="str">
        <f>IFERROR(VLOOKUP($AQ846,Mapping!$E$208:$K$236,5,0),"Contracts")</f>
        <v>Contracts</v>
      </c>
      <c r="AW846" s="7" t="str">
        <f>IFERROR(VLOOKUP($AQ846,Mapping!$E$208:$K$236,7,0),"ENDirect")</f>
        <v>ENDirect</v>
      </c>
      <c r="AX846" s="7" t="str">
        <f>IFERROR(HLOOKUP(AV846,'Calc|Weightings'!$U$5:$W$5,1,0),"Excl")</f>
        <v>Contracts</v>
      </c>
      <c r="AY846" s="7" t="str">
        <f>VLOOKUP(AO846,Mapping!$E$11:$I$204,5,0)</f>
        <v>SCS</v>
      </c>
    </row>
    <row r="847" spans="1:51" x14ac:dyDescent="0.3">
      <c r="A847" s="7"/>
      <c r="B847" s="7"/>
      <c r="C847" s="7"/>
      <c r="D847" s="7"/>
      <c r="E847" s="32" t="s">
        <v>227</v>
      </c>
      <c r="F847" s="32"/>
      <c r="G847" s="32">
        <v>71015</v>
      </c>
      <c r="H847" s="32" t="s">
        <v>463</v>
      </c>
      <c r="I847" s="33">
        <v>142.86199999999999</v>
      </c>
      <c r="J847" s="170"/>
      <c r="K847" s="7" t="str">
        <f>VLOOKUP($E847,Mapping!$E$11:$I$204,3,0)</f>
        <v>Replacement</v>
      </c>
      <c r="L847" s="7" t="str">
        <f>IFERROR(VLOOKUP($G847,Mapping!$E$208:$K$236,5,0),"Contracts")</f>
        <v>Materials</v>
      </c>
      <c r="M847" s="7" t="str">
        <f>IFERROR(VLOOKUP($G847,Mapping!$E$208:$K$236,7,0),"ENDirect")</f>
        <v>ENDirect</v>
      </c>
      <c r="N847" s="7" t="str">
        <f>IFERROR(HLOOKUP(L847,'Calc|Weightings'!$U$5:$W$5,1,0),"Excl")</f>
        <v>Materials</v>
      </c>
      <c r="O847" s="7" t="str">
        <f>VLOOKUP(E847,Mapping!$E$11:$I$204,5,0)</f>
        <v>SCS</v>
      </c>
      <c r="Q847" s="32" t="s">
        <v>251</v>
      </c>
      <c r="R847" s="32"/>
      <c r="S847" s="32">
        <v>80000</v>
      </c>
      <c r="T847" s="32" t="s">
        <v>453</v>
      </c>
      <c r="U847" s="33">
        <v>2.754</v>
      </c>
      <c r="V847" s="7"/>
      <c r="W847" s="7" t="str">
        <f>VLOOKUP($Q847,Mapping!$E$11:$I$204,3,0)</f>
        <v>ACS</v>
      </c>
      <c r="X847" s="7" t="str">
        <f>IFERROR(VLOOKUP($S847,Mapping!$E$208:$K$236,5,0),"Contracts")</f>
        <v>Overhead</v>
      </c>
      <c r="Y847" s="7" t="str">
        <f>IFERROR(VLOOKUP($S847,Mapping!$E$208:$K$236,7,0),"ENDirect")</f>
        <v>OH</v>
      </c>
      <c r="Z847" s="7" t="str">
        <f>IFERROR(HLOOKUP(X847,'Calc|Weightings'!$U$5:$W$5,1,0),"Excl")</f>
        <v>Excl</v>
      </c>
      <c r="AA847" s="7" t="str">
        <f>VLOOKUP(Q847,Mapping!$E$11:$I$204,5,0)</f>
        <v>ACS</v>
      </c>
      <c r="AC847" s="35" t="s">
        <v>249</v>
      </c>
      <c r="AD847" s="35"/>
      <c r="AE847" s="35">
        <v>71000</v>
      </c>
      <c r="AF847" s="35" t="s">
        <v>457</v>
      </c>
      <c r="AG847" s="36">
        <v>100.42400000000001</v>
      </c>
      <c r="AI847" s="7" t="str">
        <f>VLOOKUP($AC847,Mapping!$E$11:$I$204,3,0)</f>
        <v>ACS</v>
      </c>
      <c r="AJ847" s="7" t="str">
        <f>IFERROR(VLOOKUP($AE847,Mapping!$E$208:$K$236,5,0),"Contracts")</f>
        <v>Labour</v>
      </c>
      <c r="AK847" s="7" t="str">
        <f>IFERROR(VLOOKUP($AE847,Mapping!$E$208:$K$236,7,0),"ENDirect")</f>
        <v>ENDirect</v>
      </c>
      <c r="AL847" s="7" t="str">
        <f>IFERROR(HLOOKUP(AJ847,'Calc|Weightings'!$U$5:$W$5,1,0),"Excl")</f>
        <v>Labour</v>
      </c>
      <c r="AM847" s="7" t="str">
        <f>VLOOKUP(AC847,Mapping!$E$11:$I$204,5,0)</f>
        <v>ACS</v>
      </c>
      <c r="AO847" s="35" t="s">
        <v>224</v>
      </c>
      <c r="AP847" s="35"/>
      <c r="AQ847" s="35">
        <v>71070</v>
      </c>
      <c r="AR847" s="35" t="s">
        <v>586</v>
      </c>
      <c r="AS847" s="121">
        <v>19.57235</v>
      </c>
      <c r="AU847" s="7" t="str">
        <f>VLOOKUP($AO847,Mapping!$E$11:$I$204,3,0)</f>
        <v>Replacement</v>
      </c>
      <c r="AV847" s="7" t="str">
        <f>IFERROR(VLOOKUP($AQ847,Mapping!$E$208:$K$236,5,0),"Contracts")</f>
        <v>Contracts</v>
      </c>
      <c r="AW847" s="7" t="str">
        <f>IFERROR(VLOOKUP($AQ847,Mapping!$E$208:$K$236,7,0),"ENDirect")</f>
        <v>ENDirect</v>
      </c>
      <c r="AX847" s="7" t="str">
        <f>IFERROR(HLOOKUP(AV847,'Calc|Weightings'!$U$5:$W$5,1,0),"Excl")</f>
        <v>Contracts</v>
      </c>
      <c r="AY847" s="7" t="str">
        <f>VLOOKUP(AO847,Mapping!$E$11:$I$204,5,0)</f>
        <v>SCS</v>
      </c>
    </row>
    <row r="848" spans="1:51" x14ac:dyDescent="0.3">
      <c r="A848" s="7"/>
      <c r="B848" s="7"/>
      <c r="C848" s="7"/>
      <c r="D848" s="7"/>
      <c r="E848" s="32" t="s">
        <v>227</v>
      </c>
      <c r="F848" s="32"/>
      <c r="G848" s="32">
        <v>71030</v>
      </c>
      <c r="H848" s="32" t="s">
        <v>464</v>
      </c>
      <c r="I848" s="33">
        <v>142.24199999999999</v>
      </c>
      <c r="J848" s="170"/>
      <c r="K848" s="7" t="str">
        <f>VLOOKUP($E848,Mapping!$E$11:$I$204,3,0)</f>
        <v>Replacement</v>
      </c>
      <c r="L848" s="7" t="str">
        <f>IFERROR(VLOOKUP($G848,Mapping!$E$208:$K$236,5,0),"Contracts")</f>
        <v>Contracts</v>
      </c>
      <c r="M848" s="7" t="str">
        <f>IFERROR(VLOOKUP($G848,Mapping!$E$208:$K$236,7,0),"ENDirect")</f>
        <v>ENDirect</v>
      </c>
      <c r="N848" s="7" t="str">
        <f>IFERROR(HLOOKUP(L848,'Calc|Weightings'!$U$5:$W$5,1,0),"Excl")</f>
        <v>Contracts</v>
      </c>
      <c r="O848" s="7" t="str">
        <f>VLOOKUP(E848,Mapping!$E$11:$I$204,5,0)</f>
        <v>SCS</v>
      </c>
      <c r="Q848" s="32" t="s">
        <v>252</v>
      </c>
      <c r="R848" s="32"/>
      <c r="S848" s="32">
        <v>71000</v>
      </c>
      <c r="T848" s="32" t="s">
        <v>457</v>
      </c>
      <c r="U848" s="33">
        <v>26.831</v>
      </c>
      <c r="V848" s="7"/>
      <c r="W848" s="7" t="str">
        <f>VLOOKUP($Q848,Mapping!$E$11:$I$204,3,0)</f>
        <v>ACS</v>
      </c>
      <c r="X848" s="7" t="str">
        <f>IFERROR(VLOOKUP($S848,Mapping!$E$208:$K$236,5,0),"Contracts")</f>
        <v>Labour</v>
      </c>
      <c r="Y848" s="7" t="str">
        <f>IFERROR(VLOOKUP($S848,Mapping!$E$208:$K$236,7,0),"ENDirect")</f>
        <v>ENDirect</v>
      </c>
      <c r="Z848" s="7" t="str">
        <f>IFERROR(HLOOKUP(X848,'Calc|Weightings'!$U$5:$W$5,1,0),"Excl")</f>
        <v>Labour</v>
      </c>
      <c r="AA848" s="7" t="str">
        <f>VLOOKUP(Q848,Mapping!$E$11:$I$204,5,0)</f>
        <v>ACS</v>
      </c>
      <c r="AC848" s="35" t="s">
        <v>249</v>
      </c>
      <c r="AD848" s="35"/>
      <c r="AE848" s="35">
        <v>71005</v>
      </c>
      <c r="AF848" s="35" t="s">
        <v>461</v>
      </c>
      <c r="AG848" s="36">
        <v>9.1660000000000004</v>
      </c>
      <c r="AI848" s="7" t="str">
        <f>VLOOKUP($AC848,Mapping!$E$11:$I$204,3,0)</f>
        <v>ACS</v>
      </c>
      <c r="AJ848" s="7" t="str">
        <f>IFERROR(VLOOKUP($AE848,Mapping!$E$208:$K$236,5,0),"Contracts")</f>
        <v>Materials</v>
      </c>
      <c r="AK848" s="7" t="str">
        <f>IFERROR(VLOOKUP($AE848,Mapping!$E$208:$K$236,7,0),"ENDirect")</f>
        <v>ENDirect</v>
      </c>
      <c r="AL848" s="7" t="str">
        <f>IFERROR(HLOOKUP(AJ848,'Calc|Weightings'!$U$5:$W$5,1,0),"Excl")</f>
        <v>Materials</v>
      </c>
      <c r="AM848" s="7" t="str">
        <f>VLOOKUP(AC848,Mapping!$E$11:$I$204,5,0)</f>
        <v>ACS</v>
      </c>
      <c r="AO848" s="35" t="s">
        <v>224</v>
      </c>
      <c r="AP848" s="35"/>
      <c r="AQ848" s="35">
        <v>71075</v>
      </c>
      <c r="AR848" s="35" t="s">
        <v>587</v>
      </c>
      <c r="AS848" s="121">
        <v>43.600109999999994</v>
      </c>
      <c r="AU848" s="7" t="str">
        <f>VLOOKUP($AO848,Mapping!$E$11:$I$204,3,0)</f>
        <v>Replacement</v>
      </c>
      <c r="AV848" s="7" t="str">
        <f>IFERROR(VLOOKUP($AQ848,Mapping!$E$208:$K$236,5,0),"Contracts")</f>
        <v>Contracts</v>
      </c>
      <c r="AW848" s="7" t="str">
        <f>IFERROR(VLOOKUP($AQ848,Mapping!$E$208:$K$236,7,0),"ENDirect")</f>
        <v>ENDirect</v>
      </c>
      <c r="AX848" s="7" t="str">
        <f>IFERROR(HLOOKUP(AV848,'Calc|Weightings'!$U$5:$W$5,1,0),"Excl")</f>
        <v>Contracts</v>
      </c>
      <c r="AY848" s="7" t="str">
        <f>VLOOKUP(AO848,Mapping!$E$11:$I$204,5,0)</f>
        <v>SCS</v>
      </c>
    </row>
    <row r="849" spans="1:51" x14ac:dyDescent="0.3">
      <c r="A849" s="7"/>
      <c r="B849" s="7"/>
      <c r="C849" s="7"/>
      <c r="D849" s="7"/>
      <c r="E849" s="32" t="s">
        <v>227</v>
      </c>
      <c r="F849" s="32"/>
      <c r="G849" s="32">
        <v>71055</v>
      </c>
      <c r="H849" s="32" t="s">
        <v>465</v>
      </c>
      <c r="I849" s="33">
        <v>285.79599999999999</v>
      </c>
      <c r="J849" s="170"/>
      <c r="K849" s="7" t="str">
        <f>VLOOKUP($E849,Mapping!$E$11:$I$204,3,0)</f>
        <v>Replacement</v>
      </c>
      <c r="L849" s="7" t="str">
        <f>IFERROR(VLOOKUP($G849,Mapping!$E$208:$K$236,5,0),"Contracts")</f>
        <v>Contracts</v>
      </c>
      <c r="M849" s="7" t="str">
        <f>IFERROR(VLOOKUP($G849,Mapping!$E$208:$K$236,7,0),"ENDirect")</f>
        <v>ENDirect</v>
      </c>
      <c r="N849" s="7" t="str">
        <f>IFERROR(HLOOKUP(L849,'Calc|Weightings'!$U$5:$W$5,1,0),"Excl")</f>
        <v>Contracts</v>
      </c>
      <c r="O849" s="7" t="str">
        <f>VLOOKUP(E849,Mapping!$E$11:$I$204,5,0)</f>
        <v>SCS</v>
      </c>
      <c r="Q849" s="32" t="s">
        <v>252</v>
      </c>
      <c r="R849" s="32"/>
      <c r="S849" s="32">
        <v>71005</v>
      </c>
      <c r="T849" s="32" t="s">
        <v>461</v>
      </c>
      <c r="U849" s="33">
        <v>3.5369999999999999</v>
      </c>
      <c r="V849" s="7"/>
      <c r="W849" s="7" t="str">
        <f>VLOOKUP($Q849,Mapping!$E$11:$I$204,3,0)</f>
        <v>ACS</v>
      </c>
      <c r="X849" s="7" t="str">
        <f>IFERROR(VLOOKUP($S849,Mapping!$E$208:$K$236,5,0),"Contracts")</f>
        <v>Materials</v>
      </c>
      <c r="Y849" s="7" t="str">
        <f>IFERROR(VLOOKUP($S849,Mapping!$E$208:$K$236,7,0),"ENDirect")</f>
        <v>ENDirect</v>
      </c>
      <c r="Z849" s="7" t="str">
        <f>IFERROR(HLOOKUP(X849,'Calc|Weightings'!$U$5:$W$5,1,0),"Excl")</f>
        <v>Materials</v>
      </c>
      <c r="AA849" s="7" t="str">
        <f>VLOOKUP(Q849,Mapping!$E$11:$I$204,5,0)</f>
        <v>ACS</v>
      </c>
      <c r="AC849" s="35" t="s">
        <v>249</v>
      </c>
      <c r="AD849" s="35"/>
      <c r="AE849" s="35">
        <v>71010</v>
      </c>
      <c r="AF849" s="35" t="s">
        <v>462</v>
      </c>
      <c r="AG849" s="36">
        <v>2.5720000000000001</v>
      </c>
      <c r="AI849" s="7" t="str">
        <f>VLOOKUP($AC849,Mapping!$E$11:$I$204,3,0)</f>
        <v>ACS</v>
      </c>
      <c r="AJ849" s="7" t="str">
        <f>IFERROR(VLOOKUP($AE849,Mapping!$E$208:$K$236,5,0),"Contracts")</f>
        <v>Labour</v>
      </c>
      <c r="AK849" s="7" t="str">
        <f>IFERROR(VLOOKUP($AE849,Mapping!$E$208:$K$236,7,0),"ENDirect")</f>
        <v>ENDirect</v>
      </c>
      <c r="AL849" s="7" t="str">
        <f>IFERROR(HLOOKUP(AJ849,'Calc|Weightings'!$U$5:$W$5,1,0),"Excl")</f>
        <v>Labour</v>
      </c>
      <c r="AM849" s="7" t="str">
        <f>VLOOKUP(AC849,Mapping!$E$11:$I$204,5,0)</f>
        <v>ACS</v>
      </c>
      <c r="AO849" s="35" t="s">
        <v>224</v>
      </c>
      <c r="AP849" s="35"/>
      <c r="AQ849" s="35">
        <v>80000</v>
      </c>
      <c r="AR849" s="35" t="s">
        <v>589</v>
      </c>
      <c r="AS849" s="121">
        <v>93.60411999999998</v>
      </c>
      <c r="AU849" s="7" t="str">
        <f>VLOOKUP($AO849,Mapping!$E$11:$I$204,3,0)</f>
        <v>Replacement</v>
      </c>
      <c r="AV849" s="7" t="str">
        <f>IFERROR(VLOOKUP($AQ849,Mapping!$E$208:$K$236,5,0),"Contracts")</f>
        <v>Overhead</v>
      </c>
      <c r="AW849" s="7" t="str">
        <f>IFERROR(VLOOKUP($AQ849,Mapping!$E$208:$K$236,7,0),"ENDirect")</f>
        <v>OH</v>
      </c>
      <c r="AX849" s="7" t="str">
        <f>IFERROR(HLOOKUP(AV849,'Calc|Weightings'!$U$5:$W$5,1,0),"Excl")</f>
        <v>Excl</v>
      </c>
      <c r="AY849" s="7" t="str">
        <f>VLOOKUP(AO849,Mapping!$E$11:$I$204,5,0)</f>
        <v>SCS</v>
      </c>
    </row>
    <row r="850" spans="1:51" x14ac:dyDescent="0.3">
      <c r="A850" s="7"/>
      <c r="B850" s="7"/>
      <c r="C850" s="7"/>
      <c r="D850" s="7"/>
      <c r="E850" s="32" t="s">
        <v>227</v>
      </c>
      <c r="F850" s="32"/>
      <c r="G850" s="32">
        <v>80000</v>
      </c>
      <c r="H850" s="32" t="s">
        <v>453</v>
      </c>
      <c r="I850" s="33">
        <v>201.792</v>
      </c>
      <c r="J850" s="170"/>
      <c r="K850" s="7" t="str">
        <f>VLOOKUP($E850,Mapping!$E$11:$I$204,3,0)</f>
        <v>Replacement</v>
      </c>
      <c r="L850" s="7" t="str">
        <f>IFERROR(VLOOKUP($G850,Mapping!$E$208:$K$236,5,0),"Contracts")</f>
        <v>Overhead</v>
      </c>
      <c r="M850" s="7" t="str">
        <f>IFERROR(VLOOKUP($G850,Mapping!$E$208:$K$236,7,0),"ENDirect")</f>
        <v>OH</v>
      </c>
      <c r="N850" s="7" t="str">
        <f>IFERROR(HLOOKUP(L850,'Calc|Weightings'!$U$5:$W$5,1,0),"Excl")</f>
        <v>Excl</v>
      </c>
      <c r="O850" s="7" t="str">
        <f>VLOOKUP(E850,Mapping!$E$11:$I$204,5,0)</f>
        <v>SCS</v>
      </c>
      <c r="Q850" s="32" t="s">
        <v>252</v>
      </c>
      <c r="R850" s="32"/>
      <c r="S850" s="32">
        <v>71010</v>
      </c>
      <c r="T850" s="32" t="s">
        <v>462</v>
      </c>
      <c r="U850" s="33">
        <v>1.718</v>
      </c>
      <c r="V850" s="7"/>
      <c r="W850" s="7" t="str">
        <f>VLOOKUP($Q850,Mapping!$E$11:$I$204,3,0)</f>
        <v>ACS</v>
      </c>
      <c r="X850" s="7" t="str">
        <f>IFERROR(VLOOKUP($S850,Mapping!$E$208:$K$236,5,0),"Contracts")</f>
        <v>Labour</v>
      </c>
      <c r="Y850" s="7" t="str">
        <f>IFERROR(VLOOKUP($S850,Mapping!$E$208:$K$236,7,0),"ENDirect")</f>
        <v>ENDirect</v>
      </c>
      <c r="Z850" s="7" t="str">
        <f>IFERROR(HLOOKUP(X850,'Calc|Weightings'!$U$5:$W$5,1,0),"Excl")</f>
        <v>Labour</v>
      </c>
      <c r="AA850" s="7" t="str">
        <f>VLOOKUP(Q850,Mapping!$E$11:$I$204,5,0)</f>
        <v>ACS</v>
      </c>
      <c r="AC850" s="35" t="s">
        <v>249</v>
      </c>
      <c r="AD850" s="35"/>
      <c r="AE850" s="35">
        <v>71015</v>
      </c>
      <c r="AF850" s="35" t="s">
        <v>463</v>
      </c>
      <c r="AG850" s="36">
        <v>19.754000000000001</v>
      </c>
      <c r="AI850" s="7" t="str">
        <f>VLOOKUP($AC850,Mapping!$E$11:$I$204,3,0)</f>
        <v>ACS</v>
      </c>
      <c r="AJ850" s="7" t="str">
        <f>IFERROR(VLOOKUP($AE850,Mapping!$E$208:$K$236,5,0),"Contracts")</f>
        <v>Materials</v>
      </c>
      <c r="AK850" s="7" t="str">
        <f>IFERROR(VLOOKUP($AE850,Mapping!$E$208:$K$236,7,0),"ENDirect")</f>
        <v>ENDirect</v>
      </c>
      <c r="AL850" s="7" t="str">
        <f>IFERROR(HLOOKUP(AJ850,'Calc|Weightings'!$U$5:$W$5,1,0),"Excl")</f>
        <v>Materials</v>
      </c>
      <c r="AM850" s="7" t="str">
        <f>VLOOKUP(AC850,Mapping!$E$11:$I$204,5,0)</f>
        <v>ACS</v>
      </c>
      <c r="AO850" s="35" t="s">
        <v>224</v>
      </c>
      <c r="AP850" s="35"/>
      <c r="AQ850" s="35">
        <v>83010</v>
      </c>
      <c r="AR850" s="35" t="s">
        <v>591</v>
      </c>
      <c r="AS850" s="121">
        <v>344.47335999999967</v>
      </c>
      <c r="AU850" s="7" t="str">
        <f>VLOOKUP($AO850,Mapping!$E$11:$I$204,3,0)</f>
        <v>Replacement</v>
      </c>
      <c r="AV850" s="7" t="str">
        <f>IFERROR(VLOOKUP($AQ850,Mapping!$E$208:$K$236,5,0),"Contracts")</f>
        <v>Contracts</v>
      </c>
      <c r="AW850" s="7" t="str">
        <f>IFERROR(VLOOKUP($AQ850,Mapping!$E$208:$K$236,7,0),"ENDirect")</f>
        <v>ENDirect</v>
      </c>
      <c r="AX850" s="7" t="str">
        <f>IFERROR(HLOOKUP(AV850,'Calc|Weightings'!$U$5:$W$5,1,0),"Excl")</f>
        <v>Contracts</v>
      </c>
      <c r="AY850" s="7" t="str">
        <f>VLOOKUP(AO850,Mapping!$E$11:$I$204,5,0)</f>
        <v>SCS</v>
      </c>
    </row>
    <row r="851" spans="1:51" x14ac:dyDescent="0.3">
      <c r="A851" s="7"/>
      <c r="B851" s="7"/>
      <c r="C851" s="7"/>
      <c r="D851" s="7"/>
      <c r="E851" s="32" t="s">
        <v>228</v>
      </c>
      <c r="F851" s="32"/>
      <c r="G851" s="32">
        <v>71000</v>
      </c>
      <c r="H851" s="32" t="s">
        <v>457</v>
      </c>
      <c r="I851" s="33">
        <v>232.59899999999999</v>
      </c>
      <c r="J851" s="170"/>
      <c r="K851" s="7" t="str">
        <f>VLOOKUP($E851,Mapping!$E$11:$I$204,3,0)</f>
        <v>Replacement</v>
      </c>
      <c r="L851" s="7" t="str">
        <f>IFERROR(VLOOKUP($G851,Mapping!$E$208:$K$236,5,0),"Contracts")</f>
        <v>Labour</v>
      </c>
      <c r="M851" s="7" t="str">
        <f>IFERROR(VLOOKUP($G851,Mapping!$E$208:$K$236,7,0),"ENDirect")</f>
        <v>ENDirect</v>
      </c>
      <c r="N851" s="7" t="str">
        <f>IFERROR(HLOOKUP(L851,'Calc|Weightings'!$U$5:$W$5,1,0),"Excl")</f>
        <v>Labour</v>
      </c>
      <c r="O851" s="7" t="str">
        <f>VLOOKUP(E851,Mapping!$E$11:$I$204,5,0)</f>
        <v>SCS</v>
      </c>
      <c r="Q851" s="32" t="s">
        <v>252</v>
      </c>
      <c r="R851" s="32"/>
      <c r="S851" s="32">
        <v>71015</v>
      </c>
      <c r="T851" s="32" t="s">
        <v>463</v>
      </c>
      <c r="U851" s="33">
        <v>5.4329999999999998</v>
      </c>
      <c r="V851" s="7"/>
      <c r="W851" s="7" t="str">
        <f>VLOOKUP($Q851,Mapping!$E$11:$I$204,3,0)</f>
        <v>ACS</v>
      </c>
      <c r="X851" s="7" t="str">
        <f>IFERROR(VLOOKUP($S851,Mapping!$E$208:$K$236,5,0),"Contracts")</f>
        <v>Materials</v>
      </c>
      <c r="Y851" s="7" t="str">
        <f>IFERROR(VLOOKUP($S851,Mapping!$E$208:$K$236,7,0),"ENDirect")</f>
        <v>ENDirect</v>
      </c>
      <c r="Z851" s="7" t="str">
        <f>IFERROR(HLOOKUP(X851,'Calc|Weightings'!$U$5:$W$5,1,0),"Excl")</f>
        <v>Materials</v>
      </c>
      <c r="AA851" s="7" t="str">
        <f>VLOOKUP(Q851,Mapping!$E$11:$I$204,5,0)</f>
        <v>ACS</v>
      </c>
      <c r="AC851" s="35" t="s">
        <v>249</v>
      </c>
      <c r="AD851" s="35"/>
      <c r="AE851" s="35">
        <v>71030</v>
      </c>
      <c r="AF851" s="35" t="s">
        <v>464</v>
      </c>
      <c r="AG851" s="36">
        <v>10.702999999999999</v>
      </c>
      <c r="AI851" s="7" t="str">
        <f>VLOOKUP($AC851,Mapping!$E$11:$I$204,3,0)</f>
        <v>ACS</v>
      </c>
      <c r="AJ851" s="7" t="str">
        <f>IFERROR(VLOOKUP($AE851,Mapping!$E$208:$K$236,5,0),"Contracts")</f>
        <v>Contracts</v>
      </c>
      <c r="AK851" s="7" t="str">
        <f>IFERROR(VLOOKUP($AE851,Mapping!$E$208:$K$236,7,0),"ENDirect")</f>
        <v>ENDirect</v>
      </c>
      <c r="AL851" s="7" t="str">
        <f>IFERROR(HLOOKUP(AJ851,'Calc|Weightings'!$U$5:$W$5,1,0),"Excl")</f>
        <v>Contracts</v>
      </c>
      <c r="AM851" s="7" t="str">
        <f>VLOOKUP(AC851,Mapping!$E$11:$I$204,5,0)</f>
        <v>ACS</v>
      </c>
      <c r="AO851" s="35" t="s">
        <v>225</v>
      </c>
      <c r="AP851" s="35"/>
      <c r="AQ851" s="35">
        <v>71000</v>
      </c>
      <c r="AR851" s="35" t="s">
        <v>457</v>
      </c>
      <c r="AS851" s="121">
        <v>5.2894799999999993</v>
      </c>
      <c r="AU851" s="7" t="str">
        <f>VLOOKUP($AO851,Mapping!$E$11:$I$204,3,0)</f>
        <v>Replacement</v>
      </c>
      <c r="AV851" s="7" t="str">
        <f>IFERROR(VLOOKUP($AQ851,Mapping!$E$208:$K$236,5,0),"Contracts")</f>
        <v>Labour</v>
      </c>
      <c r="AW851" s="7" t="str">
        <f>IFERROR(VLOOKUP($AQ851,Mapping!$E$208:$K$236,7,0),"ENDirect")</f>
        <v>ENDirect</v>
      </c>
      <c r="AX851" s="7" t="str">
        <f>IFERROR(HLOOKUP(AV851,'Calc|Weightings'!$U$5:$W$5,1,0),"Excl")</f>
        <v>Labour</v>
      </c>
      <c r="AY851" s="7" t="str">
        <f>VLOOKUP(AO851,Mapping!$E$11:$I$204,5,0)</f>
        <v>SCS</v>
      </c>
    </row>
    <row r="852" spans="1:51" x14ac:dyDescent="0.3">
      <c r="A852" s="7"/>
      <c r="B852" s="7"/>
      <c r="C852" s="7"/>
      <c r="D852" s="7"/>
      <c r="E852" s="32" t="s">
        <v>228</v>
      </c>
      <c r="F852" s="32"/>
      <c r="G852" s="32">
        <v>71005</v>
      </c>
      <c r="H852" s="32" t="s">
        <v>461</v>
      </c>
      <c r="I852" s="33">
        <v>432.71600000000001</v>
      </c>
      <c r="J852" s="170"/>
      <c r="K852" s="7" t="str">
        <f>VLOOKUP($E852,Mapping!$E$11:$I$204,3,0)</f>
        <v>Replacement</v>
      </c>
      <c r="L852" s="7" t="str">
        <f>IFERROR(VLOOKUP($G852,Mapping!$E$208:$K$236,5,0),"Contracts")</f>
        <v>Materials</v>
      </c>
      <c r="M852" s="7" t="str">
        <f>IFERROR(VLOOKUP($G852,Mapping!$E$208:$K$236,7,0),"ENDirect")</f>
        <v>ENDirect</v>
      </c>
      <c r="N852" s="7" t="str">
        <f>IFERROR(HLOOKUP(L852,'Calc|Weightings'!$U$5:$W$5,1,0),"Excl")</f>
        <v>Materials</v>
      </c>
      <c r="O852" s="7" t="str">
        <f>VLOOKUP(E852,Mapping!$E$11:$I$204,5,0)</f>
        <v>SCS</v>
      </c>
      <c r="Q852" s="32" t="s">
        <v>252</v>
      </c>
      <c r="R852" s="32"/>
      <c r="S852" s="32">
        <v>71030</v>
      </c>
      <c r="T852" s="32" t="s">
        <v>464</v>
      </c>
      <c r="U852" s="33">
        <v>3.117</v>
      </c>
      <c r="V852" s="7"/>
      <c r="W852" s="7" t="str">
        <f>VLOOKUP($Q852,Mapping!$E$11:$I$204,3,0)</f>
        <v>ACS</v>
      </c>
      <c r="X852" s="7" t="str">
        <f>IFERROR(VLOOKUP($S852,Mapping!$E$208:$K$236,5,0),"Contracts")</f>
        <v>Contracts</v>
      </c>
      <c r="Y852" s="7" t="str">
        <f>IFERROR(VLOOKUP($S852,Mapping!$E$208:$K$236,7,0),"ENDirect")</f>
        <v>ENDirect</v>
      </c>
      <c r="Z852" s="7" t="str">
        <f>IFERROR(HLOOKUP(X852,'Calc|Weightings'!$U$5:$W$5,1,0),"Excl")</f>
        <v>Contracts</v>
      </c>
      <c r="AA852" s="7" t="str">
        <f>VLOOKUP(Q852,Mapping!$E$11:$I$204,5,0)</f>
        <v>ACS</v>
      </c>
      <c r="AC852" s="35" t="s">
        <v>249</v>
      </c>
      <c r="AD852" s="35"/>
      <c r="AE852" s="35">
        <v>71055</v>
      </c>
      <c r="AF852" s="35" t="s">
        <v>465</v>
      </c>
      <c r="AG852" s="36">
        <v>22.236999999999998</v>
      </c>
      <c r="AI852" s="7" t="str">
        <f>VLOOKUP($AC852,Mapping!$E$11:$I$204,3,0)</f>
        <v>ACS</v>
      </c>
      <c r="AJ852" s="7" t="str">
        <f>IFERROR(VLOOKUP($AE852,Mapping!$E$208:$K$236,5,0),"Contracts")</f>
        <v>Contracts</v>
      </c>
      <c r="AK852" s="7" t="str">
        <f>IFERROR(VLOOKUP($AE852,Mapping!$E$208:$K$236,7,0),"ENDirect")</f>
        <v>ENDirect</v>
      </c>
      <c r="AL852" s="7" t="str">
        <f>IFERROR(HLOOKUP(AJ852,'Calc|Weightings'!$U$5:$W$5,1,0),"Excl")</f>
        <v>Contracts</v>
      </c>
      <c r="AM852" s="7" t="str">
        <f>VLOOKUP(AC852,Mapping!$E$11:$I$204,5,0)</f>
        <v>ACS</v>
      </c>
      <c r="AO852" s="35" t="s">
        <v>225</v>
      </c>
      <c r="AP852" s="35"/>
      <c r="AQ852" s="35">
        <v>71005</v>
      </c>
      <c r="AR852" s="35" t="s">
        <v>461</v>
      </c>
      <c r="AS852" s="121">
        <v>0.27327999999999997</v>
      </c>
      <c r="AU852" s="7" t="str">
        <f>VLOOKUP($AO852,Mapping!$E$11:$I$204,3,0)</f>
        <v>Replacement</v>
      </c>
      <c r="AV852" s="7" t="str">
        <f>IFERROR(VLOOKUP($AQ852,Mapping!$E$208:$K$236,5,0),"Contracts")</f>
        <v>Materials</v>
      </c>
      <c r="AW852" s="7" t="str">
        <f>IFERROR(VLOOKUP($AQ852,Mapping!$E$208:$K$236,7,0),"ENDirect")</f>
        <v>ENDirect</v>
      </c>
      <c r="AX852" s="7" t="str">
        <f>IFERROR(HLOOKUP(AV852,'Calc|Weightings'!$U$5:$W$5,1,0),"Excl")</f>
        <v>Materials</v>
      </c>
      <c r="AY852" s="7" t="str">
        <f>VLOOKUP(AO852,Mapping!$E$11:$I$204,5,0)</f>
        <v>SCS</v>
      </c>
    </row>
    <row r="853" spans="1:51" x14ac:dyDescent="0.3">
      <c r="A853" s="7"/>
      <c r="B853" s="7"/>
      <c r="C853" s="7"/>
      <c r="D853" s="7"/>
      <c r="E853" s="32" t="s">
        <v>228</v>
      </c>
      <c r="F853" s="32"/>
      <c r="G853" s="32">
        <v>71010</v>
      </c>
      <c r="H853" s="32" t="s">
        <v>462</v>
      </c>
      <c r="I853" s="33">
        <v>134.41300000000001</v>
      </c>
      <c r="J853" s="170"/>
      <c r="K853" s="7" t="str">
        <f>VLOOKUP($E853,Mapping!$E$11:$I$204,3,0)</f>
        <v>Replacement</v>
      </c>
      <c r="L853" s="7" t="str">
        <f>IFERROR(VLOOKUP($G853,Mapping!$E$208:$K$236,5,0),"Contracts")</f>
        <v>Labour</v>
      </c>
      <c r="M853" s="7" t="str">
        <f>IFERROR(VLOOKUP($G853,Mapping!$E$208:$K$236,7,0),"ENDirect")</f>
        <v>ENDirect</v>
      </c>
      <c r="N853" s="7" t="str">
        <f>IFERROR(HLOOKUP(L853,'Calc|Weightings'!$U$5:$W$5,1,0),"Excl")</f>
        <v>Labour</v>
      </c>
      <c r="O853" s="7" t="str">
        <f>VLOOKUP(E853,Mapping!$E$11:$I$204,5,0)</f>
        <v>SCS</v>
      </c>
      <c r="Q853" s="32" t="s">
        <v>252</v>
      </c>
      <c r="R853" s="32"/>
      <c r="S853" s="32">
        <v>71055</v>
      </c>
      <c r="T853" s="32" t="s">
        <v>465</v>
      </c>
      <c r="U853" s="33">
        <v>7.0039999999999996</v>
      </c>
      <c r="V853" s="7"/>
      <c r="W853" s="7" t="str">
        <f>VLOOKUP($Q853,Mapping!$E$11:$I$204,3,0)</f>
        <v>ACS</v>
      </c>
      <c r="X853" s="7" t="str">
        <f>IFERROR(VLOOKUP($S853,Mapping!$E$208:$K$236,5,0),"Contracts")</f>
        <v>Contracts</v>
      </c>
      <c r="Y853" s="7" t="str">
        <f>IFERROR(VLOOKUP($S853,Mapping!$E$208:$K$236,7,0),"ENDirect")</f>
        <v>ENDirect</v>
      </c>
      <c r="Z853" s="7" t="str">
        <f>IFERROR(HLOOKUP(X853,'Calc|Weightings'!$U$5:$W$5,1,0),"Excl")</f>
        <v>Contracts</v>
      </c>
      <c r="AA853" s="7" t="str">
        <f>VLOOKUP(Q853,Mapping!$E$11:$I$204,5,0)</f>
        <v>ACS</v>
      </c>
      <c r="AC853" s="35" t="s">
        <v>249</v>
      </c>
      <c r="AD853" s="35"/>
      <c r="AE853" s="35">
        <v>80000</v>
      </c>
      <c r="AF853" s="35" t="s">
        <v>453</v>
      </c>
      <c r="AG853" s="36">
        <v>24.114000000000001</v>
      </c>
      <c r="AI853" s="7" t="str">
        <f>VLOOKUP($AC853,Mapping!$E$11:$I$204,3,0)</f>
        <v>ACS</v>
      </c>
      <c r="AJ853" s="7" t="str">
        <f>IFERROR(VLOOKUP($AE853,Mapping!$E$208:$K$236,5,0),"Contracts")</f>
        <v>Overhead</v>
      </c>
      <c r="AK853" s="7" t="str">
        <f>IFERROR(VLOOKUP($AE853,Mapping!$E$208:$K$236,7,0),"ENDirect")</f>
        <v>OH</v>
      </c>
      <c r="AL853" s="7" t="str">
        <f>IFERROR(HLOOKUP(AJ853,'Calc|Weightings'!$U$5:$W$5,1,0),"Excl")</f>
        <v>Excl</v>
      </c>
      <c r="AM853" s="7" t="str">
        <f>VLOOKUP(AC853,Mapping!$E$11:$I$204,5,0)</f>
        <v>ACS</v>
      </c>
      <c r="AO853" s="35" t="s">
        <v>225</v>
      </c>
      <c r="AP853" s="35"/>
      <c r="AQ853" s="35">
        <v>71010</v>
      </c>
      <c r="AR853" s="35" t="s">
        <v>487</v>
      </c>
      <c r="AS853" s="121">
        <v>20.526919999999997</v>
      </c>
      <c r="AU853" s="7" t="str">
        <f>VLOOKUP($AO853,Mapping!$E$11:$I$204,3,0)</f>
        <v>Replacement</v>
      </c>
      <c r="AV853" s="7" t="str">
        <f>IFERROR(VLOOKUP($AQ853,Mapping!$E$208:$K$236,5,0),"Contracts")</f>
        <v>Labour</v>
      </c>
      <c r="AW853" s="7" t="str">
        <f>IFERROR(VLOOKUP($AQ853,Mapping!$E$208:$K$236,7,0),"ENDirect")</f>
        <v>ENDirect</v>
      </c>
      <c r="AX853" s="7" t="str">
        <f>IFERROR(HLOOKUP(AV853,'Calc|Weightings'!$U$5:$W$5,1,0),"Excl")</f>
        <v>Labour</v>
      </c>
      <c r="AY853" s="7" t="str">
        <f>VLOOKUP(AO853,Mapping!$E$11:$I$204,5,0)</f>
        <v>SCS</v>
      </c>
    </row>
    <row r="854" spans="1:51" x14ac:dyDescent="0.3">
      <c r="A854" s="7"/>
      <c r="B854" s="7"/>
      <c r="C854" s="7"/>
      <c r="D854" s="7"/>
      <c r="E854" s="32" t="s">
        <v>228</v>
      </c>
      <c r="F854" s="32"/>
      <c r="G854" s="32">
        <v>71015</v>
      </c>
      <c r="H854" s="32" t="s">
        <v>463</v>
      </c>
      <c r="I854" s="33">
        <v>55.948</v>
      </c>
      <c r="J854" s="170"/>
      <c r="K854" s="7" t="str">
        <f>VLOOKUP($E854,Mapping!$E$11:$I$204,3,0)</f>
        <v>Replacement</v>
      </c>
      <c r="L854" s="7" t="str">
        <f>IFERROR(VLOOKUP($G854,Mapping!$E$208:$K$236,5,0),"Contracts")</f>
        <v>Materials</v>
      </c>
      <c r="M854" s="7" t="str">
        <f>IFERROR(VLOOKUP($G854,Mapping!$E$208:$K$236,7,0),"ENDirect")</f>
        <v>ENDirect</v>
      </c>
      <c r="N854" s="7" t="str">
        <f>IFERROR(HLOOKUP(L854,'Calc|Weightings'!$U$5:$W$5,1,0),"Excl")</f>
        <v>Materials</v>
      </c>
      <c r="O854" s="7" t="str">
        <f>VLOOKUP(E854,Mapping!$E$11:$I$204,5,0)</f>
        <v>SCS</v>
      </c>
      <c r="Q854" s="32" t="s">
        <v>252</v>
      </c>
      <c r="R854" s="32"/>
      <c r="S854" s="32">
        <v>80000</v>
      </c>
      <c r="T854" s="32" t="s">
        <v>453</v>
      </c>
      <c r="U854" s="33">
        <v>5.9180000000000001</v>
      </c>
      <c r="V854" s="7"/>
      <c r="W854" s="7" t="str">
        <f>VLOOKUP($Q854,Mapping!$E$11:$I$204,3,0)</f>
        <v>ACS</v>
      </c>
      <c r="X854" s="7" t="str">
        <f>IFERROR(VLOOKUP($S854,Mapping!$E$208:$K$236,5,0),"Contracts")</f>
        <v>Overhead</v>
      </c>
      <c r="Y854" s="7" t="str">
        <f>IFERROR(VLOOKUP($S854,Mapping!$E$208:$K$236,7,0),"ENDirect")</f>
        <v>OH</v>
      </c>
      <c r="Z854" s="7" t="str">
        <f>IFERROR(HLOOKUP(X854,'Calc|Weightings'!$U$5:$W$5,1,0),"Excl")</f>
        <v>Excl</v>
      </c>
      <c r="AA854" s="7" t="str">
        <f>VLOOKUP(Q854,Mapping!$E$11:$I$204,5,0)</f>
        <v>ACS</v>
      </c>
      <c r="AC854" s="35" t="s">
        <v>252</v>
      </c>
      <c r="AD854" s="35"/>
      <c r="AE854" s="35">
        <v>71000</v>
      </c>
      <c r="AF854" s="35" t="s">
        <v>457</v>
      </c>
      <c r="AG854" s="36">
        <v>30.786999999999999</v>
      </c>
      <c r="AI854" s="7" t="str">
        <f>VLOOKUP($AC854,Mapping!$E$11:$I$204,3,0)</f>
        <v>ACS</v>
      </c>
      <c r="AJ854" s="7" t="str">
        <f>IFERROR(VLOOKUP($AE854,Mapping!$E$208:$K$236,5,0),"Contracts")</f>
        <v>Labour</v>
      </c>
      <c r="AK854" s="7" t="str">
        <f>IFERROR(VLOOKUP($AE854,Mapping!$E$208:$K$236,7,0),"ENDirect")</f>
        <v>ENDirect</v>
      </c>
      <c r="AL854" s="7" t="str">
        <f>IFERROR(HLOOKUP(AJ854,'Calc|Weightings'!$U$5:$W$5,1,0),"Excl")</f>
        <v>Labour</v>
      </c>
      <c r="AM854" s="7" t="str">
        <f>VLOOKUP(AC854,Mapping!$E$11:$I$204,5,0)</f>
        <v>ACS</v>
      </c>
      <c r="AO854" s="35" t="s">
        <v>225</v>
      </c>
      <c r="AP854" s="35"/>
      <c r="AQ854" s="35">
        <v>71015</v>
      </c>
      <c r="AR854" s="35" t="s">
        <v>585</v>
      </c>
      <c r="AS854" s="121">
        <v>1.25329</v>
      </c>
      <c r="AU854" s="7" t="str">
        <f>VLOOKUP($AO854,Mapping!$E$11:$I$204,3,0)</f>
        <v>Replacement</v>
      </c>
      <c r="AV854" s="7" t="str">
        <f>IFERROR(VLOOKUP($AQ854,Mapping!$E$208:$K$236,5,0),"Contracts")</f>
        <v>Materials</v>
      </c>
      <c r="AW854" s="7" t="str">
        <f>IFERROR(VLOOKUP($AQ854,Mapping!$E$208:$K$236,7,0),"ENDirect")</f>
        <v>ENDirect</v>
      </c>
      <c r="AX854" s="7" t="str">
        <f>IFERROR(HLOOKUP(AV854,'Calc|Weightings'!$U$5:$W$5,1,0),"Excl")</f>
        <v>Materials</v>
      </c>
      <c r="AY854" s="7" t="str">
        <f>VLOOKUP(AO854,Mapping!$E$11:$I$204,5,0)</f>
        <v>SCS</v>
      </c>
    </row>
    <row r="855" spans="1:51" x14ac:dyDescent="0.3">
      <c r="A855" s="7"/>
      <c r="B855" s="7"/>
      <c r="C855" s="7"/>
      <c r="D855" s="7"/>
      <c r="E855" s="32" t="s">
        <v>228</v>
      </c>
      <c r="F855" s="32"/>
      <c r="G855" s="32">
        <v>71030</v>
      </c>
      <c r="H855" s="32" t="s">
        <v>464</v>
      </c>
      <c r="I855" s="33">
        <v>69.617999999999995</v>
      </c>
      <c r="J855" s="170"/>
      <c r="K855" s="7" t="str">
        <f>VLOOKUP($E855,Mapping!$E$11:$I$204,3,0)</f>
        <v>Replacement</v>
      </c>
      <c r="L855" s="7" t="str">
        <f>IFERROR(VLOOKUP($G855,Mapping!$E$208:$K$236,5,0),"Contracts")</f>
        <v>Contracts</v>
      </c>
      <c r="M855" s="7" t="str">
        <f>IFERROR(VLOOKUP($G855,Mapping!$E$208:$K$236,7,0),"ENDirect")</f>
        <v>ENDirect</v>
      </c>
      <c r="N855" s="7" t="str">
        <f>IFERROR(HLOOKUP(L855,'Calc|Weightings'!$U$5:$W$5,1,0),"Excl")</f>
        <v>Contracts</v>
      </c>
      <c r="O855" s="7" t="str">
        <f>VLOOKUP(E855,Mapping!$E$11:$I$204,5,0)</f>
        <v>SCS</v>
      </c>
      <c r="Q855" s="32" t="s">
        <v>253</v>
      </c>
      <c r="R855" s="32"/>
      <c r="S855" s="32">
        <v>71000</v>
      </c>
      <c r="T855" s="32" t="s">
        <v>457</v>
      </c>
      <c r="U855" s="33">
        <v>5.4539999999999997</v>
      </c>
      <c r="V855" s="7"/>
      <c r="W855" s="7" t="str">
        <f>VLOOKUP($Q855,Mapping!$E$11:$I$204,3,0)</f>
        <v>ACS</v>
      </c>
      <c r="X855" s="7" t="str">
        <f>IFERROR(VLOOKUP($S855,Mapping!$E$208:$K$236,5,0),"Contracts")</f>
        <v>Labour</v>
      </c>
      <c r="Y855" s="7" t="str">
        <f>IFERROR(VLOOKUP($S855,Mapping!$E$208:$K$236,7,0),"ENDirect")</f>
        <v>ENDirect</v>
      </c>
      <c r="Z855" s="7" t="str">
        <f>IFERROR(HLOOKUP(X855,'Calc|Weightings'!$U$5:$W$5,1,0),"Excl")</f>
        <v>Labour</v>
      </c>
      <c r="AA855" s="7" t="str">
        <f>VLOOKUP(Q855,Mapping!$E$11:$I$204,5,0)</f>
        <v>ACS</v>
      </c>
      <c r="AC855" s="35" t="s">
        <v>252</v>
      </c>
      <c r="AD855" s="35"/>
      <c r="AE855" s="35">
        <v>71015</v>
      </c>
      <c r="AF855" s="35" t="s">
        <v>463</v>
      </c>
      <c r="AG855" s="36">
        <v>6.9720000000000004</v>
      </c>
      <c r="AI855" s="7" t="str">
        <f>VLOOKUP($AC855,Mapping!$E$11:$I$204,3,0)</f>
        <v>ACS</v>
      </c>
      <c r="AJ855" s="7" t="str">
        <f>IFERROR(VLOOKUP($AE855,Mapping!$E$208:$K$236,5,0),"Contracts")</f>
        <v>Materials</v>
      </c>
      <c r="AK855" s="7" t="str">
        <f>IFERROR(VLOOKUP($AE855,Mapping!$E$208:$K$236,7,0),"ENDirect")</f>
        <v>ENDirect</v>
      </c>
      <c r="AL855" s="7" t="str">
        <f>IFERROR(HLOOKUP(AJ855,'Calc|Weightings'!$U$5:$W$5,1,0),"Excl")</f>
        <v>Materials</v>
      </c>
      <c r="AM855" s="7" t="str">
        <f>VLOOKUP(AC855,Mapping!$E$11:$I$204,5,0)</f>
        <v>ACS</v>
      </c>
      <c r="AO855" s="35" t="s">
        <v>225</v>
      </c>
      <c r="AP855" s="35"/>
      <c r="AQ855" s="35">
        <v>71020</v>
      </c>
      <c r="AR855" s="35" t="s">
        <v>590</v>
      </c>
      <c r="AS855" s="121">
        <v>0.68</v>
      </c>
      <c r="AU855" s="7" t="str">
        <f>VLOOKUP($AO855,Mapping!$E$11:$I$204,3,0)</f>
        <v>Replacement</v>
      </c>
      <c r="AV855" s="7" t="str">
        <f>IFERROR(VLOOKUP($AQ855,Mapping!$E$208:$K$236,5,0),"Contracts")</f>
        <v>Contracts</v>
      </c>
      <c r="AW855" s="7" t="str">
        <f>IFERROR(VLOOKUP($AQ855,Mapping!$E$208:$K$236,7,0),"ENDirect")</f>
        <v>ENDirect</v>
      </c>
      <c r="AX855" s="7" t="str">
        <f>IFERROR(HLOOKUP(AV855,'Calc|Weightings'!$U$5:$W$5,1,0),"Excl")</f>
        <v>Contracts</v>
      </c>
      <c r="AY855" s="7" t="str">
        <f>VLOOKUP(AO855,Mapping!$E$11:$I$204,5,0)</f>
        <v>SCS</v>
      </c>
    </row>
    <row r="856" spans="1:51" x14ac:dyDescent="0.3">
      <c r="A856" s="7"/>
      <c r="B856" s="7"/>
      <c r="C856" s="7"/>
      <c r="D856" s="7"/>
      <c r="E856" s="32" t="s">
        <v>228</v>
      </c>
      <c r="F856" s="32"/>
      <c r="G856" s="32">
        <v>71055</v>
      </c>
      <c r="H856" s="32" t="s">
        <v>465</v>
      </c>
      <c r="I856" s="33">
        <v>137.59800000000001</v>
      </c>
      <c r="J856" s="170"/>
      <c r="K856" s="7" t="str">
        <f>VLOOKUP($E856,Mapping!$E$11:$I$204,3,0)</f>
        <v>Replacement</v>
      </c>
      <c r="L856" s="7" t="str">
        <f>IFERROR(VLOOKUP($G856,Mapping!$E$208:$K$236,5,0),"Contracts")</f>
        <v>Contracts</v>
      </c>
      <c r="M856" s="7" t="str">
        <f>IFERROR(VLOOKUP($G856,Mapping!$E$208:$K$236,7,0),"ENDirect")</f>
        <v>ENDirect</v>
      </c>
      <c r="N856" s="7" t="str">
        <f>IFERROR(HLOOKUP(L856,'Calc|Weightings'!$U$5:$W$5,1,0),"Excl")</f>
        <v>Contracts</v>
      </c>
      <c r="O856" s="7" t="str">
        <f>VLOOKUP(E856,Mapping!$E$11:$I$204,5,0)</f>
        <v>SCS</v>
      </c>
      <c r="Q856" s="32" t="s">
        <v>253</v>
      </c>
      <c r="R856" s="32"/>
      <c r="S856" s="32">
        <v>71015</v>
      </c>
      <c r="T856" s="32" t="s">
        <v>463</v>
      </c>
      <c r="U856" s="33">
        <v>1.08</v>
      </c>
      <c r="V856" s="7"/>
      <c r="W856" s="7" t="str">
        <f>VLOOKUP($Q856,Mapping!$E$11:$I$204,3,0)</f>
        <v>ACS</v>
      </c>
      <c r="X856" s="7" t="str">
        <f>IFERROR(VLOOKUP($S856,Mapping!$E$208:$K$236,5,0),"Contracts")</f>
        <v>Materials</v>
      </c>
      <c r="Y856" s="7" t="str">
        <f>IFERROR(VLOOKUP($S856,Mapping!$E$208:$K$236,7,0),"ENDirect")</f>
        <v>ENDirect</v>
      </c>
      <c r="Z856" s="7" t="str">
        <f>IFERROR(HLOOKUP(X856,'Calc|Weightings'!$U$5:$W$5,1,0),"Excl")</f>
        <v>Materials</v>
      </c>
      <c r="AA856" s="7" t="str">
        <f>VLOOKUP(Q856,Mapping!$E$11:$I$204,5,0)</f>
        <v>ACS</v>
      </c>
      <c r="AC856" s="35" t="s">
        <v>252</v>
      </c>
      <c r="AD856" s="35"/>
      <c r="AE856" s="35">
        <v>71030</v>
      </c>
      <c r="AF856" s="35" t="s">
        <v>464</v>
      </c>
      <c r="AG856" s="36">
        <v>3.4129999999999998</v>
      </c>
      <c r="AI856" s="7" t="str">
        <f>VLOOKUP($AC856,Mapping!$E$11:$I$204,3,0)</f>
        <v>ACS</v>
      </c>
      <c r="AJ856" s="7" t="str">
        <f>IFERROR(VLOOKUP($AE856,Mapping!$E$208:$K$236,5,0),"Contracts")</f>
        <v>Contracts</v>
      </c>
      <c r="AK856" s="7" t="str">
        <f>IFERROR(VLOOKUP($AE856,Mapping!$E$208:$K$236,7,0),"ENDirect")</f>
        <v>ENDirect</v>
      </c>
      <c r="AL856" s="7" t="str">
        <f>IFERROR(HLOOKUP(AJ856,'Calc|Weightings'!$U$5:$W$5,1,0),"Excl")</f>
        <v>Contracts</v>
      </c>
      <c r="AM856" s="7" t="str">
        <f>VLOOKUP(AC856,Mapping!$E$11:$I$204,5,0)</f>
        <v>ACS</v>
      </c>
      <c r="AO856" s="35" t="s">
        <v>225</v>
      </c>
      <c r="AP856" s="35"/>
      <c r="AQ856" s="35">
        <v>71030</v>
      </c>
      <c r="AR856" s="35" t="s">
        <v>464</v>
      </c>
      <c r="AS856" s="121">
        <v>2.7258299999999998</v>
      </c>
      <c r="AU856" s="7" t="str">
        <f>VLOOKUP($AO856,Mapping!$E$11:$I$204,3,0)</f>
        <v>Replacement</v>
      </c>
      <c r="AV856" s="7" t="str">
        <f>IFERROR(VLOOKUP($AQ856,Mapping!$E$208:$K$236,5,0),"Contracts")</f>
        <v>Contracts</v>
      </c>
      <c r="AW856" s="7" t="str">
        <f>IFERROR(VLOOKUP($AQ856,Mapping!$E$208:$K$236,7,0),"ENDirect")</f>
        <v>ENDirect</v>
      </c>
      <c r="AX856" s="7" t="str">
        <f>IFERROR(HLOOKUP(AV856,'Calc|Weightings'!$U$5:$W$5,1,0),"Excl")</f>
        <v>Contracts</v>
      </c>
      <c r="AY856" s="7" t="str">
        <f>VLOOKUP(AO856,Mapping!$E$11:$I$204,5,0)</f>
        <v>SCS</v>
      </c>
    </row>
    <row r="857" spans="1:51" x14ac:dyDescent="0.3">
      <c r="A857" s="7"/>
      <c r="B857" s="7"/>
      <c r="C857" s="7"/>
      <c r="D857" s="7"/>
      <c r="E857" s="32" t="s">
        <v>228</v>
      </c>
      <c r="F857" s="32"/>
      <c r="G857" s="32">
        <v>80000</v>
      </c>
      <c r="H857" s="32" t="s">
        <v>453</v>
      </c>
      <c r="I857" s="33">
        <v>99.149000000000001</v>
      </c>
      <c r="J857" s="170"/>
      <c r="K857" s="7" t="str">
        <f>VLOOKUP($E857,Mapping!$E$11:$I$204,3,0)</f>
        <v>Replacement</v>
      </c>
      <c r="L857" s="7" t="str">
        <f>IFERROR(VLOOKUP($G857,Mapping!$E$208:$K$236,5,0),"Contracts")</f>
        <v>Overhead</v>
      </c>
      <c r="M857" s="7" t="str">
        <f>IFERROR(VLOOKUP($G857,Mapping!$E$208:$K$236,7,0),"ENDirect")</f>
        <v>OH</v>
      </c>
      <c r="N857" s="7" t="str">
        <f>IFERROR(HLOOKUP(L857,'Calc|Weightings'!$U$5:$W$5,1,0),"Excl")</f>
        <v>Excl</v>
      </c>
      <c r="O857" s="7" t="str">
        <f>VLOOKUP(E857,Mapping!$E$11:$I$204,5,0)</f>
        <v>SCS</v>
      </c>
      <c r="Q857" s="32" t="s">
        <v>253</v>
      </c>
      <c r="R857" s="32"/>
      <c r="S857" s="32">
        <v>71030</v>
      </c>
      <c r="T857" s="32" t="s">
        <v>464</v>
      </c>
      <c r="U857" s="33">
        <v>0.55000000000000004</v>
      </c>
      <c r="V857" s="7"/>
      <c r="W857" s="7" t="str">
        <f>VLOOKUP($Q857,Mapping!$E$11:$I$204,3,0)</f>
        <v>ACS</v>
      </c>
      <c r="X857" s="7" t="str">
        <f>IFERROR(VLOOKUP($S857,Mapping!$E$208:$K$236,5,0),"Contracts")</f>
        <v>Contracts</v>
      </c>
      <c r="Y857" s="7" t="str">
        <f>IFERROR(VLOOKUP($S857,Mapping!$E$208:$K$236,7,0),"ENDirect")</f>
        <v>ENDirect</v>
      </c>
      <c r="Z857" s="7" t="str">
        <f>IFERROR(HLOOKUP(X857,'Calc|Weightings'!$U$5:$W$5,1,0),"Excl")</f>
        <v>Contracts</v>
      </c>
      <c r="AA857" s="7" t="str">
        <f>VLOOKUP(Q857,Mapping!$E$11:$I$204,5,0)</f>
        <v>ACS</v>
      </c>
      <c r="AC857" s="35" t="s">
        <v>252</v>
      </c>
      <c r="AD857" s="35"/>
      <c r="AE857" s="35">
        <v>71055</v>
      </c>
      <c r="AF857" s="35" t="s">
        <v>465</v>
      </c>
      <c r="AG857" s="36">
        <v>7.0209999999999999</v>
      </c>
      <c r="AI857" s="7" t="str">
        <f>VLOOKUP($AC857,Mapping!$E$11:$I$204,3,0)</f>
        <v>ACS</v>
      </c>
      <c r="AJ857" s="7" t="str">
        <f>IFERROR(VLOOKUP($AE857,Mapping!$E$208:$K$236,5,0),"Contracts")</f>
        <v>Contracts</v>
      </c>
      <c r="AK857" s="7" t="str">
        <f>IFERROR(VLOOKUP($AE857,Mapping!$E$208:$K$236,7,0),"ENDirect")</f>
        <v>ENDirect</v>
      </c>
      <c r="AL857" s="7" t="str">
        <f>IFERROR(HLOOKUP(AJ857,'Calc|Weightings'!$U$5:$W$5,1,0),"Excl")</f>
        <v>Contracts</v>
      </c>
      <c r="AM857" s="7" t="str">
        <f>VLOOKUP(AC857,Mapping!$E$11:$I$204,5,0)</f>
        <v>ACS</v>
      </c>
      <c r="AO857" s="35" t="s">
        <v>225</v>
      </c>
      <c r="AP857" s="35"/>
      <c r="AQ857" s="35">
        <v>71055</v>
      </c>
      <c r="AR857" s="35" t="s">
        <v>465</v>
      </c>
      <c r="AS857" s="121">
        <v>10.917440000000001</v>
      </c>
      <c r="AU857" s="7" t="str">
        <f>VLOOKUP($AO857,Mapping!$E$11:$I$204,3,0)</f>
        <v>Replacement</v>
      </c>
      <c r="AV857" s="7" t="str">
        <f>IFERROR(VLOOKUP($AQ857,Mapping!$E$208:$K$236,5,0),"Contracts")</f>
        <v>Contracts</v>
      </c>
      <c r="AW857" s="7" t="str">
        <f>IFERROR(VLOOKUP($AQ857,Mapping!$E$208:$K$236,7,0),"ENDirect")</f>
        <v>ENDirect</v>
      </c>
      <c r="AX857" s="7" t="str">
        <f>IFERROR(HLOOKUP(AV857,'Calc|Weightings'!$U$5:$W$5,1,0),"Excl")</f>
        <v>Contracts</v>
      </c>
      <c r="AY857" s="7" t="str">
        <f>VLOOKUP(AO857,Mapping!$E$11:$I$204,5,0)</f>
        <v>SCS</v>
      </c>
    </row>
    <row r="858" spans="1:51" x14ac:dyDescent="0.3">
      <c r="A858" s="7"/>
      <c r="B858" s="7"/>
      <c r="C858" s="7"/>
      <c r="D858" s="7"/>
      <c r="E858" s="32" t="s">
        <v>229</v>
      </c>
      <c r="F858" s="32"/>
      <c r="G858" s="32">
        <v>71000</v>
      </c>
      <c r="H858" s="32" t="s">
        <v>457</v>
      </c>
      <c r="I858" s="33">
        <v>45.387999999999998</v>
      </c>
      <c r="J858" s="170"/>
      <c r="K858" s="7" t="str">
        <f>VLOOKUP($E858,Mapping!$E$11:$I$204,3,0)</f>
        <v>Replacement</v>
      </c>
      <c r="L858" s="7" t="str">
        <f>IFERROR(VLOOKUP($G858,Mapping!$E$208:$K$236,5,0),"Contracts")</f>
        <v>Labour</v>
      </c>
      <c r="M858" s="7" t="str">
        <f>IFERROR(VLOOKUP($G858,Mapping!$E$208:$K$236,7,0),"ENDirect")</f>
        <v>ENDirect</v>
      </c>
      <c r="N858" s="7" t="str">
        <f>IFERROR(HLOOKUP(L858,'Calc|Weightings'!$U$5:$W$5,1,0),"Excl")</f>
        <v>Labour</v>
      </c>
      <c r="O858" s="7" t="str">
        <f>VLOOKUP(E858,Mapping!$E$11:$I$204,5,0)</f>
        <v>SCS</v>
      </c>
      <c r="Q858" s="32" t="s">
        <v>253</v>
      </c>
      <c r="R858" s="32"/>
      <c r="S858" s="32">
        <v>71055</v>
      </c>
      <c r="T858" s="32" t="s">
        <v>465</v>
      </c>
      <c r="U858" s="33">
        <v>0.78</v>
      </c>
      <c r="V858" s="7"/>
      <c r="W858" s="7" t="str">
        <f>VLOOKUP($Q858,Mapping!$E$11:$I$204,3,0)</f>
        <v>ACS</v>
      </c>
      <c r="X858" s="7" t="str">
        <f>IFERROR(VLOOKUP($S858,Mapping!$E$208:$K$236,5,0),"Contracts")</f>
        <v>Contracts</v>
      </c>
      <c r="Y858" s="7" t="str">
        <f>IFERROR(VLOOKUP($S858,Mapping!$E$208:$K$236,7,0),"ENDirect")</f>
        <v>ENDirect</v>
      </c>
      <c r="Z858" s="7" t="str">
        <f>IFERROR(HLOOKUP(X858,'Calc|Weightings'!$U$5:$W$5,1,0),"Excl")</f>
        <v>Contracts</v>
      </c>
      <c r="AA858" s="7" t="str">
        <f>VLOOKUP(Q858,Mapping!$E$11:$I$204,5,0)</f>
        <v>ACS</v>
      </c>
      <c r="AC858" s="35" t="s">
        <v>252</v>
      </c>
      <c r="AD858" s="35"/>
      <c r="AE858" s="35">
        <v>80000</v>
      </c>
      <c r="AF858" s="35" t="s">
        <v>453</v>
      </c>
      <c r="AG858" s="36">
        <v>7.984</v>
      </c>
      <c r="AI858" s="7" t="str">
        <f>VLOOKUP($AC858,Mapping!$E$11:$I$204,3,0)</f>
        <v>ACS</v>
      </c>
      <c r="AJ858" s="7" t="str">
        <f>IFERROR(VLOOKUP($AE858,Mapping!$E$208:$K$236,5,0),"Contracts")</f>
        <v>Overhead</v>
      </c>
      <c r="AK858" s="7" t="str">
        <f>IFERROR(VLOOKUP($AE858,Mapping!$E$208:$K$236,7,0),"ENDirect")</f>
        <v>OH</v>
      </c>
      <c r="AL858" s="7" t="str">
        <f>IFERROR(HLOOKUP(AJ858,'Calc|Weightings'!$U$5:$W$5,1,0),"Excl")</f>
        <v>Excl</v>
      </c>
      <c r="AM858" s="7" t="str">
        <f>VLOOKUP(AC858,Mapping!$E$11:$I$204,5,0)</f>
        <v>ACS</v>
      </c>
      <c r="AO858" s="35" t="s">
        <v>225</v>
      </c>
      <c r="AP858" s="35"/>
      <c r="AQ858" s="35">
        <v>71070</v>
      </c>
      <c r="AR858" s="35" t="s">
        <v>586</v>
      </c>
      <c r="AS858" s="121">
        <v>3.3498600000000001</v>
      </c>
      <c r="AU858" s="7" t="str">
        <f>VLOOKUP($AO858,Mapping!$E$11:$I$204,3,0)</f>
        <v>Replacement</v>
      </c>
      <c r="AV858" s="7" t="str">
        <f>IFERROR(VLOOKUP($AQ858,Mapping!$E$208:$K$236,5,0),"Contracts")</f>
        <v>Contracts</v>
      </c>
      <c r="AW858" s="7" t="str">
        <f>IFERROR(VLOOKUP($AQ858,Mapping!$E$208:$K$236,7,0),"ENDirect")</f>
        <v>ENDirect</v>
      </c>
      <c r="AX858" s="7" t="str">
        <f>IFERROR(HLOOKUP(AV858,'Calc|Weightings'!$U$5:$W$5,1,0),"Excl")</f>
        <v>Contracts</v>
      </c>
      <c r="AY858" s="7" t="str">
        <f>VLOOKUP(AO858,Mapping!$E$11:$I$204,5,0)</f>
        <v>SCS</v>
      </c>
    </row>
    <row r="859" spans="1:51" x14ac:dyDescent="0.3">
      <c r="A859" s="7"/>
      <c r="B859" s="7"/>
      <c r="C859" s="7"/>
      <c r="D859" s="7"/>
      <c r="E859" s="32" t="s">
        <v>229</v>
      </c>
      <c r="F859" s="32"/>
      <c r="G859" s="32">
        <v>71005</v>
      </c>
      <c r="H859" s="32" t="s">
        <v>461</v>
      </c>
      <c r="I859" s="33">
        <v>14.705</v>
      </c>
      <c r="J859" s="170"/>
      <c r="K859" s="7" t="str">
        <f>VLOOKUP($E859,Mapping!$E$11:$I$204,3,0)</f>
        <v>Replacement</v>
      </c>
      <c r="L859" s="7" t="str">
        <f>IFERROR(VLOOKUP($G859,Mapping!$E$208:$K$236,5,0),"Contracts")</f>
        <v>Materials</v>
      </c>
      <c r="M859" s="7" t="str">
        <f>IFERROR(VLOOKUP($G859,Mapping!$E$208:$K$236,7,0),"ENDirect")</f>
        <v>ENDirect</v>
      </c>
      <c r="N859" s="7" t="str">
        <f>IFERROR(HLOOKUP(L859,'Calc|Weightings'!$U$5:$W$5,1,0),"Excl")</f>
        <v>Materials</v>
      </c>
      <c r="O859" s="7" t="str">
        <f>VLOOKUP(E859,Mapping!$E$11:$I$204,5,0)</f>
        <v>SCS</v>
      </c>
      <c r="Q859" s="32" t="s">
        <v>253</v>
      </c>
      <c r="R859" s="32"/>
      <c r="S859" s="32">
        <v>80000</v>
      </c>
      <c r="T859" s="32" t="s">
        <v>453</v>
      </c>
      <c r="U859" s="33">
        <v>1.2130000000000001</v>
      </c>
      <c r="V859" s="7"/>
      <c r="W859" s="7" t="str">
        <f>VLOOKUP($Q859,Mapping!$E$11:$I$204,3,0)</f>
        <v>ACS</v>
      </c>
      <c r="X859" s="7" t="str">
        <f>IFERROR(VLOOKUP($S859,Mapping!$E$208:$K$236,5,0),"Contracts")</f>
        <v>Overhead</v>
      </c>
      <c r="Y859" s="7" t="str">
        <f>IFERROR(VLOOKUP($S859,Mapping!$E$208:$K$236,7,0),"ENDirect")</f>
        <v>OH</v>
      </c>
      <c r="Z859" s="7" t="str">
        <f>IFERROR(HLOOKUP(X859,'Calc|Weightings'!$U$5:$W$5,1,0),"Excl")</f>
        <v>Excl</v>
      </c>
      <c r="AA859" s="7" t="str">
        <f>VLOOKUP(Q859,Mapping!$E$11:$I$204,5,0)</f>
        <v>ACS</v>
      </c>
      <c r="AC859" s="35" t="s">
        <v>254</v>
      </c>
      <c r="AD859" s="35"/>
      <c r="AE859" s="35">
        <v>71000</v>
      </c>
      <c r="AF859" s="35" t="s">
        <v>457</v>
      </c>
      <c r="AG859" s="36">
        <v>80.3</v>
      </c>
      <c r="AI859" s="7" t="str">
        <f>VLOOKUP($AC859,Mapping!$E$11:$I$204,3,0)</f>
        <v>ACS</v>
      </c>
      <c r="AJ859" s="7" t="str">
        <f>IFERROR(VLOOKUP($AE859,Mapping!$E$208:$K$236,5,0),"Contracts")</f>
        <v>Labour</v>
      </c>
      <c r="AK859" s="7" t="str">
        <f>IFERROR(VLOOKUP($AE859,Mapping!$E$208:$K$236,7,0),"ENDirect")</f>
        <v>ENDirect</v>
      </c>
      <c r="AL859" s="7" t="str">
        <f>IFERROR(HLOOKUP(AJ859,'Calc|Weightings'!$U$5:$W$5,1,0),"Excl")</f>
        <v>Labour</v>
      </c>
      <c r="AM859" s="7" t="str">
        <f>VLOOKUP(AC859,Mapping!$E$11:$I$204,5,0)</f>
        <v>ACS</v>
      </c>
      <c r="AO859" s="35" t="s">
        <v>225</v>
      </c>
      <c r="AP859" s="35"/>
      <c r="AQ859" s="35">
        <v>71075</v>
      </c>
      <c r="AR859" s="35" t="s">
        <v>587</v>
      </c>
      <c r="AS859" s="121">
        <v>4.6868200000000009</v>
      </c>
      <c r="AU859" s="7" t="str">
        <f>VLOOKUP($AO859,Mapping!$E$11:$I$204,3,0)</f>
        <v>Replacement</v>
      </c>
      <c r="AV859" s="7" t="str">
        <f>IFERROR(VLOOKUP($AQ859,Mapping!$E$208:$K$236,5,0),"Contracts")</f>
        <v>Contracts</v>
      </c>
      <c r="AW859" s="7" t="str">
        <f>IFERROR(VLOOKUP($AQ859,Mapping!$E$208:$K$236,7,0),"ENDirect")</f>
        <v>ENDirect</v>
      </c>
      <c r="AX859" s="7" t="str">
        <f>IFERROR(HLOOKUP(AV859,'Calc|Weightings'!$U$5:$W$5,1,0),"Excl")</f>
        <v>Contracts</v>
      </c>
      <c r="AY859" s="7" t="str">
        <f>VLOOKUP(AO859,Mapping!$E$11:$I$204,5,0)</f>
        <v>SCS</v>
      </c>
    </row>
    <row r="860" spans="1:51" x14ac:dyDescent="0.3">
      <c r="A860" s="7"/>
      <c r="B860" s="7"/>
      <c r="C860" s="7"/>
      <c r="D860" s="7"/>
      <c r="E860" s="32" t="s">
        <v>229</v>
      </c>
      <c r="F860" s="32"/>
      <c r="G860" s="32">
        <v>71010</v>
      </c>
      <c r="H860" s="32" t="s">
        <v>462</v>
      </c>
      <c r="I860" s="33">
        <v>20.782</v>
      </c>
      <c r="J860" s="170"/>
      <c r="K860" s="7" t="str">
        <f>VLOOKUP($E860,Mapping!$E$11:$I$204,3,0)</f>
        <v>Replacement</v>
      </c>
      <c r="L860" s="7" t="str">
        <f>IFERROR(VLOOKUP($G860,Mapping!$E$208:$K$236,5,0),"Contracts")</f>
        <v>Labour</v>
      </c>
      <c r="M860" s="7" t="str">
        <f>IFERROR(VLOOKUP($G860,Mapping!$E$208:$K$236,7,0),"ENDirect")</f>
        <v>ENDirect</v>
      </c>
      <c r="N860" s="7" t="str">
        <f>IFERROR(HLOOKUP(L860,'Calc|Weightings'!$U$5:$W$5,1,0),"Excl")</f>
        <v>Labour</v>
      </c>
      <c r="O860" s="7" t="str">
        <f>VLOOKUP(E860,Mapping!$E$11:$I$204,5,0)</f>
        <v>SCS</v>
      </c>
      <c r="Q860" s="32" t="s">
        <v>254</v>
      </c>
      <c r="R860" s="32"/>
      <c r="S860" s="32">
        <v>71000</v>
      </c>
      <c r="T860" s="32" t="s">
        <v>457</v>
      </c>
      <c r="U860" s="33">
        <v>34.997</v>
      </c>
      <c r="V860" s="7"/>
      <c r="W860" s="7" t="str">
        <f>VLOOKUP($Q860,Mapping!$E$11:$I$204,3,0)</f>
        <v>ACS</v>
      </c>
      <c r="X860" s="7" t="str">
        <f>IFERROR(VLOOKUP($S860,Mapping!$E$208:$K$236,5,0),"Contracts")</f>
        <v>Labour</v>
      </c>
      <c r="Y860" s="7" t="str">
        <f>IFERROR(VLOOKUP($S860,Mapping!$E$208:$K$236,7,0),"ENDirect")</f>
        <v>ENDirect</v>
      </c>
      <c r="Z860" s="7" t="str">
        <f>IFERROR(HLOOKUP(X860,'Calc|Weightings'!$U$5:$W$5,1,0),"Excl")</f>
        <v>Labour</v>
      </c>
      <c r="AA860" s="7" t="str">
        <f>VLOOKUP(Q860,Mapping!$E$11:$I$204,5,0)</f>
        <v>ACS</v>
      </c>
      <c r="AC860" s="35" t="s">
        <v>254</v>
      </c>
      <c r="AD860" s="35"/>
      <c r="AE860" s="35">
        <v>71005</v>
      </c>
      <c r="AF860" s="35" t="s">
        <v>461</v>
      </c>
      <c r="AG860" s="36">
        <v>7.4669999999999996</v>
      </c>
      <c r="AI860" s="7" t="str">
        <f>VLOOKUP($AC860,Mapping!$E$11:$I$204,3,0)</f>
        <v>ACS</v>
      </c>
      <c r="AJ860" s="7" t="str">
        <f>IFERROR(VLOOKUP($AE860,Mapping!$E$208:$K$236,5,0),"Contracts")</f>
        <v>Materials</v>
      </c>
      <c r="AK860" s="7" t="str">
        <f>IFERROR(VLOOKUP($AE860,Mapping!$E$208:$K$236,7,0),"ENDirect")</f>
        <v>ENDirect</v>
      </c>
      <c r="AL860" s="7" t="str">
        <f>IFERROR(HLOOKUP(AJ860,'Calc|Weightings'!$U$5:$W$5,1,0),"Excl")</f>
        <v>Materials</v>
      </c>
      <c r="AM860" s="7" t="str">
        <f>VLOOKUP(AC860,Mapping!$E$11:$I$204,5,0)</f>
        <v>ACS</v>
      </c>
      <c r="AO860" s="35" t="s">
        <v>225</v>
      </c>
      <c r="AP860" s="35"/>
      <c r="AQ860" s="35">
        <v>80000</v>
      </c>
      <c r="AR860" s="35" t="s">
        <v>589</v>
      </c>
      <c r="AS860" s="121">
        <v>15.739550000000001</v>
      </c>
      <c r="AU860" s="7" t="str">
        <f>VLOOKUP($AO860,Mapping!$E$11:$I$204,3,0)</f>
        <v>Replacement</v>
      </c>
      <c r="AV860" s="7" t="str">
        <f>IFERROR(VLOOKUP($AQ860,Mapping!$E$208:$K$236,5,0),"Contracts")</f>
        <v>Overhead</v>
      </c>
      <c r="AW860" s="7" t="str">
        <f>IFERROR(VLOOKUP($AQ860,Mapping!$E$208:$K$236,7,0),"ENDirect")</f>
        <v>OH</v>
      </c>
      <c r="AX860" s="7" t="str">
        <f>IFERROR(HLOOKUP(AV860,'Calc|Weightings'!$U$5:$W$5,1,0),"Excl")</f>
        <v>Excl</v>
      </c>
      <c r="AY860" s="7" t="str">
        <f>VLOOKUP(AO860,Mapping!$E$11:$I$204,5,0)</f>
        <v>SCS</v>
      </c>
    </row>
    <row r="861" spans="1:51" x14ac:dyDescent="0.3">
      <c r="A861" s="7"/>
      <c r="B861" s="7"/>
      <c r="C861" s="7"/>
      <c r="D861" s="7"/>
      <c r="E861" s="32" t="s">
        <v>229</v>
      </c>
      <c r="F861" s="32"/>
      <c r="G861" s="32">
        <v>71015</v>
      </c>
      <c r="H861" s="32" t="s">
        <v>463</v>
      </c>
      <c r="I861" s="33">
        <v>18.818000000000001</v>
      </c>
      <c r="J861" s="170"/>
      <c r="K861" s="7" t="str">
        <f>VLOOKUP($E861,Mapping!$E$11:$I$204,3,0)</f>
        <v>Replacement</v>
      </c>
      <c r="L861" s="7" t="str">
        <f>IFERROR(VLOOKUP($G861,Mapping!$E$208:$K$236,5,0),"Contracts")</f>
        <v>Materials</v>
      </c>
      <c r="M861" s="7" t="str">
        <f>IFERROR(VLOOKUP($G861,Mapping!$E$208:$K$236,7,0),"ENDirect")</f>
        <v>ENDirect</v>
      </c>
      <c r="N861" s="7" t="str">
        <f>IFERROR(HLOOKUP(L861,'Calc|Weightings'!$U$5:$W$5,1,0),"Excl")</f>
        <v>Materials</v>
      </c>
      <c r="O861" s="7" t="str">
        <f>VLOOKUP(E861,Mapping!$E$11:$I$204,5,0)</f>
        <v>SCS</v>
      </c>
      <c r="Q861" s="32" t="s">
        <v>254</v>
      </c>
      <c r="R861" s="32"/>
      <c r="S861" s="32">
        <v>71005</v>
      </c>
      <c r="T861" s="32" t="s">
        <v>461</v>
      </c>
      <c r="U861" s="33">
        <v>4.1740000000000004</v>
      </c>
      <c r="V861" s="7"/>
      <c r="W861" s="7" t="str">
        <f>VLOOKUP($Q861,Mapping!$E$11:$I$204,3,0)</f>
        <v>ACS</v>
      </c>
      <c r="X861" s="7" t="str">
        <f>IFERROR(VLOOKUP($S861,Mapping!$E$208:$K$236,5,0),"Contracts")</f>
        <v>Materials</v>
      </c>
      <c r="Y861" s="7" t="str">
        <f>IFERROR(VLOOKUP($S861,Mapping!$E$208:$K$236,7,0),"ENDirect")</f>
        <v>ENDirect</v>
      </c>
      <c r="Z861" s="7" t="str">
        <f>IFERROR(HLOOKUP(X861,'Calc|Weightings'!$U$5:$W$5,1,0),"Excl")</f>
        <v>Materials</v>
      </c>
      <c r="AA861" s="7" t="str">
        <f>VLOOKUP(Q861,Mapping!$E$11:$I$204,5,0)</f>
        <v>ACS</v>
      </c>
      <c r="AC861" s="35" t="s">
        <v>254</v>
      </c>
      <c r="AD861" s="35"/>
      <c r="AE861" s="35">
        <v>71010</v>
      </c>
      <c r="AF861" s="35" t="s">
        <v>462</v>
      </c>
      <c r="AG861" s="36">
        <v>1.157</v>
      </c>
      <c r="AI861" s="7" t="str">
        <f>VLOOKUP($AC861,Mapping!$E$11:$I$204,3,0)</f>
        <v>ACS</v>
      </c>
      <c r="AJ861" s="7" t="str">
        <f>IFERROR(VLOOKUP($AE861,Mapping!$E$208:$K$236,5,0),"Contracts")</f>
        <v>Labour</v>
      </c>
      <c r="AK861" s="7" t="str">
        <f>IFERROR(VLOOKUP($AE861,Mapping!$E$208:$K$236,7,0),"ENDirect")</f>
        <v>ENDirect</v>
      </c>
      <c r="AL861" s="7" t="str">
        <f>IFERROR(HLOOKUP(AJ861,'Calc|Weightings'!$U$5:$W$5,1,0),"Excl")</f>
        <v>Labour</v>
      </c>
      <c r="AM861" s="7" t="str">
        <f>VLOOKUP(AC861,Mapping!$E$11:$I$204,5,0)</f>
        <v>ACS</v>
      </c>
      <c r="AO861" s="35" t="s">
        <v>225</v>
      </c>
      <c r="AP861" s="35"/>
      <c r="AQ861" s="35">
        <v>83010</v>
      </c>
      <c r="AR861" s="35" t="s">
        <v>591</v>
      </c>
      <c r="AS861" s="121">
        <v>37.96508</v>
      </c>
      <c r="AU861" s="7" t="str">
        <f>VLOOKUP($AO861,Mapping!$E$11:$I$204,3,0)</f>
        <v>Replacement</v>
      </c>
      <c r="AV861" s="7" t="str">
        <f>IFERROR(VLOOKUP($AQ861,Mapping!$E$208:$K$236,5,0),"Contracts")</f>
        <v>Contracts</v>
      </c>
      <c r="AW861" s="7" t="str">
        <f>IFERROR(VLOOKUP($AQ861,Mapping!$E$208:$K$236,7,0),"ENDirect")</f>
        <v>ENDirect</v>
      </c>
      <c r="AX861" s="7" t="str">
        <f>IFERROR(HLOOKUP(AV861,'Calc|Weightings'!$U$5:$W$5,1,0),"Excl")</f>
        <v>Contracts</v>
      </c>
      <c r="AY861" s="7" t="str">
        <f>VLOOKUP(AO861,Mapping!$E$11:$I$204,5,0)</f>
        <v>SCS</v>
      </c>
    </row>
    <row r="862" spans="1:51" x14ac:dyDescent="0.3">
      <c r="A862" s="7"/>
      <c r="B862" s="7"/>
      <c r="C862" s="7"/>
      <c r="D862" s="7"/>
      <c r="E862" s="32" t="s">
        <v>229</v>
      </c>
      <c r="F862" s="32"/>
      <c r="G862" s="32">
        <v>71030</v>
      </c>
      <c r="H862" s="32" t="s">
        <v>464</v>
      </c>
      <c r="I862" s="33">
        <v>8.0619999999999994</v>
      </c>
      <c r="J862" s="170"/>
      <c r="K862" s="7" t="str">
        <f>VLOOKUP($E862,Mapping!$E$11:$I$204,3,0)</f>
        <v>Replacement</v>
      </c>
      <c r="L862" s="7" t="str">
        <f>IFERROR(VLOOKUP($G862,Mapping!$E$208:$K$236,5,0),"Contracts")</f>
        <v>Contracts</v>
      </c>
      <c r="M862" s="7" t="str">
        <f>IFERROR(VLOOKUP($G862,Mapping!$E$208:$K$236,7,0),"ENDirect")</f>
        <v>ENDirect</v>
      </c>
      <c r="N862" s="7" t="str">
        <f>IFERROR(HLOOKUP(L862,'Calc|Weightings'!$U$5:$W$5,1,0),"Excl")</f>
        <v>Contracts</v>
      </c>
      <c r="O862" s="7" t="str">
        <f>VLOOKUP(E862,Mapping!$E$11:$I$204,5,0)</f>
        <v>SCS</v>
      </c>
      <c r="Q862" s="32" t="s">
        <v>254</v>
      </c>
      <c r="R862" s="32"/>
      <c r="S862" s="32">
        <v>71010</v>
      </c>
      <c r="T862" s="32" t="s">
        <v>462</v>
      </c>
      <c r="U862" s="33">
        <v>0.27700000000000002</v>
      </c>
      <c r="V862" s="7"/>
      <c r="W862" s="7" t="str">
        <f>VLOOKUP($Q862,Mapping!$E$11:$I$204,3,0)</f>
        <v>ACS</v>
      </c>
      <c r="X862" s="7" t="str">
        <f>IFERROR(VLOOKUP($S862,Mapping!$E$208:$K$236,5,0),"Contracts")</f>
        <v>Labour</v>
      </c>
      <c r="Y862" s="7" t="str">
        <f>IFERROR(VLOOKUP($S862,Mapping!$E$208:$K$236,7,0),"ENDirect")</f>
        <v>ENDirect</v>
      </c>
      <c r="Z862" s="7" t="str">
        <f>IFERROR(HLOOKUP(X862,'Calc|Weightings'!$U$5:$W$5,1,0),"Excl")</f>
        <v>Labour</v>
      </c>
      <c r="AA862" s="7" t="str">
        <f>VLOOKUP(Q862,Mapping!$E$11:$I$204,5,0)</f>
        <v>ACS</v>
      </c>
      <c r="AC862" s="35" t="s">
        <v>254</v>
      </c>
      <c r="AD862" s="35"/>
      <c r="AE862" s="35">
        <v>71015</v>
      </c>
      <c r="AF862" s="35" t="s">
        <v>463</v>
      </c>
      <c r="AG862" s="36">
        <v>15.641</v>
      </c>
      <c r="AI862" s="7" t="str">
        <f>VLOOKUP($AC862,Mapping!$E$11:$I$204,3,0)</f>
        <v>ACS</v>
      </c>
      <c r="AJ862" s="7" t="str">
        <f>IFERROR(VLOOKUP($AE862,Mapping!$E$208:$K$236,5,0),"Contracts")</f>
        <v>Materials</v>
      </c>
      <c r="AK862" s="7" t="str">
        <f>IFERROR(VLOOKUP($AE862,Mapping!$E$208:$K$236,7,0),"ENDirect")</f>
        <v>ENDirect</v>
      </c>
      <c r="AL862" s="7" t="str">
        <f>IFERROR(HLOOKUP(AJ862,'Calc|Weightings'!$U$5:$W$5,1,0),"Excl")</f>
        <v>Materials</v>
      </c>
      <c r="AM862" s="7" t="str">
        <f>VLOOKUP(AC862,Mapping!$E$11:$I$204,5,0)</f>
        <v>ACS</v>
      </c>
      <c r="AO862" s="35" t="s">
        <v>227</v>
      </c>
      <c r="AP862" s="35"/>
      <c r="AQ862" s="35">
        <v>70815</v>
      </c>
      <c r="AR862" s="35" t="s">
        <v>594</v>
      </c>
      <c r="AS862" s="121">
        <v>-53</v>
      </c>
      <c r="AU862" s="7" t="str">
        <f>VLOOKUP($AO862,Mapping!$E$11:$I$204,3,0)</f>
        <v>Replacement</v>
      </c>
      <c r="AV862" s="7" t="str">
        <f>IFERROR(VLOOKUP($AQ862,Mapping!$E$208:$K$236,5,0),"Contracts")</f>
        <v>Materials</v>
      </c>
      <c r="AW862" s="7" t="str">
        <f>IFERROR(VLOOKUP($AQ862,Mapping!$E$208:$K$236,7,0),"ENDirect")</f>
        <v>ENDirect</v>
      </c>
      <c r="AX862" s="7" t="str">
        <f>IFERROR(HLOOKUP(AV862,'Calc|Weightings'!$U$5:$W$5,1,0),"Excl")</f>
        <v>Materials</v>
      </c>
      <c r="AY862" s="7" t="str">
        <f>VLOOKUP(AO862,Mapping!$E$11:$I$204,5,0)</f>
        <v>SCS</v>
      </c>
    </row>
    <row r="863" spans="1:51" x14ac:dyDescent="0.3">
      <c r="A863" s="7"/>
      <c r="B863" s="7"/>
      <c r="C863" s="7"/>
      <c r="D863" s="7"/>
      <c r="E863" s="32" t="s">
        <v>229</v>
      </c>
      <c r="F863" s="32"/>
      <c r="G863" s="32">
        <v>71055</v>
      </c>
      <c r="H863" s="32" t="s">
        <v>465</v>
      </c>
      <c r="I863" s="33">
        <v>16.074999999999999</v>
      </c>
      <c r="J863" s="170"/>
      <c r="K863" s="7" t="str">
        <f>VLOOKUP($E863,Mapping!$E$11:$I$204,3,0)</f>
        <v>Replacement</v>
      </c>
      <c r="L863" s="7" t="str">
        <f>IFERROR(VLOOKUP($G863,Mapping!$E$208:$K$236,5,0),"Contracts")</f>
        <v>Contracts</v>
      </c>
      <c r="M863" s="7" t="str">
        <f>IFERROR(VLOOKUP($G863,Mapping!$E$208:$K$236,7,0),"ENDirect")</f>
        <v>ENDirect</v>
      </c>
      <c r="N863" s="7" t="str">
        <f>IFERROR(HLOOKUP(L863,'Calc|Weightings'!$U$5:$W$5,1,0),"Excl")</f>
        <v>Contracts</v>
      </c>
      <c r="O863" s="7" t="str">
        <f>VLOOKUP(E863,Mapping!$E$11:$I$204,5,0)</f>
        <v>SCS</v>
      </c>
      <c r="Q863" s="32" t="s">
        <v>254</v>
      </c>
      <c r="R863" s="32"/>
      <c r="S863" s="32">
        <v>71015</v>
      </c>
      <c r="T863" s="32" t="s">
        <v>463</v>
      </c>
      <c r="U863" s="33">
        <v>7.6239999999999997</v>
      </c>
      <c r="V863" s="7"/>
      <c r="W863" s="7" t="str">
        <f>VLOOKUP($Q863,Mapping!$E$11:$I$204,3,0)</f>
        <v>ACS</v>
      </c>
      <c r="X863" s="7" t="str">
        <f>IFERROR(VLOOKUP($S863,Mapping!$E$208:$K$236,5,0),"Contracts")</f>
        <v>Materials</v>
      </c>
      <c r="Y863" s="7" t="str">
        <f>IFERROR(VLOOKUP($S863,Mapping!$E$208:$K$236,7,0),"ENDirect")</f>
        <v>ENDirect</v>
      </c>
      <c r="Z863" s="7" t="str">
        <f>IFERROR(HLOOKUP(X863,'Calc|Weightings'!$U$5:$W$5,1,0),"Excl")</f>
        <v>Materials</v>
      </c>
      <c r="AA863" s="7" t="str">
        <f>VLOOKUP(Q863,Mapping!$E$11:$I$204,5,0)</f>
        <v>ACS</v>
      </c>
      <c r="AC863" s="35" t="s">
        <v>254</v>
      </c>
      <c r="AD863" s="35"/>
      <c r="AE863" s="35">
        <v>71030</v>
      </c>
      <c r="AF863" s="35" t="s">
        <v>464</v>
      </c>
      <c r="AG863" s="36">
        <v>8.48</v>
      </c>
      <c r="AI863" s="7" t="str">
        <f>VLOOKUP($AC863,Mapping!$E$11:$I$204,3,0)</f>
        <v>ACS</v>
      </c>
      <c r="AJ863" s="7" t="str">
        <f>IFERROR(VLOOKUP($AE863,Mapping!$E$208:$K$236,5,0),"Contracts")</f>
        <v>Contracts</v>
      </c>
      <c r="AK863" s="7" t="str">
        <f>IFERROR(VLOOKUP($AE863,Mapping!$E$208:$K$236,7,0),"ENDirect")</f>
        <v>ENDirect</v>
      </c>
      <c r="AL863" s="7" t="str">
        <f>IFERROR(HLOOKUP(AJ863,'Calc|Weightings'!$U$5:$W$5,1,0),"Excl")</f>
        <v>Contracts</v>
      </c>
      <c r="AM863" s="7" t="str">
        <f>VLOOKUP(AC863,Mapping!$E$11:$I$204,5,0)</f>
        <v>ACS</v>
      </c>
      <c r="AO863" s="35" t="s">
        <v>227</v>
      </c>
      <c r="AP863" s="35"/>
      <c r="AQ863" s="35">
        <v>71000</v>
      </c>
      <c r="AR863" s="35" t="s">
        <v>457</v>
      </c>
      <c r="AS863" s="121">
        <v>83.140040000000013</v>
      </c>
      <c r="AU863" s="7" t="str">
        <f>VLOOKUP($AO863,Mapping!$E$11:$I$204,3,0)</f>
        <v>Replacement</v>
      </c>
      <c r="AV863" s="7" t="str">
        <f>IFERROR(VLOOKUP($AQ863,Mapping!$E$208:$K$236,5,0),"Contracts")</f>
        <v>Labour</v>
      </c>
      <c r="AW863" s="7" t="str">
        <f>IFERROR(VLOOKUP($AQ863,Mapping!$E$208:$K$236,7,0),"ENDirect")</f>
        <v>ENDirect</v>
      </c>
      <c r="AX863" s="7" t="str">
        <f>IFERROR(HLOOKUP(AV863,'Calc|Weightings'!$U$5:$W$5,1,0),"Excl")</f>
        <v>Labour</v>
      </c>
      <c r="AY863" s="7" t="str">
        <f>VLOOKUP(AO863,Mapping!$E$11:$I$204,5,0)</f>
        <v>SCS</v>
      </c>
    </row>
    <row r="864" spans="1:51" x14ac:dyDescent="0.3">
      <c r="A864" s="7"/>
      <c r="B864" s="7"/>
      <c r="C864" s="7"/>
      <c r="D864" s="7"/>
      <c r="E864" s="32" t="s">
        <v>229</v>
      </c>
      <c r="F864" s="32"/>
      <c r="G864" s="32">
        <v>80000</v>
      </c>
      <c r="H864" s="32" t="s">
        <v>453</v>
      </c>
      <c r="I864" s="33">
        <v>11.968</v>
      </c>
      <c r="J864" s="170"/>
      <c r="K864" s="7" t="str">
        <f>VLOOKUP($E864,Mapping!$E$11:$I$204,3,0)</f>
        <v>Replacement</v>
      </c>
      <c r="L864" s="7" t="str">
        <f>IFERROR(VLOOKUP($G864,Mapping!$E$208:$K$236,5,0),"Contracts")</f>
        <v>Overhead</v>
      </c>
      <c r="M864" s="7" t="str">
        <f>IFERROR(VLOOKUP($G864,Mapping!$E$208:$K$236,7,0),"ENDirect")</f>
        <v>OH</v>
      </c>
      <c r="N864" s="7" t="str">
        <f>IFERROR(HLOOKUP(L864,'Calc|Weightings'!$U$5:$W$5,1,0),"Excl")</f>
        <v>Excl</v>
      </c>
      <c r="O864" s="7" t="str">
        <f>VLOOKUP(E864,Mapping!$E$11:$I$204,5,0)</f>
        <v>SCS</v>
      </c>
      <c r="Q864" s="32" t="s">
        <v>254</v>
      </c>
      <c r="R864" s="32"/>
      <c r="S864" s="32">
        <v>71030</v>
      </c>
      <c r="T864" s="32" t="s">
        <v>464</v>
      </c>
      <c r="U864" s="33">
        <v>3.847</v>
      </c>
      <c r="V864" s="7"/>
      <c r="W864" s="7" t="str">
        <f>VLOOKUP($Q864,Mapping!$E$11:$I$204,3,0)</f>
        <v>ACS</v>
      </c>
      <c r="X864" s="7" t="str">
        <f>IFERROR(VLOOKUP($S864,Mapping!$E$208:$K$236,5,0),"Contracts")</f>
        <v>Contracts</v>
      </c>
      <c r="Y864" s="7" t="str">
        <f>IFERROR(VLOOKUP($S864,Mapping!$E$208:$K$236,7,0),"ENDirect")</f>
        <v>ENDirect</v>
      </c>
      <c r="Z864" s="7" t="str">
        <f>IFERROR(HLOOKUP(X864,'Calc|Weightings'!$U$5:$W$5,1,0),"Excl")</f>
        <v>Contracts</v>
      </c>
      <c r="AA864" s="7" t="str">
        <f>VLOOKUP(Q864,Mapping!$E$11:$I$204,5,0)</f>
        <v>ACS</v>
      </c>
      <c r="AC864" s="35" t="s">
        <v>254</v>
      </c>
      <c r="AD864" s="35"/>
      <c r="AE864" s="35">
        <v>71055</v>
      </c>
      <c r="AF864" s="35" t="s">
        <v>465</v>
      </c>
      <c r="AG864" s="36">
        <v>17.866</v>
      </c>
      <c r="AI864" s="7" t="str">
        <f>VLOOKUP($AC864,Mapping!$E$11:$I$204,3,0)</f>
        <v>ACS</v>
      </c>
      <c r="AJ864" s="7" t="str">
        <f>IFERROR(VLOOKUP($AE864,Mapping!$E$208:$K$236,5,0),"Contracts")</f>
        <v>Contracts</v>
      </c>
      <c r="AK864" s="7" t="str">
        <f>IFERROR(VLOOKUP($AE864,Mapping!$E$208:$K$236,7,0),"ENDirect")</f>
        <v>ENDirect</v>
      </c>
      <c r="AL864" s="7" t="str">
        <f>IFERROR(HLOOKUP(AJ864,'Calc|Weightings'!$U$5:$W$5,1,0),"Excl")</f>
        <v>Contracts</v>
      </c>
      <c r="AM864" s="7" t="str">
        <f>VLOOKUP(AC864,Mapping!$E$11:$I$204,5,0)</f>
        <v>ACS</v>
      </c>
      <c r="AO864" s="35" t="s">
        <v>227</v>
      </c>
      <c r="AP864" s="35"/>
      <c r="AQ864" s="35">
        <v>71005</v>
      </c>
      <c r="AR864" s="35" t="s">
        <v>461</v>
      </c>
      <c r="AS864" s="121">
        <v>27.172669999999993</v>
      </c>
      <c r="AU864" s="7" t="str">
        <f>VLOOKUP($AO864,Mapping!$E$11:$I$204,3,0)</f>
        <v>Replacement</v>
      </c>
      <c r="AV864" s="7" t="str">
        <f>IFERROR(VLOOKUP($AQ864,Mapping!$E$208:$K$236,5,0),"Contracts")</f>
        <v>Materials</v>
      </c>
      <c r="AW864" s="7" t="str">
        <f>IFERROR(VLOOKUP($AQ864,Mapping!$E$208:$K$236,7,0),"ENDirect")</f>
        <v>ENDirect</v>
      </c>
      <c r="AX864" s="7" t="str">
        <f>IFERROR(HLOOKUP(AV864,'Calc|Weightings'!$U$5:$W$5,1,0),"Excl")</f>
        <v>Materials</v>
      </c>
      <c r="AY864" s="7" t="str">
        <f>VLOOKUP(AO864,Mapping!$E$11:$I$204,5,0)</f>
        <v>SCS</v>
      </c>
    </row>
    <row r="865" spans="1:51" x14ac:dyDescent="0.3">
      <c r="A865" s="7"/>
      <c r="B865" s="7"/>
      <c r="C865" s="7"/>
      <c r="D865" s="7"/>
      <c r="E865" s="32" t="s">
        <v>230</v>
      </c>
      <c r="F865" s="32"/>
      <c r="G865" s="32">
        <v>71000</v>
      </c>
      <c r="H865" s="32" t="s">
        <v>457</v>
      </c>
      <c r="I865" s="33">
        <v>2606.15</v>
      </c>
      <c r="J865" s="170"/>
      <c r="K865" s="7" t="str">
        <f>VLOOKUP($E865,Mapping!$E$11:$I$204,3,0)</f>
        <v>Replacement</v>
      </c>
      <c r="L865" s="7" t="str">
        <f>IFERROR(VLOOKUP($G865,Mapping!$E$208:$K$236,5,0),"Contracts")</f>
        <v>Labour</v>
      </c>
      <c r="M865" s="7" t="str">
        <f>IFERROR(VLOOKUP($G865,Mapping!$E$208:$K$236,7,0),"ENDirect")</f>
        <v>ENDirect</v>
      </c>
      <c r="N865" s="7" t="str">
        <f>IFERROR(HLOOKUP(L865,'Calc|Weightings'!$U$5:$W$5,1,0),"Excl")</f>
        <v>Labour</v>
      </c>
      <c r="O865" s="7" t="str">
        <f>VLOOKUP(E865,Mapping!$E$11:$I$204,5,0)</f>
        <v>SCS</v>
      </c>
      <c r="Q865" s="32" t="s">
        <v>254</v>
      </c>
      <c r="R865" s="32"/>
      <c r="S865" s="32">
        <v>71055</v>
      </c>
      <c r="T865" s="32" t="s">
        <v>465</v>
      </c>
      <c r="U865" s="33">
        <v>7.8819999999999997</v>
      </c>
      <c r="V865" s="7"/>
      <c r="W865" s="7" t="str">
        <f>VLOOKUP($Q865,Mapping!$E$11:$I$204,3,0)</f>
        <v>ACS</v>
      </c>
      <c r="X865" s="7" t="str">
        <f>IFERROR(VLOOKUP($S865,Mapping!$E$208:$K$236,5,0),"Contracts")</f>
        <v>Contracts</v>
      </c>
      <c r="Y865" s="7" t="str">
        <f>IFERROR(VLOOKUP($S865,Mapping!$E$208:$K$236,7,0),"ENDirect")</f>
        <v>ENDirect</v>
      </c>
      <c r="Z865" s="7" t="str">
        <f>IFERROR(HLOOKUP(X865,'Calc|Weightings'!$U$5:$W$5,1,0),"Excl")</f>
        <v>Contracts</v>
      </c>
      <c r="AA865" s="7" t="str">
        <f>VLOOKUP(Q865,Mapping!$E$11:$I$204,5,0)</f>
        <v>ACS</v>
      </c>
      <c r="AC865" s="35" t="s">
        <v>254</v>
      </c>
      <c r="AD865" s="35"/>
      <c r="AE865" s="35">
        <v>80000</v>
      </c>
      <c r="AF865" s="35" t="s">
        <v>453</v>
      </c>
      <c r="AG865" s="36">
        <v>19.791</v>
      </c>
      <c r="AI865" s="7" t="str">
        <f>VLOOKUP($AC865,Mapping!$E$11:$I$204,3,0)</f>
        <v>ACS</v>
      </c>
      <c r="AJ865" s="7" t="str">
        <f>IFERROR(VLOOKUP($AE865,Mapping!$E$208:$K$236,5,0),"Contracts")</f>
        <v>Overhead</v>
      </c>
      <c r="AK865" s="7" t="str">
        <f>IFERROR(VLOOKUP($AE865,Mapping!$E$208:$K$236,7,0),"ENDirect")</f>
        <v>OH</v>
      </c>
      <c r="AL865" s="7" t="str">
        <f>IFERROR(HLOOKUP(AJ865,'Calc|Weightings'!$U$5:$W$5,1,0),"Excl")</f>
        <v>Excl</v>
      </c>
      <c r="AM865" s="7" t="str">
        <f>VLOOKUP(AC865,Mapping!$E$11:$I$204,5,0)</f>
        <v>ACS</v>
      </c>
      <c r="AO865" s="35" t="s">
        <v>227</v>
      </c>
      <c r="AP865" s="35"/>
      <c r="AQ865" s="35">
        <v>71010</v>
      </c>
      <c r="AR865" s="35" t="s">
        <v>487</v>
      </c>
      <c r="AS865" s="121">
        <v>12.612820000000001</v>
      </c>
      <c r="AU865" s="7" t="str">
        <f>VLOOKUP($AO865,Mapping!$E$11:$I$204,3,0)</f>
        <v>Replacement</v>
      </c>
      <c r="AV865" s="7" t="str">
        <f>IFERROR(VLOOKUP($AQ865,Mapping!$E$208:$K$236,5,0),"Contracts")</f>
        <v>Labour</v>
      </c>
      <c r="AW865" s="7" t="str">
        <f>IFERROR(VLOOKUP($AQ865,Mapping!$E$208:$K$236,7,0),"ENDirect")</f>
        <v>ENDirect</v>
      </c>
      <c r="AX865" s="7" t="str">
        <f>IFERROR(HLOOKUP(AV865,'Calc|Weightings'!$U$5:$W$5,1,0),"Excl")</f>
        <v>Labour</v>
      </c>
      <c r="AY865" s="7" t="str">
        <f>VLOOKUP(AO865,Mapping!$E$11:$I$204,5,0)</f>
        <v>SCS</v>
      </c>
    </row>
    <row r="866" spans="1:51" x14ac:dyDescent="0.3">
      <c r="A866" s="7"/>
      <c r="B866" s="7"/>
      <c r="C866" s="7"/>
      <c r="D866" s="7"/>
      <c r="E866" s="32" t="s">
        <v>230</v>
      </c>
      <c r="F866" s="32"/>
      <c r="G866" s="32">
        <v>71005</v>
      </c>
      <c r="H866" s="32" t="s">
        <v>461</v>
      </c>
      <c r="I866" s="33">
        <v>1650.7059999999999</v>
      </c>
      <c r="J866" s="170"/>
      <c r="K866" s="7" t="str">
        <f>VLOOKUP($E866,Mapping!$E$11:$I$204,3,0)</f>
        <v>Replacement</v>
      </c>
      <c r="L866" s="7" t="str">
        <f>IFERROR(VLOOKUP($G866,Mapping!$E$208:$K$236,5,0),"Contracts")</f>
        <v>Materials</v>
      </c>
      <c r="M866" s="7" t="str">
        <f>IFERROR(VLOOKUP($G866,Mapping!$E$208:$K$236,7,0),"ENDirect")</f>
        <v>ENDirect</v>
      </c>
      <c r="N866" s="7" t="str">
        <f>IFERROR(HLOOKUP(L866,'Calc|Weightings'!$U$5:$W$5,1,0),"Excl")</f>
        <v>Materials</v>
      </c>
      <c r="O866" s="7" t="str">
        <f>VLOOKUP(E866,Mapping!$E$11:$I$204,5,0)</f>
        <v>SCS</v>
      </c>
      <c r="Q866" s="32" t="s">
        <v>254</v>
      </c>
      <c r="R866" s="32"/>
      <c r="S866" s="32">
        <v>80000</v>
      </c>
      <c r="T866" s="32" t="s">
        <v>453</v>
      </c>
      <c r="U866" s="33">
        <v>7.4820000000000002</v>
      </c>
      <c r="V866" s="7"/>
      <c r="W866" s="7" t="str">
        <f>VLOOKUP($Q866,Mapping!$E$11:$I$204,3,0)</f>
        <v>ACS</v>
      </c>
      <c r="X866" s="7" t="str">
        <f>IFERROR(VLOOKUP($S866,Mapping!$E$208:$K$236,5,0),"Contracts")</f>
        <v>Overhead</v>
      </c>
      <c r="Y866" s="7" t="str">
        <f>IFERROR(VLOOKUP($S866,Mapping!$E$208:$K$236,7,0),"ENDirect")</f>
        <v>OH</v>
      </c>
      <c r="Z866" s="7" t="str">
        <f>IFERROR(HLOOKUP(X866,'Calc|Weightings'!$U$5:$W$5,1,0),"Excl")</f>
        <v>Excl</v>
      </c>
      <c r="AA866" s="7" t="str">
        <f>VLOOKUP(Q866,Mapping!$E$11:$I$204,5,0)</f>
        <v>ACS</v>
      </c>
      <c r="AC866" s="35" t="s">
        <v>242</v>
      </c>
      <c r="AD866" s="35"/>
      <c r="AE866" s="35">
        <v>71000</v>
      </c>
      <c r="AF866" s="35" t="s">
        <v>457</v>
      </c>
      <c r="AG866" s="36">
        <v>14.032999999999999</v>
      </c>
      <c r="AI866" s="7" t="str">
        <f>VLOOKUP($AC866,Mapping!$E$11:$I$204,3,0)</f>
        <v>Replacement</v>
      </c>
      <c r="AJ866" s="7" t="str">
        <f>IFERROR(VLOOKUP($AE866,Mapping!$E$208:$K$236,5,0),"Contracts")</f>
        <v>Labour</v>
      </c>
      <c r="AK866" s="7" t="str">
        <f>IFERROR(VLOOKUP($AE866,Mapping!$E$208:$K$236,7,0),"ENDirect")</f>
        <v>ENDirect</v>
      </c>
      <c r="AL866" s="7" t="str">
        <f>IFERROR(HLOOKUP(AJ866,'Calc|Weightings'!$U$5:$W$5,1,0),"Excl")</f>
        <v>Labour</v>
      </c>
      <c r="AM866" s="7" t="str">
        <f>VLOOKUP(AC866,Mapping!$E$11:$I$204,5,0)</f>
        <v>SCS</v>
      </c>
      <c r="AO866" s="35" t="s">
        <v>227</v>
      </c>
      <c r="AP866" s="35"/>
      <c r="AQ866" s="35">
        <v>71015</v>
      </c>
      <c r="AR866" s="35" t="s">
        <v>585</v>
      </c>
      <c r="AS866" s="121">
        <v>13.34634</v>
      </c>
      <c r="AU866" s="7" t="str">
        <f>VLOOKUP($AO866,Mapping!$E$11:$I$204,3,0)</f>
        <v>Replacement</v>
      </c>
      <c r="AV866" s="7" t="str">
        <f>IFERROR(VLOOKUP($AQ866,Mapping!$E$208:$K$236,5,0),"Contracts")</f>
        <v>Materials</v>
      </c>
      <c r="AW866" s="7" t="str">
        <f>IFERROR(VLOOKUP($AQ866,Mapping!$E$208:$K$236,7,0),"ENDirect")</f>
        <v>ENDirect</v>
      </c>
      <c r="AX866" s="7" t="str">
        <f>IFERROR(HLOOKUP(AV866,'Calc|Weightings'!$U$5:$W$5,1,0),"Excl")</f>
        <v>Materials</v>
      </c>
      <c r="AY866" s="7" t="str">
        <f>VLOOKUP(AO866,Mapping!$E$11:$I$204,5,0)</f>
        <v>SCS</v>
      </c>
    </row>
    <row r="867" spans="1:51" x14ac:dyDescent="0.3">
      <c r="A867" s="7"/>
      <c r="B867" s="7"/>
      <c r="C867" s="7"/>
      <c r="D867" s="7"/>
      <c r="E867" s="32" t="s">
        <v>230</v>
      </c>
      <c r="F867" s="32"/>
      <c r="G867" s="32">
        <v>71010</v>
      </c>
      <c r="H867" s="32" t="s">
        <v>462</v>
      </c>
      <c r="I867" s="33">
        <v>1826.2349999999997</v>
      </c>
      <c r="J867" s="170"/>
      <c r="K867" s="7" t="str">
        <f>VLOOKUP($E867,Mapping!$E$11:$I$204,3,0)</f>
        <v>Replacement</v>
      </c>
      <c r="L867" s="7" t="str">
        <f>IFERROR(VLOOKUP($G867,Mapping!$E$208:$K$236,5,0),"Contracts")</f>
        <v>Labour</v>
      </c>
      <c r="M867" s="7" t="str">
        <f>IFERROR(VLOOKUP($G867,Mapping!$E$208:$K$236,7,0),"ENDirect")</f>
        <v>ENDirect</v>
      </c>
      <c r="N867" s="7" t="str">
        <f>IFERROR(HLOOKUP(L867,'Calc|Weightings'!$U$5:$W$5,1,0),"Excl")</f>
        <v>Labour</v>
      </c>
      <c r="O867" s="7" t="str">
        <f>VLOOKUP(E867,Mapping!$E$11:$I$204,5,0)</f>
        <v>SCS</v>
      </c>
      <c r="Q867" s="32" t="s">
        <v>256</v>
      </c>
      <c r="R867" s="32"/>
      <c r="S867" s="32">
        <v>71000</v>
      </c>
      <c r="T867" s="32" t="s">
        <v>457</v>
      </c>
      <c r="U867" s="33">
        <v>-44.171999999999997</v>
      </c>
      <c r="V867" s="7"/>
      <c r="W867" s="7" t="str">
        <f>VLOOKUP($Q867,Mapping!$E$11:$I$204,3,0)</f>
        <v>ACS</v>
      </c>
      <c r="X867" s="7" t="str">
        <f>IFERROR(VLOOKUP($S867,Mapping!$E$208:$K$236,5,0),"Contracts")</f>
        <v>Labour</v>
      </c>
      <c r="Y867" s="7" t="str">
        <f>IFERROR(VLOOKUP($S867,Mapping!$E$208:$K$236,7,0),"ENDirect")</f>
        <v>ENDirect</v>
      </c>
      <c r="Z867" s="7" t="str">
        <f>IFERROR(HLOOKUP(X867,'Calc|Weightings'!$U$5:$W$5,1,0),"Excl")</f>
        <v>Labour</v>
      </c>
      <c r="AA867" s="7" t="str">
        <f>VLOOKUP(Q867,Mapping!$E$11:$I$204,5,0)</f>
        <v>ACS</v>
      </c>
      <c r="AC867" s="35" t="s">
        <v>242</v>
      </c>
      <c r="AD867" s="35"/>
      <c r="AE867" s="35">
        <v>71005</v>
      </c>
      <c r="AF867" s="35" t="s">
        <v>461</v>
      </c>
      <c r="AG867" s="36">
        <v>0.33700000000000002</v>
      </c>
      <c r="AI867" s="7" t="str">
        <f>VLOOKUP($AC867,Mapping!$E$11:$I$204,3,0)</f>
        <v>Replacement</v>
      </c>
      <c r="AJ867" s="7" t="str">
        <f>IFERROR(VLOOKUP($AE867,Mapping!$E$208:$K$236,5,0),"Contracts")</f>
        <v>Materials</v>
      </c>
      <c r="AK867" s="7" t="str">
        <f>IFERROR(VLOOKUP($AE867,Mapping!$E$208:$K$236,7,0),"ENDirect")</f>
        <v>ENDirect</v>
      </c>
      <c r="AL867" s="7" t="str">
        <f>IFERROR(HLOOKUP(AJ867,'Calc|Weightings'!$U$5:$W$5,1,0),"Excl")</f>
        <v>Materials</v>
      </c>
      <c r="AM867" s="7" t="str">
        <f>VLOOKUP(AC867,Mapping!$E$11:$I$204,5,0)</f>
        <v>SCS</v>
      </c>
      <c r="AO867" s="35" t="s">
        <v>227</v>
      </c>
      <c r="AP867" s="35"/>
      <c r="AQ867" s="35">
        <v>71030</v>
      </c>
      <c r="AR867" s="35" t="s">
        <v>464</v>
      </c>
      <c r="AS867" s="121">
        <v>11.296790000000003</v>
      </c>
      <c r="AU867" s="7" t="str">
        <f>VLOOKUP($AO867,Mapping!$E$11:$I$204,3,0)</f>
        <v>Replacement</v>
      </c>
      <c r="AV867" s="7" t="str">
        <f>IFERROR(VLOOKUP($AQ867,Mapping!$E$208:$K$236,5,0),"Contracts")</f>
        <v>Contracts</v>
      </c>
      <c r="AW867" s="7" t="str">
        <f>IFERROR(VLOOKUP($AQ867,Mapping!$E$208:$K$236,7,0),"ENDirect")</f>
        <v>ENDirect</v>
      </c>
      <c r="AX867" s="7" t="str">
        <f>IFERROR(HLOOKUP(AV867,'Calc|Weightings'!$U$5:$W$5,1,0),"Excl")</f>
        <v>Contracts</v>
      </c>
      <c r="AY867" s="7" t="str">
        <f>VLOOKUP(AO867,Mapping!$E$11:$I$204,5,0)</f>
        <v>SCS</v>
      </c>
    </row>
    <row r="868" spans="1:51" x14ac:dyDescent="0.3">
      <c r="A868" s="7"/>
      <c r="B868" s="7"/>
      <c r="C868" s="7"/>
      <c r="D868" s="7"/>
      <c r="E868" s="32" t="s">
        <v>230</v>
      </c>
      <c r="F868" s="32"/>
      <c r="G868" s="32">
        <v>71015</v>
      </c>
      <c r="H868" s="32" t="s">
        <v>463</v>
      </c>
      <c r="I868" s="33">
        <v>702.68</v>
      </c>
      <c r="J868" s="170"/>
      <c r="K868" s="7" t="str">
        <f>VLOOKUP($E868,Mapping!$E$11:$I$204,3,0)</f>
        <v>Replacement</v>
      </c>
      <c r="L868" s="7" t="str">
        <f>IFERROR(VLOOKUP($G868,Mapping!$E$208:$K$236,5,0),"Contracts")</f>
        <v>Materials</v>
      </c>
      <c r="M868" s="7" t="str">
        <f>IFERROR(VLOOKUP($G868,Mapping!$E$208:$K$236,7,0),"ENDirect")</f>
        <v>ENDirect</v>
      </c>
      <c r="N868" s="7" t="str">
        <f>IFERROR(HLOOKUP(L868,'Calc|Weightings'!$U$5:$W$5,1,0),"Excl")</f>
        <v>Materials</v>
      </c>
      <c r="O868" s="7" t="str">
        <f>VLOOKUP(E868,Mapping!$E$11:$I$204,5,0)</f>
        <v>SCS</v>
      </c>
      <c r="Q868" s="32" t="s">
        <v>256</v>
      </c>
      <c r="R868" s="32"/>
      <c r="S868" s="32">
        <v>71005</v>
      </c>
      <c r="T868" s="32" t="s">
        <v>461</v>
      </c>
      <c r="U868" s="33">
        <v>3.7480000000000002</v>
      </c>
      <c r="V868" s="7"/>
      <c r="W868" s="7" t="str">
        <f>VLOOKUP($Q868,Mapping!$E$11:$I$204,3,0)</f>
        <v>ACS</v>
      </c>
      <c r="X868" s="7" t="str">
        <f>IFERROR(VLOOKUP($S868,Mapping!$E$208:$K$236,5,0),"Contracts")</f>
        <v>Materials</v>
      </c>
      <c r="Y868" s="7" t="str">
        <f>IFERROR(VLOOKUP($S868,Mapping!$E$208:$K$236,7,0),"ENDirect")</f>
        <v>ENDirect</v>
      </c>
      <c r="Z868" s="7" t="str">
        <f>IFERROR(HLOOKUP(X868,'Calc|Weightings'!$U$5:$W$5,1,0),"Excl")</f>
        <v>Materials</v>
      </c>
      <c r="AA868" s="7" t="str">
        <f>VLOOKUP(Q868,Mapping!$E$11:$I$204,5,0)</f>
        <v>ACS</v>
      </c>
      <c r="AC868" s="35" t="s">
        <v>242</v>
      </c>
      <c r="AD868" s="35"/>
      <c r="AE868" s="35">
        <v>71010</v>
      </c>
      <c r="AF868" s="35" t="s">
        <v>462</v>
      </c>
      <c r="AG868" s="36">
        <v>2.5590000000000002</v>
      </c>
      <c r="AI868" s="7" t="str">
        <f>VLOOKUP($AC868,Mapping!$E$11:$I$204,3,0)</f>
        <v>Replacement</v>
      </c>
      <c r="AJ868" s="7" t="str">
        <f>IFERROR(VLOOKUP($AE868,Mapping!$E$208:$K$236,5,0),"Contracts")</f>
        <v>Labour</v>
      </c>
      <c r="AK868" s="7" t="str">
        <f>IFERROR(VLOOKUP($AE868,Mapping!$E$208:$K$236,7,0),"ENDirect")</f>
        <v>ENDirect</v>
      </c>
      <c r="AL868" s="7" t="str">
        <f>IFERROR(HLOOKUP(AJ868,'Calc|Weightings'!$U$5:$W$5,1,0),"Excl")</f>
        <v>Labour</v>
      </c>
      <c r="AM868" s="7" t="str">
        <f>VLOOKUP(AC868,Mapping!$E$11:$I$204,5,0)</f>
        <v>SCS</v>
      </c>
      <c r="AO868" s="35" t="s">
        <v>227</v>
      </c>
      <c r="AP868" s="35"/>
      <c r="AQ868" s="35">
        <v>71055</v>
      </c>
      <c r="AR868" s="35" t="s">
        <v>465</v>
      </c>
      <c r="AS868" s="121">
        <v>25.109750000000009</v>
      </c>
      <c r="AU868" s="7" t="str">
        <f>VLOOKUP($AO868,Mapping!$E$11:$I$204,3,0)</f>
        <v>Replacement</v>
      </c>
      <c r="AV868" s="7" t="str">
        <f>IFERROR(VLOOKUP($AQ868,Mapping!$E$208:$K$236,5,0),"Contracts")</f>
        <v>Contracts</v>
      </c>
      <c r="AW868" s="7" t="str">
        <f>IFERROR(VLOOKUP($AQ868,Mapping!$E$208:$K$236,7,0),"ENDirect")</f>
        <v>ENDirect</v>
      </c>
      <c r="AX868" s="7" t="str">
        <f>IFERROR(HLOOKUP(AV868,'Calc|Weightings'!$U$5:$W$5,1,0),"Excl")</f>
        <v>Contracts</v>
      </c>
      <c r="AY868" s="7" t="str">
        <f>VLOOKUP(AO868,Mapping!$E$11:$I$204,5,0)</f>
        <v>SCS</v>
      </c>
    </row>
    <row r="869" spans="1:51" x14ac:dyDescent="0.3">
      <c r="A869" s="7"/>
      <c r="B869" s="7"/>
      <c r="C869" s="7"/>
      <c r="D869" s="7"/>
      <c r="E869" s="32" t="s">
        <v>230</v>
      </c>
      <c r="F869" s="32"/>
      <c r="G869" s="32">
        <v>71030</v>
      </c>
      <c r="H869" s="32" t="s">
        <v>464</v>
      </c>
      <c r="I869" s="33">
        <v>908.62800000000004</v>
      </c>
      <c r="J869" s="170"/>
      <c r="K869" s="7" t="str">
        <f>VLOOKUP($E869,Mapping!$E$11:$I$204,3,0)</f>
        <v>Replacement</v>
      </c>
      <c r="L869" s="7" t="str">
        <f>IFERROR(VLOOKUP($G869,Mapping!$E$208:$K$236,5,0),"Contracts")</f>
        <v>Contracts</v>
      </c>
      <c r="M869" s="7" t="str">
        <f>IFERROR(VLOOKUP($G869,Mapping!$E$208:$K$236,7,0),"ENDirect")</f>
        <v>ENDirect</v>
      </c>
      <c r="N869" s="7" t="str">
        <f>IFERROR(HLOOKUP(L869,'Calc|Weightings'!$U$5:$W$5,1,0),"Excl")</f>
        <v>Contracts</v>
      </c>
      <c r="O869" s="7" t="str">
        <f>VLOOKUP(E869,Mapping!$E$11:$I$204,5,0)</f>
        <v>SCS</v>
      </c>
      <c r="Q869" s="32" t="s">
        <v>256</v>
      </c>
      <c r="R869" s="32"/>
      <c r="S869" s="32">
        <v>71015</v>
      </c>
      <c r="T869" s="32" t="s">
        <v>463</v>
      </c>
      <c r="U869" s="33">
        <v>0.99199999999999999</v>
      </c>
      <c r="V869" s="7"/>
      <c r="W869" s="7" t="str">
        <f>VLOOKUP($Q869,Mapping!$E$11:$I$204,3,0)</f>
        <v>ACS</v>
      </c>
      <c r="X869" s="7" t="str">
        <f>IFERROR(VLOOKUP($S869,Mapping!$E$208:$K$236,5,0),"Contracts")</f>
        <v>Materials</v>
      </c>
      <c r="Y869" s="7" t="str">
        <f>IFERROR(VLOOKUP($S869,Mapping!$E$208:$K$236,7,0),"ENDirect")</f>
        <v>ENDirect</v>
      </c>
      <c r="Z869" s="7" t="str">
        <f>IFERROR(HLOOKUP(X869,'Calc|Weightings'!$U$5:$W$5,1,0),"Excl")</f>
        <v>Materials</v>
      </c>
      <c r="AA869" s="7" t="str">
        <f>VLOOKUP(Q869,Mapping!$E$11:$I$204,5,0)</f>
        <v>ACS</v>
      </c>
      <c r="AC869" s="35" t="s">
        <v>242</v>
      </c>
      <c r="AD869" s="35"/>
      <c r="AE869" s="35">
        <v>71015</v>
      </c>
      <c r="AF869" s="35" t="s">
        <v>463</v>
      </c>
      <c r="AG869" s="36">
        <v>3.7280000000000002</v>
      </c>
      <c r="AI869" s="7" t="str">
        <f>VLOOKUP($AC869,Mapping!$E$11:$I$204,3,0)</f>
        <v>Replacement</v>
      </c>
      <c r="AJ869" s="7" t="str">
        <f>IFERROR(VLOOKUP($AE869,Mapping!$E$208:$K$236,5,0),"Contracts")</f>
        <v>Materials</v>
      </c>
      <c r="AK869" s="7" t="str">
        <f>IFERROR(VLOOKUP($AE869,Mapping!$E$208:$K$236,7,0),"ENDirect")</f>
        <v>ENDirect</v>
      </c>
      <c r="AL869" s="7" t="str">
        <f>IFERROR(HLOOKUP(AJ869,'Calc|Weightings'!$U$5:$W$5,1,0),"Excl")</f>
        <v>Materials</v>
      </c>
      <c r="AM869" s="7" t="str">
        <f>VLOOKUP(AC869,Mapping!$E$11:$I$204,5,0)</f>
        <v>SCS</v>
      </c>
      <c r="AO869" s="35" t="s">
        <v>227</v>
      </c>
      <c r="AP869" s="35"/>
      <c r="AQ869" s="35">
        <v>71075</v>
      </c>
      <c r="AR869" s="35" t="s">
        <v>587</v>
      </c>
      <c r="AS869" s="121">
        <v>141.64114000000012</v>
      </c>
      <c r="AU869" s="7" t="str">
        <f>VLOOKUP($AO869,Mapping!$E$11:$I$204,3,0)</f>
        <v>Replacement</v>
      </c>
      <c r="AV869" s="7" t="str">
        <f>IFERROR(VLOOKUP($AQ869,Mapping!$E$208:$K$236,5,0),"Contracts")</f>
        <v>Contracts</v>
      </c>
      <c r="AW869" s="7" t="str">
        <f>IFERROR(VLOOKUP($AQ869,Mapping!$E$208:$K$236,7,0),"ENDirect")</f>
        <v>ENDirect</v>
      </c>
      <c r="AX869" s="7" t="str">
        <f>IFERROR(HLOOKUP(AV869,'Calc|Weightings'!$U$5:$W$5,1,0),"Excl")</f>
        <v>Contracts</v>
      </c>
      <c r="AY869" s="7" t="str">
        <f>VLOOKUP(AO869,Mapping!$E$11:$I$204,5,0)</f>
        <v>SCS</v>
      </c>
    </row>
    <row r="870" spans="1:51" x14ac:dyDescent="0.3">
      <c r="A870" s="7"/>
      <c r="B870" s="7"/>
      <c r="C870" s="7"/>
      <c r="D870" s="7"/>
      <c r="E870" s="32" t="s">
        <v>230</v>
      </c>
      <c r="F870" s="32"/>
      <c r="G870" s="32">
        <v>71055</v>
      </c>
      <c r="H870" s="32" t="s">
        <v>465</v>
      </c>
      <c r="I870" s="33">
        <v>2103.5259999999998</v>
      </c>
      <c r="J870" s="170"/>
      <c r="K870" s="7" t="str">
        <f>VLOOKUP($E870,Mapping!$E$11:$I$204,3,0)</f>
        <v>Replacement</v>
      </c>
      <c r="L870" s="7" t="str">
        <f>IFERROR(VLOOKUP($G870,Mapping!$E$208:$K$236,5,0),"Contracts")</f>
        <v>Contracts</v>
      </c>
      <c r="M870" s="7" t="str">
        <f>IFERROR(VLOOKUP($G870,Mapping!$E$208:$K$236,7,0),"ENDirect")</f>
        <v>ENDirect</v>
      </c>
      <c r="N870" s="7" t="str">
        <f>IFERROR(HLOOKUP(L870,'Calc|Weightings'!$U$5:$W$5,1,0),"Excl")</f>
        <v>Contracts</v>
      </c>
      <c r="O870" s="7" t="str">
        <f>VLOOKUP(E870,Mapping!$E$11:$I$204,5,0)</f>
        <v>SCS</v>
      </c>
      <c r="Q870" s="32" t="s">
        <v>256</v>
      </c>
      <c r="R870" s="32"/>
      <c r="S870" s="32">
        <v>71030</v>
      </c>
      <c r="T870" s="32" t="s">
        <v>464</v>
      </c>
      <c r="U870" s="33">
        <v>19.079000000000001</v>
      </c>
      <c r="V870" s="7"/>
      <c r="W870" s="7" t="str">
        <f>VLOOKUP($Q870,Mapping!$E$11:$I$204,3,0)</f>
        <v>ACS</v>
      </c>
      <c r="X870" s="7" t="str">
        <f>IFERROR(VLOOKUP($S870,Mapping!$E$208:$K$236,5,0),"Contracts")</f>
        <v>Contracts</v>
      </c>
      <c r="Y870" s="7" t="str">
        <f>IFERROR(VLOOKUP($S870,Mapping!$E$208:$K$236,7,0),"ENDirect")</f>
        <v>ENDirect</v>
      </c>
      <c r="Z870" s="7" t="str">
        <f>IFERROR(HLOOKUP(X870,'Calc|Weightings'!$U$5:$W$5,1,0),"Excl")</f>
        <v>Contracts</v>
      </c>
      <c r="AA870" s="7" t="str">
        <f>VLOOKUP(Q870,Mapping!$E$11:$I$204,5,0)</f>
        <v>ACS</v>
      </c>
      <c r="AC870" s="35" t="s">
        <v>242</v>
      </c>
      <c r="AD870" s="35"/>
      <c r="AE870" s="35">
        <v>71030</v>
      </c>
      <c r="AF870" s="35" t="s">
        <v>464</v>
      </c>
      <c r="AG870" s="36">
        <v>1.679</v>
      </c>
      <c r="AI870" s="7" t="str">
        <f>VLOOKUP($AC870,Mapping!$E$11:$I$204,3,0)</f>
        <v>Replacement</v>
      </c>
      <c r="AJ870" s="7" t="str">
        <f>IFERROR(VLOOKUP($AE870,Mapping!$E$208:$K$236,5,0),"Contracts")</f>
        <v>Contracts</v>
      </c>
      <c r="AK870" s="7" t="str">
        <f>IFERROR(VLOOKUP($AE870,Mapping!$E$208:$K$236,7,0),"ENDirect")</f>
        <v>ENDirect</v>
      </c>
      <c r="AL870" s="7" t="str">
        <f>IFERROR(HLOOKUP(AJ870,'Calc|Weightings'!$U$5:$W$5,1,0),"Excl")</f>
        <v>Contracts</v>
      </c>
      <c r="AM870" s="7" t="str">
        <f>VLOOKUP(AC870,Mapping!$E$11:$I$204,5,0)</f>
        <v>SCS</v>
      </c>
      <c r="AO870" s="35" t="s">
        <v>227</v>
      </c>
      <c r="AP870" s="35"/>
      <c r="AQ870" s="35">
        <v>80000</v>
      </c>
      <c r="AR870" s="35" t="s">
        <v>589</v>
      </c>
      <c r="AS870" s="121">
        <v>232.86477999999997</v>
      </c>
      <c r="AU870" s="7" t="str">
        <f>VLOOKUP($AO870,Mapping!$E$11:$I$204,3,0)</f>
        <v>Replacement</v>
      </c>
      <c r="AV870" s="7" t="str">
        <f>IFERROR(VLOOKUP($AQ870,Mapping!$E$208:$K$236,5,0),"Contracts")</f>
        <v>Overhead</v>
      </c>
      <c r="AW870" s="7" t="str">
        <f>IFERROR(VLOOKUP($AQ870,Mapping!$E$208:$K$236,7,0),"ENDirect")</f>
        <v>OH</v>
      </c>
      <c r="AX870" s="7" t="str">
        <f>IFERROR(HLOOKUP(AV870,'Calc|Weightings'!$U$5:$W$5,1,0),"Excl")</f>
        <v>Excl</v>
      </c>
      <c r="AY870" s="7" t="str">
        <f>VLOOKUP(AO870,Mapping!$E$11:$I$204,5,0)</f>
        <v>SCS</v>
      </c>
    </row>
    <row r="871" spans="1:51" x14ac:dyDescent="0.3">
      <c r="A871" s="7"/>
      <c r="B871" s="7"/>
      <c r="C871" s="7"/>
      <c r="D871" s="7"/>
      <c r="E871" s="32" t="s">
        <v>230</v>
      </c>
      <c r="F871" s="32"/>
      <c r="G871" s="32">
        <v>80000</v>
      </c>
      <c r="H871" s="32" t="s">
        <v>453</v>
      </c>
      <c r="I871" s="33">
        <v>1226.683</v>
      </c>
      <c r="J871" s="170"/>
      <c r="K871" s="7" t="str">
        <f>VLOOKUP($E871,Mapping!$E$11:$I$204,3,0)</f>
        <v>Replacement</v>
      </c>
      <c r="L871" s="7" t="str">
        <f>IFERROR(VLOOKUP($G871,Mapping!$E$208:$K$236,5,0),"Contracts")</f>
        <v>Overhead</v>
      </c>
      <c r="M871" s="7" t="str">
        <f>IFERROR(VLOOKUP($G871,Mapping!$E$208:$K$236,7,0),"ENDirect")</f>
        <v>OH</v>
      </c>
      <c r="N871" s="7" t="str">
        <f>IFERROR(HLOOKUP(L871,'Calc|Weightings'!$U$5:$W$5,1,0),"Excl")</f>
        <v>Excl</v>
      </c>
      <c r="O871" s="7" t="str">
        <f>VLOOKUP(E871,Mapping!$E$11:$I$204,5,0)</f>
        <v>SCS</v>
      </c>
      <c r="Q871" s="32" t="s">
        <v>256</v>
      </c>
      <c r="R871" s="32"/>
      <c r="S871" s="32">
        <v>71055</v>
      </c>
      <c r="T871" s="32" t="s">
        <v>465</v>
      </c>
      <c r="U871" s="33">
        <v>51.710999999999999</v>
      </c>
      <c r="V871" s="7"/>
      <c r="W871" s="7" t="str">
        <f>VLOOKUP($Q871,Mapping!$E$11:$I$204,3,0)</f>
        <v>ACS</v>
      </c>
      <c r="X871" s="7" t="str">
        <f>IFERROR(VLOOKUP($S871,Mapping!$E$208:$K$236,5,0),"Contracts")</f>
        <v>Contracts</v>
      </c>
      <c r="Y871" s="7" t="str">
        <f>IFERROR(VLOOKUP($S871,Mapping!$E$208:$K$236,7,0),"ENDirect")</f>
        <v>ENDirect</v>
      </c>
      <c r="Z871" s="7" t="str">
        <f>IFERROR(HLOOKUP(X871,'Calc|Weightings'!$U$5:$W$5,1,0),"Excl")</f>
        <v>Contracts</v>
      </c>
      <c r="AA871" s="7" t="str">
        <f>VLOOKUP(Q871,Mapping!$E$11:$I$204,5,0)</f>
        <v>ACS</v>
      </c>
      <c r="AC871" s="35" t="s">
        <v>242</v>
      </c>
      <c r="AD871" s="35"/>
      <c r="AE871" s="35">
        <v>71055</v>
      </c>
      <c r="AF871" s="35" t="s">
        <v>465</v>
      </c>
      <c r="AG871" s="36">
        <v>3.33</v>
      </c>
      <c r="AI871" s="7" t="str">
        <f>VLOOKUP($AC871,Mapping!$E$11:$I$204,3,0)</f>
        <v>Replacement</v>
      </c>
      <c r="AJ871" s="7" t="str">
        <f>IFERROR(VLOOKUP($AE871,Mapping!$E$208:$K$236,5,0),"Contracts")</f>
        <v>Contracts</v>
      </c>
      <c r="AK871" s="7" t="str">
        <f>IFERROR(VLOOKUP($AE871,Mapping!$E$208:$K$236,7,0),"ENDirect")</f>
        <v>ENDirect</v>
      </c>
      <c r="AL871" s="7" t="str">
        <f>IFERROR(HLOOKUP(AJ871,'Calc|Weightings'!$U$5:$W$5,1,0),"Excl")</f>
        <v>Contracts</v>
      </c>
      <c r="AM871" s="7" t="str">
        <f>VLOOKUP(AC871,Mapping!$E$11:$I$204,5,0)</f>
        <v>SCS</v>
      </c>
      <c r="AO871" s="35" t="s">
        <v>227</v>
      </c>
      <c r="AP871" s="35"/>
      <c r="AQ871" s="35">
        <v>83010</v>
      </c>
      <c r="AR871" s="35" t="s">
        <v>591</v>
      </c>
      <c r="AS871" s="121">
        <v>1191.6903899999977</v>
      </c>
      <c r="AU871" s="7" t="str">
        <f>VLOOKUP($AO871,Mapping!$E$11:$I$204,3,0)</f>
        <v>Replacement</v>
      </c>
      <c r="AV871" s="7" t="str">
        <f>IFERROR(VLOOKUP($AQ871,Mapping!$E$208:$K$236,5,0),"Contracts")</f>
        <v>Contracts</v>
      </c>
      <c r="AW871" s="7" t="str">
        <f>IFERROR(VLOOKUP($AQ871,Mapping!$E$208:$K$236,7,0),"ENDirect")</f>
        <v>ENDirect</v>
      </c>
      <c r="AX871" s="7" t="str">
        <f>IFERROR(HLOOKUP(AV871,'Calc|Weightings'!$U$5:$W$5,1,0),"Excl")</f>
        <v>Contracts</v>
      </c>
      <c r="AY871" s="7" t="str">
        <f>VLOOKUP(AO871,Mapping!$E$11:$I$204,5,0)</f>
        <v>SCS</v>
      </c>
    </row>
    <row r="872" spans="1:51" x14ac:dyDescent="0.3">
      <c r="A872" s="7"/>
      <c r="B872" s="7"/>
      <c r="C872" s="7"/>
      <c r="D872" s="7"/>
      <c r="E872" s="32" t="s">
        <v>231</v>
      </c>
      <c r="F872" s="32"/>
      <c r="G872" s="32">
        <v>71000</v>
      </c>
      <c r="H872" s="32" t="s">
        <v>457</v>
      </c>
      <c r="I872" s="33">
        <v>351.47699999999998</v>
      </c>
      <c r="J872" s="170"/>
      <c r="K872" s="7" t="str">
        <f>VLOOKUP($E872,Mapping!$E$11:$I$204,3,0)</f>
        <v>Replacement</v>
      </c>
      <c r="L872" s="7" t="str">
        <f>IFERROR(VLOOKUP($G872,Mapping!$E$208:$K$236,5,0),"Contracts")</f>
        <v>Labour</v>
      </c>
      <c r="M872" s="7" t="str">
        <f>IFERROR(VLOOKUP($G872,Mapping!$E$208:$K$236,7,0),"ENDirect")</f>
        <v>ENDirect</v>
      </c>
      <c r="N872" s="7" t="str">
        <f>IFERROR(HLOOKUP(L872,'Calc|Weightings'!$U$5:$W$5,1,0),"Excl")</f>
        <v>Labour</v>
      </c>
      <c r="O872" s="7" t="str">
        <f>VLOOKUP(E872,Mapping!$E$11:$I$204,5,0)</f>
        <v>SCS</v>
      </c>
      <c r="Q872" s="32" t="s">
        <v>256</v>
      </c>
      <c r="R872" s="32"/>
      <c r="S872" s="32">
        <v>80000</v>
      </c>
      <c r="T872" s="32" t="s">
        <v>453</v>
      </c>
      <c r="U872" s="33">
        <v>7.032</v>
      </c>
      <c r="V872" s="7"/>
      <c r="W872" s="7" t="str">
        <f>VLOOKUP($Q872,Mapping!$E$11:$I$204,3,0)</f>
        <v>ACS</v>
      </c>
      <c r="X872" s="7" t="str">
        <f>IFERROR(VLOOKUP($S872,Mapping!$E$208:$K$236,5,0),"Contracts")</f>
        <v>Overhead</v>
      </c>
      <c r="Y872" s="7" t="str">
        <f>IFERROR(VLOOKUP($S872,Mapping!$E$208:$K$236,7,0),"ENDirect")</f>
        <v>OH</v>
      </c>
      <c r="Z872" s="7" t="str">
        <f>IFERROR(HLOOKUP(X872,'Calc|Weightings'!$U$5:$W$5,1,0),"Excl")</f>
        <v>Excl</v>
      </c>
      <c r="AA872" s="7" t="str">
        <f>VLOOKUP(Q872,Mapping!$E$11:$I$204,5,0)</f>
        <v>ACS</v>
      </c>
      <c r="AC872" s="35" t="s">
        <v>242</v>
      </c>
      <c r="AD872" s="35"/>
      <c r="AE872" s="35">
        <v>80000</v>
      </c>
      <c r="AF872" s="35" t="s">
        <v>453</v>
      </c>
      <c r="AG872" s="36">
        <v>3.129</v>
      </c>
      <c r="AI872" s="7" t="str">
        <f>VLOOKUP($AC872,Mapping!$E$11:$I$204,3,0)</f>
        <v>Replacement</v>
      </c>
      <c r="AJ872" s="7" t="str">
        <f>IFERROR(VLOOKUP($AE872,Mapping!$E$208:$K$236,5,0),"Contracts")</f>
        <v>Overhead</v>
      </c>
      <c r="AK872" s="7" t="str">
        <f>IFERROR(VLOOKUP($AE872,Mapping!$E$208:$K$236,7,0),"ENDirect")</f>
        <v>OH</v>
      </c>
      <c r="AL872" s="7" t="str">
        <f>IFERROR(HLOOKUP(AJ872,'Calc|Weightings'!$U$5:$W$5,1,0),"Excl")</f>
        <v>Excl</v>
      </c>
      <c r="AM872" s="7" t="str">
        <f>VLOOKUP(AC872,Mapping!$E$11:$I$204,5,0)</f>
        <v>SCS</v>
      </c>
      <c r="AO872" s="35" t="s">
        <v>228</v>
      </c>
      <c r="AP872" s="35"/>
      <c r="AQ872" s="35">
        <v>71000</v>
      </c>
      <c r="AR872" s="35" t="s">
        <v>457</v>
      </c>
      <c r="AS872" s="121">
        <v>15.80617</v>
      </c>
      <c r="AU872" s="7" t="str">
        <f>VLOOKUP($AO872,Mapping!$E$11:$I$204,3,0)</f>
        <v>Replacement</v>
      </c>
      <c r="AV872" s="7" t="str">
        <f>IFERROR(VLOOKUP($AQ872,Mapping!$E$208:$K$236,5,0),"Contracts")</f>
        <v>Labour</v>
      </c>
      <c r="AW872" s="7" t="str">
        <f>IFERROR(VLOOKUP($AQ872,Mapping!$E$208:$K$236,7,0),"ENDirect")</f>
        <v>ENDirect</v>
      </c>
      <c r="AX872" s="7" t="str">
        <f>IFERROR(HLOOKUP(AV872,'Calc|Weightings'!$U$5:$W$5,1,0),"Excl")</f>
        <v>Labour</v>
      </c>
      <c r="AY872" s="7" t="str">
        <f>VLOOKUP(AO872,Mapping!$E$11:$I$204,5,0)</f>
        <v>SCS</v>
      </c>
    </row>
    <row r="873" spans="1:51" x14ac:dyDescent="0.3">
      <c r="A873" s="7"/>
      <c r="B873" s="7"/>
      <c r="C873" s="7"/>
      <c r="D873" s="7"/>
      <c r="E873" s="32" t="s">
        <v>231</v>
      </c>
      <c r="F873" s="32"/>
      <c r="G873" s="32">
        <v>71005</v>
      </c>
      <c r="H873" s="32" t="s">
        <v>461</v>
      </c>
      <c r="I873" s="33">
        <v>89.203999999999994</v>
      </c>
      <c r="J873" s="170"/>
      <c r="K873" s="7" t="str">
        <f>VLOOKUP($E873,Mapping!$E$11:$I$204,3,0)</f>
        <v>Replacement</v>
      </c>
      <c r="L873" s="7" t="str">
        <f>IFERROR(VLOOKUP($G873,Mapping!$E$208:$K$236,5,0),"Contracts")</f>
        <v>Materials</v>
      </c>
      <c r="M873" s="7" t="str">
        <f>IFERROR(VLOOKUP($G873,Mapping!$E$208:$K$236,7,0),"ENDirect")</f>
        <v>ENDirect</v>
      </c>
      <c r="N873" s="7" t="str">
        <f>IFERROR(HLOOKUP(L873,'Calc|Weightings'!$U$5:$W$5,1,0),"Excl")</f>
        <v>Materials</v>
      </c>
      <c r="O873" s="7" t="str">
        <f>VLOOKUP(E873,Mapping!$E$11:$I$204,5,0)</f>
        <v>SCS</v>
      </c>
      <c r="Q873" s="32" t="s">
        <v>97</v>
      </c>
      <c r="R873" s="32"/>
      <c r="S873" s="32">
        <v>89999</v>
      </c>
      <c r="T873" s="32" t="s">
        <v>471</v>
      </c>
      <c r="U873" s="33">
        <v>0</v>
      </c>
      <c r="V873" s="7"/>
      <c r="W873" s="7" t="str">
        <f>VLOOKUP($Q873,Mapping!$E$11:$I$204,3,0)</f>
        <v>Connections</v>
      </c>
      <c r="X873" s="7" t="str">
        <f>IFERROR(VLOOKUP($S873,Mapping!$E$208:$K$236,5,0),"Contracts")</f>
        <v>Contracts</v>
      </c>
      <c r="Y873" s="7" t="str">
        <f>IFERROR(VLOOKUP($S873,Mapping!$E$208:$K$236,7,0),"ENDirect")</f>
        <v>ENDirect</v>
      </c>
      <c r="Z873" s="7" t="str">
        <f>IFERROR(HLOOKUP(X873,'Calc|Weightings'!$U$5:$W$5,1,0),"Excl")</f>
        <v>Contracts</v>
      </c>
      <c r="AA873" s="7" t="str">
        <f>VLOOKUP(Q873,Mapping!$E$11:$I$204,5,0)</f>
        <v>SCS</v>
      </c>
      <c r="AC873" s="35" t="s">
        <v>242</v>
      </c>
      <c r="AD873" s="35"/>
      <c r="AE873" s="35">
        <v>89999</v>
      </c>
      <c r="AF873" s="35" t="s">
        <v>471</v>
      </c>
      <c r="AG873" s="36">
        <v>0</v>
      </c>
      <c r="AI873" s="7" t="str">
        <f>VLOOKUP($AC873,Mapping!$E$11:$I$204,3,0)</f>
        <v>Replacement</v>
      </c>
      <c r="AJ873" s="7" t="str">
        <f>IFERROR(VLOOKUP($AE873,Mapping!$E$208:$K$236,5,0),"Contracts")</f>
        <v>Contracts</v>
      </c>
      <c r="AK873" s="7" t="str">
        <f>IFERROR(VLOOKUP($AE873,Mapping!$E$208:$K$236,7,0),"ENDirect")</f>
        <v>ENDirect</v>
      </c>
      <c r="AL873" s="7" t="str">
        <f>IFERROR(HLOOKUP(AJ873,'Calc|Weightings'!$U$5:$W$5,1,0),"Excl")</f>
        <v>Contracts</v>
      </c>
      <c r="AM873" s="7" t="str">
        <f>VLOOKUP(AC873,Mapping!$E$11:$I$204,5,0)</f>
        <v>SCS</v>
      </c>
      <c r="AO873" s="35" t="s">
        <v>228</v>
      </c>
      <c r="AP873" s="35"/>
      <c r="AQ873" s="35">
        <v>71005</v>
      </c>
      <c r="AR873" s="35" t="s">
        <v>461</v>
      </c>
      <c r="AS873" s="121">
        <v>18.619480000000003</v>
      </c>
      <c r="AU873" s="7" t="str">
        <f>VLOOKUP($AO873,Mapping!$E$11:$I$204,3,0)</f>
        <v>Replacement</v>
      </c>
      <c r="AV873" s="7" t="str">
        <f>IFERROR(VLOOKUP($AQ873,Mapping!$E$208:$K$236,5,0),"Contracts")</f>
        <v>Materials</v>
      </c>
      <c r="AW873" s="7" t="str">
        <f>IFERROR(VLOOKUP($AQ873,Mapping!$E$208:$K$236,7,0),"ENDirect")</f>
        <v>ENDirect</v>
      </c>
      <c r="AX873" s="7" t="str">
        <f>IFERROR(HLOOKUP(AV873,'Calc|Weightings'!$U$5:$W$5,1,0),"Excl")</f>
        <v>Materials</v>
      </c>
      <c r="AY873" s="7" t="str">
        <f>VLOOKUP(AO873,Mapping!$E$11:$I$204,5,0)</f>
        <v>SCS</v>
      </c>
    </row>
    <row r="874" spans="1:51" x14ac:dyDescent="0.3">
      <c r="A874" s="7"/>
      <c r="B874" s="7"/>
      <c r="C874" s="7"/>
      <c r="D874" s="7"/>
      <c r="E874" s="32" t="s">
        <v>231</v>
      </c>
      <c r="F874" s="32"/>
      <c r="G874" s="32">
        <v>71010</v>
      </c>
      <c r="H874" s="32" t="s">
        <v>462</v>
      </c>
      <c r="I874" s="33">
        <v>151.97200000000001</v>
      </c>
      <c r="J874" s="170"/>
      <c r="K874" s="7" t="str">
        <f>VLOOKUP($E874,Mapping!$E$11:$I$204,3,0)</f>
        <v>Replacement</v>
      </c>
      <c r="L874" s="7" t="str">
        <f>IFERROR(VLOOKUP($G874,Mapping!$E$208:$K$236,5,0),"Contracts")</f>
        <v>Labour</v>
      </c>
      <c r="M874" s="7" t="str">
        <f>IFERROR(VLOOKUP($G874,Mapping!$E$208:$K$236,7,0),"ENDirect")</f>
        <v>ENDirect</v>
      </c>
      <c r="N874" s="7" t="str">
        <f>IFERROR(HLOOKUP(L874,'Calc|Weightings'!$U$5:$W$5,1,0),"Excl")</f>
        <v>Labour</v>
      </c>
      <c r="O874" s="7" t="str">
        <f>VLOOKUP(E874,Mapping!$E$11:$I$204,5,0)</f>
        <v>SCS</v>
      </c>
      <c r="Q874" s="32" t="s">
        <v>97</v>
      </c>
      <c r="R874" s="32"/>
      <c r="S874" s="32">
        <v>71040</v>
      </c>
      <c r="T874" s="32" t="s">
        <v>460</v>
      </c>
      <c r="U874" s="33">
        <v>-34.317999999999998</v>
      </c>
      <c r="V874" s="7"/>
      <c r="W874" s="7" t="str">
        <f>VLOOKUP($Q874,Mapping!$E$11:$I$204,3,0)</f>
        <v>Connections</v>
      </c>
      <c r="X874" s="7" t="str">
        <f>IFERROR(VLOOKUP($S874,Mapping!$E$208:$K$236,5,0),"Contracts")</f>
        <v>Contracts</v>
      </c>
      <c r="Y874" s="7" t="str">
        <f>IFERROR(VLOOKUP($S874,Mapping!$E$208:$K$236,7,0),"ENDirect")</f>
        <v>ENDirect</v>
      </c>
      <c r="Z874" s="7" t="str">
        <f>IFERROR(HLOOKUP(X874,'Calc|Weightings'!$U$5:$W$5,1,0),"Excl")</f>
        <v>Contracts</v>
      </c>
      <c r="AA874" s="7" t="str">
        <f>VLOOKUP(Q874,Mapping!$E$11:$I$204,5,0)</f>
        <v>SCS</v>
      </c>
      <c r="AC874" s="35" t="s">
        <v>183</v>
      </c>
      <c r="AD874" s="35"/>
      <c r="AE874" s="35">
        <v>71015</v>
      </c>
      <c r="AF874" s="35" t="s">
        <v>463</v>
      </c>
      <c r="AG874" s="36">
        <v>4.2809999999999997</v>
      </c>
      <c r="AI874" s="7" t="str">
        <f>VLOOKUP($AC874,Mapping!$E$11:$I$204,3,0)</f>
        <v>Public Lighting</v>
      </c>
      <c r="AJ874" s="7" t="str">
        <f>IFERROR(VLOOKUP($AE874,Mapping!$E$208:$K$236,5,0),"Contracts")</f>
        <v>Materials</v>
      </c>
      <c r="AK874" s="7" t="str">
        <f>IFERROR(VLOOKUP($AE874,Mapping!$E$208:$K$236,7,0),"ENDirect")</f>
        <v>ENDirect</v>
      </c>
      <c r="AL874" s="7" t="str">
        <f>IFERROR(HLOOKUP(AJ874,'Calc|Weightings'!$U$5:$W$5,1,0),"Excl")</f>
        <v>Materials</v>
      </c>
      <c r="AM874" s="7" t="str">
        <f>VLOOKUP(AC874,Mapping!$E$11:$I$204,5,0)</f>
        <v>Public Lighting</v>
      </c>
      <c r="AO874" s="35" t="s">
        <v>228</v>
      </c>
      <c r="AP874" s="35"/>
      <c r="AQ874" s="35">
        <v>71010</v>
      </c>
      <c r="AR874" s="35" t="s">
        <v>487</v>
      </c>
      <c r="AS874" s="121">
        <v>29.899229999999996</v>
      </c>
      <c r="AU874" s="7" t="str">
        <f>VLOOKUP($AO874,Mapping!$E$11:$I$204,3,0)</f>
        <v>Replacement</v>
      </c>
      <c r="AV874" s="7" t="str">
        <f>IFERROR(VLOOKUP($AQ874,Mapping!$E$208:$K$236,5,0),"Contracts")</f>
        <v>Labour</v>
      </c>
      <c r="AW874" s="7" t="str">
        <f>IFERROR(VLOOKUP($AQ874,Mapping!$E$208:$K$236,7,0),"ENDirect")</f>
        <v>ENDirect</v>
      </c>
      <c r="AX874" s="7" t="str">
        <f>IFERROR(HLOOKUP(AV874,'Calc|Weightings'!$U$5:$W$5,1,0),"Excl")</f>
        <v>Labour</v>
      </c>
      <c r="AY874" s="7" t="str">
        <f>VLOOKUP(AO874,Mapping!$E$11:$I$204,5,0)</f>
        <v>SCS</v>
      </c>
    </row>
    <row r="875" spans="1:51" x14ac:dyDescent="0.3">
      <c r="A875" s="7"/>
      <c r="B875" s="7"/>
      <c r="C875" s="7"/>
      <c r="D875" s="7"/>
      <c r="E875" s="32" t="s">
        <v>231</v>
      </c>
      <c r="F875" s="32"/>
      <c r="G875" s="32">
        <v>71015</v>
      </c>
      <c r="H875" s="32" t="s">
        <v>463</v>
      </c>
      <c r="I875" s="33">
        <v>91.625</v>
      </c>
      <c r="J875" s="170"/>
      <c r="K875" s="7" t="str">
        <f>VLOOKUP($E875,Mapping!$E$11:$I$204,3,0)</f>
        <v>Replacement</v>
      </c>
      <c r="L875" s="7" t="str">
        <f>IFERROR(VLOOKUP($G875,Mapping!$E$208:$K$236,5,0),"Contracts")</f>
        <v>Materials</v>
      </c>
      <c r="M875" s="7" t="str">
        <f>IFERROR(VLOOKUP($G875,Mapping!$E$208:$K$236,7,0),"ENDirect")</f>
        <v>ENDirect</v>
      </c>
      <c r="N875" s="7" t="str">
        <f>IFERROR(HLOOKUP(L875,'Calc|Weightings'!$U$5:$W$5,1,0),"Excl")</f>
        <v>Materials</v>
      </c>
      <c r="O875" s="7" t="str">
        <f>VLOOKUP(E875,Mapping!$E$11:$I$204,5,0)</f>
        <v>SCS</v>
      </c>
      <c r="Q875" s="32" t="s">
        <v>106</v>
      </c>
      <c r="R875" s="32"/>
      <c r="S875" s="32">
        <v>71010</v>
      </c>
      <c r="T875" s="32" t="s">
        <v>462</v>
      </c>
      <c r="U875" s="33">
        <v>15.358000000000001</v>
      </c>
      <c r="V875" s="7"/>
      <c r="W875" s="7" t="str">
        <f>VLOOKUP($Q875,Mapping!$E$11:$I$204,3,0)</f>
        <v>ACS</v>
      </c>
      <c r="X875" s="7" t="str">
        <f>IFERROR(VLOOKUP($S875,Mapping!$E$208:$K$236,5,0),"Contracts")</f>
        <v>Labour</v>
      </c>
      <c r="Y875" s="7" t="str">
        <f>IFERROR(VLOOKUP($S875,Mapping!$E$208:$K$236,7,0),"ENDirect")</f>
        <v>ENDirect</v>
      </c>
      <c r="Z875" s="7" t="str">
        <f>IFERROR(HLOOKUP(X875,'Calc|Weightings'!$U$5:$W$5,1,0),"Excl")</f>
        <v>Labour</v>
      </c>
      <c r="AA875" s="7" t="str">
        <f>VLOOKUP(Q875,Mapping!$E$11:$I$204,5,0)</f>
        <v>ACS</v>
      </c>
      <c r="AC875" s="35" t="s">
        <v>186</v>
      </c>
      <c r="AD875" s="35"/>
      <c r="AE875" s="35">
        <v>89999</v>
      </c>
      <c r="AF875" s="35" t="s">
        <v>471</v>
      </c>
      <c r="AG875" s="36">
        <v>0</v>
      </c>
      <c r="AI875" s="7" t="str">
        <f>VLOOKUP($AC875,Mapping!$E$11:$I$204,3,0)</f>
        <v>Replacement</v>
      </c>
      <c r="AJ875" s="7" t="str">
        <f>IFERROR(VLOOKUP($AE875,Mapping!$E$208:$K$236,5,0),"Contracts")</f>
        <v>Contracts</v>
      </c>
      <c r="AK875" s="7" t="str">
        <f>IFERROR(VLOOKUP($AE875,Mapping!$E$208:$K$236,7,0),"ENDirect")</f>
        <v>ENDirect</v>
      </c>
      <c r="AL875" s="7" t="str">
        <f>IFERROR(HLOOKUP(AJ875,'Calc|Weightings'!$U$5:$W$5,1,0),"Excl")</f>
        <v>Contracts</v>
      </c>
      <c r="AM875" s="7" t="str">
        <f>VLOOKUP(AC875,Mapping!$E$11:$I$204,5,0)</f>
        <v>SCS</v>
      </c>
      <c r="AO875" s="35" t="s">
        <v>228</v>
      </c>
      <c r="AP875" s="35"/>
      <c r="AQ875" s="35">
        <v>71015</v>
      </c>
      <c r="AR875" s="35" t="s">
        <v>585</v>
      </c>
      <c r="AS875" s="121">
        <v>1.6517299999999999</v>
      </c>
      <c r="AU875" s="7" t="str">
        <f>VLOOKUP($AO875,Mapping!$E$11:$I$204,3,0)</f>
        <v>Replacement</v>
      </c>
      <c r="AV875" s="7" t="str">
        <f>IFERROR(VLOOKUP($AQ875,Mapping!$E$208:$K$236,5,0),"Contracts")</f>
        <v>Materials</v>
      </c>
      <c r="AW875" s="7" t="str">
        <f>IFERROR(VLOOKUP($AQ875,Mapping!$E$208:$K$236,7,0),"ENDirect")</f>
        <v>ENDirect</v>
      </c>
      <c r="AX875" s="7" t="str">
        <f>IFERROR(HLOOKUP(AV875,'Calc|Weightings'!$U$5:$W$5,1,0),"Excl")</f>
        <v>Materials</v>
      </c>
      <c r="AY875" s="7" t="str">
        <f>VLOOKUP(AO875,Mapping!$E$11:$I$204,5,0)</f>
        <v>SCS</v>
      </c>
    </row>
    <row r="876" spans="1:51" x14ac:dyDescent="0.3">
      <c r="A876" s="7"/>
      <c r="B876" s="7"/>
      <c r="C876" s="7"/>
      <c r="D876" s="7"/>
      <c r="E876" s="32" t="s">
        <v>231</v>
      </c>
      <c r="F876" s="32"/>
      <c r="G876" s="32">
        <v>71030</v>
      </c>
      <c r="H876" s="32" t="s">
        <v>464</v>
      </c>
      <c r="I876" s="33">
        <v>56.237000000000002</v>
      </c>
      <c r="J876" s="170"/>
      <c r="K876" s="7" t="str">
        <f>VLOOKUP($E876,Mapping!$E$11:$I$204,3,0)</f>
        <v>Replacement</v>
      </c>
      <c r="L876" s="7" t="str">
        <f>IFERROR(VLOOKUP($G876,Mapping!$E$208:$K$236,5,0),"Contracts")</f>
        <v>Contracts</v>
      </c>
      <c r="M876" s="7" t="str">
        <f>IFERROR(VLOOKUP($G876,Mapping!$E$208:$K$236,7,0),"ENDirect")</f>
        <v>ENDirect</v>
      </c>
      <c r="N876" s="7" t="str">
        <f>IFERROR(HLOOKUP(L876,'Calc|Weightings'!$U$5:$W$5,1,0),"Excl")</f>
        <v>Contracts</v>
      </c>
      <c r="O876" s="7" t="str">
        <f>VLOOKUP(E876,Mapping!$E$11:$I$204,5,0)</f>
        <v>SCS</v>
      </c>
      <c r="Q876" s="32" t="s">
        <v>107</v>
      </c>
      <c r="R876" s="32"/>
      <c r="S876" s="32">
        <v>71015</v>
      </c>
      <c r="T876" s="32" t="s">
        <v>463</v>
      </c>
      <c r="U876" s="33">
        <v>3.508</v>
      </c>
      <c r="V876" s="7"/>
      <c r="W876" s="7" t="str">
        <f>VLOOKUP($Q876,Mapping!$E$11:$I$204,3,0)</f>
        <v>Public Lighting</v>
      </c>
      <c r="X876" s="7" t="str">
        <f>IFERROR(VLOOKUP($S876,Mapping!$E$208:$K$236,5,0),"Contracts")</f>
        <v>Materials</v>
      </c>
      <c r="Y876" s="7" t="str">
        <f>IFERROR(VLOOKUP($S876,Mapping!$E$208:$K$236,7,0),"ENDirect")</f>
        <v>ENDirect</v>
      </c>
      <c r="Z876" s="7" t="str">
        <f>IFERROR(HLOOKUP(X876,'Calc|Weightings'!$U$5:$W$5,1,0),"Excl")</f>
        <v>Materials</v>
      </c>
      <c r="AA876" s="7" t="str">
        <f>VLOOKUP(Q876,Mapping!$E$11:$I$204,5,0)</f>
        <v>Public Lighting</v>
      </c>
      <c r="AC876" s="35" t="s">
        <v>107</v>
      </c>
      <c r="AD876" s="35"/>
      <c r="AE876" s="35">
        <v>71015</v>
      </c>
      <c r="AF876" s="35" t="s">
        <v>463</v>
      </c>
      <c r="AG876" s="36">
        <v>1.845</v>
      </c>
      <c r="AI876" s="7" t="str">
        <f>VLOOKUP($AC876,Mapping!$E$11:$I$204,3,0)</f>
        <v>Public Lighting</v>
      </c>
      <c r="AJ876" s="7" t="str">
        <f>IFERROR(VLOOKUP($AE876,Mapping!$E$208:$K$236,5,0),"Contracts")</f>
        <v>Materials</v>
      </c>
      <c r="AK876" s="7" t="str">
        <f>IFERROR(VLOOKUP($AE876,Mapping!$E$208:$K$236,7,0),"ENDirect")</f>
        <v>ENDirect</v>
      </c>
      <c r="AL876" s="7" t="str">
        <f>IFERROR(HLOOKUP(AJ876,'Calc|Weightings'!$U$5:$W$5,1,0),"Excl")</f>
        <v>Materials</v>
      </c>
      <c r="AM876" s="7" t="str">
        <f>VLOOKUP(AC876,Mapping!$E$11:$I$204,5,0)</f>
        <v>Public Lighting</v>
      </c>
      <c r="AO876" s="35" t="s">
        <v>228</v>
      </c>
      <c r="AP876" s="35"/>
      <c r="AQ876" s="35">
        <v>71030</v>
      </c>
      <c r="AR876" s="35" t="s">
        <v>464</v>
      </c>
      <c r="AS876" s="121">
        <v>5.1918200000000017</v>
      </c>
      <c r="AU876" s="7" t="str">
        <f>VLOOKUP($AO876,Mapping!$E$11:$I$204,3,0)</f>
        <v>Replacement</v>
      </c>
      <c r="AV876" s="7" t="str">
        <f>IFERROR(VLOOKUP($AQ876,Mapping!$E$208:$K$236,5,0),"Contracts")</f>
        <v>Contracts</v>
      </c>
      <c r="AW876" s="7" t="str">
        <f>IFERROR(VLOOKUP($AQ876,Mapping!$E$208:$K$236,7,0),"ENDirect")</f>
        <v>ENDirect</v>
      </c>
      <c r="AX876" s="7" t="str">
        <f>IFERROR(HLOOKUP(AV876,'Calc|Weightings'!$U$5:$W$5,1,0),"Excl")</f>
        <v>Contracts</v>
      </c>
      <c r="AY876" s="7" t="str">
        <f>VLOOKUP(AO876,Mapping!$E$11:$I$204,5,0)</f>
        <v>SCS</v>
      </c>
    </row>
    <row r="877" spans="1:51" x14ac:dyDescent="0.3">
      <c r="A877" s="7"/>
      <c r="B877" s="7"/>
      <c r="C877" s="7"/>
      <c r="D877" s="7"/>
      <c r="E877" s="32" t="s">
        <v>231</v>
      </c>
      <c r="F877" s="32"/>
      <c r="G877" s="32">
        <v>71040</v>
      </c>
      <c r="H877" s="32" t="s">
        <v>460</v>
      </c>
      <c r="I877" s="33">
        <v>-3.7360000000000002</v>
      </c>
      <c r="J877" s="170"/>
      <c r="K877" s="7" t="str">
        <f>VLOOKUP($E877,Mapping!$E$11:$I$204,3,0)</f>
        <v>Replacement</v>
      </c>
      <c r="L877" s="7" t="str">
        <f>IFERROR(VLOOKUP($G877,Mapping!$E$208:$K$236,5,0),"Contracts")</f>
        <v>Contracts</v>
      </c>
      <c r="M877" s="7" t="str">
        <f>IFERROR(VLOOKUP($G877,Mapping!$E$208:$K$236,7,0),"ENDirect")</f>
        <v>ENDirect</v>
      </c>
      <c r="N877" s="7" t="str">
        <f>IFERROR(HLOOKUP(L877,'Calc|Weightings'!$U$5:$W$5,1,0),"Excl")</f>
        <v>Contracts</v>
      </c>
      <c r="O877" s="7" t="str">
        <f>VLOOKUP(E877,Mapping!$E$11:$I$204,5,0)</f>
        <v>SCS</v>
      </c>
      <c r="Q877" s="32" t="s">
        <v>124</v>
      </c>
      <c r="R877" s="32"/>
      <c r="S877" s="32">
        <v>71000</v>
      </c>
      <c r="T877" s="32" t="s">
        <v>457</v>
      </c>
      <c r="U877" s="33">
        <v>22.571999999999999</v>
      </c>
      <c r="V877" s="7"/>
      <c r="W877" s="7" t="str">
        <f>VLOOKUP($Q877,Mapping!$E$11:$I$204,3,0)</f>
        <v>Augmentation</v>
      </c>
      <c r="X877" s="7" t="str">
        <f>IFERROR(VLOOKUP($S877,Mapping!$E$208:$K$236,5,0),"Contracts")</f>
        <v>Labour</v>
      </c>
      <c r="Y877" s="7" t="str">
        <f>IFERROR(VLOOKUP($S877,Mapping!$E$208:$K$236,7,0),"ENDirect")</f>
        <v>ENDirect</v>
      </c>
      <c r="Z877" s="7" t="str">
        <f>IFERROR(HLOOKUP(X877,'Calc|Weightings'!$U$5:$W$5,1,0),"Excl")</f>
        <v>Labour</v>
      </c>
      <c r="AA877" s="7" t="str">
        <f>VLOOKUP(Q877,Mapping!$E$11:$I$204,5,0)</f>
        <v>SCS</v>
      </c>
      <c r="AC877" s="35" t="s">
        <v>107</v>
      </c>
      <c r="AD877" s="35"/>
      <c r="AE877" s="35">
        <v>71020</v>
      </c>
      <c r="AF877" s="35" t="s">
        <v>459</v>
      </c>
      <c r="AG877" s="36">
        <v>0</v>
      </c>
      <c r="AI877" s="7" t="str">
        <f>VLOOKUP($AC877,Mapping!$E$11:$I$204,3,0)</f>
        <v>Public Lighting</v>
      </c>
      <c r="AJ877" s="7" t="str">
        <f>IFERROR(VLOOKUP($AE877,Mapping!$E$208:$K$236,5,0),"Contracts")</f>
        <v>Contracts</v>
      </c>
      <c r="AK877" s="7" t="str">
        <f>IFERROR(VLOOKUP($AE877,Mapping!$E$208:$K$236,7,0),"ENDirect")</f>
        <v>ENDirect</v>
      </c>
      <c r="AL877" s="7" t="str">
        <f>IFERROR(HLOOKUP(AJ877,'Calc|Weightings'!$U$5:$W$5,1,0),"Excl")</f>
        <v>Contracts</v>
      </c>
      <c r="AM877" s="7" t="str">
        <f>VLOOKUP(AC877,Mapping!$E$11:$I$204,5,0)</f>
        <v>Public Lighting</v>
      </c>
      <c r="AO877" s="35" t="s">
        <v>228</v>
      </c>
      <c r="AP877" s="35"/>
      <c r="AQ877" s="35">
        <v>71055</v>
      </c>
      <c r="AR877" s="35" t="s">
        <v>465</v>
      </c>
      <c r="AS877" s="121">
        <v>8.1922900000000016</v>
      </c>
      <c r="AU877" s="7" t="str">
        <f>VLOOKUP($AO877,Mapping!$E$11:$I$204,3,0)</f>
        <v>Replacement</v>
      </c>
      <c r="AV877" s="7" t="str">
        <f>IFERROR(VLOOKUP($AQ877,Mapping!$E$208:$K$236,5,0),"Contracts")</f>
        <v>Contracts</v>
      </c>
      <c r="AW877" s="7" t="str">
        <f>IFERROR(VLOOKUP($AQ877,Mapping!$E$208:$K$236,7,0),"ENDirect")</f>
        <v>ENDirect</v>
      </c>
      <c r="AX877" s="7" t="str">
        <f>IFERROR(HLOOKUP(AV877,'Calc|Weightings'!$U$5:$W$5,1,0),"Excl")</f>
        <v>Contracts</v>
      </c>
      <c r="AY877" s="7" t="str">
        <f>VLOOKUP(AO877,Mapping!$E$11:$I$204,5,0)</f>
        <v>SCS</v>
      </c>
    </row>
    <row r="878" spans="1:51" x14ac:dyDescent="0.3">
      <c r="A878" s="7"/>
      <c r="B878" s="7"/>
      <c r="C878" s="7"/>
      <c r="D878" s="7"/>
      <c r="E878" s="32" t="s">
        <v>231</v>
      </c>
      <c r="F878" s="32"/>
      <c r="G878" s="32">
        <v>71055</v>
      </c>
      <c r="H878" s="32" t="s">
        <v>465</v>
      </c>
      <c r="I878" s="33">
        <v>121.248</v>
      </c>
      <c r="J878" s="170"/>
      <c r="K878" s="7" t="str">
        <f>VLOOKUP($E878,Mapping!$E$11:$I$204,3,0)</f>
        <v>Replacement</v>
      </c>
      <c r="L878" s="7" t="str">
        <f>IFERROR(VLOOKUP($G878,Mapping!$E$208:$K$236,5,0),"Contracts")</f>
        <v>Contracts</v>
      </c>
      <c r="M878" s="7" t="str">
        <f>IFERROR(VLOOKUP($G878,Mapping!$E$208:$K$236,7,0),"ENDirect")</f>
        <v>ENDirect</v>
      </c>
      <c r="N878" s="7" t="str">
        <f>IFERROR(HLOOKUP(L878,'Calc|Weightings'!$U$5:$W$5,1,0),"Excl")</f>
        <v>Contracts</v>
      </c>
      <c r="O878" s="7" t="str">
        <f>VLOOKUP(E878,Mapping!$E$11:$I$204,5,0)</f>
        <v>SCS</v>
      </c>
      <c r="Q878" s="32" t="s">
        <v>124</v>
      </c>
      <c r="R878" s="32"/>
      <c r="S878" s="32">
        <v>71005</v>
      </c>
      <c r="T878" s="32" t="s">
        <v>461</v>
      </c>
      <c r="U878" s="33">
        <v>5.0810000000000004</v>
      </c>
      <c r="V878" s="7"/>
      <c r="W878" s="7" t="str">
        <f>VLOOKUP($Q878,Mapping!$E$11:$I$204,3,0)</f>
        <v>Augmentation</v>
      </c>
      <c r="X878" s="7" t="str">
        <f>IFERROR(VLOOKUP($S878,Mapping!$E$208:$K$236,5,0),"Contracts")</f>
        <v>Materials</v>
      </c>
      <c r="Y878" s="7" t="str">
        <f>IFERROR(VLOOKUP($S878,Mapping!$E$208:$K$236,7,0),"ENDirect")</f>
        <v>ENDirect</v>
      </c>
      <c r="Z878" s="7" t="str">
        <f>IFERROR(HLOOKUP(X878,'Calc|Weightings'!$U$5:$W$5,1,0),"Excl")</f>
        <v>Materials</v>
      </c>
      <c r="AA878" s="7" t="str">
        <f>VLOOKUP(Q878,Mapping!$E$11:$I$204,5,0)</f>
        <v>SCS</v>
      </c>
      <c r="AC878" s="35" t="s">
        <v>108</v>
      </c>
      <c r="AD878" s="35"/>
      <c r="AE878" s="35">
        <v>71015</v>
      </c>
      <c r="AF878" s="35" t="s">
        <v>463</v>
      </c>
      <c r="AG878" s="36">
        <v>2.5590000000000002</v>
      </c>
      <c r="AI878" s="7" t="str">
        <f>VLOOKUP($AC878,Mapping!$E$11:$I$204,3,0)</f>
        <v>Public Lighting</v>
      </c>
      <c r="AJ878" s="7" t="str">
        <f>IFERROR(VLOOKUP($AE878,Mapping!$E$208:$K$236,5,0),"Contracts")</f>
        <v>Materials</v>
      </c>
      <c r="AK878" s="7" t="str">
        <f>IFERROR(VLOOKUP($AE878,Mapping!$E$208:$K$236,7,0),"ENDirect")</f>
        <v>ENDirect</v>
      </c>
      <c r="AL878" s="7" t="str">
        <f>IFERROR(HLOOKUP(AJ878,'Calc|Weightings'!$U$5:$W$5,1,0),"Excl")</f>
        <v>Materials</v>
      </c>
      <c r="AM878" s="7" t="str">
        <f>VLOOKUP(AC878,Mapping!$E$11:$I$204,5,0)</f>
        <v>Public Lighting</v>
      </c>
      <c r="AO878" s="35" t="s">
        <v>228</v>
      </c>
      <c r="AP878" s="35"/>
      <c r="AQ878" s="35">
        <v>71070</v>
      </c>
      <c r="AR878" s="35" t="s">
        <v>586</v>
      </c>
      <c r="AS878" s="121">
        <v>3.5181399999999994</v>
      </c>
      <c r="AU878" s="7" t="str">
        <f>VLOOKUP($AO878,Mapping!$E$11:$I$204,3,0)</f>
        <v>Replacement</v>
      </c>
      <c r="AV878" s="7" t="str">
        <f>IFERROR(VLOOKUP($AQ878,Mapping!$E$208:$K$236,5,0),"Contracts")</f>
        <v>Contracts</v>
      </c>
      <c r="AW878" s="7" t="str">
        <f>IFERROR(VLOOKUP($AQ878,Mapping!$E$208:$K$236,7,0),"ENDirect")</f>
        <v>ENDirect</v>
      </c>
      <c r="AX878" s="7" t="str">
        <f>IFERROR(HLOOKUP(AV878,'Calc|Weightings'!$U$5:$W$5,1,0),"Excl")</f>
        <v>Contracts</v>
      </c>
      <c r="AY878" s="7" t="str">
        <f>VLOOKUP(AO878,Mapping!$E$11:$I$204,5,0)</f>
        <v>SCS</v>
      </c>
    </row>
    <row r="879" spans="1:51" x14ac:dyDescent="0.3">
      <c r="A879" s="7"/>
      <c r="B879" s="7"/>
      <c r="C879" s="7"/>
      <c r="D879" s="7"/>
      <c r="E879" s="32" t="s">
        <v>231</v>
      </c>
      <c r="F879" s="32"/>
      <c r="G879" s="32">
        <v>80000</v>
      </c>
      <c r="H879" s="32" t="s">
        <v>453</v>
      </c>
      <c r="I879" s="33">
        <v>80.83</v>
      </c>
      <c r="J879" s="170"/>
      <c r="K879" s="7" t="str">
        <f>VLOOKUP($E879,Mapping!$E$11:$I$204,3,0)</f>
        <v>Replacement</v>
      </c>
      <c r="L879" s="7" t="str">
        <f>IFERROR(VLOOKUP($G879,Mapping!$E$208:$K$236,5,0),"Contracts")</f>
        <v>Overhead</v>
      </c>
      <c r="M879" s="7" t="str">
        <f>IFERROR(VLOOKUP($G879,Mapping!$E$208:$K$236,7,0),"ENDirect")</f>
        <v>OH</v>
      </c>
      <c r="N879" s="7" t="str">
        <f>IFERROR(HLOOKUP(L879,'Calc|Weightings'!$U$5:$W$5,1,0),"Excl")</f>
        <v>Excl</v>
      </c>
      <c r="O879" s="7" t="str">
        <f>VLOOKUP(E879,Mapping!$E$11:$I$204,5,0)</f>
        <v>SCS</v>
      </c>
      <c r="Q879" s="32" t="s">
        <v>124</v>
      </c>
      <c r="R879" s="32"/>
      <c r="S879" s="32">
        <v>71006</v>
      </c>
      <c r="T879" s="32" t="s">
        <v>468</v>
      </c>
      <c r="U879" s="33">
        <v>27.076000000000001</v>
      </c>
      <c r="V879" s="7"/>
      <c r="W879" s="7" t="str">
        <f>VLOOKUP($Q879,Mapping!$E$11:$I$204,3,0)</f>
        <v>Augmentation</v>
      </c>
      <c r="X879" s="7" t="str">
        <f>IFERROR(VLOOKUP($S879,Mapping!$E$208:$K$236,5,0),"Contracts")</f>
        <v>Materials</v>
      </c>
      <c r="Y879" s="7" t="str">
        <f>IFERROR(VLOOKUP($S879,Mapping!$E$208:$K$236,7,0),"ENDirect")</f>
        <v>ENDirect</v>
      </c>
      <c r="Z879" s="7" t="str">
        <f>IFERROR(HLOOKUP(X879,'Calc|Weightings'!$U$5:$W$5,1,0),"Excl")</f>
        <v>Materials</v>
      </c>
      <c r="AA879" s="7" t="str">
        <f>VLOOKUP(Q879,Mapping!$E$11:$I$204,5,0)</f>
        <v>SCS</v>
      </c>
      <c r="AC879" s="35" t="s">
        <v>108</v>
      </c>
      <c r="AD879" s="35"/>
      <c r="AE879" s="35">
        <v>71020</v>
      </c>
      <c r="AF879" s="35" t="s">
        <v>459</v>
      </c>
      <c r="AG879" s="36">
        <v>0</v>
      </c>
      <c r="AI879" s="7" t="str">
        <f>VLOOKUP($AC879,Mapping!$E$11:$I$204,3,0)</f>
        <v>Public Lighting</v>
      </c>
      <c r="AJ879" s="7" t="str">
        <f>IFERROR(VLOOKUP($AE879,Mapping!$E$208:$K$236,5,0),"Contracts")</f>
        <v>Contracts</v>
      </c>
      <c r="AK879" s="7" t="str">
        <f>IFERROR(VLOOKUP($AE879,Mapping!$E$208:$K$236,7,0),"ENDirect")</f>
        <v>ENDirect</v>
      </c>
      <c r="AL879" s="7" t="str">
        <f>IFERROR(HLOOKUP(AJ879,'Calc|Weightings'!$U$5:$W$5,1,0),"Excl")</f>
        <v>Contracts</v>
      </c>
      <c r="AM879" s="7" t="str">
        <f>VLOOKUP(AC879,Mapping!$E$11:$I$204,5,0)</f>
        <v>Public Lighting</v>
      </c>
      <c r="AO879" s="35" t="s">
        <v>228</v>
      </c>
      <c r="AP879" s="35"/>
      <c r="AQ879" s="35">
        <v>71075</v>
      </c>
      <c r="AR879" s="35" t="s">
        <v>587</v>
      </c>
      <c r="AS879" s="121">
        <v>46.70488999999997</v>
      </c>
      <c r="AU879" s="7" t="str">
        <f>VLOOKUP($AO879,Mapping!$E$11:$I$204,3,0)</f>
        <v>Replacement</v>
      </c>
      <c r="AV879" s="7" t="str">
        <f>IFERROR(VLOOKUP($AQ879,Mapping!$E$208:$K$236,5,0),"Contracts")</f>
        <v>Contracts</v>
      </c>
      <c r="AW879" s="7" t="str">
        <f>IFERROR(VLOOKUP($AQ879,Mapping!$E$208:$K$236,7,0),"ENDirect")</f>
        <v>ENDirect</v>
      </c>
      <c r="AX879" s="7" t="str">
        <f>IFERROR(HLOOKUP(AV879,'Calc|Weightings'!$U$5:$W$5,1,0),"Excl")</f>
        <v>Contracts</v>
      </c>
      <c r="AY879" s="7" t="str">
        <f>VLOOKUP(AO879,Mapping!$E$11:$I$204,5,0)</f>
        <v>SCS</v>
      </c>
    </row>
    <row r="880" spans="1:51" x14ac:dyDescent="0.3">
      <c r="A880" s="7"/>
      <c r="B880" s="7"/>
      <c r="C880" s="7"/>
      <c r="D880" s="7"/>
      <c r="E880" s="32" t="s">
        <v>237</v>
      </c>
      <c r="F880" s="32"/>
      <c r="G880" s="32">
        <v>71000</v>
      </c>
      <c r="H880" s="32" t="s">
        <v>457</v>
      </c>
      <c r="I880" s="33">
        <v>13.856999999999999</v>
      </c>
      <c r="J880" s="170"/>
      <c r="K880" s="7" t="str">
        <f>VLOOKUP($E880,Mapping!$E$11:$I$204,3,0)</f>
        <v>Replacement</v>
      </c>
      <c r="L880" s="7" t="str">
        <f>IFERROR(VLOOKUP($G880,Mapping!$E$208:$K$236,5,0),"Contracts")</f>
        <v>Labour</v>
      </c>
      <c r="M880" s="7" t="str">
        <f>IFERROR(VLOOKUP($G880,Mapping!$E$208:$K$236,7,0),"ENDirect")</f>
        <v>ENDirect</v>
      </c>
      <c r="N880" s="7" t="str">
        <f>IFERROR(HLOOKUP(L880,'Calc|Weightings'!$U$5:$W$5,1,0),"Excl")</f>
        <v>Labour</v>
      </c>
      <c r="O880" s="7" t="str">
        <f>VLOOKUP(E880,Mapping!$E$11:$I$204,5,0)</f>
        <v>SCS</v>
      </c>
      <c r="Q880" s="32" t="s">
        <v>124</v>
      </c>
      <c r="R880" s="32"/>
      <c r="S880" s="32">
        <v>71010</v>
      </c>
      <c r="T880" s="32" t="s">
        <v>462</v>
      </c>
      <c r="U880" s="33">
        <v>6.742</v>
      </c>
      <c r="V880" s="7"/>
      <c r="W880" s="7" t="str">
        <f>VLOOKUP($Q880,Mapping!$E$11:$I$204,3,0)</f>
        <v>Augmentation</v>
      </c>
      <c r="X880" s="7" t="str">
        <f>IFERROR(VLOOKUP($S880,Mapping!$E$208:$K$236,5,0),"Contracts")</f>
        <v>Labour</v>
      </c>
      <c r="Y880" s="7" t="str">
        <f>IFERROR(VLOOKUP($S880,Mapping!$E$208:$K$236,7,0),"ENDirect")</f>
        <v>ENDirect</v>
      </c>
      <c r="Z880" s="7" t="str">
        <f>IFERROR(HLOOKUP(X880,'Calc|Weightings'!$U$5:$W$5,1,0),"Excl")</f>
        <v>Labour</v>
      </c>
      <c r="AA880" s="7" t="str">
        <f>VLOOKUP(Q880,Mapping!$E$11:$I$204,5,0)</f>
        <v>SCS</v>
      </c>
      <c r="AC880" s="35" t="s">
        <v>123</v>
      </c>
      <c r="AD880" s="35"/>
      <c r="AE880" s="35">
        <v>71020</v>
      </c>
      <c r="AF880" s="35" t="s">
        <v>459</v>
      </c>
      <c r="AG880" s="36">
        <v>0</v>
      </c>
      <c r="AI880" s="7" t="str">
        <f>VLOOKUP($AC880,Mapping!$E$11:$I$204,3,0)</f>
        <v>Augmentation</v>
      </c>
      <c r="AJ880" s="7" t="str">
        <f>IFERROR(VLOOKUP($AE880,Mapping!$E$208:$K$236,5,0),"Contracts")</f>
        <v>Contracts</v>
      </c>
      <c r="AK880" s="7" t="str">
        <f>IFERROR(VLOOKUP($AE880,Mapping!$E$208:$K$236,7,0),"ENDirect")</f>
        <v>ENDirect</v>
      </c>
      <c r="AL880" s="7" t="str">
        <f>IFERROR(HLOOKUP(AJ880,'Calc|Weightings'!$U$5:$W$5,1,0),"Excl")</f>
        <v>Contracts</v>
      </c>
      <c r="AM880" s="7" t="str">
        <f>VLOOKUP(AC880,Mapping!$E$11:$I$204,5,0)</f>
        <v>SCS</v>
      </c>
      <c r="AO880" s="35" t="s">
        <v>228</v>
      </c>
      <c r="AP880" s="35"/>
      <c r="AQ880" s="35">
        <v>80000</v>
      </c>
      <c r="AR880" s="35" t="s">
        <v>589</v>
      </c>
      <c r="AS880" s="121">
        <v>75.686909999999997</v>
      </c>
      <c r="AU880" s="7" t="str">
        <f>VLOOKUP($AO880,Mapping!$E$11:$I$204,3,0)</f>
        <v>Replacement</v>
      </c>
      <c r="AV880" s="7" t="str">
        <f>IFERROR(VLOOKUP($AQ880,Mapping!$E$208:$K$236,5,0),"Contracts")</f>
        <v>Overhead</v>
      </c>
      <c r="AW880" s="7" t="str">
        <f>IFERROR(VLOOKUP($AQ880,Mapping!$E$208:$K$236,7,0),"ENDirect")</f>
        <v>OH</v>
      </c>
      <c r="AX880" s="7" t="str">
        <f>IFERROR(HLOOKUP(AV880,'Calc|Weightings'!$U$5:$W$5,1,0),"Excl")</f>
        <v>Excl</v>
      </c>
      <c r="AY880" s="7" t="str">
        <f>VLOOKUP(AO880,Mapping!$E$11:$I$204,5,0)</f>
        <v>SCS</v>
      </c>
    </row>
    <row r="881" spans="1:51" x14ac:dyDescent="0.3">
      <c r="A881" s="7"/>
      <c r="B881" s="7"/>
      <c r="C881" s="7"/>
      <c r="D881" s="7"/>
      <c r="E881" s="32" t="s">
        <v>237</v>
      </c>
      <c r="F881" s="32"/>
      <c r="G881" s="32">
        <v>71005</v>
      </c>
      <c r="H881" s="32" t="s">
        <v>461</v>
      </c>
      <c r="I881" s="33">
        <v>3.2010000000000001</v>
      </c>
      <c r="J881" s="170"/>
      <c r="K881" s="7" t="str">
        <f>VLOOKUP($E881,Mapping!$E$11:$I$204,3,0)</f>
        <v>Replacement</v>
      </c>
      <c r="L881" s="7" t="str">
        <f>IFERROR(VLOOKUP($G881,Mapping!$E$208:$K$236,5,0),"Contracts")</f>
        <v>Materials</v>
      </c>
      <c r="M881" s="7" t="str">
        <f>IFERROR(VLOOKUP($G881,Mapping!$E$208:$K$236,7,0),"ENDirect")</f>
        <v>ENDirect</v>
      </c>
      <c r="N881" s="7" t="str">
        <f>IFERROR(HLOOKUP(L881,'Calc|Weightings'!$U$5:$W$5,1,0),"Excl")</f>
        <v>Materials</v>
      </c>
      <c r="O881" s="7" t="str">
        <f>VLOOKUP(E881,Mapping!$E$11:$I$204,5,0)</f>
        <v>SCS</v>
      </c>
      <c r="Q881" s="32" t="s">
        <v>124</v>
      </c>
      <c r="R881" s="32"/>
      <c r="S881" s="32">
        <v>71015</v>
      </c>
      <c r="T881" s="32" t="s">
        <v>463</v>
      </c>
      <c r="U881" s="33">
        <v>4.625</v>
      </c>
      <c r="V881" s="7"/>
      <c r="W881" s="7" t="str">
        <f>VLOOKUP($Q881,Mapping!$E$11:$I$204,3,0)</f>
        <v>Augmentation</v>
      </c>
      <c r="X881" s="7" t="str">
        <f>IFERROR(VLOOKUP($S881,Mapping!$E$208:$K$236,5,0),"Contracts")</f>
        <v>Materials</v>
      </c>
      <c r="Y881" s="7" t="str">
        <f>IFERROR(VLOOKUP($S881,Mapping!$E$208:$K$236,7,0),"ENDirect")</f>
        <v>ENDirect</v>
      </c>
      <c r="Z881" s="7" t="str">
        <f>IFERROR(HLOOKUP(X881,'Calc|Weightings'!$U$5:$W$5,1,0),"Excl")</f>
        <v>Materials</v>
      </c>
      <c r="AA881" s="7" t="str">
        <f>VLOOKUP(Q881,Mapping!$E$11:$I$204,5,0)</f>
        <v>SCS</v>
      </c>
      <c r="AC881" s="35" t="s">
        <v>124</v>
      </c>
      <c r="AD881" s="35"/>
      <c r="AE881" s="35">
        <v>71000</v>
      </c>
      <c r="AF881" s="35" t="s">
        <v>457</v>
      </c>
      <c r="AG881" s="36">
        <v>66.134</v>
      </c>
      <c r="AI881" s="7" t="str">
        <f>VLOOKUP($AC881,Mapping!$E$11:$I$204,3,0)</f>
        <v>Augmentation</v>
      </c>
      <c r="AJ881" s="7" t="str">
        <f>IFERROR(VLOOKUP($AE881,Mapping!$E$208:$K$236,5,0),"Contracts")</f>
        <v>Labour</v>
      </c>
      <c r="AK881" s="7" t="str">
        <f>IFERROR(VLOOKUP($AE881,Mapping!$E$208:$K$236,7,0),"ENDirect")</f>
        <v>ENDirect</v>
      </c>
      <c r="AL881" s="7" t="str">
        <f>IFERROR(HLOOKUP(AJ881,'Calc|Weightings'!$U$5:$W$5,1,0),"Excl")</f>
        <v>Labour</v>
      </c>
      <c r="AM881" s="7" t="str">
        <f>VLOOKUP(AC881,Mapping!$E$11:$I$204,5,0)</f>
        <v>SCS</v>
      </c>
      <c r="AO881" s="35" t="s">
        <v>228</v>
      </c>
      <c r="AP881" s="35"/>
      <c r="AQ881" s="35">
        <v>83010</v>
      </c>
      <c r="AR881" s="35" t="s">
        <v>591</v>
      </c>
      <c r="AS881" s="121">
        <v>401.06796000000088</v>
      </c>
      <c r="AU881" s="7" t="str">
        <f>VLOOKUP($AO881,Mapping!$E$11:$I$204,3,0)</f>
        <v>Replacement</v>
      </c>
      <c r="AV881" s="7" t="str">
        <f>IFERROR(VLOOKUP($AQ881,Mapping!$E$208:$K$236,5,0),"Contracts")</f>
        <v>Contracts</v>
      </c>
      <c r="AW881" s="7" t="str">
        <f>IFERROR(VLOOKUP($AQ881,Mapping!$E$208:$K$236,7,0),"ENDirect")</f>
        <v>ENDirect</v>
      </c>
      <c r="AX881" s="7" t="str">
        <f>IFERROR(HLOOKUP(AV881,'Calc|Weightings'!$U$5:$W$5,1,0),"Excl")</f>
        <v>Contracts</v>
      </c>
      <c r="AY881" s="7" t="str">
        <f>VLOOKUP(AO881,Mapping!$E$11:$I$204,5,0)</f>
        <v>SCS</v>
      </c>
    </row>
    <row r="882" spans="1:51" x14ac:dyDescent="0.3">
      <c r="A882" s="7"/>
      <c r="B882" s="7"/>
      <c r="C882" s="7"/>
      <c r="D882" s="7"/>
      <c r="E882" s="32" t="s">
        <v>237</v>
      </c>
      <c r="F882" s="32"/>
      <c r="G882" s="32">
        <v>71010</v>
      </c>
      <c r="H882" s="32" t="s">
        <v>462</v>
      </c>
      <c r="I882" s="33">
        <v>45.866</v>
      </c>
      <c r="J882" s="170"/>
      <c r="K882" s="7" t="str">
        <f>VLOOKUP($E882,Mapping!$E$11:$I$204,3,0)</f>
        <v>Replacement</v>
      </c>
      <c r="L882" s="7" t="str">
        <f>IFERROR(VLOOKUP($G882,Mapping!$E$208:$K$236,5,0),"Contracts")</f>
        <v>Labour</v>
      </c>
      <c r="M882" s="7" t="str">
        <f>IFERROR(VLOOKUP($G882,Mapping!$E$208:$K$236,7,0),"ENDirect")</f>
        <v>ENDirect</v>
      </c>
      <c r="N882" s="7" t="str">
        <f>IFERROR(HLOOKUP(L882,'Calc|Weightings'!$U$5:$W$5,1,0),"Excl")</f>
        <v>Labour</v>
      </c>
      <c r="O882" s="7" t="str">
        <f>VLOOKUP(E882,Mapping!$E$11:$I$204,5,0)</f>
        <v>SCS</v>
      </c>
      <c r="Q882" s="32" t="s">
        <v>124</v>
      </c>
      <c r="R882" s="32"/>
      <c r="S882" s="32">
        <v>71030</v>
      </c>
      <c r="T882" s="32" t="s">
        <v>464</v>
      </c>
      <c r="U882" s="33">
        <v>3.1619999999999999</v>
      </c>
      <c r="V882" s="7"/>
      <c r="W882" s="7" t="str">
        <f>VLOOKUP($Q882,Mapping!$E$11:$I$204,3,0)</f>
        <v>Augmentation</v>
      </c>
      <c r="X882" s="7" t="str">
        <f>IFERROR(VLOOKUP($S882,Mapping!$E$208:$K$236,5,0),"Contracts")</f>
        <v>Contracts</v>
      </c>
      <c r="Y882" s="7" t="str">
        <f>IFERROR(VLOOKUP($S882,Mapping!$E$208:$K$236,7,0),"ENDirect")</f>
        <v>ENDirect</v>
      </c>
      <c r="Z882" s="7" t="str">
        <f>IFERROR(HLOOKUP(X882,'Calc|Weightings'!$U$5:$W$5,1,0),"Excl")</f>
        <v>Contracts</v>
      </c>
      <c r="AA882" s="7" t="str">
        <f>VLOOKUP(Q882,Mapping!$E$11:$I$204,5,0)</f>
        <v>SCS</v>
      </c>
      <c r="AC882" s="35" t="s">
        <v>124</v>
      </c>
      <c r="AD882" s="35"/>
      <c r="AE882" s="35">
        <v>71005</v>
      </c>
      <c r="AF882" s="35" t="s">
        <v>461</v>
      </c>
      <c r="AG882" s="36">
        <v>18.734000000000002</v>
      </c>
      <c r="AI882" s="7" t="str">
        <f>VLOOKUP($AC882,Mapping!$E$11:$I$204,3,0)</f>
        <v>Augmentation</v>
      </c>
      <c r="AJ882" s="7" t="str">
        <f>IFERROR(VLOOKUP($AE882,Mapping!$E$208:$K$236,5,0),"Contracts")</f>
        <v>Materials</v>
      </c>
      <c r="AK882" s="7" t="str">
        <f>IFERROR(VLOOKUP($AE882,Mapping!$E$208:$K$236,7,0),"ENDirect")</f>
        <v>ENDirect</v>
      </c>
      <c r="AL882" s="7" t="str">
        <f>IFERROR(HLOOKUP(AJ882,'Calc|Weightings'!$U$5:$W$5,1,0),"Excl")</f>
        <v>Materials</v>
      </c>
      <c r="AM882" s="7" t="str">
        <f>VLOOKUP(AC882,Mapping!$E$11:$I$204,5,0)</f>
        <v>SCS</v>
      </c>
      <c r="AO882" s="35" t="s">
        <v>229</v>
      </c>
      <c r="AP882" s="35"/>
      <c r="AQ882" s="35">
        <v>70815</v>
      </c>
      <c r="AR882" s="35" t="s">
        <v>594</v>
      </c>
      <c r="AS882" s="121">
        <v>28.1</v>
      </c>
      <c r="AU882" s="7" t="str">
        <f>VLOOKUP($AO882,Mapping!$E$11:$I$204,3,0)</f>
        <v>Replacement</v>
      </c>
      <c r="AV882" s="7" t="str">
        <f>IFERROR(VLOOKUP($AQ882,Mapping!$E$208:$K$236,5,0),"Contracts")</f>
        <v>Materials</v>
      </c>
      <c r="AW882" s="7" t="str">
        <f>IFERROR(VLOOKUP($AQ882,Mapping!$E$208:$K$236,7,0),"ENDirect")</f>
        <v>ENDirect</v>
      </c>
      <c r="AX882" s="7" t="str">
        <f>IFERROR(HLOOKUP(AV882,'Calc|Weightings'!$U$5:$W$5,1,0),"Excl")</f>
        <v>Materials</v>
      </c>
      <c r="AY882" s="7" t="str">
        <f>VLOOKUP(AO882,Mapping!$E$11:$I$204,5,0)</f>
        <v>SCS</v>
      </c>
    </row>
    <row r="883" spans="1:51" x14ac:dyDescent="0.3">
      <c r="A883" s="7"/>
      <c r="B883" s="7"/>
      <c r="C883" s="7"/>
      <c r="D883" s="7"/>
      <c r="E883" s="32" t="s">
        <v>237</v>
      </c>
      <c r="F883" s="32"/>
      <c r="G883" s="32">
        <v>71015</v>
      </c>
      <c r="H883" s="32" t="s">
        <v>463</v>
      </c>
      <c r="I883" s="33">
        <v>3.7789999999999999</v>
      </c>
      <c r="J883" s="170"/>
      <c r="K883" s="7" t="str">
        <f>VLOOKUP($E883,Mapping!$E$11:$I$204,3,0)</f>
        <v>Replacement</v>
      </c>
      <c r="L883" s="7" t="str">
        <f>IFERROR(VLOOKUP($G883,Mapping!$E$208:$K$236,5,0),"Contracts")</f>
        <v>Materials</v>
      </c>
      <c r="M883" s="7" t="str">
        <f>IFERROR(VLOOKUP($G883,Mapping!$E$208:$K$236,7,0),"ENDirect")</f>
        <v>ENDirect</v>
      </c>
      <c r="N883" s="7" t="str">
        <f>IFERROR(HLOOKUP(L883,'Calc|Weightings'!$U$5:$W$5,1,0),"Excl")</f>
        <v>Materials</v>
      </c>
      <c r="O883" s="7" t="str">
        <f>VLOOKUP(E883,Mapping!$E$11:$I$204,5,0)</f>
        <v>SCS</v>
      </c>
      <c r="Q883" s="32" t="s">
        <v>124</v>
      </c>
      <c r="R883" s="32"/>
      <c r="S883" s="32">
        <v>71055</v>
      </c>
      <c r="T883" s="32" t="s">
        <v>465</v>
      </c>
      <c r="U883" s="33">
        <v>6.1660000000000004</v>
      </c>
      <c r="V883" s="7"/>
      <c r="W883" s="7" t="str">
        <f>VLOOKUP($Q883,Mapping!$E$11:$I$204,3,0)</f>
        <v>Augmentation</v>
      </c>
      <c r="X883" s="7" t="str">
        <f>IFERROR(VLOOKUP($S883,Mapping!$E$208:$K$236,5,0),"Contracts")</f>
        <v>Contracts</v>
      </c>
      <c r="Y883" s="7" t="str">
        <f>IFERROR(VLOOKUP($S883,Mapping!$E$208:$K$236,7,0),"ENDirect")</f>
        <v>ENDirect</v>
      </c>
      <c r="Z883" s="7" t="str">
        <f>IFERROR(HLOOKUP(X883,'Calc|Weightings'!$U$5:$W$5,1,0),"Excl")</f>
        <v>Contracts</v>
      </c>
      <c r="AA883" s="7" t="str">
        <f>VLOOKUP(Q883,Mapping!$E$11:$I$204,5,0)</f>
        <v>SCS</v>
      </c>
      <c r="AC883" s="35" t="s">
        <v>124</v>
      </c>
      <c r="AD883" s="35"/>
      <c r="AE883" s="35">
        <v>71006</v>
      </c>
      <c r="AF883" s="35" t="s">
        <v>468</v>
      </c>
      <c r="AG883" s="36">
        <v>54.179000000000002</v>
      </c>
      <c r="AI883" s="7" t="str">
        <f>VLOOKUP($AC883,Mapping!$E$11:$I$204,3,0)</f>
        <v>Augmentation</v>
      </c>
      <c r="AJ883" s="7" t="str">
        <f>IFERROR(VLOOKUP($AE883,Mapping!$E$208:$K$236,5,0),"Contracts")</f>
        <v>Materials</v>
      </c>
      <c r="AK883" s="7" t="str">
        <f>IFERROR(VLOOKUP($AE883,Mapping!$E$208:$K$236,7,0),"ENDirect")</f>
        <v>ENDirect</v>
      </c>
      <c r="AL883" s="7" t="str">
        <f>IFERROR(HLOOKUP(AJ883,'Calc|Weightings'!$U$5:$W$5,1,0),"Excl")</f>
        <v>Materials</v>
      </c>
      <c r="AM883" s="7" t="str">
        <f>VLOOKUP(AC883,Mapping!$E$11:$I$204,5,0)</f>
        <v>SCS</v>
      </c>
      <c r="AO883" s="35" t="s">
        <v>229</v>
      </c>
      <c r="AP883" s="35"/>
      <c r="AQ883" s="35">
        <v>71000</v>
      </c>
      <c r="AR883" s="35" t="s">
        <v>457</v>
      </c>
      <c r="AS883" s="121">
        <v>2.1180000000000001E-2</v>
      </c>
      <c r="AU883" s="7" t="str">
        <f>VLOOKUP($AO883,Mapping!$E$11:$I$204,3,0)</f>
        <v>Replacement</v>
      </c>
      <c r="AV883" s="7" t="str">
        <f>IFERROR(VLOOKUP($AQ883,Mapping!$E$208:$K$236,5,0),"Contracts")</f>
        <v>Labour</v>
      </c>
      <c r="AW883" s="7" t="str">
        <f>IFERROR(VLOOKUP($AQ883,Mapping!$E$208:$K$236,7,0),"ENDirect")</f>
        <v>ENDirect</v>
      </c>
      <c r="AX883" s="7" t="str">
        <f>IFERROR(HLOOKUP(AV883,'Calc|Weightings'!$U$5:$W$5,1,0),"Excl")</f>
        <v>Labour</v>
      </c>
      <c r="AY883" s="7" t="str">
        <f>VLOOKUP(AO883,Mapping!$E$11:$I$204,5,0)</f>
        <v>SCS</v>
      </c>
    </row>
    <row r="884" spans="1:51" x14ac:dyDescent="0.3">
      <c r="A884" s="7"/>
      <c r="B884" s="7"/>
      <c r="C884" s="7"/>
      <c r="D884" s="7"/>
      <c r="E884" s="32" t="s">
        <v>237</v>
      </c>
      <c r="F884" s="32"/>
      <c r="G884" s="32">
        <v>71030</v>
      </c>
      <c r="H884" s="32" t="s">
        <v>464</v>
      </c>
      <c r="I884" s="33">
        <v>6.1779999999999999</v>
      </c>
      <c r="J884" s="170"/>
      <c r="K884" s="7" t="str">
        <f>VLOOKUP($E884,Mapping!$E$11:$I$204,3,0)</f>
        <v>Replacement</v>
      </c>
      <c r="L884" s="7" t="str">
        <f>IFERROR(VLOOKUP($G884,Mapping!$E$208:$K$236,5,0),"Contracts")</f>
        <v>Contracts</v>
      </c>
      <c r="M884" s="7" t="str">
        <f>IFERROR(VLOOKUP($G884,Mapping!$E$208:$K$236,7,0),"ENDirect")</f>
        <v>ENDirect</v>
      </c>
      <c r="N884" s="7" t="str">
        <f>IFERROR(HLOOKUP(L884,'Calc|Weightings'!$U$5:$W$5,1,0),"Excl")</f>
        <v>Contracts</v>
      </c>
      <c r="O884" s="7" t="str">
        <f>VLOOKUP(E884,Mapping!$E$11:$I$204,5,0)</f>
        <v>SCS</v>
      </c>
      <c r="Q884" s="32" t="s">
        <v>124</v>
      </c>
      <c r="R884" s="32"/>
      <c r="S884" s="32">
        <v>80000</v>
      </c>
      <c r="T884" s="32" t="s">
        <v>453</v>
      </c>
      <c r="U884" s="33">
        <v>7.5640000000000001</v>
      </c>
      <c r="V884" s="7"/>
      <c r="W884" s="7" t="str">
        <f>VLOOKUP($Q884,Mapping!$E$11:$I$204,3,0)</f>
        <v>Augmentation</v>
      </c>
      <c r="X884" s="7" t="str">
        <f>IFERROR(VLOOKUP($S884,Mapping!$E$208:$K$236,5,0),"Contracts")</f>
        <v>Overhead</v>
      </c>
      <c r="Y884" s="7" t="str">
        <f>IFERROR(VLOOKUP($S884,Mapping!$E$208:$K$236,7,0),"ENDirect")</f>
        <v>OH</v>
      </c>
      <c r="Z884" s="7" t="str">
        <f>IFERROR(HLOOKUP(X884,'Calc|Weightings'!$U$5:$W$5,1,0),"Excl")</f>
        <v>Excl</v>
      </c>
      <c r="AA884" s="7" t="str">
        <f>VLOOKUP(Q884,Mapping!$E$11:$I$204,5,0)</f>
        <v>SCS</v>
      </c>
      <c r="AC884" s="35" t="s">
        <v>124</v>
      </c>
      <c r="AD884" s="35"/>
      <c r="AE884" s="35">
        <v>71010</v>
      </c>
      <c r="AF884" s="35" t="s">
        <v>462</v>
      </c>
      <c r="AG884" s="36">
        <v>13.696999999999999</v>
      </c>
      <c r="AI884" s="7" t="str">
        <f>VLOOKUP($AC884,Mapping!$E$11:$I$204,3,0)</f>
        <v>Augmentation</v>
      </c>
      <c r="AJ884" s="7" t="str">
        <f>IFERROR(VLOOKUP($AE884,Mapping!$E$208:$K$236,5,0),"Contracts")</f>
        <v>Labour</v>
      </c>
      <c r="AK884" s="7" t="str">
        <f>IFERROR(VLOOKUP($AE884,Mapping!$E$208:$K$236,7,0),"ENDirect")</f>
        <v>ENDirect</v>
      </c>
      <c r="AL884" s="7" t="str">
        <f>IFERROR(HLOOKUP(AJ884,'Calc|Weightings'!$U$5:$W$5,1,0),"Excl")</f>
        <v>Labour</v>
      </c>
      <c r="AM884" s="7" t="str">
        <f>VLOOKUP(AC884,Mapping!$E$11:$I$204,5,0)</f>
        <v>SCS</v>
      </c>
      <c r="AO884" s="35" t="s">
        <v>229</v>
      </c>
      <c r="AP884" s="35"/>
      <c r="AQ884" s="35">
        <v>71005</v>
      </c>
      <c r="AR884" s="35" t="s">
        <v>461</v>
      </c>
      <c r="AS884" s="121">
        <v>3.6670000000000001E-2</v>
      </c>
      <c r="AU884" s="7" t="str">
        <f>VLOOKUP($AO884,Mapping!$E$11:$I$204,3,0)</f>
        <v>Replacement</v>
      </c>
      <c r="AV884" s="7" t="str">
        <f>IFERROR(VLOOKUP($AQ884,Mapping!$E$208:$K$236,5,0),"Contracts")</f>
        <v>Materials</v>
      </c>
      <c r="AW884" s="7" t="str">
        <f>IFERROR(VLOOKUP($AQ884,Mapping!$E$208:$K$236,7,0),"ENDirect")</f>
        <v>ENDirect</v>
      </c>
      <c r="AX884" s="7" t="str">
        <f>IFERROR(HLOOKUP(AV884,'Calc|Weightings'!$U$5:$W$5,1,0),"Excl")</f>
        <v>Materials</v>
      </c>
      <c r="AY884" s="7" t="str">
        <f>VLOOKUP(AO884,Mapping!$E$11:$I$204,5,0)</f>
        <v>SCS</v>
      </c>
    </row>
    <row r="885" spans="1:51" x14ac:dyDescent="0.3">
      <c r="A885" s="7"/>
      <c r="B885" s="7"/>
      <c r="C885" s="7"/>
      <c r="D885" s="7"/>
      <c r="E885" s="32" t="s">
        <v>237</v>
      </c>
      <c r="F885" s="32"/>
      <c r="G885" s="32">
        <v>71055</v>
      </c>
      <c r="H885" s="32" t="s">
        <v>465</v>
      </c>
      <c r="I885" s="33">
        <v>21.689</v>
      </c>
      <c r="J885" s="170"/>
      <c r="K885" s="7" t="str">
        <f>VLOOKUP($E885,Mapping!$E$11:$I$204,3,0)</f>
        <v>Replacement</v>
      </c>
      <c r="L885" s="7" t="str">
        <f>IFERROR(VLOOKUP($G885,Mapping!$E$208:$K$236,5,0),"Contracts")</f>
        <v>Contracts</v>
      </c>
      <c r="M885" s="7" t="str">
        <f>IFERROR(VLOOKUP($G885,Mapping!$E$208:$K$236,7,0),"ENDirect")</f>
        <v>ENDirect</v>
      </c>
      <c r="N885" s="7" t="str">
        <f>IFERROR(HLOOKUP(L885,'Calc|Weightings'!$U$5:$W$5,1,0),"Excl")</f>
        <v>Contracts</v>
      </c>
      <c r="O885" s="7" t="str">
        <f>VLOOKUP(E885,Mapping!$E$11:$I$204,5,0)</f>
        <v>SCS</v>
      </c>
      <c r="Q885" s="32" t="s">
        <v>134</v>
      </c>
      <c r="R885" s="32"/>
      <c r="S885" s="32">
        <v>71005</v>
      </c>
      <c r="T885" s="32" t="s">
        <v>461</v>
      </c>
      <c r="U885" s="33">
        <v>0.33700000000000002</v>
      </c>
      <c r="V885" s="7"/>
      <c r="W885" s="7" t="str">
        <f>VLOOKUP($Q885,Mapping!$E$11:$I$204,3,0)</f>
        <v>ACS</v>
      </c>
      <c r="X885" s="7" t="str">
        <f>IFERROR(VLOOKUP($S885,Mapping!$E$208:$K$236,5,0),"Contracts")</f>
        <v>Materials</v>
      </c>
      <c r="Y885" s="7" t="str">
        <f>IFERROR(VLOOKUP($S885,Mapping!$E$208:$K$236,7,0),"ENDirect")</f>
        <v>ENDirect</v>
      </c>
      <c r="Z885" s="7" t="str">
        <f>IFERROR(HLOOKUP(X885,'Calc|Weightings'!$U$5:$W$5,1,0),"Excl")</f>
        <v>Materials</v>
      </c>
      <c r="AA885" s="7" t="str">
        <f>VLOOKUP(Q885,Mapping!$E$11:$I$204,5,0)</f>
        <v>ACS</v>
      </c>
      <c r="AC885" s="35" t="s">
        <v>124</v>
      </c>
      <c r="AD885" s="35"/>
      <c r="AE885" s="35">
        <v>71015</v>
      </c>
      <c r="AF885" s="35" t="s">
        <v>463</v>
      </c>
      <c r="AG885" s="36">
        <v>12.68</v>
      </c>
      <c r="AI885" s="7" t="str">
        <f>VLOOKUP($AC885,Mapping!$E$11:$I$204,3,0)</f>
        <v>Augmentation</v>
      </c>
      <c r="AJ885" s="7" t="str">
        <f>IFERROR(VLOOKUP($AE885,Mapping!$E$208:$K$236,5,0),"Contracts")</f>
        <v>Materials</v>
      </c>
      <c r="AK885" s="7" t="str">
        <f>IFERROR(VLOOKUP($AE885,Mapping!$E$208:$K$236,7,0),"ENDirect")</f>
        <v>ENDirect</v>
      </c>
      <c r="AL885" s="7" t="str">
        <f>IFERROR(HLOOKUP(AJ885,'Calc|Weightings'!$U$5:$W$5,1,0),"Excl")</f>
        <v>Materials</v>
      </c>
      <c r="AM885" s="7" t="str">
        <f>VLOOKUP(AC885,Mapping!$E$11:$I$204,5,0)</f>
        <v>SCS</v>
      </c>
      <c r="AO885" s="35" t="s">
        <v>229</v>
      </c>
      <c r="AP885" s="35"/>
      <c r="AQ885" s="35">
        <v>71030</v>
      </c>
      <c r="AR885" s="35" t="s">
        <v>464</v>
      </c>
      <c r="AS885" s="121">
        <v>4.8200000000000005E-3</v>
      </c>
      <c r="AU885" s="7" t="str">
        <f>VLOOKUP($AO885,Mapping!$E$11:$I$204,3,0)</f>
        <v>Replacement</v>
      </c>
      <c r="AV885" s="7" t="str">
        <f>IFERROR(VLOOKUP($AQ885,Mapping!$E$208:$K$236,5,0),"Contracts")</f>
        <v>Contracts</v>
      </c>
      <c r="AW885" s="7" t="str">
        <f>IFERROR(VLOOKUP($AQ885,Mapping!$E$208:$K$236,7,0),"ENDirect")</f>
        <v>ENDirect</v>
      </c>
      <c r="AX885" s="7" t="str">
        <f>IFERROR(HLOOKUP(AV885,'Calc|Weightings'!$U$5:$W$5,1,0),"Excl")</f>
        <v>Contracts</v>
      </c>
      <c r="AY885" s="7" t="str">
        <f>VLOOKUP(AO885,Mapping!$E$11:$I$204,5,0)</f>
        <v>SCS</v>
      </c>
    </row>
    <row r="886" spans="1:51" x14ac:dyDescent="0.3">
      <c r="A886" s="7"/>
      <c r="B886" s="7"/>
      <c r="C886" s="7"/>
      <c r="D886" s="7"/>
      <c r="E886" s="32" t="s">
        <v>237</v>
      </c>
      <c r="F886" s="32"/>
      <c r="G886" s="32">
        <v>80000</v>
      </c>
      <c r="H886" s="32" t="s">
        <v>453</v>
      </c>
      <c r="I886" s="33">
        <v>9.6869999999999994</v>
      </c>
      <c r="J886" s="170"/>
      <c r="K886" s="7" t="str">
        <f>VLOOKUP($E886,Mapping!$E$11:$I$204,3,0)</f>
        <v>Replacement</v>
      </c>
      <c r="L886" s="7" t="str">
        <f>IFERROR(VLOOKUP($G886,Mapping!$E$208:$K$236,5,0),"Contracts")</f>
        <v>Overhead</v>
      </c>
      <c r="M886" s="7" t="str">
        <f>IFERROR(VLOOKUP($G886,Mapping!$E$208:$K$236,7,0),"ENDirect")</f>
        <v>OH</v>
      </c>
      <c r="N886" s="7" t="str">
        <f>IFERROR(HLOOKUP(L886,'Calc|Weightings'!$U$5:$W$5,1,0),"Excl")</f>
        <v>Excl</v>
      </c>
      <c r="O886" s="7" t="str">
        <f>VLOOKUP(E886,Mapping!$E$11:$I$204,5,0)</f>
        <v>SCS</v>
      </c>
      <c r="Q886" s="32" t="s">
        <v>134</v>
      </c>
      <c r="R886" s="32"/>
      <c r="S886" s="32">
        <v>71010</v>
      </c>
      <c r="T886" s="32" t="s">
        <v>462</v>
      </c>
      <c r="U886" s="33">
        <v>4.0000000000000001E-3</v>
      </c>
      <c r="V886" s="7"/>
      <c r="W886" s="7" t="str">
        <f>VLOOKUP($Q886,Mapping!$E$11:$I$204,3,0)</f>
        <v>ACS</v>
      </c>
      <c r="X886" s="7" t="str">
        <f>IFERROR(VLOOKUP($S886,Mapping!$E$208:$K$236,5,0),"Contracts")</f>
        <v>Labour</v>
      </c>
      <c r="Y886" s="7" t="str">
        <f>IFERROR(VLOOKUP($S886,Mapping!$E$208:$K$236,7,0),"ENDirect")</f>
        <v>ENDirect</v>
      </c>
      <c r="Z886" s="7" t="str">
        <f>IFERROR(HLOOKUP(X886,'Calc|Weightings'!$U$5:$W$5,1,0),"Excl")</f>
        <v>Labour</v>
      </c>
      <c r="AA886" s="7" t="str">
        <f>VLOOKUP(Q886,Mapping!$E$11:$I$204,5,0)</f>
        <v>ACS</v>
      </c>
      <c r="AC886" s="35" t="s">
        <v>124</v>
      </c>
      <c r="AD886" s="35"/>
      <c r="AE886" s="35">
        <v>71020</v>
      </c>
      <c r="AF886" s="35" t="s">
        <v>459</v>
      </c>
      <c r="AG886" s="36">
        <v>0</v>
      </c>
      <c r="AI886" s="7" t="str">
        <f>VLOOKUP($AC886,Mapping!$E$11:$I$204,3,0)</f>
        <v>Augmentation</v>
      </c>
      <c r="AJ886" s="7" t="str">
        <f>IFERROR(VLOOKUP($AE886,Mapping!$E$208:$K$236,5,0),"Contracts")</f>
        <v>Contracts</v>
      </c>
      <c r="AK886" s="7" t="str">
        <f>IFERROR(VLOOKUP($AE886,Mapping!$E$208:$K$236,7,0),"ENDirect")</f>
        <v>ENDirect</v>
      </c>
      <c r="AL886" s="7" t="str">
        <f>IFERROR(HLOOKUP(AJ886,'Calc|Weightings'!$U$5:$W$5,1,0),"Excl")</f>
        <v>Contracts</v>
      </c>
      <c r="AM886" s="7" t="str">
        <f>VLOOKUP(AC886,Mapping!$E$11:$I$204,5,0)</f>
        <v>SCS</v>
      </c>
      <c r="AO886" s="35" t="s">
        <v>229</v>
      </c>
      <c r="AP886" s="35"/>
      <c r="AQ886" s="35">
        <v>71055</v>
      </c>
      <c r="AR886" s="35" t="s">
        <v>465</v>
      </c>
      <c r="AS886" s="121">
        <v>1.1009999999999999E-2</v>
      </c>
      <c r="AU886" s="7" t="str">
        <f>VLOOKUP($AO886,Mapping!$E$11:$I$204,3,0)</f>
        <v>Replacement</v>
      </c>
      <c r="AV886" s="7" t="str">
        <f>IFERROR(VLOOKUP($AQ886,Mapping!$E$208:$K$236,5,0),"Contracts")</f>
        <v>Contracts</v>
      </c>
      <c r="AW886" s="7" t="str">
        <f>IFERROR(VLOOKUP($AQ886,Mapping!$E$208:$K$236,7,0),"ENDirect")</f>
        <v>ENDirect</v>
      </c>
      <c r="AX886" s="7" t="str">
        <f>IFERROR(HLOOKUP(AV886,'Calc|Weightings'!$U$5:$W$5,1,0),"Excl")</f>
        <v>Contracts</v>
      </c>
      <c r="AY886" s="7" t="str">
        <f>VLOOKUP(AO886,Mapping!$E$11:$I$204,5,0)</f>
        <v>SCS</v>
      </c>
    </row>
    <row r="887" spans="1:51" x14ac:dyDescent="0.3">
      <c r="A887" s="7"/>
      <c r="B887" s="7"/>
      <c r="C887" s="7"/>
      <c r="D887" s="7"/>
      <c r="E887" s="32" t="s">
        <v>240</v>
      </c>
      <c r="F887" s="32"/>
      <c r="G887" s="32">
        <v>71000</v>
      </c>
      <c r="H887" s="32" t="s">
        <v>457</v>
      </c>
      <c r="I887" s="33">
        <v>244.18700000000001</v>
      </c>
      <c r="J887" s="170"/>
      <c r="K887" s="7" t="str">
        <f>VLOOKUP($E887,Mapping!$E$11:$I$204,3,0)</f>
        <v>Replacement</v>
      </c>
      <c r="L887" s="7" t="str">
        <f>IFERROR(VLOOKUP($G887,Mapping!$E$208:$K$236,5,0),"Contracts")</f>
        <v>Labour</v>
      </c>
      <c r="M887" s="7" t="str">
        <f>IFERROR(VLOOKUP($G887,Mapping!$E$208:$K$236,7,0),"ENDirect")</f>
        <v>ENDirect</v>
      </c>
      <c r="N887" s="7" t="str">
        <f>IFERROR(HLOOKUP(L887,'Calc|Weightings'!$U$5:$W$5,1,0),"Excl")</f>
        <v>Labour</v>
      </c>
      <c r="O887" s="7" t="str">
        <f>VLOOKUP(E887,Mapping!$E$11:$I$204,5,0)</f>
        <v>SCS</v>
      </c>
      <c r="Q887" s="32" t="s">
        <v>134</v>
      </c>
      <c r="R887" s="32"/>
      <c r="S887" s="32">
        <v>71015</v>
      </c>
      <c r="T887" s="32" t="s">
        <v>463</v>
      </c>
      <c r="U887" s="33">
        <v>0.46</v>
      </c>
      <c r="V887" s="7"/>
      <c r="W887" s="7" t="str">
        <f>VLOOKUP($Q887,Mapping!$E$11:$I$204,3,0)</f>
        <v>ACS</v>
      </c>
      <c r="X887" s="7" t="str">
        <f>IFERROR(VLOOKUP($S887,Mapping!$E$208:$K$236,5,0),"Contracts")</f>
        <v>Materials</v>
      </c>
      <c r="Y887" s="7" t="str">
        <f>IFERROR(VLOOKUP($S887,Mapping!$E$208:$K$236,7,0),"ENDirect")</f>
        <v>ENDirect</v>
      </c>
      <c r="Z887" s="7" t="str">
        <f>IFERROR(HLOOKUP(X887,'Calc|Weightings'!$U$5:$W$5,1,0),"Excl")</f>
        <v>Materials</v>
      </c>
      <c r="AA887" s="7" t="str">
        <f>VLOOKUP(Q887,Mapping!$E$11:$I$204,5,0)</f>
        <v>ACS</v>
      </c>
      <c r="AC887" s="35" t="s">
        <v>124</v>
      </c>
      <c r="AD887" s="35"/>
      <c r="AE887" s="35">
        <v>71030</v>
      </c>
      <c r="AF887" s="35" t="s">
        <v>464</v>
      </c>
      <c r="AG887" s="36">
        <v>8.9309999999999992</v>
      </c>
      <c r="AI887" s="7" t="str">
        <f>VLOOKUP($AC887,Mapping!$E$11:$I$204,3,0)</f>
        <v>Augmentation</v>
      </c>
      <c r="AJ887" s="7" t="str">
        <f>IFERROR(VLOOKUP($AE887,Mapping!$E$208:$K$236,5,0),"Contracts")</f>
        <v>Contracts</v>
      </c>
      <c r="AK887" s="7" t="str">
        <f>IFERROR(VLOOKUP($AE887,Mapping!$E$208:$K$236,7,0),"ENDirect")</f>
        <v>ENDirect</v>
      </c>
      <c r="AL887" s="7" t="str">
        <f>IFERROR(HLOOKUP(AJ887,'Calc|Weightings'!$U$5:$W$5,1,0),"Excl")</f>
        <v>Contracts</v>
      </c>
      <c r="AM887" s="7" t="str">
        <f>VLOOKUP(AC887,Mapping!$E$11:$I$204,5,0)</f>
        <v>SCS</v>
      </c>
      <c r="AO887" s="35" t="s">
        <v>229</v>
      </c>
      <c r="AP887" s="35"/>
      <c r="AQ887" s="35">
        <v>71070</v>
      </c>
      <c r="AR887" s="35" t="s">
        <v>586</v>
      </c>
      <c r="AS887" s="121">
        <v>4.6257200000000012</v>
      </c>
      <c r="AU887" s="7" t="str">
        <f>VLOOKUP($AO887,Mapping!$E$11:$I$204,3,0)</f>
        <v>Replacement</v>
      </c>
      <c r="AV887" s="7" t="str">
        <f>IFERROR(VLOOKUP($AQ887,Mapping!$E$208:$K$236,5,0),"Contracts")</f>
        <v>Contracts</v>
      </c>
      <c r="AW887" s="7" t="str">
        <f>IFERROR(VLOOKUP($AQ887,Mapping!$E$208:$K$236,7,0),"ENDirect")</f>
        <v>ENDirect</v>
      </c>
      <c r="AX887" s="7" t="str">
        <f>IFERROR(HLOOKUP(AV887,'Calc|Weightings'!$U$5:$W$5,1,0),"Excl")</f>
        <v>Contracts</v>
      </c>
      <c r="AY887" s="7" t="str">
        <f>VLOOKUP(AO887,Mapping!$E$11:$I$204,5,0)</f>
        <v>SCS</v>
      </c>
    </row>
    <row r="888" spans="1:51" x14ac:dyDescent="0.3">
      <c r="A888" s="7"/>
      <c r="B888" s="7"/>
      <c r="C888" s="7"/>
      <c r="D888" s="7"/>
      <c r="E888" s="32" t="s">
        <v>240</v>
      </c>
      <c r="F888" s="32"/>
      <c r="G888" s="32">
        <v>71005</v>
      </c>
      <c r="H888" s="32" t="s">
        <v>461</v>
      </c>
      <c r="I888" s="33">
        <v>126.54300000000001</v>
      </c>
      <c r="J888" s="170"/>
      <c r="K888" s="7" t="str">
        <f>VLOOKUP($E888,Mapping!$E$11:$I$204,3,0)</f>
        <v>Replacement</v>
      </c>
      <c r="L888" s="7" t="str">
        <f>IFERROR(VLOOKUP($G888,Mapping!$E$208:$K$236,5,0),"Contracts")</f>
        <v>Materials</v>
      </c>
      <c r="M888" s="7" t="str">
        <f>IFERROR(VLOOKUP($G888,Mapping!$E$208:$K$236,7,0),"ENDirect")</f>
        <v>ENDirect</v>
      </c>
      <c r="N888" s="7" t="str">
        <f>IFERROR(HLOOKUP(L888,'Calc|Weightings'!$U$5:$W$5,1,0),"Excl")</f>
        <v>Materials</v>
      </c>
      <c r="O888" s="7" t="str">
        <f>VLOOKUP(E888,Mapping!$E$11:$I$204,5,0)</f>
        <v>SCS</v>
      </c>
      <c r="Q888" s="32" t="s">
        <v>135</v>
      </c>
      <c r="R888" s="32"/>
      <c r="S888" s="32">
        <v>71010</v>
      </c>
      <c r="T888" s="32" t="s">
        <v>462</v>
      </c>
      <c r="U888" s="33">
        <v>30.765000000000001</v>
      </c>
      <c r="V888" s="7"/>
      <c r="W888" s="7" t="str">
        <f>VLOOKUP($Q888,Mapping!$E$11:$I$204,3,0)</f>
        <v>ACS</v>
      </c>
      <c r="X888" s="7" t="str">
        <f>IFERROR(VLOOKUP($S888,Mapping!$E$208:$K$236,5,0),"Contracts")</f>
        <v>Labour</v>
      </c>
      <c r="Y888" s="7" t="str">
        <f>IFERROR(VLOOKUP($S888,Mapping!$E$208:$K$236,7,0),"ENDirect")</f>
        <v>ENDirect</v>
      </c>
      <c r="Z888" s="7" t="str">
        <f>IFERROR(HLOOKUP(X888,'Calc|Weightings'!$U$5:$W$5,1,0),"Excl")</f>
        <v>Labour</v>
      </c>
      <c r="AA888" s="7" t="str">
        <f>VLOOKUP(Q888,Mapping!$E$11:$I$204,5,0)</f>
        <v>ACS</v>
      </c>
      <c r="AC888" s="35" t="s">
        <v>124</v>
      </c>
      <c r="AD888" s="35"/>
      <c r="AE888" s="35">
        <v>71055</v>
      </c>
      <c r="AF888" s="35" t="s">
        <v>465</v>
      </c>
      <c r="AG888" s="36">
        <v>16.347999999999999</v>
      </c>
      <c r="AI888" s="7" t="str">
        <f>VLOOKUP($AC888,Mapping!$E$11:$I$204,3,0)</f>
        <v>Augmentation</v>
      </c>
      <c r="AJ888" s="7" t="str">
        <f>IFERROR(VLOOKUP($AE888,Mapping!$E$208:$K$236,5,0),"Contracts")</f>
        <v>Contracts</v>
      </c>
      <c r="AK888" s="7" t="str">
        <f>IFERROR(VLOOKUP($AE888,Mapping!$E$208:$K$236,7,0),"ENDirect")</f>
        <v>ENDirect</v>
      </c>
      <c r="AL888" s="7" t="str">
        <f>IFERROR(HLOOKUP(AJ888,'Calc|Weightings'!$U$5:$W$5,1,0),"Excl")</f>
        <v>Contracts</v>
      </c>
      <c r="AM888" s="7" t="str">
        <f>VLOOKUP(AC888,Mapping!$E$11:$I$204,5,0)</f>
        <v>SCS</v>
      </c>
      <c r="AO888" s="35" t="s">
        <v>229</v>
      </c>
      <c r="AP888" s="35"/>
      <c r="AQ888" s="35">
        <v>71075</v>
      </c>
      <c r="AR888" s="35" t="s">
        <v>587</v>
      </c>
      <c r="AS888" s="121">
        <v>2.1366499999999999</v>
      </c>
      <c r="AU888" s="7" t="str">
        <f>VLOOKUP($AO888,Mapping!$E$11:$I$204,3,0)</f>
        <v>Replacement</v>
      </c>
      <c r="AV888" s="7" t="str">
        <f>IFERROR(VLOOKUP($AQ888,Mapping!$E$208:$K$236,5,0),"Contracts")</f>
        <v>Contracts</v>
      </c>
      <c r="AW888" s="7" t="str">
        <f>IFERROR(VLOOKUP($AQ888,Mapping!$E$208:$K$236,7,0),"ENDirect")</f>
        <v>ENDirect</v>
      </c>
      <c r="AX888" s="7" t="str">
        <f>IFERROR(HLOOKUP(AV888,'Calc|Weightings'!$U$5:$W$5,1,0),"Excl")</f>
        <v>Contracts</v>
      </c>
      <c r="AY888" s="7" t="str">
        <f>VLOOKUP(AO888,Mapping!$E$11:$I$204,5,0)</f>
        <v>SCS</v>
      </c>
    </row>
    <row r="889" spans="1:51" x14ac:dyDescent="0.3">
      <c r="A889" s="7"/>
      <c r="B889" s="7"/>
      <c r="C889" s="7"/>
      <c r="D889" s="7"/>
      <c r="E889" s="32" t="s">
        <v>240</v>
      </c>
      <c r="F889" s="32"/>
      <c r="G889" s="32">
        <v>71010</v>
      </c>
      <c r="H889" s="32" t="s">
        <v>462</v>
      </c>
      <c r="I889" s="33">
        <v>220.21100000000001</v>
      </c>
      <c r="J889" s="170"/>
      <c r="K889" s="7" t="str">
        <f>VLOOKUP($E889,Mapping!$E$11:$I$204,3,0)</f>
        <v>Replacement</v>
      </c>
      <c r="L889" s="7" t="str">
        <f>IFERROR(VLOOKUP($G889,Mapping!$E$208:$K$236,5,0),"Contracts")</f>
        <v>Labour</v>
      </c>
      <c r="M889" s="7" t="str">
        <f>IFERROR(VLOOKUP($G889,Mapping!$E$208:$K$236,7,0),"ENDirect")</f>
        <v>ENDirect</v>
      </c>
      <c r="N889" s="7" t="str">
        <f>IFERROR(HLOOKUP(L889,'Calc|Weightings'!$U$5:$W$5,1,0),"Excl")</f>
        <v>Labour</v>
      </c>
      <c r="O889" s="7" t="str">
        <f>VLOOKUP(E889,Mapping!$E$11:$I$204,5,0)</f>
        <v>SCS</v>
      </c>
      <c r="Q889" s="32" t="s">
        <v>135</v>
      </c>
      <c r="R889" s="32"/>
      <c r="S889" s="32">
        <v>71040</v>
      </c>
      <c r="T889" s="32" t="s">
        <v>460</v>
      </c>
      <c r="U889" s="33">
        <v>-75.498999999999995</v>
      </c>
      <c r="V889" s="7"/>
      <c r="W889" s="7" t="str">
        <f>VLOOKUP($Q889,Mapping!$E$11:$I$204,3,0)</f>
        <v>ACS</v>
      </c>
      <c r="X889" s="7" t="str">
        <f>IFERROR(VLOOKUP($S889,Mapping!$E$208:$K$236,5,0),"Contracts")</f>
        <v>Contracts</v>
      </c>
      <c r="Y889" s="7" t="str">
        <f>IFERROR(VLOOKUP($S889,Mapping!$E$208:$K$236,7,0),"ENDirect")</f>
        <v>ENDirect</v>
      </c>
      <c r="Z889" s="7" t="str">
        <f>IFERROR(HLOOKUP(X889,'Calc|Weightings'!$U$5:$W$5,1,0),"Excl")</f>
        <v>Contracts</v>
      </c>
      <c r="AA889" s="7" t="str">
        <f>VLOOKUP(Q889,Mapping!$E$11:$I$204,5,0)</f>
        <v>ACS</v>
      </c>
      <c r="AC889" s="35" t="s">
        <v>124</v>
      </c>
      <c r="AD889" s="35"/>
      <c r="AE889" s="35">
        <v>80000</v>
      </c>
      <c r="AF889" s="35" t="s">
        <v>453</v>
      </c>
      <c r="AG889" s="36">
        <v>17.434999999999999</v>
      </c>
      <c r="AI889" s="7" t="str">
        <f>VLOOKUP($AC889,Mapping!$E$11:$I$204,3,0)</f>
        <v>Augmentation</v>
      </c>
      <c r="AJ889" s="7" t="str">
        <f>IFERROR(VLOOKUP($AE889,Mapping!$E$208:$K$236,5,0),"Contracts")</f>
        <v>Overhead</v>
      </c>
      <c r="AK889" s="7" t="str">
        <f>IFERROR(VLOOKUP($AE889,Mapping!$E$208:$K$236,7,0),"ENDirect")</f>
        <v>OH</v>
      </c>
      <c r="AL889" s="7" t="str">
        <f>IFERROR(HLOOKUP(AJ889,'Calc|Weightings'!$U$5:$W$5,1,0),"Excl")</f>
        <v>Excl</v>
      </c>
      <c r="AM889" s="7" t="str">
        <f>VLOOKUP(AC889,Mapping!$E$11:$I$204,5,0)</f>
        <v>SCS</v>
      </c>
      <c r="AO889" s="35" t="s">
        <v>229</v>
      </c>
      <c r="AP889" s="35"/>
      <c r="AQ889" s="35">
        <v>80000</v>
      </c>
      <c r="AR889" s="35" t="s">
        <v>589</v>
      </c>
      <c r="AS889" s="121">
        <v>4.2754099999999999</v>
      </c>
      <c r="AU889" s="7" t="str">
        <f>VLOOKUP($AO889,Mapping!$E$11:$I$204,3,0)</f>
        <v>Replacement</v>
      </c>
      <c r="AV889" s="7" t="str">
        <f>IFERROR(VLOOKUP($AQ889,Mapping!$E$208:$K$236,5,0),"Contracts")</f>
        <v>Overhead</v>
      </c>
      <c r="AW889" s="7" t="str">
        <f>IFERROR(VLOOKUP($AQ889,Mapping!$E$208:$K$236,7,0),"ENDirect")</f>
        <v>OH</v>
      </c>
      <c r="AX889" s="7" t="str">
        <f>IFERROR(HLOOKUP(AV889,'Calc|Weightings'!$U$5:$W$5,1,0),"Excl")</f>
        <v>Excl</v>
      </c>
      <c r="AY889" s="7" t="str">
        <f>VLOOKUP(AO889,Mapping!$E$11:$I$204,5,0)</f>
        <v>SCS</v>
      </c>
    </row>
    <row r="890" spans="1:51" x14ac:dyDescent="0.3">
      <c r="A890" s="7"/>
      <c r="B890" s="7"/>
      <c r="C890" s="7"/>
      <c r="D890" s="7"/>
      <c r="E890" s="32" t="s">
        <v>240</v>
      </c>
      <c r="F890" s="32"/>
      <c r="G890" s="32">
        <v>71015</v>
      </c>
      <c r="H890" s="32" t="s">
        <v>463</v>
      </c>
      <c r="I890" s="33">
        <v>68.201999999999998</v>
      </c>
      <c r="J890" s="170"/>
      <c r="K890" s="7" t="str">
        <f>VLOOKUP($E890,Mapping!$E$11:$I$204,3,0)</f>
        <v>Replacement</v>
      </c>
      <c r="L890" s="7" t="str">
        <f>IFERROR(VLOOKUP($G890,Mapping!$E$208:$K$236,5,0),"Contracts")</f>
        <v>Materials</v>
      </c>
      <c r="M890" s="7" t="str">
        <f>IFERROR(VLOOKUP($G890,Mapping!$E$208:$K$236,7,0),"ENDirect")</f>
        <v>ENDirect</v>
      </c>
      <c r="N890" s="7" t="str">
        <f>IFERROR(HLOOKUP(L890,'Calc|Weightings'!$U$5:$W$5,1,0),"Excl")</f>
        <v>Materials</v>
      </c>
      <c r="O890" s="7" t="str">
        <f>VLOOKUP(E890,Mapping!$E$11:$I$204,5,0)</f>
        <v>SCS</v>
      </c>
      <c r="Q890" s="32" t="s">
        <v>137</v>
      </c>
      <c r="R890" s="32"/>
      <c r="S890" s="32">
        <v>71005</v>
      </c>
      <c r="T890" s="32" t="s">
        <v>461</v>
      </c>
      <c r="U890" s="33">
        <v>0.314</v>
      </c>
      <c r="V890" s="7"/>
      <c r="W890" s="7" t="str">
        <f>VLOOKUP($Q890,Mapping!$E$11:$I$204,3,0)</f>
        <v>ACS</v>
      </c>
      <c r="X890" s="7" t="str">
        <f>IFERROR(VLOOKUP($S890,Mapping!$E$208:$K$236,5,0),"Contracts")</f>
        <v>Materials</v>
      </c>
      <c r="Y890" s="7" t="str">
        <f>IFERROR(VLOOKUP($S890,Mapping!$E$208:$K$236,7,0),"ENDirect")</f>
        <v>ENDirect</v>
      </c>
      <c r="Z890" s="7" t="str">
        <f>IFERROR(HLOOKUP(X890,'Calc|Weightings'!$U$5:$W$5,1,0),"Excl")</f>
        <v>Materials</v>
      </c>
      <c r="AA890" s="7" t="str">
        <f>VLOOKUP(Q890,Mapping!$E$11:$I$204,5,0)</f>
        <v>ACS</v>
      </c>
      <c r="AC890" s="35" t="s">
        <v>124</v>
      </c>
      <c r="AD890" s="35"/>
      <c r="AE890" s="35">
        <v>89999</v>
      </c>
      <c r="AF890" s="35" t="s">
        <v>471</v>
      </c>
      <c r="AG890" s="36">
        <v>0</v>
      </c>
      <c r="AI890" s="7" t="str">
        <f>VLOOKUP($AC890,Mapping!$E$11:$I$204,3,0)</f>
        <v>Augmentation</v>
      </c>
      <c r="AJ890" s="7" t="str">
        <f>IFERROR(VLOOKUP($AE890,Mapping!$E$208:$K$236,5,0),"Contracts")</f>
        <v>Contracts</v>
      </c>
      <c r="AK890" s="7" t="str">
        <f>IFERROR(VLOOKUP($AE890,Mapping!$E$208:$K$236,7,0),"ENDirect")</f>
        <v>ENDirect</v>
      </c>
      <c r="AL890" s="7" t="str">
        <f>IFERROR(HLOOKUP(AJ890,'Calc|Weightings'!$U$5:$W$5,1,0),"Excl")</f>
        <v>Contracts</v>
      </c>
      <c r="AM890" s="7" t="str">
        <f>VLOOKUP(AC890,Mapping!$E$11:$I$204,5,0)</f>
        <v>SCS</v>
      </c>
      <c r="AO890" s="35" t="s">
        <v>229</v>
      </c>
      <c r="AP890" s="35"/>
      <c r="AQ890" s="35">
        <v>83010</v>
      </c>
      <c r="AR890" s="35" t="s">
        <v>591</v>
      </c>
      <c r="AS890" s="121">
        <v>18.502880000000005</v>
      </c>
      <c r="AU890" s="7" t="str">
        <f>VLOOKUP($AO890,Mapping!$E$11:$I$204,3,0)</f>
        <v>Replacement</v>
      </c>
      <c r="AV890" s="7" t="str">
        <f>IFERROR(VLOOKUP($AQ890,Mapping!$E$208:$K$236,5,0),"Contracts")</f>
        <v>Contracts</v>
      </c>
      <c r="AW890" s="7" t="str">
        <f>IFERROR(VLOOKUP($AQ890,Mapping!$E$208:$K$236,7,0),"ENDirect")</f>
        <v>ENDirect</v>
      </c>
      <c r="AX890" s="7" t="str">
        <f>IFERROR(HLOOKUP(AV890,'Calc|Weightings'!$U$5:$W$5,1,0),"Excl")</f>
        <v>Contracts</v>
      </c>
      <c r="AY890" s="7" t="str">
        <f>VLOOKUP(AO890,Mapping!$E$11:$I$204,5,0)</f>
        <v>SCS</v>
      </c>
    </row>
    <row r="891" spans="1:51" x14ac:dyDescent="0.3">
      <c r="A891" s="7"/>
      <c r="B891" s="7"/>
      <c r="C891" s="7"/>
      <c r="D891" s="7"/>
      <c r="E891" s="32" t="s">
        <v>240</v>
      </c>
      <c r="F891" s="32"/>
      <c r="G891" s="32">
        <v>71030</v>
      </c>
      <c r="H891" s="32" t="s">
        <v>464</v>
      </c>
      <c r="I891" s="33">
        <v>57.09</v>
      </c>
      <c r="J891" s="170"/>
      <c r="K891" s="7" t="str">
        <f>VLOOKUP($E891,Mapping!$E$11:$I$204,3,0)</f>
        <v>Replacement</v>
      </c>
      <c r="L891" s="7" t="str">
        <f>IFERROR(VLOOKUP($G891,Mapping!$E$208:$K$236,5,0),"Contracts")</f>
        <v>Contracts</v>
      </c>
      <c r="M891" s="7" t="str">
        <f>IFERROR(VLOOKUP($G891,Mapping!$E$208:$K$236,7,0),"ENDirect")</f>
        <v>ENDirect</v>
      </c>
      <c r="N891" s="7" t="str">
        <f>IFERROR(HLOOKUP(L891,'Calc|Weightings'!$U$5:$W$5,1,0),"Excl")</f>
        <v>Contracts</v>
      </c>
      <c r="O891" s="7" t="str">
        <f>VLOOKUP(E891,Mapping!$E$11:$I$204,5,0)</f>
        <v>SCS</v>
      </c>
      <c r="Q891" s="32" t="s">
        <v>137</v>
      </c>
      <c r="R891" s="32"/>
      <c r="S891" s="32">
        <v>71010</v>
      </c>
      <c r="T891" s="32" t="s">
        <v>462</v>
      </c>
      <c r="U891" s="33">
        <v>5.0000000000000001E-3</v>
      </c>
      <c r="V891" s="7"/>
      <c r="W891" s="7" t="str">
        <f>VLOOKUP($Q891,Mapping!$E$11:$I$204,3,0)</f>
        <v>ACS</v>
      </c>
      <c r="X891" s="7" t="str">
        <f>IFERROR(VLOOKUP($S891,Mapping!$E$208:$K$236,5,0),"Contracts")</f>
        <v>Labour</v>
      </c>
      <c r="Y891" s="7" t="str">
        <f>IFERROR(VLOOKUP($S891,Mapping!$E$208:$K$236,7,0),"ENDirect")</f>
        <v>ENDirect</v>
      </c>
      <c r="Z891" s="7" t="str">
        <f>IFERROR(HLOOKUP(X891,'Calc|Weightings'!$U$5:$W$5,1,0),"Excl")</f>
        <v>Labour</v>
      </c>
      <c r="AA891" s="7" t="str">
        <f>VLOOKUP(Q891,Mapping!$E$11:$I$204,5,0)</f>
        <v>ACS</v>
      </c>
      <c r="AC891" s="35" t="s">
        <v>134</v>
      </c>
      <c r="AD891" s="35"/>
      <c r="AE891" s="35">
        <v>71000</v>
      </c>
      <c r="AF891" s="35" t="s">
        <v>457</v>
      </c>
      <c r="AG891" s="36">
        <v>0.52100000000000002</v>
      </c>
      <c r="AI891" s="7" t="str">
        <f>VLOOKUP($AC891,Mapping!$E$11:$I$204,3,0)</f>
        <v>ACS</v>
      </c>
      <c r="AJ891" s="7" t="str">
        <f>IFERROR(VLOOKUP($AE891,Mapping!$E$208:$K$236,5,0),"Contracts")</f>
        <v>Labour</v>
      </c>
      <c r="AK891" s="7" t="str">
        <f>IFERROR(VLOOKUP($AE891,Mapping!$E$208:$K$236,7,0),"ENDirect")</f>
        <v>ENDirect</v>
      </c>
      <c r="AL891" s="7" t="str">
        <f>IFERROR(HLOOKUP(AJ891,'Calc|Weightings'!$U$5:$W$5,1,0),"Excl")</f>
        <v>Labour</v>
      </c>
      <c r="AM891" s="7" t="str">
        <f>VLOOKUP(AC891,Mapping!$E$11:$I$204,5,0)</f>
        <v>ACS</v>
      </c>
      <c r="AO891" s="35" t="s">
        <v>230</v>
      </c>
      <c r="AP891" s="35"/>
      <c r="AQ891" s="35">
        <v>70815</v>
      </c>
      <c r="AR891" s="35" t="s">
        <v>594</v>
      </c>
      <c r="AS891" s="121">
        <v>-95.8</v>
      </c>
      <c r="AU891" s="7" t="str">
        <f>VLOOKUP($AO891,Mapping!$E$11:$I$204,3,0)</f>
        <v>Replacement</v>
      </c>
      <c r="AV891" s="7" t="str">
        <f>IFERROR(VLOOKUP($AQ891,Mapping!$E$208:$K$236,5,0),"Contracts")</f>
        <v>Materials</v>
      </c>
      <c r="AW891" s="7" t="str">
        <f>IFERROR(VLOOKUP($AQ891,Mapping!$E$208:$K$236,7,0),"ENDirect")</f>
        <v>ENDirect</v>
      </c>
      <c r="AX891" s="7" t="str">
        <f>IFERROR(HLOOKUP(AV891,'Calc|Weightings'!$U$5:$W$5,1,0),"Excl")</f>
        <v>Materials</v>
      </c>
      <c r="AY891" s="7" t="str">
        <f>VLOOKUP(AO891,Mapping!$E$11:$I$204,5,0)</f>
        <v>SCS</v>
      </c>
    </row>
    <row r="892" spans="1:51" x14ac:dyDescent="0.3">
      <c r="A892" s="7"/>
      <c r="B892" s="7"/>
      <c r="C892" s="7"/>
      <c r="D892" s="7"/>
      <c r="E892" s="32" t="s">
        <v>240</v>
      </c>
      <c r="F892" s="32"/>
      <c r="G892" s="32">
        <v>71055</v>
      </c>
      <c r="H892" s="32" t="s">
        <v>465</v>
      </c>
      <c r="I892" s="33">
        <v>156.578</v>
      </c>
      <c r="J892" s="170"/>
      <c r="K892" s="7" t="str">
        <f>VLOOKUP($E892,Mapping!$E$11:$I$204,3,0)</f>
        <v>Replacement</v>
      </c>
      <c r="L892" s="7" t="str">
        <f>IFERROR(VLOOKUP($G892,Mapping!$E$208:$K$236,5,0),"Contracts")</f>
        <v>Contracts</v>
      </c>
      <c r="M892" s="7" t="str">
        <f>IFERROR(VLOOKUP($G892,Mapping!$E$208:$K$236,7,0),"ENDirect")</f>
        <v>ENDirect</v>
      </c>
      <c r="N892" s="7" t="str">
        <f>IFERROR(HLOOKUP(L892,'Calc|Weightings'!$U$5:$W$5,1,0),"Excl")</f>
        <v>Contracts</v>
      </c>
      <c r="O892" s="7" t="str">
        <f>VLOOKUP(E892,Mapping!$E$11:$I$204,5,0)</f>
        <v>SCS</v>
      </c>
      <c r="Q892" s="32" t="s">
        <v>138</v>
      </c>
      <c r="R892" s="32"/>
      <c r="S892" s="32">
        <v>71005</v>
      </c>
      <c r="T892" s="32" t="s">
        <v>461</v>
      </c>
      <c r="U892" s="33">
        <v>3.4000000000000002E-2</v>
      </c>
      <c r="V892" s="7"/>
      <c r="W892" s="7" t="str">
        <f>VLOOKUP($Q892,Mapping!$E$11:$I$204,3,0)</f>
        <v>ACS</v>
      </c>
      <c r="X892" s="7" t="str">
        <f>IFERROR(VLOOKUP($S892,Mapping!$E$208:$K$236,5,0),"Contracts")</f>
        <v>Materials</v>
      </c>
      <c r="Y892" s="7" t="str">
        <f>IFERROR(VLOOKUP($S892,Mapping!$E$208:$K$236,7,0),"ENDirect")</f>
        <v>ENDirect</v>
      </c>
      <c r="Z892" s="7" t="str">
        <f>IFERROR(HLOOKUP(X892,'Calc|Weightings'!$U$5:$W$5,1,0),"Excl")</f>
        <v>Materials</v>
      </c>
      <c r="AA892" s="7" t="str">
        <f>VLOOKUP(Q892,Mapping!$E$11:$I$204,5,0)</f>
        <v>ACS</v>
      </c>
      <c r="AC892" s="35" t="s">
        <v>134</v>
      </c>
      <c r="AD892" s="35"/>
      <c r="AE892" s="35">
        <v>71005</v>
      </c>
      <c r="AF892" s="35" t="s">
        <v>461</v>
      </c>
      <c r="AG892" s="36">
        <v>0.108</v>
      </c>
      <c r="AI892" s="7" t="str">
        <f>VLOOKUP($AC892,Mapping!$E$11:$I$204,3,0)</f>
        <v>ACS</v>
      </c>
      <c r="AJ892" s="7" t="str">
        <f>IFERROR(VLOOKUP($AE892,Mapping!$E$208:$K$236,5,0),"Contracts")</f>
        <v>Materials</v>
      </c>
      <c r="AK892" s="7" t="str">
        <f>IFERROR(VLOOKUP($AE892,Mapping!$E$208:$K$236,7,0),"ENDirect")</f>
        <v>ENDirect</v>
      </c>
      <c r="AL892" s="7" t="str">
        <f>IFERROR(HLOOKUP(AJ892,'Calc|Weightings'!$U$5:$W$5,1,0),"Excl")</f>
        <v>Materials</v>
      </c>
      <c r="AM892" s="7" t="str">
        <f>VLOOKUP(AC892,Mapping!$E$11:$I$204,5,0)</f>
        <v>ACS</v>
      </c>
      <c r="AO892" s="35" t="s">
        <v>230</v>
      </c>
      <c r="AP892" s="35"/>
      <c r="AQ892" s="35">
        <v>71000</v>
      </c>
      <c r="AR892" s="35" t="s">
        <v>457</v>
      </c>
      <c r="AS892" s="121">
        <v>210.23956999999999</v>
      </c>
      <c r="AU892" s="7" t="str">
        <f>VLOOKUP($AO892,Mapping!$E$11:$I$204,3,0)</f>
        <v>Replacement</v>
      </c>
      <c r="AV892" s="7" t="str">
        <f>IFERROR(VLOOKUP($AQ892,Mapping!$E$208:$K$236,5,0),"Contracts")</f>
        <v>Labour</v>
      </c>
      <c r="AW892" s="7" t="str">
        <f>IFERROR(VLOOKUP($AQ892,Mapping!$E$208:$K$236,7,0),"ENDirect")</f>
        <v>ENDirect</v>
      </c>
      <c r="AX892" s="7" t="str">
        <f>IFERROR(HLOOKUP(AV892,'Calc|Weightings'!$U$5:$W$5,1,0),"Excl")</f>
        <v>Labour</v>
      </c>
      <c r="AY892" s="7" t="str">
        <f>VLOOKUP(AO892,Mapping!$E$11:$I$204,5,0)</f>
        <v>SCS</v>
      </c>
    </row>
    <row r="893" spans="1:51" x14ac:dyDescent="0.3">
      <c r="A893" s="7"/>
      <c r="B893" s="7"/>
      <c r="C893" s="7"/>
      <c r="D893" s="7"/>
      <c r="E893" s="32" t="s">
        <v>240</v>
      </c>
      <c r="F893" s="32"/>
      <c r="G893" s="32">
        <v>80000</v>
      </c>
      <c r="H893" s="32" t="s">
        <v>453</v>
      </c>
      <c r="I893" s="33">
        <v>80.436999999999998</v>
      </c>
      <c r="J893" s="170"/>
      <c r="K893" s="7" t="str">
        <f>VLOOKUP($E893,Mapping!$E$11:$I$204,3,0)</f>
        <v>Replacement</v>
      </c>
      <c r="L893" s="7" t="str">
        <f>IFERROR(VLOOKUP($G893,Mapping!$E$208:$K$236,5,0),"Contracts")</f>
        <v>Overhead</v>
      </c>
      <c r="M893" s="7" t="str">
        <f>IFERROR(VLOOKUP($G893,Mapping!$E$208:$K$236,7,0),"ENDirect")</f>
        <v>OH</v>
      </c>
      <c r="N893" s="7" t="str">
        <f>IFERROR(HLOOKUP(L893,'Calc|Weightings'!$U$5:$W$5,1,0),"Excl")</f>
        <v>Excl</v>
      </c>
      <c r="O893" s="7" t="str">
        <f>VLOOKUP(E893,Mapping!$E$11:$I$204,5,0)</f>
        <v>SCS</v>
      </c>
      <c r="Q893" s="32" t="s">
        <v>138</v>
      </c>
      <c r="R893" s="32"/>
      <c r="S893" s="32">
        <v>71010</v>
      </c>
      <c r="T893" s="32" t="s">
        <v>462</v>
      </c>
      <c r="U893" s="33">
        <v>2E-3</v>
      </c>
      <c r="V893" s="7"/>
      <c r="W893" s="7" t="str">
        <f>VLOOKUP($Q893,Mapping!$E$11:$I$204,3,0)</f>
        <v>ACS</v>
      </c>
      <c r="X893" s="7" t="str">
        <f>IFERROR(VLOOKUP($S893,Mapping!$E$208:$K$236,5,0),"Contracts")</f>
        <v>Labour</v>
      </c>
      <c r="Y893" s="7" t="str">
        <f>IFERROR(VLOOKUP($S893,Mapping!$E$208:$K$236,7,0),"ENDirect")</f>
        <v>ENDirect</v>
      </c>
      <c r="Z893" s="7" t="str">
        <f>IFERROR(HLOOKUP(X893,'Calc|Weightings'!$U$5:$W$5,1,0),"Excl")</f>
        <v>Labour</v>
      </c>
      <c r="AA893" s="7" t="str">
        <f>VLOOKUP(Q893,Mapping!$E$11:$I$204,5,0)</f>
        <v>ACS</v>
      </c>
      <c r="AC893" s="35" t="s">
        <v>134</v>
      </c>
      <c r="AD893" s="35"/>
      <c r="AE893" s="35">
        <v>71010</v>
      </c>
      <c r="AF893" s="35" t="s">
        <v>462</v>
      </c>
      <c r="AG893" s="36">
        <v>1.0999999999999999E-2</v>
      </c>
      <c r="AI893" s="7" t="str">
        <f>VLOOKUP($AC893,Mapping!$E$11:$I$204,3,0)</f>
        <v>ACS</v>
      </c>
      <c r="AJ893" s="7" t="str">
        <f>IFERROR(VLOOKUP($AE893,Mapping!$E$208:$K$236,5,0),"Contracts")</f>
        <v>Labour</v>
      </c>
      <c r="AK893" s="7" t="str">
        <f>IFERROR(VLOOKUP($AE893,Mapping!$E$208:$K$236,7,0),"ENDirect")</f>
        <v>ENDirect</v>
      </c>
      <c r="AL893" s="7" t="str">
        <f>IFERROR(HLOOKUP(AJ893,'Calc|Weightings'!$U$5:$W$5,1,0),"Excl")</f>
        <v>Labour</v>
      </c>
      <c r="AM893" s="7" t="str">
        <f>VLOOKUP(AC893,Mapping!$E$11:$I$204,5,0)</f>
        <v>ACS</v>
      </c>
      <c r="AO893" s="35" t="s">
        <v>230</v>
      </c>
      <c r="AP893" s="35"/>
      <c r="AQ893" s="35">
        <v>71005</v>
      </c>
      <c r="AR893" s="35" t="s">
        <v>461</v>
      </c>
      <c r="AS893" s="121">
        <v>32.537540000000021</v>
      </c>
      <c r="AU893" s="7" t="str">
        <f>VLOOKUP($AO893,Mapping!$E$11:$I$204,3,0)</f>
        <v>Replacement</v>
      </c>
      <c r="AV893" s="7" t="str">
        <f>IFERROR(VLOOKUP($AQ893,Mapping!$E$208:$K$236,5,0),"Contracts")</f>
        <v>Materials</v>
      </c>
      <c r="AW893" s="7" t="str">
        <f>IFERROR(VLOOKUP($AQ893,Mapping!$E$208:$K$236,7,0),"ENDirect")</f>
        <v>ENDirect</v>
      </c>
      <c r="AX893" s="7" t="str">
        <f>IFERROR(HLOOKUP(AV893,'Calc|Weightings'!$U$5:$W$5,1,0),"Excl")</f>
        <v>Materials</v>
      </c>
      <c r="AY893" s="7" t="str">
        <f>VLOOKUP(AO893,Mapping!$E$11:$I$204,5,0)</f>
        <v>SCS</v>
      </c>
    </row>
    <row r="894" spans="1:51" x14ac:dyDescent="0.3">
      <c r="A894" s="7"/>
      <c r="B894" s="7"/>
      <c r="C894" s="7"/>
      <c r="D894" s="7"/>
      <c r="E894" s="32" t="s">
        <v>241</v>
      </c>
      <c r="F894" s="32"/>
      <c r="G894" s="32">
        <v>71000</v>
      </c>
      <c r="H894" s="32" t="s">
        <v>457</v>
      </c>
      <c r="I894" s="33">
        <v>34.122</v>
      </c>
      <c r="J894" s="170"/>
      <c r="K894" s="7" t="str">
        <f>VLOOKUP($E894,Mapping!$E$11:$I$204,3,0)</f>
        <v>Replacement</v>
      </c>
      <c r="L894" s="7" t="str">
        <f>IFERROR(VLOOKUP($G894,Mapping!$E$208:$K$236,5,0),"Contracts")</f>
        <v>Labour</v>
      </c>
      <c r="M894" s="7" t="str">
        <f>IFERROR(VLOOKUP($G894,Mapping!$E$208:$K$236,7,0),"ENDirect")</f>
        <v>ENDirect</v>
      </c>
      <c r="N894" s="7" t="str">
        <f>IFERROR(HLOOKUP(L894,'Calc|Weightings'!$U$5:$W$5,1,0),"Excl")</f>
        <v>Labour</v>
      </c>
      <c r="O894" s="7" t="str">
        <f>VLOOKUP(E894,Mapping!$E$11:$I$204,5,0)</f>
        <v>SCS</v>
      </c>
      <c r="Q894" s="32" t="s">
        <v>138</v>
      </c>
      <c r="R894" s="32"/>
      <c r="S894" s="32">
        <v>71015</v>
      </c>
      <c r="T894" s="32" t="s">
        <v>463</v>
      </c>
      <c r="U894" s="33">
        <v>8.4000000000000005E-2</v>
      </c>
      <c r="V894" s="7"/>
      <c r="W894" s="7" t="str">
        <f>VLOOKUP($Q894,Mapping!$E$11:$I$204,3,0)</f>
        <v>ACS</v>
      </c>
      <c r="X894" s="7" t="str">
        <f>IFERROR(VLOOKUP($S894,Mapping!$E$208:$K$236,5,0),"Contracts")</f>
        <v>Materials</v>
      </c>
      <c r="Y894" s="7" t="str">
        <f>IFERROR(VLOOKUP($S894,Mapping!$E$208:$K$236,7,0),"ENDirect")</f>
        <v>ENDirect</v>
      </c>
      <c r="Z894" s="7" t="str">
        <f>IFERROR(HLOOKUP(X894,'Calc|Weightings'!$U$5:$W$5,1,0),"Excl")</f>
        <v>Materials</v>
      </c>
      <c r="AA894" s="7" t="str">
        <f>VLOOKUP(Q894,Mapping!$E$11:$I$204,5,0)</f>
        <v>ACS</v>
      </c>
      <c r="AC894" s="35" t="s">
        <v>134</v>
      </c>
      <c r="AD894" s="35"/>
      <c r="AE894" s="35">
        <v>71015</v>
      </c>
      <c r="AF894" s="35" t="s">
        <v>463</v>
      </c>
      <c r="AG894" s="36">
        <v>0.21299999999999999</v>
      </c>
      <c r="AI894" s="7" t="str">
        <f>VLOOKUP($AC894,Mapping!$E$11:$I$204,3,0)</f>
        <v>ACS</v>
      </c>
      <c r="AJ894" s="7" t="str">
        <f>IFERROR(VLOOKUP($AE894,Mapping!$E$208:$K$236,5,0),"Contracts")</f>
        <v>Materials</v>
      </c>
      <c r="AK894" s="7" t="str">
        <f>IFERROR(VLOOKUP($AE894,Mapping!$E$208:$K$236,7,0),"ENDirect")</f>
        <v>ENDirect</v>
      </c>
      <c r="AL894" s="7" t="str">
        <f>IFERROR(HLOOKUP(AJ894,'Calc|Weightings'!$U$5:$W$5,1,0),"Excl")</f>
        <v>Materials</v>
      </c>
      <c r="AM894" s="7" t="str">
        <f>VLOOKUP(AC894,Mapping!$E$11:$I$204,5,0)</f>
        <v>ACS</v>
      </c>
      <c r="AO894" s="35" t="s">
        <v>230</v>
      </c>
      <c r="AP894" s="35"/>
      <c r="AQ894" s="35">
        <v>71010</v>
      </c>
      <c r="AR894" s="35" t="s">
        <v>487</v>
      </c>
      <c r="AS894" s="121">
        <v>53.658379999999987</v>
      </c>
      <c r="AU894" s="7" t="str">
        <f>VLOOKUP($AO894,Mapping!$E$11:$I$204,3,0)</f>
        <v>Replacement</v>
      </c>
      <c r="AV894" s="7" t="str">
        <f>IFERROR(VLOOKUP($AQ894,Mapping!$E$208:$K$236,5,0),"Contracts")</f>
        <v>Labour</v>
      </c>
      <c r="AW894" s="7" t="str">
        <f>IFERROR(VLOOKUP($AQ894,Mapping!$E$208:$K$236,7,0),"ENDirect")</f>
        <v>ENDirect</v>
      </c>
      <c r="AX894" s="7" t="str">
        <f>IFERROR(HLOOKUP(AV894,'Calc|Weightings'!$U$5:$W$5,1,0),"Excl")</f>
        <v>Labour</v>
      </c>
      <c r="AY894" s="7" t="str">
        <f>VLOOKUP(AO894,Mapping!$E$11:$I$204,5,0)</f>
        <v>SCS</v>
      </c>
    </row>
    <row r="895" spans="1:51" x14ac:dyDescent="0.3">
      <c r="A895" s="7"/>
      <c r="B895" s="7"/>
      <c r="C895" s="7"/>
      <c r="D895" s="7"/>
      <c r="E895" s="32" t="s">
        <v>241</v>
      </c>
      <c r="F895" s="32"/>
      <c r="G895" s="32">
        <v>71005</v>
      </c>
      <c r="H895" s="32" t="s">
        <v>461</v>
      </c>
      <c r="I895" s="33">
        <v>6.0810000000000004</v>
      </c>
      <c r="J895" s="170"/>
      <c r="K895" s="7" t="str">
        <f>VLOOKUP($E895,Mapping!$E$11:$I$204,3,0)</f>
        <v>Replacement</v>
      </c>
      <c r="L895" s="7" t="str">
        <f>IFERROR(VLOOKUP($G895,Mapping!$E$208:$K$236,5,0),"Contracts")</f>
        <v>Materials</v>
      </c>
      <c r="M895" s="7" t="str">
        <f>IFERROR(VLOOKUP($G895,Mapping!$E$208:$K$236,7,0),"ENDirect")</f>
        <v>ENDirect</v>
      </c>
      <c r="N895" s="7" t="str">
        <f>IFERROR(HLOOKUP(L895,'Calc|Weightings'!$U$5:$W$5,1,0),"Excl")</f>
        <v>Materials</v>
      </c>
      <c r="O895" s="7" t="str">
        <f>VLOOKUP(E895,Mapping!$E$11:$I$204,5,0)</f>
        <v>SCS</v>
      </c>
      <c r="Q895" s="32" t="s">
        <v>139</v>
      </c>
      <c r="R895" s="32"/>
      <c r="S895" s="32">
        <v>71010</v>
      </c>
      <c r="T895" s="32" t="s">
        <v>462</v>
      </c>
      <c r="U895" s="33">
        <v>6.0000000000000001E-3</v>
      </c>
      <c r="V895" s="7"/>
      <c r="W895" s="7" t="str">
        <f>VLOOKUP($Q895,Mapping!$E$11:$I$204,3,0)</f>
        <v>ACS</v>
      </c>
      <c r="X895" s="7" t="str">
        <f>IFERROR(VLOOKUP($S895,Mapping!$E$208:$K$236,5,0),"Contracts")</f>
        <v>Labour</v>
      </c>
      <c r="Y895" s="7" t="str">
        <f>IFERROR(VLOOKUP($S895,Mapping!$E$208:$K$236,7,0),"ENDirect")</f>
        <v>ENDirect</v>
      </c>
      <c r="Z895" s="7" t="str">
        <f>IFERROR(HLOOKUP(X895,'Calc|Weightings'!$U$5:$W$5,1,0),"Excl")</f>
        <v>Labour</v>
      </c>
      <c r="AA895" s="7" t="str">
        <f>VLOOKUP(Q895,Mapping!$E$11:$I$204,5,0)</f>
        <v>ACS</v>
      </c>
      <c r="AC895" s="35" t="s">
        <v>134</v>
      </c>
      <c r="AD895" s="35"/>
      <c r="AE895" s="35">
        <v>71030</v>
      </c>
      <c r="AF895" s="35" t="s">
        <v>464</v>
      </c>
      <c r="AG895" s="36">
        <v>6.9000000000000006E-2</v>
      </c>
      <c r="AI895" s="7" t="str">
        <f>VLOOKUP($AC895,Mapping!$E$11:$I$204,3,0)</f>
        <v>ACS</v>
      </c>
      <c r="AJ895" s="7" t="str">
        <f>IFERROR(VLOOKUP($AE895,Mapping!$E$208:$K$236,5,0),"Contracts")</f>
        <v>Contracts</v>
      </c>
      <c r="AK895" s="7" t="str">
        <f>IFERROR(VLOOKUP($AE895,Mapping!$E$208:$K$236,7,0),"ENDirect")</f>
        <v>ENDirect</v>
      </c>
      <c r="AL895" s="7" t="str">
        <f>IFERROR(HLOOKUP(AJ895,'Calc|Weightings'!$U$5:$W$5,1,0),"Excl")</f>
        <v>Contracts</v>
      </c>
      <c r="AM895" s="7" t="str">
        <f>VLOOKUP(AC895,Mapping!$E$11:$I$204,5,0)</f>
        <v>ACS</v>
      </c>
      <c r="AO895" s="35" t="s">
        <v>230</v>
      </c>
      <c r="AP895" s="35"/>
      <c r="AQ895" s="35">
        <v>71015</v>
      </c>
      <c r="AR895" s="35" t="s">
        <v>585</v>
      </c>
      <c r="AS895" s="121">
        <v>30.023500000000006</v>
      </c>
      <c r="AU895" s="7" t="str">
        <f>VLOOKUP($AO895,Mapping!$E$11:$I$204,3,0)</f>
        <v>Replacement</v>
      </c>
      <c r="AV895" s="7" t="str">
        <f>IFERROR(VLOOKUP($AQ895,Mapping!$E$208:$K$236,5,0),"Contracts")</f>
        <v>Materials</v>
      </c>
      <c r="AW895" s="7" t="str">
        <f>IFERROR(VLOOKUP($AQ895,Mapping!$E$208:$K$236,7,0),"ENDirect")</f>
        <v>ENDirect</v>
      </c>
      <c r="AX895" s="7" t="str">
        <f>IFERROR(HLOOKUP(AV895,'Calc|Weightings'!$U$5:$W$5,1,0),"Excl")</f>
        <v>Materials</v>
      </c>
      <c r="AY895" s="7" t="str">
        <f>VLOOKUP(AO895,Mapping!$E$11:$I$204,5,0)</f>
        <v>SCS</v>
      </c>
    </row>
    <row r="896" spans="1:51" x14ac:dyDescent="0.3">
      <c r="A896" s="7"/>
      <c r="B896" s="7"/>
      <c r="C896" s="7"/>
      <c r="D896" s="7"/>
      <c r="E896" s="32" t="s">
        <v>241</v>
      </c>
      <c r="F896" s="32"/>
      <c r="G896" s="32">
        <v>71010</v>
      </c>
      <c r="H896" s="32" t="s">
        <v>462</v>
      </c>
      <c r="I896" s="33">
        <v>13.826000000000001</v>
      </c>
      <c r="J896" s="170"/>
      <c r="K896" s="7" t="str">
        <f>VLOOKUP($E896,Mapping!$E$11:$I$204,3,0)</f>
        <v>Replacement</v>
      </c>
      <c r="L896" s="7" t="str">
        <f>IFERROR(VLOOKUP($G896,Mapping!$E$208:$K$236,5,0),"Contracts")</f>
        <v>Labour</v>
      </c>
      <c r="M896" s="7" t="str">
        <f>IFERROR(VLOOKUP($G896,Mapping!$E$208:$K$236,7,0),"ENDirect")</f>
        <v>ENDirect</v>
      </c>
      <c r="N896" s="7" t="str">
        <f>IFERROR(HLOOKUP(L896,'Calc|Weightings'!$U$5:$W$5,1,0),"Excl")</f>
        <v>Labour</v>
      </c>
      <c r="O896" s="7" t="str">
        <f>VLOOKUP(E896,Mapping!$E$11:$I$204,5,0)</f>
        <v>SCS</v>
      </c>
      <c r="Q896" s="32" t="s">
        <v>139</v>
      </c>
      <c r="R896" s="32"/>
      <c r="S896" s="32">
        <v>71015</v>
      </c>
      <c r="T896" s="32" t="s">
        <v>463</v>
      </c>
      <c r="U896" s="33">
        <v>0.622</v>
      </c>
      <c r="V896" s="7"/>
      <c r="W896" s="7" t="str">
        <f>VLOOKUP($Q896,Mapping!$E$11:$I$204,3,0)</f>
        <v>ACS</v>
      </c>
      <c r="X896" s="7" t="str">
        <f>IFERROR(VLOOKUP($S896,Mapping!$E$208:$K$236,5,0),"Contracts")</f>
        <v>Materials</v>
      </c>
      <c r="Y896" s="7" t="str">
        <f>IFERROR(VLOOKUP($S896,Mapping!$E$208:$K$236,7,0),"ENDirect")</f>
        <v>ENDirect</v>
      </c>
      <c r="Z896" s="7" t="str">
        <f>IFERROR(HLOOKUP(X896,'Calc|Weightings'!$U$5:$W$5,1,0),"Excl")</f>
        <v>Materials</v>
      </c>
      <c r="AA896" s="7" t="str">
        <f>VLOOKUP(Q896,Mapping!$E$11:$I$204,5,0)</f>
        <v>ACS</v>
      </c>
      <c r="AC896" s="35" t="s">
        <v>134</v>
      </c>
      <c r="AD896" s="35"/>
      <c r="AE896" s="35">
        <v>71055</v>
      </c>
      <c r="AF896" s="35" t="s">
        <v>465</v>
      </c>
      <c r="AG896" s="36">
        <v>0.128</v>
      </c>
      <c r="AI896" s="7" t="str">
        <f>VLOOKUP($AC896,Mapping!$E$11:$I$204,3,0)</f>
        <v>ACS</v>
      </c>
      <c r="AJ896" s="7" t="str">
        <f>IFERROR(VLOOKUP($AE896,Mapping!$E$208:$K$236,5,0),"Contracts")</f>
        <v>Contracts</v>
      </c>
      <c r="AK896" s="7" t="str">
        <f>IFERROR(VLOOKUP($AE896,Mapping!$E$208:$K$236,7,0),"ENDirect")</f>
        <v>ENDirect</v>
      </c>
      <c r="AL896" s="7" t="str">
        <f>IFERROR(HLOOKUP(AJ896,'Calc|Weightings'!$U$5:$W$5,1,0),"Excl")</f>
        <v>Contracts</v>
      </c>
      <c r="AM896" s="7" t="str">
        <f>VLOOKUP(AC896,Mapping!$E$11:$I$204,5,0)</f>
        <v>ACS</v>
      </c>
      <c r="AO896" s="35" t="s">
        <v>230</v>
      </c>
      <c r="AP896" s="35"/>
      <c r="AQ896" s="35">
        <v>71030</v>
      </c>
      <c r="AR896" s="35" t="s">
        <v>464</v>
      </c>
      <c r="AS896" s="121">
        <v>24.203029999999998</v>
      </c>
      <c r="AU896" s="7" t="str">
        <f>VLOOKUP($AO896,Mapping!$E$11:$I$204,3,0)</f>
        <v>Replacement</v>
      </c>
      <c r="AV896" s="7" t="str">
        <f>IFERROR(VLOOKUP($AQ896,Mapping!$E$208:$K$236,5,0),"Contracts")</f>
        <v>Contracts</v>
      </c>
      <c r="AW896" s="7" t="str">
        <f>IFERROR(VLOOKUP($AQ896,Mapping!$E$208:$K$236,7,0),"ENDirect")</f>
        <v>ENDirect</v>
      </c>
      <c r="AX896" s="7" t="str">
        <f>IFERROR(HLOOKUP(AV896,'Calc|Weightings'!$U$5:$W$5,1,0),"Excl")</f>
        <v>Contracts</v>
      </c>
      <c r="AY896" s="7" t="str">
        <f>VLOOKUP(AO896,Mapping!$E$11:$I$204,5,0)</f>
        <v>SCS</v>
      </c>
    </row>
    <row r="897" spans="1:51" x14ac:dyDescent="0.3">
      <c r="A897" s="7"/>
      <c r="B897" s="7"/>
      <c r="C897" s="7"/>
      <c r="D897" s="7"/>
      <c r="E897" s="32" t="s">
        <v>241</v>
      </c>
      <c r="F897" s="32"/>
      <c r="G897" s="32">
        <v>71015</v>
      </c>
      <c r="H897" s="32" t="s">
        <v>463</v>
      </c>
      <c r="I897" s="33">
        <v>7.2069999999999999</v>
      </c>
      <c r="J897" s="170"/>
      <c r="K897" s="7" t="str">
        <f>VLOOKUP($E897,Mapping!$E$11:$I$204,3,0)</f>
        <v>Replacement</v>
      </c>
      <c r="L897" s="7" t="str">
        <f>IFERROR(VLOOKUP($G897,Mapping!$E$208:$K$236,5,0),"Contracts")</f>
        <v>Materials</v>
      </c>
      <c r="M897" s="7" t="str">
        <f>IFERROR(VLOOKUP($G897,Mapping!$E$208:$K$236,7,0),"ENDirect")</f>
        <v>ENDirect</v>
      </c>
      <c r="N897" s="7" t="str">
        <f>IFERROR(HLOOKUP(L897,'Calc|Weightings'!$U$5:$W$5,1,0),"Excl")</f>
        <v>Materials</v>
      </c>
      <c r="O897" s="7" t="str">
        <f>VLOOKUP(E897,Mapping!$E$11:$I$204,5,0)</f>
        <v>SCS</v>
      </c>
      <c r="Q897" s="32" t="s">
        <v>153</v>
      </c>
      <c r="R897" s="32"/>
      <c r="S897" s="32">
        <v>71000</v>
      </c>
      <c r="T897" s="32" t="s">
        <v>457</v>
      </c>
      <c r="U897" s="33">
        <v>4.1539999999999999</v>
      </c>
      <c r="V897" s="7"/>
      <c r="W897" s="7" t="str">
        <f>VLOOKUP($Q897,Mapping!$E$11:$I$204,3,0)</f>
        <v>Augmentation</v>
      </c>
      <c r="X897" s="7" t="str">
        <f>IFERROR(VLOOKUP($S897,Mapping!$E$208:$K$236,5,0),"Contracts")</f>
        <v>Labour</v>
      </c>
      <c r="Y897" s="7" t="str">
        <f>IFERROR(VLOOKUP($S897,Mapping!$E$208:$K$236,7,0),"ENDirect")</f>
        <v>ENDirect</v>
      </c>
      <c r="Z897" s="7" t="str">
        <f>IFERROR(HLOOKUP(X897,'Calc|Weightings'!$U$5:$W$5,1,0),"Excl")</f>
        <v>Labour</v>
      </c>
      <c r="AA897" s="7" t="str">
        <f>VLOOKUP(Q897,Mapping!$E$11:$I$204,5,0)</f>
        <v>SCS</v>
      </c>
      <c r="AC897" s="35" t="s">
        <v>134</v>
      </c>
      <c r="AD897" s="35"/>
      <c r="AE897" s="35">
        <v>80000</v>
      </c>
      <c r="AF897" s="35" t="s">
        <v>453</v>
      </c>
      <c r="AG897" s="36">
        <v>0.1</v>
      </c>
      <c r="AI897" s="7" t="str">
        <f>VLOOKUP($AC897,Mapping!$E$11:$I$204,3,0)</f>
        <v>ACS</v>
      </c>
      <c r="AJ897" s="7" t="str">
        <f>IFERROR(VLOOKUP($AE897,Mapping!$E$208:$K$236,5,0),"Contracts")</f>
        <v>Overhead</v>
      </c>
      <c r="AK897" s="7" t="str">
        <f>IFERROR(VLOOKUP($AE897,Mapping!$E$208:$K$236,7,0),"ENDirect")</f>
        <v>OH</v>
      </c>
      <c r="AL897" s="7" t="str">
        <f>IFERROR(HLOOKUP(AJ897,'Calc|Weightings'!$U$5:$W$5,1,0),"Excl")</f>
        <v>Excl</v>
      </c>
      <c r="AM897" s="7" t="str">
        <f>VLOOKUP(AC897,Mapping!$E$11:$I$204,5,0)</f>
        <v>ACS</v>
      </c>
      <c r="AO897" s="35" t="s">
        <v>230</v>
      </c>
      <c r="AP897" s="35"/>
      <c r="AQ897" s="35">
        <v>71055</v>
      </c>
      <c r="AR897" s="35" t="s">
        <v>465</v>
      </c>
      <c r="AS897" s="121">
        <v>59.728229999999975</v>
      </c>
      <c r="AU897" s="7" t="str">
        <f>VLOOKUP($AO897,Mapping!$E$11:$I$204,3,0)</f>
        <v>Replacement</v>
      </c>
      <c r="AV897" s="7" t="str">
        <f>IFERROR(VLOOKUP($AQ897,Mapping!$E$208:$K$236,5,0),"Contracts")</f>
        <v>Contracts</v>
      </c>
      <c r="AW897" s="7" t="str">
        <f>IFERROR(VLOOKUP($AQ897,Mapping!$E$208:$K$236,7,0),"ENDirect")</f>
        <v>ENDirect</v>
      </c>
      <c r="AX897" s="7" t="str">
        <f>IFERROR(HLOOKUP(AV897,'Calc|Weightings'!$U$5:$W$5,1,0),"Excl")</f>
        <v>Contracts</v>
      </c>
      <c r="AY897" s="7" t="str">
        <f>VLOOKUP(AO897,Mapping!$E$11:$I$204,5,0)</f>
        <v>SCS</v>
      </c>
    </row>
    <row r="898" spans="1:51" x14ac:dyDescent="0.3">
      <c r="A898" s="7"/>
      <c r="B898" s="7"/>
      <c r="C898" s="7"/>
      <c r="D898" s="7"/>
      <c r="E898" s="32" t="s">
        <v>241</v>
      </c>
      <c r="F898" s="32"/>
      <c r="G898" s="32">
        <v>71030</v>
      </c>
      <c r="H898" s="32" t="s">
        <v>464</v>
      </c>
      <c r="I898" s="33">
        <v>5.3529999999999998</v>
      </c>
      <c r="J898" s="170"/>
      <c r="K898" s="7" t="str">
        <f>VLOOKUP($E898,Mapping!$E$11:$I$204,3,0)</f>
        <v>Replacement</v>
      </c>
      <c r="L898" s="7" t="str">
        <f>IFERROR(VLOOKUP($G898,Mapping!$E$208:$K$236,5,0),"Contracts")</f>
        <v>Contracts</v>
      </c>
      <c r="M898" s="7" t="str">
        <f>IFERROR(VLOOKUP($G898,Mapping!$E$208:$K$236,7,0),"ENDirect")</f>
        <v>ENDirect</v>
      </c>
      <c r="N898" s="7" t="str">
        <f>IFERROR(HLOOKUP(L898,'Calc|Weightings'!$U$5:$W$5,1,0),"Excl")</f>
        <v>Contracts</v>
      </c>
      <c r="O898" s="7" t="str">
        <f>VLOOKUP(E898,Mapping!$E$11:$I$204,5,0)</f>
        <v>SCS</v>
      </c>
      <c r="Q898" s="32" t="s">
        <v>153</v>
      </c>
      <c r="R898" s="32"/>
      <c r="S898" s="32">
        <v>71005</v>
      </c>
      <c r="T898" s="32" t="s">
        <v>461</v>
      </c>
      <c r="U898" s="33">
        <v>4.4710000000000001</v>
      </c>
      <c r="V898" s="7"/>
      <c r="W898" s="7" t="str">
        <f>VLOOKUP($Q898,Mapping!$E$11:$I$204,3,0)</f>
        <v>Augmentation</v>
      </c>
      <c r="X898" s="7" t="str">
        <f>IFERROR(VLOOKUP($S898,Mapping!$E$208:$K$236,5,0),"Contracts")</f>
        <v>Materials</v>
      </c>
      <c r="Y898" s="7" t="str">
        <f>IFERROR(VLOOKUP($S898,Mapping!$E$208:$K$236,7,0),"ENDirect")</f>
        <v>ENDirect</v>
      </c>
      <c r="Z898" s="7" t="str">
        <f>IFERROR(HLOOKUP(X898,'Calc|Weightings'!$U$5:$W$5,1,0),"Excl")</f>
        <v>Materials</v>
      </c>
      <c r="AA898" s="7" t="str">
        <f>VLOOKUP(Q898,Mapping!$E$11:$I$204,5,0)</f>
        <v>SCS</v>
      </c>
      <c r="AC898" s="35" t="s">
        <v>135</v>
      </c>
      <c r="AD898" s="35"/>
      <c r="AE898" s="35">
        <v>71010</v>
      </c>
      <c r="AF898" s="35" t="s">
        <v>462</v>
      </c>
      <c r="AG898" s="36">
        <v>11.738</v>
      </c>
      <c r="AI898" s="7" t="str">
        <f>VLOOKUP($AC898,Mapping!$E$11:$I$204,3,0)</f>
        <v>ACS</v>
      </c>
      <c r="AJ898" s="7" t="str">
        <f>IFERROR(VLOOKUP($AE898,Mapping!$E$208:$K$236,5,0),"Contracts")</f>
        <v>Labour</v>
      </c>
      <c r="AK898" s="7" t="str">
        <f>IFERROR(VLOOKUP($AE898,Mapping!$E$208:$K$236,7,0),"ENDirect")</f>
        <v>ENDirect</v>
      </c>
      <c r="AL898" s="7" t="str">
        <f>IFERROR(HLOOKUP(AJ898,'Calc|Weightings'!$U$5:$W$5,1,0),"Excl")</f>
        <v>Labour</v>
      </c>
      <c r="AM898" s="7" t="str">
        <f>VLOOKUP(AC898,Mapping!$E$11:$I$204,5,0)</f>
        <v>ACS</v>
      </c>
      <c r="AO898" s="35" t="s">
        <v>230</v>
      </c>
      <c r="AP898" s="35"/>
      <c r="AQ898" s="35">
        <v>71070</v>
      </c>
      <c r="AR898" s="35" t="s">
        <v>586</v>
      </c>
      <c r="AS898" s="121">
        <v>2.6148799999999999</v>
      </c>
      <c r="AU898" s="7" t="str">
        <f>VLOOKUP($AO898,Mapping!$E$11:$I$204,3,0)</f>
        <v>Replacement</v>
      </c>
      <c r="AV898" s="7" t="str">
        <f>IFERROR(VLOOKUP($AQ898,Mapping!$E$208:$K$236,5,0),"Contracts")</f>
        <v>Contracts</v>
      </c>
      <c r="AW898" s="7" t="str">
        <f>IFERROR(VLOOKUP($AQ898,Mapping!$E$208:$K$236,7,0),"ENDirect")</f>
        <v>ENDirect</v>
      </c>
      <c r="AX898" s="7" t="str">
        <f>IFERROR(HLOOKUP(AV898,'Calc|Weightings'!$U$5:$W$5,1,0),"Excl")</f>
        <v>Contracts</v>
      </c>
      <c r="AY898" s="7" t="str">
        <f>VLOOKUP(AO898,Mapping!$E$11:$I$204,5,0)</f>
        <v>SCS</v>
      </c>
    </row>
    <row r="899" spans="1:51" x14ac:dyDescent="0.3">
      <c r="A899" s="7"/>
      <c r="B899" s="7"/>
      <c r="C899" s="7"/>
      <c r="D899" s="7"/>
      <c r="E899" s="32" t="s">
        <v>241</v>
      </c>
      <c r="F899" s="32"/>
      <c r="G899" s="32">
        <v>71055</v>
      </c>
      <c r="H899" s="32" t="s">
        <v>465</v>
      </c>
      <c r="I899" s="33">
        <v>13.486000000000001</v>
      </c>
      <c r="J899" s="170"/>
      <c r="K899" s="7" t="str">
        <f>VLOOKUP($E899,Mapping!$E$11:$I$204,3,0)</f>
        <v>Replacement</v>
      </c>
      <c r="L899" s="7" t="str">
        <f>IFERROR(VLOOKUP($G899,Mapping!$E$208:$K$236,5,0),"Contracts")</f>
        <v>Contracts</v>
      </c>
      <c r="M899" s="7" t="str">
        <f>IFERROR(VLOOKUP($G899,Mapping!$E$208:$K$236,7,0),"ENDirect")</f>
        <v>ENDirect</v>
      </c>
      <c r="N899" s="7" t="str">
        <f>IFERROR(HLOOKUP(L899,'Calc|Weightings'!$U$5:$W$5,1,0),"Excl")</f>
        <v>Contracts</v>
      </c>
      <c r="O899" s="7" t="str">
        <f>VLOOKUP(E899,Mapping!$E$11:$I$204,5,0)</f>
        <v>SCS</v>
      </c>
      <c r="Q899" s="32" t="s">
        <v>153</v>
      </c>
      <c r="R899" s="32"/>
      <c r="S899" s="32">
        <v>71010</v>
      </c>
      <c r="T899" s="32" t="s">
        <v>462</v>
      </c>
      <c r="U899" s="33">
        <v>1.1839999999999999</v>
      </c>
      <c r="V899" s="7"/>
      <c r="W899" s="7" t="str">
        <f>VLOOKUP($Q899,Mapping!$E$11:$I$204,3,0)</f>
        <v>Augmentation</v>
      </c>
      <c r="X899" s="7" t="str">
        <f>IFERROR(VLOOKUP($S899,Mapping!$E$208:$K$236,5,0),"Contracts")</f>
        <v>Labour</v>
      </c>
      <c r="Y899" s="7" t="str">
        <f>IFERROR(VLOOKUP($S899,Mapping!$E$208:$K$236,7,0),"ENDirect")</f>
        <v>ENDirect</v>
      </c>
      <c r="Z899" s="7" t="str">
        <f>IFERROR(HLOOKUP(X899,'Calc|Weightings'!$U$5:$W$5,1,0),"Excl")</f>
        <v>Labour</v>
      </c>
      <c r="AA899" s="7" t="str">
        <f>VLOOKUP(Q899,Mapping!$E$11:$I$204,5,0)</f>
        <v>SCS</v>
      </c>
      <c r="AC899" s="35" t="s">
        <v>139</v>
      </c>
      <c r="AD899" s="35"/>
      <c r="AE899" s="35">
        <v>71010</v>
      </c>
      <c r="AF899" s="35" t="s">
        <v>462</v>
      </c>
      <c r="AG899" s="36">
        <v>7.0000000000000001E-3</v>
      </c>
      <c r="AI899" s="7" t="str">
        <f>VLOOKUP($AC899,Mapping!$E$11:$I$204,3,0)</f>
        <v>ACS</v>
      </c>
      <c r="AJ899" s="7" t="str">
        <f>IFERROR(VLOOKUP($AE899,Mapping!$E$208:$K$236,5,0),"Contracts")</f>
        <v>Labour</v>
      </c>
      <c r="AK899" s="7" t="str">
        <f>IFERROR(VLOOKUP($AE899,Mapping!$E$208:$K$236,7,0),"ENDirect")</f>
        <v>ENDirect</v>
      </c>
      <c r="AL899" s="7" t="str">
        <f>IFERROR(HLOOKUP(AJ899,'Calc|Weightings'!$U$5:$W$5,1,0),"Excl")</f>
        <v>Labour</v>
      </c>
      <c r="AM899" s="7" t="str">
        <f>VLOOKUP(AC899,Mapping!$E$11:$I$204,5,0)</f>
        <v>ACS</v>
      </c>
      <c r="AO899" s="35" t="s">
        <v>230</v>
      </c>
      <c r="AP899" s="35"/>
      <c r="AQ899" s="35">
        <v>71075</v>
      </c>
      <c r="AR899" s="35" t="s">
        <v>587</v>
      </c>
      <c r="AS899" s="121">
        <v>175.68686000000056</v>
      </c>
      <c r="AU899" s="7" t="str">
        <f>VLOOKUP($AO899,Mapping!$E$11:$I$204,3,0)</f>
        <v>Replacement</v>
      </c>
      <c r="AV899" s="7" t="str">
        <f>IFERROR(VLOOKUP($AQ899,Mapping!$E$208:$K$236,5,0),"Contracts")</f>
        <v>Contracts</v>
      </c>
      <c r="AW899" s="7" t="str">
        <f>IFERROR(VLOOKUP($AQ899,Mapping!$E$208:$K$236,7,0),"ENDirect")</f>
        <v>ENDirect</v>
      </c>
      <c r="AX899" s="7" t="str">
        <f>IFERROR(HLOOKUP(AV899,'Calc|Weightings'!$U$5:$W$5,1,0),"Excl")</f>
        <v>Contracts</v>
      </c>
      <c r="AY899" s="7" t="str">
        <f>VLOOKUP(AO899,Mapping!$E$11:$I$204,5,0)</f>
        <v>SCS</v>
      </c>
    </row>
    <row r="900" spans="1:51" x14ac:dyDescent="0.3">
      <c r="A900" s="7"/>
      <c r="B900" s="7"/>
      <c r="C900" s="7"/>
      <c r="D900" s="7"/>
      <c r="E900" s="32" t="s">
        <v>241</v>
      </c>
      <c r="F900" s="32"/>
      <c r="G900" s="32">
        <v>80000</v>
      </c>
      <c r="H900" s="32" t="s">
        <v>453</v>
      </c>
      <c r="I900" s="33">
        <v>5.8419999999999996</v>
      </c>
      <c r="J900" s="170"/>
      <c r="K900" s="7" t="str">
        <f>VLOOKUP($E900,Mapping!$E$11:$I$204,3,0)</f>
        <v>Replacement</v>
      </c>
      <c r="L900" s="7" t="str">
        <f>IFERROR(VLOOKUP($G900,Mapping!$E$208:$K$236,5,0),"Contracts")</f>
        <v>Overhead</v>
      </c>
      <c r="M900" s="7" t="str">
        <f>IFERROR(VLOOKUP($G900,Mapping!$E$208:$K$236,7,0),"ENDirect")</f>
        <v>OH</v>
      </c>
      <c r="N900" s="7" t="str">
        <f>IFERROR(HLOOKUP(L900,'Calc|Weightings'!$U$5:$W$5,1,0),"Excl")</f>
        <v>Excl</v>
      </c>
      <c r="O900" s="7" t="str">
        <f>VLOOKUP(E900,Mapping!$E$11:$I$204,5,0)</f>
        <v>SCS</v>
      </c>
      <c r="Q900" s="32" t="s">
        <v>153</v>
      </c>
      <c r="R900" s="32"/>
      <c r="S900" s="32">
        <v>71015</v>
      </c>
      <c r="T900" s="32" t="s">
        <v>463</v>
      </c>
      <c r="U900" s="33">
        <v>0.84899999999999998</v>
      </c>
      <c r="V900" s="7"/>
      <c r="W900" s="7" t="str">
        <f>VLOOKUP($Q900,Mapping!$E$11:$I$204,3,0)</f>
        <v>Augmentation</v>
      </c>
      <c r="X900" s="7" t="str">
        <f>IFERROR(VLOOKUP($S900,Mapping!$E$208:$K$236,5,0),"Contracts")</f>
        <v>Materials</v>
      </c>
      <c r="Y900" s="7" t="str">
        <f>IFERROR(VLOOKUP($S900,Mapping!$E$208:$K$236,7,0),"ENDirect")</f>
        <v>ENDirect</v>
      </c>
      <c r="Z900" s="7" t="str">
        <f>IFERROR(HLOOKUP(X900,'Calc|Weightings'!$U$5:$W$5,1,0),"Excl")</f>
        <v>Materials</v>
      </c>
      <c r="AA900" s="7" t="str">
        <f>VLOOKUP(Q900,Mapping!$E$11:$I$204,5,0)</f>
        <v>SCS</v>
      </c>
      <c r="AC900" s="35" t="s">
        <v>149</v>
      </c>
      <c r="AD900" s="35"/>
      <c r="AE900" s="35">
        <v>71020</v>
      </c>
      <c r="AF900" s="35" t="s">
        <v>459</v>
      </c>
      <c r="AG900" s="36">
        <v>0</v>
      </c>
      <c r="AI900" s="7" t="str">
        <f>VLOOKUP($AC900,Mapping!$E$11:$I$204,3,0)</f>
        <v>VBRC</v>
      </c>
      <c r="AJ900" s="7" t="str">
        <f>IFERROR(VLOOKUP($AE900,Mapping!$E$208:$K$236,5,0),"Contracts")</f>
        <v>Contracts</v>
      </c>
      <c r="AK900" s="7" t="str">
        <f>IFERROR(VLOOKUP($AE900,Mapping!$E$208:$K$236,7,0),"ENDirect")</f>
        <v>ENDirect</v>
      </c>
      <c r="AL900" s="7" t="str">
        <f>IFERROR(HLOOKUP(AJ900,'Calc|Weightings'!$U$5:$W$5,1,0),"Excl")</f>
        <v>Contracts</v>
      </c>
      <c r="AM900" s="7" t="str">
        <f>VLOOKUP(AC900,Mapping!$E$11:$I$204,5,0)</f>
        <v>SCS</v>
      </c>
      <c r="AO900" s="35" t="s">
        <v>230</v>
      </c>
      <c r="AP900" s="35"/>
      <c r="AQ900" s="35">
        <v>80000</v>
      </c>
      <c r="AR900" s="35" t="s">
        <v>589</v>
      </c>
      <c r="AS900" s="121">
        <v>311.85057</v>
      </c>
      <c r="AU900" s="7" t="str">
        <f>VLOOKUP($AO900,Mapping!$E$11:$I$204,3,0)</f>
        <v>Replacement</v>
      </c>
      <c r="AV900" s="7" t="str">
        <f>IFERROR(VLOOKUP($AQ900,Mapping!$E$208:$K$236,5,0),"Contracts")</f>
        <v>Overhead</v>
      </c>
      <c r="AW900" s="7" t="str">
        <f>IFERROR(VLOOKUP($AQ900,Mapping!$E$208:$K$236,7,0),"ENDirect")</f>
        <v>OH</v>
      </c>
      <c r="AX900" s="7" t="str">
        <f>IFERROR(HLOOKUP(AV900,'Calc|Weightings'!$U$5:$W$5,1,0),"Excl")</f>
        <v>Excl</v>
      </c>
      <c r="AY900" s="7" t="str">
        <f>VLOOKUP(AO900,Mapping!$E$11:$I$204,5,0)</f>
        <v>SCS</v>
      </c>
    </row>
    <row r="901" spans="1:51" x14ac:dyDescent="0.3">
      <c r="A901" s="7"/>
      <c r="B901" s="7"/>
      <c r="C901" s="7"/>
      <c r="D901" s="7"/>
      <c r="E901" s="32" t="s">
        <v>180</v>
      </c>
      <c r="F901" s="32"/>
      <c r="G901" s="32">
        <v>71005</v>
      </c>
      <c r="H901" s="32" t="s">
        <v>461</v>
      </c>
      <c r="I901" s="33">
        <v>28.73</v>
      </c>
      <c r="J901" s="170"/>
      <c r="K901" s="7" t="str">
        <f>VLOOKUP($E901,Mapping!$E$11:$I$204,3,0)</f>
        <v>Replacement</v>
      </c>
      <c r="L901" s="7" t="str">
        <f>IFERROR(VLOOKUP($G901,Mapping!$E$208:$K$236,5,0),"Contracts")</f>
        <v>Materials</v>
      </c>
      <c r="M901" s="7" t="str">
        <f>IFERROR(VLOOKUP($G901,Mapping!$E$208:$K$236,7,0),"ENDirect")</f>
        <v>ENDirect</v>
      </c>
      <c r="N901" s="7" t="str">
        <f>IFERROR(HLOOKUP(L901,'Calc|Weightings'!$U$5:$W$5,1,0),"Excl")</f>
        <v>Materials</v>
      </c>
      <c r="O901" s="7" t="str">
        <f>VLOOKUP(E901,Mapping!$E$11:$I$204,5,0)</f>
        <v>SCS</v>
      </c>
      <c r="Q901" s="32" t="s">
        <v>153</v>
      </c>
      <c r="R901" s="32"/>
      <c r="S901" s="32">
        <v>71030</v>
      </c>
      <c r="T901" s="32" t="s">
        <v>464</v>
      </c>
      <c r="U901" s="33">
        <v>0.84799999999999998</v>
      </c>
      <c r="V901" s="7"/>
      <c r="W901" s="7" t="str">
        <f>VLOOKUP($Q901,Mapping!$E$11:$I$204,3,0)</f>
        <v>Augmentation</v>
      </c>
      <c r="X901" s="7" t="str">
        <f>IFERROR(VLOOKUP($S901,Mapping!$E$208:$K$236,5,0),"Contracts")</f>
        <v>Contracts</v>
      </c>
      <c r="Y901" s="7" t="str">
        <f>IFERROR(VLOOKUP($S901,Mapping!$E$208:$K$236,7,0),"ENDirect")</f>
        <v>ENDirect</v>
      </c>
      <c r="Z901" s="7" t="str">
        <f>IFERROR(HLOOKUP(X901,'Calc|Weightings'!$U$5:$W$5,1,0),"Excl")</f>
        <v>Contracts</v>
      </c>
      <c r="AA901" s="7" t="str">
        <f>VLOOKUP(Q901,Mapping!$E$11:$I$204,5,0)</f>
        <v>SCS</v>
      </c>
      <c r="AC901" s="35" t="s">
        <v>151</v>
      </c>
      <c r="AD901" s="35"/>
      <c r="AE901" s="35">
        <v>71005</v>
      </c>
      <c r="AF901" s="35" t="s">
        <v>461</v>
      </c>
      <c r="AG901" s="36">
        <v>4.2489999999999997</v>
      </c>
      <c r="AI901" s="7" t="str">
        <f>VLOOKUP($AC901,Mapping!$E$11:$I$204,3,0)</f>
        <v>Replacement</v>
      </c>
      <c r="AJ901" s="7" t="str">
        <f>IFERROR(VLOOKUP($AE901,Mapping!$E$208:$K$236,5,0),"Contracts")</f>
        <v>Materials</v>
      </c>
      <c r="AK901" s="7" t="str">
        <f>IFERROR(VLOOKUP($AE901,Mapping!$E$208:$K$236,7,0),"ENDirect")</f>
        <v>ENDirect</v>
      </c>
      <c r="AL901" s="7" t="str">
        <f>IFERROR(HLOOKUP(AJ901,'Calc|Weightings'!$U$5:$W$5,1,0),"Excl")</f>
        <v>Materials</v>
      </c>
      <c r="AM901" s="7" t="str">
        <f>VLOOKUP(AC901,Mapping!$E$11:$I$204,5,0)</f>
        <v>SCS</v>
      </c>
      <c r="AO901" s="35" t="s">
        <v>230</v>
      </c>
      <c r="AP901" s="35"/>
      <c r="AQ901" s="35">
        <v>83010</v>
      </c>
      <c r="AR901" s="35" t="s">
        <v>591</v>
      </c>
      <c r="AS901" s="121">
        <v>1380.6566399999956</v>
      </c>
      <c r="AU901" s="7" t="str">
        <f>VLOOKUP($AO901,Mapping!$E$11:$I$204,3,0)</f>
        <v>Replacement</v>
      </c>
      <c r="AV901" s="7" t="str">
        <f>IFERROR(VLOOKUP($AQ901,Mapping!$E$208:$K$236,5,0),"Contracts")</f>
        <v>Contracts</v>
      </c>
      <c r="AW901" s="7" t="str">
        <f>IFERROR(VLOOKUP($AQ901,Mapping!$E$208:$K$236,7,0),"ENDirect")</f>
        <v>ENDirect</v>
      </c>
      <c r="AX901" s="7" t="str">
        <f>IFERROR(HLOOKUP(AV901,'Calc|Weightings'!$U$5:$W$5,1,0),"Excl")</f>
        <v>Contracts</v>
      </c>
      <c r="AY901" s="7" t="str">
        <f>VLOOKUP(AO901,Mapping!$E$11:$I$204,5,0)</f>
        <v>SCS</v>
      </c>
    </row>
    <row r="902" spans="1:51" x14ac:dyDescent="0.3">
      <c r="A902" s="7"/>
      <c r="B902" s="7"/>
      <c r="C902" s="7"/>
      <c r="D902" s="7"/>
      <c r="E902" s="32" t="s">
        <v>180</v>
      </c>
      <c r="F902" s="32"/>
      <c r="G902" s="32">
        <v>71040</v>
      </c>
      <c r="H902" s="32" t="s">
        <v>460</v>
      </c>
      <c r="I902" s="33">
        <v>-0.96799999999999997</v>
      </c>
      <c r="J902" s="170"/>
      <c r="K902" s="7" t="str">
        <f>VLOOKUP($E902,Mapping!$E$11:$I$204,3,0)</f>
        <v>Replacement</v>
      </c>
      <c r="L902" s="7" t="str">
        <f>IFERROR(VLOOKUP($G902,Mapping!$E$208:$K$236,5,0),"Contracts")</f>
        <v>Contracts</v>
      </c>
      <c r="M902" s="7" t="str">
        <f>IFERROR(VLOOKUP($G902,Mapping!$E$208:$K$236,7,0),"ENDirect")</f>
        <v>ENDirect</v>
      </c>
      <c r="N902" s="7" t="str">
        <f>IFERROR(HLOOKUP(L902,'Calc|Weightings'!$U$5:$W$5,1,0),"Excl")</f>
        <v>Contracts</v>
      </c>
      <c r="O902" s="7" t="str">
        <f>VLOOKUP(E902,Mapping!$E$11:$I$204,5,0)</f>
        <v>SCS</v>
      </c>
      <c r="Q902" s="32" t="s">
        <v>153</v>
      </c>
      <c r="R902" s="32"/>
      <c r="S902" s="32">
        <v>71055</v>
      </c>
      <c r="T902" s="32" t="s">
        <v>465</v>
      </c>
      <c r="U902" s="33">
        <v>1.456</v>
      </c>
      <c r="V902" s="7"/>
      <c r="W902" s="7" t="str">
        <f>VLOOKUP($Q902,Mapping!$E$11:$I$204,3,0)</f>
        <v>Augmentation</v>
      </c>
      <c r="X902" s="7" t="str">
        <f>IFERROR(VLOOKUP($S902,Mapping!$E$208:$K$236,5,0),"Contracts")</f>
        <v>Contracts</v>
      </c>
      <c r="Y902" s="7" t="str">
        <f>IFERROR(VLOOKUP($S902,Mapping!$E$208:$K$236,7,0),"ENDirect")</f>
        <v>ENDirect</v>
      </c>
      <c r="Z902" s="7" t="str">
        <f>IFERROR(HLOOKUP(X902,'Calc|Weightings'!$U$5:$W$5,1,0),"Excl")</f>
        <v>Contracts</v>
      </c>
      <c r="AA902" s="7" t="str">
        <f>VLOOKUP(Q902,Mapping!$E$11:$I$204,5,0)</f>
        <v>SCS</v>
      </c>
      <c r="AC902" s="35" t="s">
        <v>151</v>
      </c>
      <c r="AD902" s="35"/>
      <c r="AE902" s="35">
        <v>71010</v>
      </c>
      <c r="AF902" s="35" t="s">
        <v>462</v>
      </c>
      <c r="AG902" s="36">
        <v>0.11899999999999999</v>
      </c>
      <c r="AI902" s="7" t="str">
        <f>VLOOKUP($AC902,Mapping!$E$11:$I$204,3,0)</f>
        <v>Replacement</v>
      </c>
      <c r="AJ902" s="7" t="str">
        <f>IFERROR(VLOOKUP($AE902,Mapping!$E$208:$K$236,5,0),"Contracts")</f>
        <v>Labour</v>
      </c>
      <c r="AK902" s="7" t="str">
        <f>IFERROR(VLOOKUP($AE902,Mapping!$E$208:$K$236,7,0),"ENDirect")</f>
        <v>ENDirect</v>
      </c>
      <c r="AL902" s="7" t="str">
        <f>IFERROR(HLOOKUP(AJ902,'Calc|Weightings'!$U$5:$W$5,1,0),"Excl")</f>
        <v>Labour</v>
      </c>
      <c r="AM902" s="7" t="str">
        <f>VLOOKUP(AC902,Mapping!$E$11:$I$204,5,0)</f>
        <v>SCS</v>
      </c>
      <c r="AO902" s="35" t="s">
        <v>231</v>
      </c>
      <c r="AP902" s="35"/>
      <c r="AQ902" s="35">
        <v>71000</v>
      </c>
      <c r="AR902" s="35" t="s">
        <v>457</v>
      </c>
      <c r="AS902" s="121">
        <v>52.790479999999995</v>
      </c>
      <c r="AU902" s="7" t="str">
        <f>VLOOKUP($AO902,Mapping!$E$11:$I$204,3,0)</f>
        <v>Replacement</v>
      </c>
      <c r="AV902" s="7" t="str">
        <f>IFERROR(VLOOKUP($AQ902,Mapping!$E$208:$K$236,5,0),"Contracts")</f>
        <v>Labour</v>
      </c>
      <c r="AW902" s="7" t="str">
        <f>IFERROR(VLOOKUP($AQ902,Mapping!$E$208:$K$236,7,0),"ENDirect")</f>
        <v>ENDirect</v>
      </c>
      <c r="AX902" s="7" t="str">
        <f>IFERROR(HLOOKUP(AV902,'Calc|Weightings'!$U$5:$W$5,1,0),"Excl")</f>
        <v>Labour</v>
      </c>
      <c r="AY902" s="7" t="str">
        <f>VLOOKUP(AO902,Mapping!$E$11:$I$204,5,0)</f>
        <v>SCS</v>
      </c>
    </row>
    <row r="903" spans="1:51" x14ac:dyDescent="0.3">
      <c r="A903" s="7"/>
      <c r="B903" s="7"/>
      <c r="C903" s="7"/>
      <c r="D903" s="7"/>
      <c r="E903" s="32" t="s">
        <v>123</v>
      </c>
      <c r="F903" s="32"/>
      <c r="G903" s="32">
        <v>71020</v>
      </c>
      <c r="H903" s="32" t="s">
        <v>459</v>
      </c>
      <c r="I903" s="33">
        <v>0.14899999999999999</v>
      </c>
      <c r="J903" s="170"/>
      <c r="K903" s="7" t="str">
        <f>VLOOKUP($E903,Mapping!$E$11:$I$204,3,0)</f>
        <v>Augmentation</v>
      </c>
      <c r="L903" s="7" t="str">
        <f>IFERROR(VLOOKUP($G903,Mapping!$E$208:$K$236,5,0),"Contracts")</f>
        <v>Contracts</v>
      </c>
      <c r="M903" s="7" t="str">
        <f>IFERROR(VLOOKUP($G903,Mapping!$E$208:$K$236,7,0),"ENDirect")</f>
        <v>ENDirect</v>
      </c>
      <c r="N903" s="7" t="str">
        <f>IFERROR(HLOOKUP(L903,'Calc|Weightings'!$U$5:$W$5,1,0),"Excl")</f>
        <v>Contracts</v>
      </c>
      <c r="O903" s="7" t="str">
        <f>VLOOKUP(E903,Mapping!$E$11:$I$204,5,0)</f>
        <v>SCS</v>
      </c>
      <c r="Q903" s="32" t="s">
        <v>153</v>
      </c>
      <c r="R903" s="32"/>
      <c r="S903" s="32">
        <v>80000</v>
      </c>
      <c r="T903" s="32" t="s">
        <v>453</v>
      </c>
      <c r="U903" s="33">
        <v>2.4590000000000001</v>
      </c>
      <c r="V903" s="7"/>
      <c r="W903" s="7" t="str">
        <f>VLOOKUP($Q903,Mapping!$E$11:$I$204,3,0)</f>
        <v>Augmentation</v>
      </c>
      <c r="X903" s="7" t="str">
        <f>IFERROR(VLOOKUP($S903,Mapping!$E$208:$K$236,5,0),"Contracts")</f>
        <v>Overhead</v>
      </c>
      <c r="Y903" s="7" t="str">
        <f>IFERROR(VLOOKUP($S903,Mapping!$E$208:$K$236,7,0),"ENDirect")</f>
        <v>OH</v>
      </c>
      <c r="Z903" s="7" t="str">
        <f>IFERROR(HLOOKUP(X903,'Calc|Weightings'!$U$5:$W$5,1,0),"Excl")</f>
        <v>Excl</v>
      </c>
      <c r="AA903" s="7" t="str">
        <f>VLOOKUP(Q903,Mapping!$E$11:$I$204,5,0)</f>
        <v>SCS</v>
      </c>
      <c r="AC903" s="35" t="s">
        <v>151</v>
      </c>
      <c r="AD903" s="35"/>
      <c r="AE903" s="35">
        <v>71015</v>
      </c>
      <c r="AF903" s="35" t="s">
        <v>463</v>
      </c>
      <c r="AG903" s="36">
        <v>1.56</v>
      </c>
      <c r="AI903" s="7" t="str">
        <f>VLOOKUP($AC903,Mapping!$E$11:$I$204,3,0)</f>
        <v>Replacement</v>
      </c>
      <c r="AJ903" s="7" t="str">
        <f>IFERROR(VLOOKUP($AE903,Mapping!$E$208:$K$236,5,0),"Contracts")</f>
        <v>Materials</v>
      </c>
      <c r="AK903" s="7" t="str">
        <f>IFERROR(VLOOKUP($AE903,Mapping!$E$208:$K$236,7,0),"ENDirect")</f>
        <v>ENDirect</v>
      </c>
      <c r="AL903" s="7" t="str">
        <f>IFERROR(HLOOKUP(AJ903,'Calc|Weightings'!$U$5:$W$5,1,0),"Excl")</f>
        <v>Materials</v>
      </c>
      <c r="AM903" s="7" t="str">
        <f>VLOOKUP(AC903,Mapping!$E$11:$I$204,5,0)</f>
        <v>SCS</v>
      </c>
      <c r="AO903" s="35" t="s">
        <v>231</v>
      </c>
      <c r="AP903" s="35"/>
      <c r="AQ903" s="35">
        <v>71005</v>
      </c>
      <c r="AR903" s="35" t="s">
        <v>461</v>
      </c>
      <c r="AS903" s="121">
        <v>9.6033099999999969</v>
      </c>
      <c r="AU903" s="7" t="str">
        <f>VLOOKUP($AO903,Mapping!$E$11:$I$204,3,0)</f>
        <v>Replacement</v>
      </c>
      <c r="AV903" s="7" t="str">
        <f>IFERROR(VLOOKUP($AQ903,Mapping!$E$208:$K$236,5,0),"Contracts")</f>
        <v>Materials</v>
      </c>
      <c r="AW903" s="7" t="str">
        <f>IFERROR(VLOOKUP($AQ903,Mapping!$E$208:$K$236,7,0),"ENDirect")</f>
        <v>ENDirect</v>
      </c>
      <c r="AX903" s="7" t="str">
        <f>IFERROR(HLOOKUP(AV903,'Calc|Weightings'!$U$5:$W$5,1,0),"Excl")</f>
        <v>Materials</v>
      </c>
      <c r="AY903" s="7" t="str">
        <f>VLOOKUP(AO903,Mapping!$E$11:$I$204,5,0)</f>
        <v>SCS</v>
      </c>
    </row>
    <row r="904" spans="1:51" x14ac:dyDescent="0.3">
      <c r="A904" s="7"/>
      <c r="B904" s="7"/>
      <c r="C904" s="7"/>
      <c r="D904" s="7"/>
      <c r="E904" s="32" t="s">
        <v>146</v>
      </c>
      <c r="F904" s="32"/>
      <c r="G904" s="32">
        <v>71000</v>
      </c>
      <c r="H904" s="32" t="s">
        <v>457</v>
      </c>
      <c r="I904" s="33">
        <v>4.4809999999999999</v>
      </c>
      <c r="J904" s="170"/>
      <c r="K904" s="7" t="str">
        <f>VLOOKUP($E904,Mapping!$E$11:$I$204,3,0)</f>
        <v>VBRC</v>
      </c>
      <c r="L904" s="7" t="str">
        <f>IFERROR(VLOOKUP($G904,Mapping!$E$208:$K$236,5,0),"Contracts")</f>
        <v>Labour</v>
      </c>
      <c r="M904" s="7" t="str">
        <f>IFERROR(VLOOKUP($G904,Mapping!$E$208:$K$236,7,0),"ENDirect")</f>
        <v>ENDirect</v>
      </c>
      <c r="N904" s="7" t="str">
        <f>IFERROR(HLOOKUP(L904,'Calc|Weightings'!$U$5:$W$5,1,0),"Excl")</f>
        <v>Labour</v>
      </c>
      <c r="O904" s="7" t="str">
        <f>VLOOKUP(E904,Mapping!$E$11:$I$204,5,0)</f>
        <v>SCS</v>
      </c>
      <c r="Q904" s="32" t="s">
        <v>156</v>
      </c>
      <c r="R904" s="32"/>
      <c r="S904" s="32">
        <v>89999</v>
      </c>
      <c r="T904" s="32" t="s">
        <v>471</v>
      </c>
      <c r="U904" s="33">
        <v>0</v>
      </c>
      <c r="V904" s="7"/>
      <c r="W904" s="7" t="str">
        <f>VLOOKUP($Q904,Mapping!$E$11:$I$204,3,0)</f>
        <v>VBRC</v>
      </c>
      <c r="X904" s="7" t="str">
        <f>IFERROR(VLOOKUP($S904,Mapping!$E$208:$K$236,5,0),"Contracts")</f>
        <v>Contracts</v>
      </c>
      <c r="Y904" s="7" t="str">
        <f>IFERROR(VLOOKUP($S904,Mapping!$E$208:$K$236,7,0),"ENDirect")</f>
        <v>ENDirect</v>
      </c>
      <c r="Z904" s="7" t="str">
        <f>IFERROR(HLOOKUP(X904,'Calc|Weightings'!$U$5:$W$5,1,0),"Excl")</f>
        <v>Contracts</v>
      </c>
      <c r="AA904" s="7" t="str">
        <f>VLOOKUP(Q904,Mapping!$E$11:$I$204,5,0)</f>
        <v>SCS</v>
      </c>
      <c r="AC904" s="35" t="s">
        <v>151</v>
      </c>
      <c r="AD904" s="35"/>
      <c r="AE904" s="35">
        <v>71030</v>
      </c>
      <c r="AF904" s="35" t="s">
        <v>464</v>
      </c>
      <c r="AG904" s="36">
        <v>1.2270000000000001</v>
      </c>
      <c r="AI904" s="7" t="str">
        <f>VLOOKUP($AC904,Mapping!$E$11:$I$204,3,0)</f>
        <v>Replacement</v>
      </c>
      <c r="AJ904" s="7" t="str">
        <f>IFERROR(VLOOKUP($AE904,Mapping!$E$208:$K$236,5,0),"Contracts")</f>
        <v>Contracts</v>
      </c>
      <c r="AK904" s="7" t="str">
        <f>IFERROR(VLOOKUP($AE904,Mapping!$E$208:$K$236,7,0),"ENDirect")</f>
        <v>ENDirect</v>
      </c>
      <c r="AL904" s="7" t="str">
        <f>IFERROR(HLOOKUP(AJ904,'Calc|Weightings'!$U$5:$W$5,1,0),"Excl")</f>
        <v>Contracts</v>
      </c>
      <c r="AM904" s="7" t="str">
        <f>VLOOKUP(AC904,Mapping!$E$11:$I$204,5,0)</f>
        <v>SCS</v>
      </c>
      <c r="AO904" s="35" t="s">
        <v>231</v>
      </c>
      <c r="AP904" s="35"/>
      <c r="AQ904" s="35">
        <v>71010</v>
      </c>
      <c r="AR904" s="35" t="s">
        <v>487</v>
      </c>
      <c r="AS904" s="121">
        <v>3.4512199999999997</v>
      </c>
      <c r="AU904" s="7" t="str">
        <f>VLOOKUP($AO904,Mapping!$E$11:$I$204,3,0)</f>
        <v>Replacement</v>
      </c>
      <c r="AV904" s="7" t="str">
        <f>IFERROR(VLOOKUP($AQ904,Mapping!$E$208:$K$236,5,0),"Contracts")</f>
        <v>Labour</v>
      </c>
      <c r="AW904" s="7" t="str">
        <f>IFERROR(VLOOKUP($AQ904,Mapping!$E$208:$K$236,7,0),"ENDirect")</f>
        <v>ENDirect</v>
      </c>
      <c r="AX904" s="7" t="str">
        <f>IFERROR(HLOOKUP(AV904,'Calc|Weightings'!$U$5:$W$5,1,0),"Excl")</f>
        <v>Labour</v>
      </c>
      <c r="AY904" s="7" t="str">
        <f>VLOOKUP(AO904,Mapping!$E$11:$I$204,5,0)</f>
        <v>SCS</v>
      </c>
    </row>
    <row r="905" spans="1:51" x14ac:dyDescent="0.3">
      <c r="A905" s="7"/>
      <c r="B905" s="7"/>
      <c r="C905" s="7"/>
      <c r="D905" s="7"/>
      <c r="E905" s="32" t="s">
        <v>146</v>
      </c>
      <c r="F905" s="32"/>
      <c r="G905" s="32">
        <v>71005</v>
      </c>
      <c r="H905" s="32" t="s">
        <v>461</v>
      </c>
      <c r="I905" s="33">
        <v>5.6000000000000001E-2</v>
      </c>
      <c r="J905" s="170"/>
      <c r="K905" s="7" t="str">
        <f>VLOOKUP($E905,Mapping!$E$11:$I$204,3,0)</f>
        <v>VBRC</v>
      </c>
      <c r="L905" s="7" t="str">
        <f>IFERROR(VLOOKUP($G905,Mapping!$E$208:$K$236,5,0),"Contracts")</f>
        <v>Materials</v>
      </c>
      <c r="M905" s="7" t="str">
        <f>IFERROR(VLOOKUP($G905,Mapping!$E$208:$K$236,7,0),"ENDirect")</f>
        <v>ENDirect</v>
      </c>
      <c r="N905" s="7" t="str">
        <f>IFERROR(HLOOKUP(L905,'Calc|Weightings'!$U$5:$W$5,1,0),"Excl")</f>
        <v>Materials</v>
      </c>
      <c r="O905" s="7" t="str">
        <f>VLOOKUP(E905,Mapping!$E$11:$I$204,5,0)</f>
        <v>SCS</v>
      </c>
      <c r="Q905" s="32" t="s">
        <v>164</v>
      </c>
      <c r="R905" s="32"/>
      <c r="S905" s="32">
        <v>71000</v>
      </c>
      <c r="T905" s="32" t="s">
        <v>457</v>
      </c>
      <c r="U905" s="33">
        <v>90.76</v>
      </c>
      <c r="V905" s="7"/>
      <c r="W905" s="7" t="str">
        <f>VLOOKUP($Q905,Mapping!$E$11:$I$204,3,0)</f>
        <v>Replacement</v>
      </c>
      <c r="X905" s="7" t="str">
        <f>IFERROR(VLOOKUP($S905,Mapping!$E$208:$K$236,5,0),"Contracts")</f>
        <v>Labour</v>
      </c>
      <c r="Y905" s="7" t="str">
        <f>IFERROR(VLOOKUP($S905,Mapping!$E$208:$K$236,7,0),"ENDirect")</f>
        <v>ENDirect</v>
      </c>
      <c r="Z905" s="7" t="str">
        <f>IFERROR(HLOOKUP(X905,'Calc|Weightings'!$U$5:$W$5,1,0),"Excl")</f>
        <v>Labour</v>
      </c>
      <c r="AA905" s="7" t="str">
        <f>VLOOKUP(Q905,Mapping!$E$11:$I$204,5,0)</f>
        <v>SCS</v>
      </c>
      <c r="AC905" s="35" t="s">
        <v>151</v>
      </c>
      <c r="AD905" s="35"/>
      <c r="AE905" s="35">
        <v>71055</v>
      </c>
      <c r="AF905" s="35" t="s">
        <v>465</v>
      </c>
      <c r="AG905" s="36">
        <v>3.2120000000000002</v>
      </c>
      <c r="AI905" s="7" t="str">
        <f>VLOOKUP($AC905,Mapping!$E$11:$I$204,3,0)</f>
        <v>Replacement</v>
      </c>
      <c r="AJ905" s="7" t="str">
        <f>IFERROR(VLOOKUP($AE905,Mapping!$E$208:$K$236,5,0),"Contracts")</f>
        <v>Contracts</v>
      </c>
      <c r="AK905" s="7" t="str">
        <f>IFERROR(VLOOKUP($AE905,Mapping!$E$208:$K$236,7,0),"ENDirect")</f>
        <v>ENDirect</v>
      </c>
      <c r="AL905" s="7" t="str">
        <f>IFERROR(HLOOKUP(AJ905,'Calc|Weightings'!$U$5:$W$5,1,0),"Excl")</f>
        <v>Contracts</v>
      </c>
      <c r="AM905" s="7" t="str">
        <f>VLOOKUP(AC905,Mapping!$E$11:$I$204,5,0)</f>
        <v>SCS</v>
      </c>
      <c r="AO905" s="35" t="s">
        <v>231</v>
      </c>
      <c r="AP905" s="35"/>
      <c r="AQ905" s="35">
        <v>71015</v>
      </c>
      <c r="AR905" s="35" t="s">
        <v>585</v>
      </c>
      <c r="AS905" s="121">
        <v>7.3817299999999983</v>
      </c>
      <c r="AU905" s="7" t="str">
        <f>VLOOKUP($AO905,Mapping!$E$11:$I$204,3,0)</f>
        <v>Replacement</v>
      </c>
      <c r="AV905" s="7" t="str">
        <f>IFERROR(VLOOKUP($AQ905,Mapping!$E$208:$K$236,5,0),"Contracts")</f>
        <v>Materials</v>
      </c>
      <c r="AW905" s="7" t="str">
        <f>IFERROR(VLOOKUP($AQ905,Mapping!$E$208:$K$236,7,0),"ENDirect")</f>
        <v>ENDirect</v>
      </c>
      <c r="AX905" s="7" t="str">
        <f>IFERROR(HLOOKUP(AV905,'Calc|Weightings'!$U$5:$W$5,1,0),"Excl")</f>
        <v>Materials</v>
      </c>
      <c r="AY905" s="7" t="str">
        <f>VLOOKUP(AO905,Mapping!$E$11:$I$204,5,0)</f>
        <v>SCS</v>
      </c>
    </row>
    <row r="906" spans="1:51" x14ac:dyDescent="0.3">
      <c r="A906" s="7"/>
      <c r="B906" s="7"/>
      <c r="C906" s="7"/>
      <c r="D906" s="7"/>
      <c r="E906" s="32" t="s">
        <v>146</v>
      </c>
      <c r="F906" s="32"/>
      <c r="G906" s="32">
        <v>71010</v>
      </c>
      <c r="H906" s="32" t="s">
        <v>462</v>
      </c>
      <c r="I906" s="33">
        <v>1.0109999999999999</v>
      </c>
      <c r="J906" s="170"/>
      <c r="K906" s="7" t="str">
        <f>VLOOKUP($E906,Mapping!$E$11:$I$204,3,0)</f>
        <v>VBRC</v>
      </c>
      <c r="L906" s="7" t="str">
        <f>IFERROR(VLOOKUP($G906,Mapping!$E$208:$K$236,5,0),"Contracts")</f>
        <v>Labour</v>
      </c>
      <c r="M906" s="7" t="str">
        <f>IFERROR(VLOOKUP($G906,Mapping!$E$208:$K$236,7,0),"ENDirect")</f>
        <v>ENDirect</v>
      </c>
      <c r="N906" s="7" t="str">
        <f>IFERROR(HLOOKUP(L906,'Calc|Weightings'!$U$5:$W$5,1,0),"Excl")</f>
        <v>Labour</v>
      </c>
      <c r="O906" s="7" t="str">
        <f>VLOOKUP(E906,Mapping!$E$11:$I$204,5,0)</f>
        <v>SCS</v>
      </c>
      <c r="Q906" s="32" t="s">
        <v>164</v>
      </c>
      <c r="R906" s="32"/>
      <c r="S906" s="32">
        <v>71005</v>
      </c>
      <c r="T906" s="32" t="s">
        <v>461</v>
      </c>
      <c r="U906" s="33">
        <v>43.316000000000003</v>
      </c>
      <c r="V906" s="7"/>
      <c r="W906" s="7" t="str">
        <f>VLOOKUP($Q906,Mapping!$E$11:$I$204,3,0)</f>
        <v>Replacement</v>
      </c>
      <c r="X906" s="7" t="str">
        <f>IFERROR(VLOOKUP($S906,Mapping!$E$208:$K$236,5,0),"Contracts")</f>
        <v>Materials</v>
      </c>
      <c r="Y906" s="7" t="str">
        <f>IFERROR(VLOOKUP($S906,Mapping!$E$208:$K$236,7,0),"ENDirect")</f>
        <v>ENDirect</v>
      </c>
      <c r="Z906" s="7" t="str">
        <f>IFERROR(HLOOKUP(X906,'Calc|Weightings'!$U$5:$W$5,1,0),"Excl")</f>
        <v>Materials</v>
      </c>
      <c r="AA906" s="7" t="str">
        <f>VLOOKUP(Q906,Mapping!$E$11:$I$204,5,0)</f>
        <v>SCS</v>
      </c>
      <c r="AC906" s="35" t="s">
        <v>151</v>
      </c>
      <c r="AD906" s="35"/>
      <c r="AE906" s="35">
        <v>80000</v>
      </c>
      <c r="AF906" s="35" t="s">
        <v>453</v>
      </c>
      <c r="AG906" s="36">
        <v>1.4690000000000001</v>
      </c>
      <c r="AI906" s="7" t="str">
        <f>VLOOKUP($AC906,Mapping!$E$11:$I$204,3,0)</f>
        <v>Replacement</v>
      </c>
      <c r="AJ906" s="7" t="str">
        <f>IFERROR(VLOOKUP($AE906,Mapping!$E$208:$K$236,5,0),"Contracts")</f>
        <v>Overhead</v>
      </c>
      <c r="AK906" s="7" t="str">
        <f>IFERROR(VLOOKUP($AE906,Mapping!$E$208:$K$236,7,0),"ENDirect")</f>
        <v>OH</v>
      </c>
      <c r="AL906" s="7" t="str">
        <f>IFERROR(HLOOKUP(AJ906,'Calc|Weightings'!$U$5:$W$5,1,0),"Excl")</f>
        <v>Excl</v>
      </c>
      <c r="AM906" s="7" t="str">
        <f>VLOOKUP(AC906,Mapping!$E$11:$I$204,5,0)</f>
        <v>SCS</v>
      </c>
      <c r="AO906" s="35" t="s">
        <v>231</v>
      </c>
      <c r="AP906" s="35"/>
      <c r="AQ906" s="35">
        <v>71030</v>
      </c>
      <c r="AR906" s="35" t="s">
        <v>464</v>
      </c>
      <c r="AS906" s="121">
        <v>6.3062099999999992</v>
      </c>
      <c r="AU906" s="7" t="str">
        <f>VLOOKUP($AO906,Mapping!$E$11:$I$204,3,0)</f>
        <v>Replacement</v>
      </c>
      <c r="AV906" s="7" t="str">
        <f>IFERROR(VLOOKUP($AQ906,Mapping!$E$208:$K$236,5,0),"Contracts")</f>
        <v>Contracts</v>
      </c>
      <c r="AW906" s="7" t="str">
        <f>IFERROR(VLOOKUP($AQ906,Mapping!$E$208:$K$236,7,0),"ENDirect")</f>
        <v>ENDirect</v>
      </c>
      <c r="AX906" s="7" t="str">
        <f>IFERROR(HLOOKUP(AV906,'Calc|Weightings'!$U$5:$W$5,1,0),"Excl")</f>
        <v>Contracts</v>
      </c>
      <c r="AY906" s="7" t="str">
        <f>VLOOKUP(AO906,Mapping!$E$11:$I$204,5,0)</f>
        <v>SCS</v>
      </c>
    </row>
    <row r="907" spans="1:51" x14ac:dyDescent="0.3">
      <c r="A907" s="7"/>
      <c r="B907" s="7"/>
      <c r="C907" s="7"/>
      <c r="D907" s="7"/>
      <c r="E907" s="32" t="s">
        <v>146</v>
      </c>
      <c r="F907" s="32"/>
      <c r="G907" s="32">
        <v>71015</v>
      </c>
      <c r="H907" s="32" t="s">
        <v>463</v>
      </c>
      <c r="I907" s="33">
        <v>0.63600000000000001</v>
      </c>
      <c r="J907" s="170"/>
      <c r="K907" s="7" t="str">
        <f>VLOOKUP($E907,Mapping!$E$11:$I$204,3,0)</f>
        <v>VBRC</v>
      </c>
      <c r="L907" s="7" t="str">
        <f>IFERROR(VLOOKUP($G907,Mapping!$E$208:$K$236,5,0),"Contracts")</f>
        <v>Materials</v>
      </c>
      <c r="M907" s="7" t="str">
        <f>IFERROR(VLOOKUP($G907,Mapping!$E$208:$K$236,7,0),"ENDirect")</f>
        <v>ENDirect</v>
      </c>
      <c r="N907" s="7" t="str">
        <f>IFERROR(HLOOKUP(L907,'Calc|Weightings'!$U$5:$W$5,1,0),"Excl")</f>
        <v>Materials</v>
      </c>
      <c r="O907" s="7" t="str">
        <f>VLOOKUP(E907,Mapping!$E$11:$I$204,5,0)</f>
        <v>SCS</v>
      </c>
      <c r="Q907" s="32" t="s">
        <v>164</v>
      </c>
      <c r="R907" s="32"/>
      <c r="S907" s="32">
        <v>71006</v>
      </c>
      <c r="T907" s="32" t="s">
        <v>468</v>
      </c>
      <c r="U907" s="33">
        <v>114.729</v>
      </c>
      <c r="V907" s="7"/>
      <c r="W907" s="7" t="str">
        <f>VLOOKUP($Q907,Mapping!$E$11:$I$204,3,0)</f>
        <v>Replacement</v>
      </c>
      <c r="X907" s="7" t="str">
        <f>IFERROR(VLOOKUP($S907,Mapping!$E$208:$K$236,5,0),"Contracts")</f>
        <v>Materials</v>
      </c>
      <c r="Y907" s="7" t="str">
        <f>IFERROR(VLOOKUP($S907,Mapping!$E$208:$K$236,7,0),"ENDirect")</f>
        <v>ENDirect</v>
      </c>
      <c r="Z907" s="7" t="str">
        <f>IFERROR(HLOOKUP(X907,'Calc|Weightings'!$U$5:$W$5,1,0),"Excl")</f>
        <v>Materials</v>
      </c>
      <c r="AA907" s="7" t="str">
        <f>VLOOKUP(Q907,Mapping!$E$11:$I$204,5,0)</f>
        <v>SCS</v>
      </c>
      <c r="AC907" s="35" t="s">
        <v>151</v>
      </c>
      <c r="AD907" s="35"/>
      <c r="AE907" s="35">
        <v>89999</v>
      </c>
      <c r="AF907" s="35" t="s">
        <v>471</v>
      </c>
      <c r="AG907" s="36">
        <v>0</v>
      </c>
      <c r="AI907" s="7" t="str">
        <f>VLOOKUP($AC907,Mapping!$E$11:$I$204,3,0)</f>
        <v>Replacement</v>
      </c>
      <c r="AJ907" s="7" t="str">
        <f>IFERROR(VLOOKUP($AE907,Mapping!$E$208:$K$236,5,0),"Contracts")</f>
        <v>Contracts</v>
      </c>
      <c r="AK907" s="7" t="str">
        <f>IFERROR(VLOOKUP($AE907,Mapping!$E$208:$K$236,7,0),"ENDirect")</f>
        <v>ENDirect</v>
      </c>
      <c r="AL907" s="7" t="str">
        <f>IFERROR(HLOOKUP(AJ907,'Calc|Weightings'!$U$5:$W$5,1,0),"Excl")</f>
        <v>Contracts</v>
      </c>
      <c r="AM907" s="7" t="str">
        <f>VLOOKUP(AC907,Mapping!$E$11:$I$204,5,0)</f>
        <v>SCS</v>
      </c>
      <c r="AO907" s="35" t="s">
        <v>231</v>
      </c>
      <c r="AP907" s="35"/>
      <c r="AQ907" s="35">
        <v>71055</v>
      </c>
      <c r="AR907" s="35" t="s">
        <v>465</v>
      </c>
      <c r="AS907" s="121">
        <v>16.861959999999996</v>
      </c>
      <c r="AU907" s="7" t="str">
        <f>VLOOKUP($AO907,Mapping!$E$11:$I$204,3,0)</f>
        <v>Replacement</v>
      </c>
      <c r="AV907" s="7" t="str">
        <f>IFERROR(VLOOKUP($AQ907,Mapping!$E$208:$K$236,5,0),"Contracts")</f>
        <v>Contracts</v>
      </c>
      <c r="AW907" s="7" t="str">
        <f>IFERROR(VLOOKUP($AQ907,Mapping!$E$208:$K$236,7,0),"ENDirect")</f>
        <v>ENDirect</v>
      </c>
      <c r="AX907" s="7" t="str">
        <f>IFERROR(HLOOKUP(AV907,'Calc|Weightings'!$U$5:$W$5,1,0),"Excl")</f>
        <v>Contracts</v>
      </c>
      <c r="AY907" s="7" t="str">
        <f>VLOOKUP(AO907,Mapping!$E$11:$I$204,5,0)</f>
        <v>SCS</v>
      </c>
    </row>
    <row r="908" spans="1:51" x14ac:dyDescent="0.3">
      <c r="A908" s="7"/>
      <c r="B908" s="7"/>
      <c r="C908" s="7"/>
      <c r="D908" s="7"/>
      <c r="E908" s="32" t="s">
        <v>146</v>
      </c>
      <c r="F908" s="32"/>
      <c r="G908" s="32">
        <v>71020</v>
      </c>
      <c r="H908" s="32" t="s">
        <v>459</v>
      </c>
      <c r="I908" s="33">
        <v>0.44800000000000001</v>
      </c>
      <c r="J908" s="170"/>
      <c r="K908" s="7" t="str">
        <f>VLOOKUP($E908,Mapping!$E$11:$I$204,3,0)</f>
        <v>VBRC</v>
      </c>
      <c r="L908" s="7" t="str">
        <f>IFERROR(VLOOKUP($G908,Mapping!$E$208:$K$236,5,0),"Contracts")</f>
        <v>Contracts</v>
      </c>
      <c r="M908" s="7" t="str">
        <f>IFERROR(VLOOKUP($G908,Mapping!$E$208:$K$236,7,0),"ENDirect")</f>
        <v>ENDirect</v>
      </c>
      <c r="N908" s="7" t="str">
        <f>IFERROR(HLOOKUP(L908,'Calc|Weightings'!$U$5:$W$5,1,0),"Excl")</f>
        <v>Contracts</v>
      </c>
      <c r="O908" s="7" t="str">
        <f>VLOOKUP(E908,Mapping!$E$11:$I$204,5,0)</f>
        <v>SCS</v>
      </c>
      <c r="Q908" s="32" t="s">
        <v>164</v>
      </c>
      <c r="R908" s="32"/>
      <c r="S908" s="32">
        <v>71010</v>
      </c>
      <c r="T908" s="32" t="s">
        <v>462</v>
      </c>
      <c r="U908" s="33">
        <v>34.069000000000003</v>
      </c>
      <c r="V908" s="7"/>
      <c r="W908" s="7" t="str">
        <f>VLOOKUP($Q908,Mapping!$E$11:$I$204,3,0)</f>
        <v>Replacement</v>
      </c>
      <c r="X908" s="7" t="str">
        <f>IFERROR(VLOOKUP($S908,Mapping!$E$208:$K$236,5,0),"Contracts")</f>
        <v>Labour</v>
      </c>
      <c r="Y908" s="7" t="str">
        <f>IFERROR(VLOOKUP($S908,Mapping!$E$208:$K$236,7,0),"ENDirect")</f>
        <v>ENDirect</v>
      </c>
      <c r="Z908" s="7" t="str">
        <f>IFERROR(HLOOKUP(X908,'Calc|Weightings'!$U$5:$W$5,1,0),"Excl")</f>
        <v>Labour</v>
      </c>
      <c r="AA908" s="7" t="str">
        <f>VLOOKUP(Q908,Mapping!$E$11:$I$204,5,0)</f>
        <v>SCS</v>
      </c>
      <c r="AC908" s="35" t="s">
        <v>153</v>
      </c>
      <c r="AD908" s="35"/>
      <c r="AE908" s="35">
        <v>71000</v>
      </c>
      <c r="AF908" s="35" t="s">
        <v>457</v>
      </c>
      <c r="AG908" s="36">
        <v>2.7730000000000001</v>
      </c>
      <c r="AI908" s="7" t="str">
        <f>VLOOKUP($AC908,Mapping!$E$11:$I$204,3,0)</f>
        <v>Augmentation</v>
      </c>
      <c r="AJ908" s="7" t="str">
        <f>IFERROR(VLOOKUP($AE908,Mapping!$E$208:$K$236,5,0),"Contracts")</f>
        <v>Labour</v>
      </c>
      <c r="AK908" s="7" t="str">
        <f>IFERROR(VLOOKUP($AE908,Mapping!$E$208:$K$236,7,0),"ENDirect")</f>
        <v>ENDirect</v>
      </c>
      <c r="AL908" s="7" t="str">
        <f>IFERROR(HLOOKUP(AJ908,'Calc|Weightings'!$U$5:$W$5,1,0),"Excl")</f>
        <v>Labour</v>
      </c>
      <c r="AM908" s="7" t="str">
        <f>VLOOKUP(AC908,Mapping!$E$11:$I$204,5,0)</f>
        <v>SCS</v>
      </c>
      <c r="AO908" s="35" t="s">
        <v>231</v>
      </c>
      <c r="AP908" s="35"/>
      <c r="AQ908" s="35">
        <v>71075</v>
      </c>
      <c r="AR908" s="35" t="s">
        <v>587</v>
      </c>
      <c r="AS908" s="121">
        <v>34.764910000000064</v>
      </c>
      <c r="AU908" s="7" t="str">
        <f>VLOOKUP($AO908,Mapping!$E$11:$I$204,3,0)</f>
        <v>Replacement</v>
      </c>
      <c r="AV908" s="7" t="str">
        <f>IFERROR(VLOOKUP($AQ908,Mapping!$E$208:$K$236,5,0),"Contracts")</f>
        <v>Contracts</v>
      </c>
      <c r="AW908" s="7" t="str">
        <f>IFERROR(VLOOKUP($AQ908,Mapping!$E$208:$K$236,7,0),"ENDirect")</f>
        <v>ENDirect</v>
      </c>
      <c r="AX908" s="7" t="str">
        <f>IFERROR(HLOOKUP(AV908,'Calc|Weightings'!$U$5:$W$5,1,0),"Excl")</f>
        <v>Contracts</v>
      </c>
      <c r="AY908" s="7" t="str">
        <f>VLOOKUP(AO908,Mapping!$E$11:$I$204,5,0)</f>
        <v>SCS</v>
      </c>
    </row>
    <row r="909" spans="1:51" x14ac:dyDescent="0.3">
      <c r="A909" s="7"/>
      <c r="B909" s="7"/>
      <c r="C909" s="7"/>
      <c r="D909" s="7"/>
      <c r="E909" s="32" t="s">
        <v>146</v>
      </c>
      <c r="F909" s="32"/>
      <c r="G909" s="32">
        <v>71030</v>
      </c>
      <c r="H909" s="32" t="s">
        <v>464</v>
      </c>
      <c r="I909" s="33">
        <v>0.60899999999999999</v>
      </c>
      <c r="J909" s="170"/>
      <c r="K909" s="7" t="str">
        <f>VLOOKUP($E909,Mapping!$E$11:$I$204,3,0)</f>
        <v>VBRC</v>
      </c>
      <c r="L909" s="7" t="str">
        <f>IFERROR(VLOOKUP($G909,Mapping!$E$208:$K$236,5,0),"Contracts")</f>
        <v>Contracts</v>
      </c>
      <c r="M909" s="7" t="str">
        <f>IFERROR(VLOOKUP($G909,Mapping!$E$208:$K$236,7,0),"ENDirect")</f>
        <v>ENDirect</v>
      </c>
      <c r="N909" s="7" t="str">
        <f>IFERROR(HLOOKUP(L909,'Calc|Weightings'!$U$5:$W$5,1,0),"Excl")</f>
        <v>Contracts</v>
      </c>
      <c r="O909" s="7" t="str">
        <f>VLOOKUP(E909,Mapping!$E$11:$I$204,5,0)</f>
        <v>SCS</v>
      </c>
      <c r="Q909" s="32" t="s">
        <v>164</v>
      </c>
      <c r="R909" s="32"/>
      <c r="S909" s="32">
        <v>71015</v>
      </c>
      <c r="T909" s="32" t="s">
        <v>463</v>
      </c>
      <c r="U909" s="33">
        <v>21.288</v>
      </c>
      <c r="V909" s="7"/>
      <c r="W909" s="7" t="str">
        <f>VLOOKUP($Q909,Mapping!$E$11:$I$204,3,0)</f>
        <v>Replacement</v>
      </c>
      <c r="X909" s="7" t="str">
        <f>IFERROR(VLOOKUP($S909,Mapping!$E$208:$K$236,5,0),"Contracts")</f>
        <v>Materials</v>
      </c>
      <c r="Y909" s="7" t="str">
        <f>IFERROR(VLOOKUP($S909,Mapping!$E$208:$K$236,7,0),"ENDirect")</f>
        <v>ENDirect</v>
      </c>
      <c r="Z909" s="7" t="str">
        <f>IFERROR(HLOOKUP(X909,'Calc|Weightings'!$U$5:$W$5,1,0),"Excl")</f>
        <v>Materials</v>
      </c>
      <c r="AA909" s="7" t="str">
        <f>VLOOKUP(Q909,Mapping!$E$11:$I$204,5,0)</f>
        <v>SCS</v>
      </c>
      <c r="AC909" s="35" t="s">
        <v>153</v>
      </c>
      <c r="AD909" s="35"/>
      <c r="AE909" s="35">
        <v>71010</v>
      </c>
      <c r="AF909" s="35" t="s">
        <v>462</v>
      </c>
      <c r="AG909" s="36">
        <v>0.32800000000000001</v>
      </c>
      <c r="AI909" s="7" t="str">
        <f>VLOOKUP($AC909,Mapping!$E$11:$I$204,3,0)</f>
        <v>Augmentation</v>
      </c>
      <c r="AJ909" s="7" t="str">
        <f>IFERROR(VLOOKUP($AE909,Mapping!$E$208:$K$236,5,0),"Contracts")</f>
        <v>Labour</v>
      </c>
      <c r="AK909" s="7" t="str">
        <f>IFERROR(VLOOKUP($AE909,Mapping!$E$208:$K$236,7,0),"ENDirect")</f>
        <v>ENDirect</v>
      </c>
      <c r="AL909" s="7" t="str">
        <f>IFERROR(HLOOKUP(AJ909,'Calc|Weightings'!$U$5:$W$5,1,0),"Excl")</f>
        <v>Labour</v>
      </c>
      <c r="AM909" s="7" t="str">
        <f>VLOOKUP(AC909,Mapping!$E$11:$I$204,5,0)</f>
        <v>SCS</v>
      </c>
      <c r="AO909" s="35" t="s">
        <v>231</v>
      </c>
      <c r="AP909" s="35"/>
      <c r="AQ909" s="35">
        <v>80000</v>
      </c>
      <c r="AR909" s="35" t="s">
        <v>589</v>
      </c>
      <c r="AS909" s="121">
        <v>68.16167999999999</v>
      </c>
      <c r="AU909" s="7" t="str">
        <f>VLOOKUP($AO909,Mapping!$E$11:$I$204,3,0)</f>
        <v>Replacement</v>
      </c>
      <c r="AV909" s="7" t="str">
        <f>IFERROR(VLOOKUP($AQ909,Mapping!$E$208:$K$236,5,0),"Contracts")</f>
        <v>Overhead</v>
      </c>
      <c r="AW909" s="7" t="str">
        <f>IFERROR(VLOOKUP($AQ909,Mapping!$E$208:$K$236,7,0),"ENDirect")</f>
        <v>OH</v>
      </c>
      <c r="AX909" s="7" t="str">
        <f>IFERROR(HLOOKUP(AV909,'Calc|Weightings'!$U$5:$W$5,1,0),"Excl")</f>
        <v>Excl</v>
      </c>
      <c r="AY909" s="7" t="str">
        <f>VLOOKUP(AO909,Mapping!$E$11:$I$204,5,0)</f>
        <v>SCS</v>
      </c>
    </row>
    <row r="910" spans="1:51" x14ac:dyDescent="0.3">
      <c r="A910" s="7"/>
      <c r="B910" s="7"/>
      <c r="C910" s="7"/>
      <c r="D910" s="7"/>
      <c r="E910" s="32" t="s">
        <v>146</v>
      </c>
      <c r="F910" s="32"/>
      <c r="G910" s="32">
        <v>71055</v>
      </c>
      <c r="H910" s="32" t="s">
        <v>465</v>
      </c>
      <c r="I910" s="33">
        <v>3.306</v>
      </c>
      <c r="J910" s="170"/>
      <c r="K910" s="7" t="str">
        <f>VLOOKUP($E910,Mapping!$E$11:$I$204,3,0)</f>
        <v>VBRC</v>
      </c>
      <c r="L910" s="7" t="str">
        <f>IFERROR(VLOOKUP($G910,Mapping!$E$208:$K$236,5,0),"Contracts")</f>
        <v>Contracts</v>
      </c>
      <c r="M910" s="7" t="str">
        <f>IFERROR(VLOOKUP($G910,Mapping!$E$208:$K$236,7,0),"ENDirect")</f>
        <v>ENDirect</v>
      </c>
      <c r="N910" s="7" t="str">
        <f>IFERROR(HLOOKUP(L910,'Calc|Weightings'!$U$5:$W$5,1,0),"Excl")</f>
        <v>Contracts</v>
      </c>
      <c r="O910" s="7" t="str">
        <f>VLOOKUP(E910,Mapping!$E$11:$I$204,5,0)</f>
        <v>SCS</v>
      </c>
      <c r="Q910" s="32" t="s">
        <v>164</v>
      </c>
      <c r="R910" s="32"/>
      <c r="S910" s="32">
        <v>71030</v>
      </c>
      <c r="T910" s="32" t="s">
        <v>464</v>
      </c>
      <c r="U910" s="33">
        <v>15.182</v>
      </c>
      <c r="V910" s="7"/>
      <c r="W910" s="7" t="str">
        <f>VLOOKUP($Q910,Mapping!$E$11:$I$204,3,0)</f>
        <v>Replacement</v>
      </c>
      <c r="X910" s="7" t="str">
        <f>IFERROR(VLOOKUP($S910,Mapping!$E$208:$K$236,5,0),"Contracts")</f>
        <v>Contracts</v>
      </c>
      <c r="Y910" s="7" t="str">
        <f>IFERROR(VLOOKUP($S910,Mapping!$E$208:$K$236,7,0),"ENDirect")</f>
        <v>ENDirect</v>
      </c>
      <c r="Z910" s="7" t="str">
        <f>IFERROR(HLOOKUP(X910,'Calc|Weightings'!$U$5:$W$5,1,0),"Excl")</f>
        <v>Contracts</v>
      </c>
      <c r="AA910" s="7" t="str">
        <f>VLOOKUP(Q910,Mapping!$E$11:$I$204,5,0)</f>
        <v>SCS</v>
      </c>
      <c r="AC910" s="35" t="s">
        <v>153</v>
      </c>
      <c r="AD910" s="35"/>
      <c r="AE910" s="35">
        <v>71015</v>
      </c>
      <c r="AF910" s="35" t="s">
        <v>463</v>
      </c>
      <c r="AG910" s="36">
        <v>0.91800000000000004</v>
      </c>
      <c r="AI910" s="7" t="str">
        <f>VLOOKUP($AC910,Mapping!$E$11:$I$204,3,0)</f>
        <v>Augmentation</v>
      </c>
      <c r="AJ910" s="7" t="str">
        <f>IFERROR(VLOOKUP($AE910,Mapping!$E$208:$K$236,5,0),"Contracts")</f>
        <v>Materials</v>
      </c>
      <c r="AK910" s="7" t="str">
        <f>IFERROR(VLOOKUP($AE910,Mapping!$E$208:$K$236,7,0),"ENDirect")</f>
        <v>ENDirect</v>
      </c>
      <c r="AL910" s="7" t="str">
        <f>IFERROR(HLOOKUP(AJ910,'Calc|Weightings'!$U$5:$W$5,1,0),"Excl")</f>
        <v>Materials</v>
      </c>
      <c r="AM910" s="7" t="str">
        <f>VLOOKUP(AC910,Mapping!$E$11:$I$204,5,0)</f>
        <v>SCS</v>
      </c>
      <c r="AO910" s="35" t="s">
        <v>231</v>
      </c>
      <c r="AP910" s="35"/>
      <c r="AQ910" s="35">
        <v>83010</v>
      </c>
      <c r="AR910" s="35" t="s">
        <v>591</v>
      </c>
      <c r="AS910" s="121">
        <v>298.75564999999966</v>
      </c>
      <c r="AU910" s="7" t="str">
        <f>VLOOKUP($AO910,Mapping!$E$11:$I$204,3,0)</f>
        <v>Replacement</v>
      </c>
      <c r="AV910" s="7" t="str">
        <f>IFERROR(VLOOKUP($AQ910,Mapping!$E$208:$K$236,5,0),"Contracts")</f>
        <v>Contracts</v>
      </c>
      <c r="AW910" s="7" t="str">
        <f>IFERROR(VLOOKUP($AQ910,Mapping!$E$208:$K$236,7,0),"ENDirect")</f>
        <v>ENDirect</v>
      </c>
      <c r="AX910" s="7" t="str">
        <f>IFERROR(HLOOKUP(AV910,'Calc|Weightings'!$U$5:$W$5,1,0),"Excl")</f>
        <v>Contracts</v>
      </c>
      <c r="AY910" s="7" t="str">
        <f>VLOOKUP(AO910,Mapping!$E$11:$I$204,5,0)</f>
        <v>SCS</v>
      </c>
    </row>
    <row r="911" spans="1:51" x14ac:dyDescent="0.3">
      <c r="A911" s="7"/>
      <c r="B911" s="7"/>
      <c r="C911" s="7"/>
      <c r="D911" s="7"/>
      <c r="E911" s="32" t="s">
        <v>146</v>
      </c>
      <c r="F911" s="32"/>
      <c r="G911" s="32">
        <v>80000</v>
      </c>
      <c r="H911" s="32" t="s">
        <v>453</v>
      </c>
      <c r="I911" s="33">
        <v>1.073</v>
      </c>
      <c r="J911" s="170"/>
      <c r="K911" s="7" t="str">
        <f>VLOOKUP($E911,Mapping!$E$11:$I$204,3,0)</f>
        <v>VBRC</v>
      </c>
      <c r="L911" s="7" t="str">
        <f>IFERROR(VLOOKUP($G911,Mapping!$E$208:$K$236,5,0),"Contracts")</f>
        <v>Overhead</v>
      </c>
      <c r="M911" s="7" t="str">
        <f>IFERROR(VLOOKUP($G911,Mapping!$E$208:$K$236,7,0),"ENDirect")</f>
        <v>OH</v>
      </c>
      <c r="N911" s="7" t="str">
        <f>IFERROR(HLOOKUP(L911,'Calc|Weightings'!$U$5:$W$5,1,0),"Excl")</f>
        <v>Excl</v>
      </c>
      <c r="O911" s="7" t="str">
        <f>VLOOKUP(E911,Mapping!$E$11:$I$204,5,0)</f>
        <v>SCS</v>
      </c>
      <c r="Q911" s="32" t="s">
        <v>164</v>
      </c>
      <c r="R911" s="32"/>
      <c r="S911" s="32">
        <v>71055</v>
      </c>
      <c r="T911" s="32" t="s">
        <v>465</v>
      </c>
      <c r="U911" s="33">
        <v>27.451000000000001</v>
      </c>
      <c r="V911" s="7"/>
      <c r="W911" s="7" t="str">
        <f>VLOOKUP($Q911,Mapping!$E$11:$I$204,3,0)</f>
        <v>Replacement</v>
      </c>
      <c r="X911" s="7" t="str">
        <f>IFERROR(VLOOKUP($S911,Mapping!$E$208:$K$236,5,0),"Contracts")</f>
        <v>Contracts</v>
      </c>
      <c r="Y911" s="7" t="str">
        <f>IFERROR(VLOOKUP($S911,Mapping!$E$208:$K$236,7,0),"ENDirect")</f>
        <v>ENDirect</v>
      </c>
      <c r="Z911" s="7" t="str">
        <f>IFERROR(HLOOKUP(X911,'Calc|Weightings'!$U$5:$W$5,1,0),"Excl")</f>
        <v>Contracts</v>
      </c>
      <c r="AA911" s="7" t="str">
        <f>VLOOKUP(Q911,Mapping!$E$11:$I$204,5,0)</f>
        <v>SCS</v>
      </c>
      <c r="AC911" s="35" t="s">
        <v>153</v>
      </c>
      <c r="AD911" s="35"/>
      <c r="AE911" s="35">
        <v>71030</v>
      </c>
      <c r="AF911" s="35" t="s">
        <v>464</v>
      </c>
      <c r="AG911" s="36">
        <v>0.32</v>
      </c>
      <c r="AI911" s="7" t="str">
        <f>VLOOKUP($AC911,Mapping!$E$11:$I$204,3,0)</f>
        <v>Augmentation</v>
      </c>
      <c r="AJ911" s="7" t="str">
        <f>IFERROR(VLOOKUP($AE911,Mapping!$E$208:$K$236,5,0),"Contracts")</f>
        <v>Contracts</v>
      </c>
      <c r="AK911" s="7" t="str">
        <f>IFERROR(VLOOKUP($AE911,Mapping!$E$208:$K$236,7,0),"ENDirect")</f>
        <v>ENDirect</v>
      </c>
      <c r="AL911" s="7" t="str">
        <f>IFERROR(HLOOKUP(AJ911,'Calc|Weightings'!$U$5:$W$5,1,0),"Excl")</f>
        <v>Contracts</v>
      </c>
      <c r="AM911" s="7" t="str">
        <f>VLOOKUP(AC911,Mapping!$E$11:$I$204,5,0)</f>
        <v>SCS</v>
      </c>
      <c r="AO911" s="35" t="s">
        <v>234</v>
      </c>
      <c r="AP911" s="35"/>
      <c r="AQ911" s="35">
        <v>70815</v>
      </c>
      <c r="AR911" s="35" t="s">
        <v>594</v>
      </c>
      <c r="AS911" s="121">
        <v>-488</v>
      </c>
      <c r="AU911" s="7" t="str">
        <f>VLOOKUP($AO911,Mapping!$E$11:$I$204,3,0)</f>
        <v>Replacement</v>
      </c>
      <c r="AV911" s="7" t="str">
        <f>IFERROR(VLOOKUP($AQ911,Mapping!$E$208:$K$236,5,0),"Contracts")</f>
        <v>Materials</v>
      </c>
      <c r="AW911" s="7" t="str">
        <f>IFERROR(VLOOKUP($AQ911,Mapping!$E$208:$K$236,7,0),"ENDirect")</f>
        <v>ENDirect</v>
      </c>
      <c r="AX911" s="7" t="str">
        <f>IFERROR(HLOOKUP(AV911,'Calc|Weightings'!$U$5:$W$5,1,0),"Excl")</f>
        <v>Materials</v>
      </c>
      <c r="AY911" s="7" t="str">
        <f>VLOOKUP(AO911,Mapping!$E$11:$I$204,5,0)</f>
        <v>SCS</v>
      </c>
    </row>
    <row r="912" spans="1:51" x14ac:dyDescent="0.3">
      <c r="A912" s="7"/>
      <c r="B912" s="7"/>
      <c r="C912" s="7"/>
      <c r="D912" s="7"/>
      <c r="E912" s="32" t="s">
        <v>151</v>
      </c>
      <c r="F912" s="32"/>
      <c r="G912" s="32">
        <v>71005</v>
      </c>
      <c r="H912" s="32" t="s">
        <v>461</v>
      </c>
      <c r="I912" s="33">
        <v>5.8550000000000004</v>
      </c>
      <c r="J912" s="170"/>
      <c r="K912" s="7" t="str">
        <f>VLOOKUP($E912,Mapping!$E$11:$I$204,3,0)</f>
        <v>Replacement</v>
      </c>
      <c r="L912" s="7" t="str">
        <f>IFERROR(VLOOKUP($G912,Mapping!$E$208:$K$236,5,0),"Contracts")</f>
        <v>Materials</v>
      </c>
      <c r="M912" s="7" t="str">
        <f>IFERROR(VLOOKUP($G912,Mapping!$E$208:$K$236,7,0),"ENDirect")</f>
        <v>ENDirect</v>
      </c>
      <c r="N912" s="7" t="str">
        <f>IFERROR(HLOOKUP(L912,'Calc|Weightings'!$U$5:$W$5,1,0),"Excl")</f>
        <v>Materials</v>
      </c>
      <c r="O912" s="7" t="str">
        <f>VLOOKUP(E912,Mapping!$E$11:$I$204,5,0)</f>
        <v>SCS</v>
      </c>
      <c r="Q912" s="32" t="s">
        <v>164</v>
      </c>
      <c r="R912" s="32"/>
      <c r="S912" s="32">
        <v>80000</v>
      </c>
      <c r="T912" s="32" t="s">
        <v>453</v>
      </c>
      <c r="U912" s="33">
        <v>37.118000000000002</v>
      </c>
      <c r="V912" s="7"/>
      <c r="W912" s="7" t="str">
        <f>VLOOKUP($Q912,Mapping!$E$11:$I$204,3,0)</f>
        <v>Replacement</v>
      </c>
      <c r="X912" s="7" t="str">
        <f>IFERROR(VLOOKUP($S912,Mapping!$E$208:$K$236,5,0),"Contracts")</f>
        <v>Overhead</v>
      </c>
      <c r="Y912" s="7" t="str">
        <f>IFERROR(VLOOKUP($S912,Mapping!$E$208:$K$236,7,0),"ENDirect")</f>
        <v>OH</v>
      </c>
      <c r="Z912" s="7" t="str">
        <f>IFERROR(HLOOKUP(X912,'Calc|Weightings'!$U$5:$W$5,1,0),"Excl")</f>
        <v>Excl</v>
      </c>
      <c r="AA912" s="7" t="str">
        <f>VLOOKUP(Q912,Mapping!$E$11:$I$204,5,0)</f>
        <v>SCS</v>
      </c>
      <c r="AC912" s="35" t="s">
        <v>153</v>
      </c>
      <c r="AD912" s="35"/>
      <c r="AE912" s="35">
        <v>71055</v>
      </c>
      <c r="AF912" s="35" t="s">
        <v>465</v>
      </c>
      <c r="AG912" s="36">
        <v>0.54400000000000004</v>
      </c>
      <c r="AI912" s="7" t="str">
        <f>VLOOKUP($AC912,Mapping!$E$11:$I$204,3,0)</f>
        <v>Augmentation</v>
      </c>
      <c r="AJ912" s="7" t="str">
        <f>IFERROR(VLOOKUP($AE912,Mapping!$E$208:$K$236,5,0),"Contracts")</f>
        <v>Contracts</v>
      </c>
      <c r="AK912" s="7" t="str">
        <f>IFERROR(VLOOKUP($AE912,Mapping!$E$208:$K$236,7,0),"ENDirect")</f>
        <v>ENDirect</v>
      </c>
      <c r="AL912" s="7" t="str">
        <f>IFERROR(HLOOKUP(AJ912,'Calc|Weightings'!$U$5:$W$5,1,0),"Excl")</f>
        <v>Contracts</v>
      </c>
      <c r="AM912" s="7" t="str">
        <f>VLOOKUP(AC912,Mapping!$E$11:$I$204,5,0)</f>
        <v>SCS</v>
      </c>
      <c r="AO912" s="35" t="s">
        <v>234</v>
      </c>
      <c r="AP912" s="35"/>
      <c r="AQ912" s="35">
        <v>71000</v>
      </c>
      <c r="AR912" s="35" t="s">
        <v>457</v>
      </c>
      <c r="AS912" s="121">
        <v>143.16949999999997</v>
      </c>
      <c r="AU912" s="7" t="str">
        <f>VLOOKUP($AO912,Mapping!$E$11:$I$204,3,0)</f>
        <v>Replacement</v>
      </c>
      <c r="AV912" s="7" t="str">
        <f>IFERROR(VLOOKUP($AQ912,Mapping!$E$208:$K$236,5,0),"Contracts")</f>
        <v>Labour</v>
      </c>
      <c r="AW912" s="7" t="str">
        <f>IFERROR(VLOOKUP($AQ912,Mapping!$E$208:$K$236,7,0),"ENDirect")</f>
        <v>ENDirect</v>
      </c>
      <c r="AX912" s="7" t="str">
        <f>IFERROR(HLOOKUP(AV912,'Calc|Weightings'!$U$5:$W$5,1,0),"Excl")</f>
        <v>Labour</v>
      </c>
      <c r="AY912" s="7" t="str">
        <f>VLOOKUP(AO912,Mapping!$E$11:$I$204,5,0)</f>
        <v>SCS</v>
      </c>
    </row>
    <row r="913" spans="1:51" x14ac:dyDescent="0.3">
      <c r="A913" s="7"/>
      <c r="B913" s="7"/>
      <c r="C913" s="7"/>
      <c r="D913" s="7"/>
      <c r="E913" s="32" t="s">
        <v>151</v>
      </c>
      <c r="F913" s="32"/>
      <c r="G913" s="32">
        <v>71030</v>
      </c>
      <c r="H913" s="32" t="s">
        <v>464</v>
      </c>
      <c r="I913" s="33">
        <v>1.9430000000000001</v>
      </c>
      <c r="J913" s="170"/>
      <c r="K913" s="7" t="str">
        <f>VLOOKUP($E913,Mapping!$E$11:$I$204,3,0)</f>
        <v>Replacement</v>
      </c>
      <c r="L913" s="7" t="str">
        <f>IFERROR(VLOOKUP($G913,Mapping!$E$208:$K$236,5,0),"Contracts")</f>
        <v>Contracts</v>
      </c>
      <c r="M913" s="7" t="str">
        <f>IFERROR(VLOOKUP($G913,Mapping!$E$208:$K$236,7,0),"ENDirect")</f>
        <v>ENDirect</v>
      </c>
      <c r="N913" s="7" t="str">
        <f>IFERROR(HLOOKUP(L913,'Calc|Weightings'!$U$5:$W$5,1,0),"Excl")</f>
        <v>Contracts</v>
      </c>
      <c r="O913" s="7" t="str">
        <f>VLOOKUP(E913,Mapping!$E$11:$I$204,5,0)</f>
        <v>SCS</v>
      </c>
      <c r="Q913" s="32" t="s">
        <v>183</v>
      </c>
      <c r="R913" s="32"/>
      <c r="S913" s="32">
        <v>71000</v>
      </c>
      <c r="T913" s="32" t="s">
        <v>457</v>
      </c>
      <c r="U913" s="33">
        <v>24.524000000000001</v>
      </c>
      <c r="V913" s="7"/>
      <c r="W913" s="7" t="str">
        <f>VLOOKUP($Q913,Mapping!$E$11:$I$204,3,0)</f>
        <v>Public Lighting</v>
      </c>
      <c r="X913" s="7" t="str">
        <f>IFERROR(VLOOKUP($S913,Mapping!$E$208:$K$236,5,0),"Contracts")</f>
        <v>Labour</v>
      </c>
      <c r="Y913" s="7" t="str">
        <f>IFERROR(VLOOKUP($S913,Mapping!$E$208:$K$236,7,0),"ENDirect")</f>
        <v>ENDirect</v>
      </c>
      <c r="Z913" s="7" t="str">
        <f>IFERROR(HLOOKUP(X913,'Calc|Weightings'!$U$5:$W$5,1,0),"Excl")</f>
        <v>Labour</v>
      </c>
      <c r="AA913" s="7" t="str">
        <f>VLOOKUP(Q913,Mapping!$E$11:$I$204,5,0)</f>
        <v>Public Lighting</v>
      </c>
      <c r="AC913" s="35" t="s">
        <v>153</v>
      </c>
      <c r="AD913" s="35"/>
      <c r="AE913" s="35">
        <v>80000</v>
      </c>
      <c r="AF913" s="35" t="s">
        <v>453</v>
      </c>
      <c r="AG913" s="36">
        <v>0.29099999999999998</v>
      </c>
      <c r="AI913" s="7" t="str">
        <f>VLOOKUP($AC913,Mapping!$E$11:$I$204,3,0)</f>
        <v>Augmentation</v>
      </c>
      <c r="AJ913" s="7" t="str">
        <f>IFERROR(VLOOKUP($AE913,Mapping!$E$208:$K$236,5,0),"Contracts")</f>
        <v>Overhead</v>
      </c>
      <c r="AK913" s="7" t="str">
        <f>IFERROR(VLOOKUP($AE913,Mapping!$E$208:$K$236,7,0),"ENDirect")</f>
        <v>OH</v>
      </c>
      <c r="AL913" s="7" t="str">
        <f>IFERROR(HLOOKUP(AJ913,'Calc|Weightings'!$U$5:$W$5,1,0),"Excl")</f>
        <v>Excl</v>
      </c>
      <c r="AM913" s="7" t="str">
        <f>VLOOKUP(AC913,Mapping!$E$11:$I$204,5,0)</f>
        <v>SCS</v>
      </c>
      <c r="AO913" s="35" t="s">
        <v>234</v>
      </c>
      <c r="AP913" s="35"/>
      <c r="AQ913" s="35">
        <v>71005</v>
      </c>
      <c r="AR913" s="35" t="s">
        <v>461</v>
      </c>
      <c r="AS913" s="121">
        <v>13.519150000000005</v>
      </c>
      <c r="AU913" s="7" t="str">
        <f>VLOOKUP($AO913,Mapping!$E$11:$I$204,3,0)</f>
        <v>Replacement</v>
      </c>
      <c r="AV913" s="7" t="str">
        <f>IFERROR(VLOOKUP($AQ913,Mapping!$E$208:$K$236,5,0),"Contracts")</f>
        <v>Materials</v>
      </c>
      <c r="AW913" s="7" t="str">
        <f>IFERROR(VLOOKUP($AQ913,Mapping!$E$208:$K$236,7,0),"ENDirect")</f>
        <v>ENDirect</v>
      </c>
      <c r="AX913" s="7" t="str">
        <f>IFERROR(HLOOKUP(AV913,'Calc|Weightings'!$U$5:$W$5,1,0),"Excl")</f>
        <v>Materials</v>
      </c>
      <c r="AY913" s="7" t="str">
        <f>VLOOKUP(AO913,Mapping!$E$11:$I$204,5,0)</f>
        <v>SCS</v>
      </c>
    </row>
    <row r="914" spans="1:51" x14ac:dyDescent="0.3">
      <c r="A914" s="7"/>
      <c r="B914" s="7"/>
      <c r="C914" s="7"/>
      <c r="D914" s="7"/>
      <c r="E914" s="32" t="s">
        <v>151</v>
      </c>
      <c r="F914" s="32"/>
      <c r="G914" s="32">
        <v>71055</v>
      </c>
      <c r="H914" s="32" t="s">
        <v>465</v>
      </c>
      <c r="I914" s="33">
        <v>5.9829999999999997</v>
      </c>
      <c r="J914" s="170"/>
      <c r="K914" s="7" t="str">
        <f>VLOOKUP($E914,Mapping!$E$11:$I$204,3,0)</f>
        <v>Replacement</v>
      </c>
      <c r="L914" s="7" t="str">
        <f>IFERROR(VLOOKUP($G914,Mapping!$E$208:$K$236,5,0),"Contracts")</f>
        <v>Contracts</v>
      </c>
      <c r="M914" s="7" t="str">
        <f>IFERROR(VLOOKUP($G914,Mapping!$E$208:$K$236,7,0),"ENDirect")</f>
        <v>ENDirect</v>
      </c>
      <c r="N914" s="7" t="str">
        <f>IFERROR(HLOOKUP(L914,'Calc|Weightings'!$U$5:$W$5,1,0),"Excl")</f>
        <v>Contracts</v>
      </c>
      <c r="O914" s="7" t="str">
        <f>VLOOKUP(E914,Mapping!$E$11:$I$204,5,0)</f>
        <v>SCS</v>
      </c>
      <c r="Q914" s="32" t="s">
        <v>183</v>
      </c>
      <c r="R914" s="32"/>
      <c r="S914" s="32">
        <v>71015</v>
      </c>
      <c r="T914" s="32" t="s">
        <v>463</v>
      </c>
      <c r="U914" s="33">
        <v>4.6269999999999998</v>
      </c>
      <c r="V914" s="7"/>
      <c r="W914" s="7" t="str">
        <f>VLOOKUP($Q914,Mapping!$E$11:$I$204,3,0)</f>
        <v>Public Lighting</v>
      </c>
      <c r="X914" s="7" t="str">
        <f>IFERROR(VLOOKUP($S914,Mapping!$E$208:$K$236,5,0),"Contracts")</f>
        <v>Materials</v>
      </c>
      <c r="Y914" s="7" t="str">
        <f>IFERROR(VLOOKUP($S914,Mapping!$E$208:$K$236,7,0),"ENDirect")</f>
        <v>ENDirect</v>
      </c>
      <c r="Z914" s="7" t="str">
        <f>IFERROR(HLOOKUP(X914,'Calc|Weightings'!$U$5:$W$5,1,0),"Excl")</f>
        <v>Materials</v>
      </c>
      <c r="AA914" s="7" t="str">
        <f>VLOOKUP(Q914,Mapping!$E$11:$I$204,5,0)</f>
        <v>Public Lighting</v>
      </c>
      <c r="AC914" s="35" t="s">
        <v>153</v>
      </c>
      <c r="AD914" s="35"/>
      <c r="AE914" s="35">
        <v>89999</v>
      </c>
      <c r="AF914" s="35" t="s">
        <v>471</v>
      </c>
      <c r="AG914" s="36">
        <v>0</v>
      </c>
      <c r="AI914" s="7" t="str">
        <f>VLOOKUP($AC914,Mapping!$E$11:$I$204,3,0)</f>
        <v>Augmentation</v>
      </c>
      <c r="AJ914" s="7" t="str">
        <f>IFERROR(VLOOKUP($AE914,Mapping!$E$208:$K$236,5,0),"Contracts")</f>
        <v>Contracts</v>
      </c>
      <c r="AK914" s="7" t="str">
        <f>IFERROR(VLOOKUP($AE914,Mapping!$E$208:$K$236,7,0),"ENDirect")</f>
        <v>ENDirect</v>
      </c>
      <c r="AL914" s="7" t="str">
        <f>IFERROR(HLOOKUP(AJ914,'Calc|Weightings'!$U$5:$W$5,1,0),"Excl")</f>
        <v>Contracts</v>
      </c>
      <c r="AM914" s="7" t="str">
        <f>VLOOKUP(AC914,Mapping!$E$11:$I$204,5,0)</f>
        <v>SCS</v>
      </c>
      <c r="AO914" s="35" t="s">
        <v>234</v>
      </c>
      <c r="AP914" s="35"/>
      <c r="AQ914" s="35">
        <v>71010</v>
      </c>
      <c r="AR914" s="35" t="s">
        <v>487</v>
      </c>
      <c r="AS914" s="121">
        <v>83.166629999999927</v>
      </c>
      <c r="AU914" s="7" t="str">
        <f>VLOOKUP($AO914,Mapping!$E$11:$I$204,3,0)</f>
        <v>Replacement</v>
      </c>
      <c r="AV914" s="7" t="str">
        <f>IFERROR(VLOOKUP($AQ914,Mapping!$E$208:$K$236,5,0),"Contracts")</f>
        <v>Labour</v>
      </c>
      <c r="AW914" s="7" t="str">
        <f>IFERROR(VLOOKUP($AQ914,Mapping!$E$208:$K$236,7,0),"ENDirect")</f>
        <v>ENDirect</v>
      </c>
      <c r="AX914" s="7" t="str">
        <f>IFERROR(HLOOKUP(AV914,'Calc|Weightings'!$U$5:$W$5,1,0),"Excl")</f>
        <v>Labour</v>
      </c>
      <c r="AY914" s="7" t="str">
        <f>VLOOKUP(AO914,Mapping!$E$11:$I$204,5,0)</f>
        <v>SCS</v>
      </c>
    </row>
    <row r="915" spans="1:51" x14ac:dyDescent="0.3">
      <c r="A915" s="7"/>
      <c r="B915" s="7"/>
      <c r="C915" s="7"/>
      <c r="D915" s="7"/>
      <c r="E915" s="32" t="s">
        <v>151</v>
      </c>
      <c r="F915" s="32"/>
      <c r="G915" s="32">
        <v>80000</v>
      </c>
      <c r="H915" s="32" t="s">
        <v>453</v>
      </c>
      <c r="I915" s="33">
        <v>2.8780000000000001</v>
      </c>
      <c r="J915" s="170"/>
      <c r="K915" s="7" t="str">
        <f>VLOOKUP($E915,Mapping!$E$11:$I$204,3,0)</f>
        <v>Replacement</v>
      </c>
      <c r="L915" s="7" t="str">
        <f>IFERROR(VLOOKUP($G915,Mapping!$E$208:$K$236,5,0),"Contracts")</f>
        <v>Overhead</v>
      </c>
      <c r="M915" s="7" t="str">
        <f>IFERROR(VLOOKUP($G915,Mapping!$E$208:$K$236,7,0),"ENDirect")</f>
        <v>OH</v>
      </c>
      <c r="N915" s="7" t="str">
        <f>IFERROR(HLOOKUP(L915,'Calc|Weightings'!$U$5:$W$5,1,0),"Excl")</f>
        <v>Excl</v>
      </c>
      <c r="O915" s="7" t="str">
        <f>VLOOKUP(E915,Mapping!$E$11:$I$204,5,0)</f>
        <v>SCS</v>
      </c>
      <c r="Q915" s="32" t="s">
        <v>184</v>
      </c>
      <c r="R915" s="32"/>
      <c r="S915" s="32">
        <v>71020</v>
      </c>
      <c r="T915" s="32" t="s">
        <v>459</v>
      </c>
      <c r="U915" s="33">
        <v>2.7E-2</v>
      </c>
      <c r="V915" s="7"/>
      <c r="W915" s="7" t="str">
        <f>VLOOKUP($Q915,Mapping!$E$11:$I$204,3,0)</f>
        <v>Public Lighting</v>
      </c>
      <c r="X915" s="7" t="str">
        <f>IFERROR(VLOOKUP($S915,Mapping!$E$208:$K$236,5,0),"Contracts")</f>
        <v>Contracts</v>
      </c>
      <c r="Y915" s="7" t="str">
        <f>IFERROR(VLOOKUP($S915,Mapping!$E$208:$K$236,7,0),"ENDirect")</f>
        <v>ENDirect</v>
      </c>
      <c r="Z915" s="7" t="str">
        <f>IFERROR(HLOOKUP(X915,'Calc|Weightings'!$U$5:$W$5,1,0),"Excl")</f>
        <v>Contracts</v>
      </c>
      <c r="AA915" s="7" t="str">
        <f>VLOOKUP(Q915,Mapping!$E$11:$I$204,5,0)</f>
        <v>Public Lighting</v>
      </c>
      <c r="AC915" s="35" t="s">
        <v>155</v>
      </c>
      <c r="AD915" s="35"/>
      <c r="AE915" s="35">
        <v>71020</v>
      </c>
      <c r="AF915" s="35" t="s">
        <v>459</v>
      </c>
      <c r="AG915" s="36">
        <v>0</v>
      </c>
      <c r="AI915" s="7" t="str">
        <f>VLOOKUP($AC915,Mapping!$E$11:$I$204,3,0)</f>
        <v>Replacement</v>
      </c>
      <c r="AJ915" s="7" t="str">
        <f>IFERROR(VLOOKUP($AE915,Mapping!$E$208:$K$236,5,0),"Contracts")</f>
        <v>Contracts</v>
      </c>
      <c r="AK915" s="7" t="str">
        <f>IFERROR(VLOOKUP($AE915,Mapping!$E$208:$K$236,7,0),"ENDirect")</f>
        <v>ENDirect</v>
      </c>
      <c r="AL915" s="7" t="str">
        <f>IFERROR(HLOOKUP(AJ915,'Calc|Weightings'!$U$5:$W$5,1,0),"Excl")</f>
        <v>Contracts</v>
      </c>
      <c r="AM915" s="7" t="str">
        <f>VLOOKUP(AC915,Mapping!$E$11:$I$204,5,0)</f>
        <v>SCS</v>
      </c>
      <c r="AO915" s="35" t="s">
        <v>234</v>
      </c>
      <c r="AP915" s="35"/>
      <c r="AQ915" s="35">
        <v>71015</v>
      </c>
      <c r="AR915" s="35" t="s">
        <v>585</v>
      </c>
      <c r="AS915" s="121">
        <v>20.732270000000007</v>
      </c>
      <c r="AU915" s="7" t="str">
        <f>VLOOKUP($AO915,Mapping!$E$11:$I$204,3,0)</f>
        <v>Replacement</v>
      </c>
      <c r="AV915" s="7" t="str">
        <f>IFERROR(VLOOKUP($AQ915,Mapping!$E$208:$K$236,5,0),"Contracts")</f>
        <v>Materials</v>
      </c>
      <c r="AW915" s="7" t="str">
        <f>IFERROR(VLOOKUP($AQ915,Mapping!$E$208:$K$236,7,0),"ENDirect")</f>
        <v>ENDirect</v>
      </c>
      <c r="AX915" s="7" t="str">
        <f>IFERROR(HLOOKUP(AV915,'Calc|Weightings'!$U$5:$W$5,1,0),"Excl")</f>
        <v>Materials</v>
      </c>
      <c r="AY915" s="7" t="str">
        <f>VLOOKUP(AO915,Mapping!$E$11:$I$204,5,0)</f>
        <v>SCS</v>
      </c>
    </row>
    <row r="916" spans="1:51" x14ac:dyDescent="0.3">
      <c r="A916" s="7"/>
      <c r="B916" s="7"/>
      <c r="C916" s="7"/>
      <c r="D916" s="7"/>
      <c r="E916" s="32" t="s">
        <v>152</v>
      </c>
      <c r="F916" s="32"/>
      <c r="G916" s="32">
        <v>71020</v>
      </c>
      <c r="H916" s="32" t="s">
        <v>459</v>
      </c>
      <c r="I916" s="33">
        <v>-0.45800000000000002</v>
      </c>
      <c r="J916" s="170"/>
      <c r="K916" s="7" t="str">
        <f>VLOOKUP($E916,Mapping!$E$11:$I$204,3,0)</f>
        <v>Augmentation</v>
      </c>
      <c r="L916" s="7" t="str">
        <f>IFERROR(VLOOKUP($G916,Mapping!$E$208:$K$236,5,0),"Contracts")</f>
        <v>Contracts</v>
      </c>
      <c r="M916" s="7" t="str">
        <f>IFERROR(VLOOKUP($G916,Mapping!$E$208:$K$236,7,0),"ENDirect")</f>
        <v>ENDirect</v>
      </c>
      <c r="N916" s="7" t="str">
        <f>IFERROR(HLOOKUP(L916,'Calc|Weightings'!$U$5:$W$5,1,0),"Excl")</f>
        <v>Contracts</v>
      </c>
      <c r="O916" s="7" t="str">
        <f>VLOOKUP(E916,Mapping!$E$11:$I$204,5,0)</f>
        <v>SCS</v>
      </c>
      <c r="Q916" s="32" t="s">
        <v>186</v>
      </c>
      <c r="R916" s="32"/>
      <c r="S916" s="32">
        <v>71040</v>
      </c>
      <c r="T916" s="32" t="s">
        <v>460</v>
      </c>
      <c r="U916" s="33">
        <v>-41.180999999999997</v>
      </c>
      <c r="V916" s="7"/>
      <c r="W916" s="7" t="str">
        <f>VLOOKUP($Q916,Mapping!$E$11:$I$204,3,0)</f>
        <v>Replacement</v>
      </c>
      <c r="X916" s="7" t="str">
        <f>IFERROR(VLOOKUP($S916,Mapping!$E$208:$K$236,5,0),"Contracts")</f>
        <v>Contracts</v>
      </c>
      <c r="Y916" s="7" t="str">
        <f>IFERROR(VLOOKUP($S916,Mapping!$E$208:$K$236,7,0),"ENDirect")</f>
        <v>ENDirect</v>
      </c>
      <c r="Z916" s="7" t="str">
        <f>IFERROR(HLOOKUP(X916,'Calc|Weightings'!$U$5:$W$5,1,0),"Excl")</f>
        <v>Contracts</v>
      </c>
      <c r="AA916" s="7" t="str">
        <f>VLOOKUP(Q916,Mapping!$E$11:$I$204,5,0)</f>
        <v>SCS</v>
      </c>
      <c r="AC916" s="35" t="s">
        <v>156</v>
      </c>
      <c r="AD916" s="35"/>
      <c r="AE916" s="35">
        <v>71000</v>
      </c>
      <c r="AF916" s="35" t="s">
        <v>457</v>
      </c>
      <c r="AG916" s="36">
        <v>133.72</v>
      </c>
      <c r="AI916" s="7" t="str">
        <f>VLOOKUP($AC916,Mapping!$E$11:$I$204,3,0)</f>
        <v>VBRC</v>
      </c>
      <c r="AJ916" s="7" t="str">
        <f>IFERROR(VLOOKUP($AE916,Mapping!$E$208:$K$236,5,0),"Contracts")</f>
        <v>Labour</v>
      </c>
      <c r="AK916" s="7" t="str">
        <f>IFERROR(VLOOKUP($AE916,Mapping!$E$208:$K$236,7,0),"ENDirect")</f>
        <v>ENDirect</v>
      </c>
      <c r="AL916" s="7" t="str">
        <f>IFERROR(HLOOKUP(AJ916,'Calc|Weightings'!$U$5:$W$5,1,0),"Excl")</f>
        <v>Labour</v>
      </c>
      <c r="AM916" s="7" t="str">
        <f>VLOOKUP(AC916,Mapping!$E$11:$I$204,5,0)</f>
        <v>SCS</v>
      </c>
      <c r="AO916" s="35" t="s">
        <v>234</v>
      </c>
      <c r="AP916" s="35"/>
      <c r="AQ916" s="35">
        <v>71030</v>
      </c>
      <c r="AR916" s="35" t="s">
        <v>464</v>
      </c>
      <c r="AS916" s="121">
        <v>21.61573000000001</v>
      </c>
      <c r="AU916" s="7" t="str">
        <f>VLOOKUP($AO916,Mapping!$E$11:$I$204,3,0)</f>
        <v>Replacement</v>
      </c>
      <c r="AV916" s="7" t="str">
        <f>IFERROR(VLOOKUP($AQ916,Mapping!$E$208:$K$236,5,0),"Contracts")</f>
        <v>Contracts</v>
      </c>
      <c r="AW916" s="7" t="str">
        <f>IFERROR(VLOOKUP($AQ916,Mapping!$E$208:$K$236,7,0),"ENDirect")</f>
        <v>ENDirect</v>
      </c>
      <c r="AX916" s="7" t="str">
        <f>IFERROR(HLOOKUP(AV916,'Calc|Weightings'!$U$5:$W$5,1,0),"Excl")</f>
        <v>Contracts</v>
      </c>
      <c r="AY916" s="7" t="str">
        <f>VLOOKUP(AO916,Mapping!$E$11:$I$204,5,0)</f>
        <v>SCS</v>
      </c>
    </row>
    <row r="917" spans="1:51" x14ac:dyDescent="0.3">
      <c r="A917" s="7"/>
      <c r="B917" s="7"/>
      <c r="C917" s="7"/>
      <c r="D917" s="7"/>
      <c r="E917" s="32" t="s">
        <v>155</v>
      </c>
      <c r="F917" s="32"/>
      <c r="G917" s="32">
        <v>71020</v>
      </c>
      <c r="H917" s="32" t="s">
        <v>459</v>
      </c>
      <c r="I917" s="33">
        <v>1.611</v>
      </c>
      <c r="J917" s="170"/>
      <c r="K917" s="7" t="str">
        <f>VLOOKUP($E917,Mapping!$E$11:$I$204,3,0)</f>
        <v>Replacement</v>
      </c>
      <c r="L917" s="7" t="str">
        <f>IFERROR(VLOOKUP($G917,Mapping!$E$208:$K$236,5,0),"Contracts")</f>
        <v>Contracts</v>
      </c>
      <c r="M917" s="7" t="str">
        <f>IFERROR(VLOOKUP($G917,Mapping!$E$208:$K$236,7,0),"ENDirect")</f>
        <v>ENDirect</v>
      </c>
      <c r="N917" s="7" t="str">
        <f>IFERROR(HLOOKUP(L917,'Calc|Weightings'!$U$5:$W$5,1,0),"Excl")</f>
        <v>Contracts</v>
      </c>
      <c r="O917" s="7" t="str">
        <f>VLOOKUP(E917,Mapping!$E$11:$I$204,5,0)</f>
        <v>SCS</v>
      </c>
      <c r="Q917" s="32" t="s">
        <v>188</v>
      </c>
      <c r="R917" s="32"/>
      <c r="S917" s="32">
        <v>89999</v>
      </c>
      <c r="T917" s="32" t="s">
        <v>471</v>
      </c>
      <c r="U917" s="33">
        <v>0</v>
      </c>
      <c r="V917" s="7"/>
      <c r="W917" s="7" t="str">
        <f>VLOOKUP($Q917,Mapping!$E$11:$I$204,3,0)</f>
        <v>Replacement</v>
      </c>
      <c r="X917" s="7" t="str">
        <f>IFERROR(VLOOKUP($S917,Mapping!$E$208:$K$236,5,0),"Contracts")</f>
        <v>Contracts</v>
      </c>
      <c r="Y917" s="7" t="str">
        <f>IFERROR(VLOOKUP($S917,Mapping!$E$208:$K$236,7,0),"ENDirect")</f>
        <v>ENDirect</v>
      </c>
      <c r="Z917" s="7" t="str">
        <f>IFERROR(HLOOKUP(X917,'Calc|Weightings'!$U$5:$W$5,1,0),"Excl")</f>
        <v>Contracts</v>
      </c>
      <c r="AA917" s="7" t="str">
        <f>VLOOKUP(Q917,Mapping!$E$11:$I$204,5,0)</f>
        <v>SCS</v>
      </c>
      <c r="AC917" s="35" t="s">
        <v>156</v>
      </c>
      <c r="AD917" s="35"/>
      <c r="AE917" s="35">
        <v>71005</v>
      </c>
      <c r="AF917" s="35" t="s">
        <v>461</v>
      </c>
      <c r="AG917" s="36">
        <v>19.756</v>
      </c>
      <c r="AI917" s="7" t="str">
        <f>VLOOKUP($AC917,Mapping!$E$11:$I$204,3,0)</f>
        <v>VBRC</v>
      </c>
      <c r="AJ917" s="7" t="str">
        <f>IFERROR(VLOOKUP($AE917,Mapping!$E$208:$K$236,5,0),"Contracts")</f>
        <v>Materials</v>
      </c>
      <c r="AK917" s="7" t="str">
        <f>IFERROR(VLOOKUP($AE917,Mapping!$E$208:$K$236,7,0),"ENDirect")</f>
        <v>ENDirect</v>
      </c>
      <c r="AL917" s="7" t="str">
        <f>IFERROR(HLOOKUP(AJ917,'Calc|Weightings'!$U$5:$W$5,1,0),"Excl")</f>
        <v>Materials</v>
      </c>
      <c r="AM917" s="7" t="str">
        <f>VLOOKUP(AC917,Mapping!$E$11:$I$204,5,0)</f>
        <v>SCS</v>
      </c>
      <c r="AO917" s="35" t="s">
        <v>234</v>
      </c>
      <c r="AP917" s="35"/>
      <c r="AQ917" s="35">
        <v>71055</v>
      </c>
      <c r="AR917" s="35" t="s">
        <v>465</v>
      </c>
      <c r="AS917" s="121">
        <v>48.207930000000019</v>
      </c>
      <c r="AU917" s="7" t="str">
        <f>VLOOKUP($AO917,Mapping!$E$11:$I$204,3,0)</f>
        <v>Replacement</v>
      </c>
      <c r="AV917" s="7" t="str">
        <f>IFERROR(VLOOKUP($AQ917,Mapping!$E$208:$K$236,5,0),"Contracts")</f>
        <v>Contracts</v>
      </c>
      <c r="AW917" s="7" t="str">
        <f>IFERROR(VLOOKUP($AQ917,Mapping!$E$208:$K$236,7,0),"ENDirect")</f>
        <v>ENDirect</v>
      </c>
      <c r="AX917" s="7" t="str">
        <f>IFERROR(HLOOKUP(AV917,'Calc|Weightings'!$U$5:$W$5,1,0),"Excl")</f>
        <v>Contracts</v>
      </c>
      <c r="AY917" s="7" t="str">
        <f>VLOOKUP(AO917,Mapping!$E$11:$I$204,5,0)</f>
        <v>SCS</v>
      </c>
    </row>
    <row r="918" spans="1:51" x14ac:dyDescent="0.3">
      <c r="A918" s="7"/>
      <c r="B918" s="7"/>
      <c r="C918" s="7"/>
      <c r="D918" s="7"/>
      <c r="E918" s="32" t="s">
        <v>163</v>
      </c>
      <c r="F918" s="32"/>
      <c r="G918" s="32">
        <v>71020</v>
      </c>
      <c r="H918" s="32" t="s">
        <v>459</v>
      </c>
      <c r="I918" s="33">
        <v>-3.0880000000000001</v>
      </c>
      <c r="J918" s="170"/>
      <c r="K918" s="7" t="str">
        <f>VLOOKUP($E918,Mapping!$E$11:$I$204,3,0)</f>
        <v>Replacement</v>
      </c>
      <c r="L918" s="7" t="str">
        <f>IFERROR(VLOOKUP($G918,Mapping!$E$208:$K$236,5,0),"Contracts")</f>
        <v>Contracts</v>
      </c>
      <c r="M918" s="7" t="str">
        <f>IFERROR(VLOOKUP($G918,Mapping!$E$208:$K$236,7,0),"ENDirect")</f>
        <v>ENDirect</v>
      </c>
      <c r="N918" s="7" t="str">
        <f>IFERROR(HLOOKUP(L918,'Calc|Weightings'!$U$5:$W$5,1,0),"Excl")</f>
        <v>Contracts</v>
      </c>
      <c r="O918" s="7" t="str">
        <f>VLOOKUP(E918,Mapping!$E$11:$I$204,5,0)</f>
        <v>SCS</v>
      </c>
      <c r="Q918" s="32" t="s">
        <v>190</v>
      </c>
      <c r="R918" s="32"/>
      <c r="S918" s="32">
        <v>71040</v>
      </c>
      <c r="T918" s="32" t="s">
        <v>460</v>
      </c>
      <c r="U918" s="33">
        <v>34.213000000000001</v>
      </c>
      <c r="V918" s="7"/>
      <c r="W918" s="7" t="str">
        <f>VLOOKUP($Q918,Mapping!$E$11:$I$204,3,0)</f>
        <v>Replacement</v>
      </c>
      <c r="X918" s="7" t="str">
        <f>IFERROR(VLOOKUP($S918,Mapping!$E$208:$K$236,5,0),"Contracts")</f>
        <v>Contracts</v>
      </c>
      <c r="Y918" s="7" t="str">
        <f>IFERROR(VLOOKUP($S918,Mapping!$E$208:$K$236,7,0),"ENDirect")</f>
        <v>ENDirect</v>
      </c>
      <c r="Z918" s="7" t="str">
        <f>IFERROR(HLOOKUP(X918,'Calc|Weightings'!$U$5:$W$5,1,0),"Excl")</f>
        <v>Contracts</v>
      </c>
      <c r="AA918" s="7" t="str">
        <f>VLOOKUP(Q918,Mapping!$E$11:$I$204,5,0)</f>
        <v>SCS</v>
      </c>
      <c r="AC918" s="35" t="s">
        <v>156</v>
      </c>
      <c r="AD918" s="35"/>
      <c r="AE918" s="35">
        <v>71010</v>
      </c>
      <c r="AF918" s="35" t="s">
        <v>462</v>
      </c>
      <c r="AG918" s="36">
        <v>37.36</v>
      </c>
      <c r="AI918" s="7" t="str">
        <f>VLOOKUP($AC918,Mapping!$E$11:$I$204,3,0)</f>
        <v>VBRC</v>
      </c>
      <c r="AJ918" s="7" t="str">
        <f>IFERROR(VLOOKUP($AE918,Mapping!$E$208:$K$236,5,0),"Contracts")</f>
        <v>Labour</v>
      </c>
      <c r="AK918" s="7" t="str">
        <f>IFERROR(VLOOKUP($AE918,Mapping!$E$208:$K$236,7,0),"ENDirect")</f>
        <v>ENDirect</v>
      </c>
      <c r="AL918" s="7" t="str">
        <f>IFERROR(HLOOKUP(AJ918,'Calc|Weightings'!$U$5:$W$5,1,0),"Excl")</f>
        <v>Labour</v>
      </c>
      <c r="AM918" s="7" t="str">
        <f>VLOOKUP(AC918,Mapping!$E$11:$I$204,5,0)</f>
        <v>SCS</v>
      </c>
      <c r="AO918" s="35" t="s">
        <v>234</v>
      </c>
      <c r="AP918" s="35"/>
      <c r="AQ918" s="35">
        <v>71070</v>
      </c>
      <c r="AR918" s="35" t="s">
        <v>586</v>
      </c>
      <c r="AS918" s="121">
        <v>25.355550000000004</v>
      </c>
      <c r="AU918" s="7" t="str">
        <f>VLOOKUP($AO918,Mapping!$E$11:$I$204,3,0)</f>
        <v>Replacement</v>
      </c>
      <c r="AV918" s="7" t="str">
        <f>IFERROR(VLOOKUP($AQ918,Mapping!$E$208:$K$236,5,0),"Contracts")</f>
        <v>Contracts</v>
      </c>
      <c r="AW918" s="7" t="str">
        <f>IFERROR(VLOOKUP($AQ918,Mapping!$E$208:$K$236,7,0),"ENDirect")</f>
        <v>ENDirect</v>
      </c>
      <c r="AX918" s="7" t="str">
        <f>IFERROR(HLOOKUP(AV918,'Calc|Weightings'!$U$5:$W$5,1,0),"Excl")</f>
        <v>Contracts</v>
      </c>
      <c r="AY918" s="7" t="str">
        <f>VLOOKUP(AO918,Mapping!$E$11:$I$204,5,0)</f>
        <v>SCS</v>
      </c>
    </row>
    <row r="919" spans="1:51" x14ac:dyDescent="0.3">
      <c r="A919" s="7"/>
      <c r="B919" s="7"/>
      <c r="C919" s="7"/>
      <c r="D919" s="7"/>
      <c r="E919" s="32" t="s">
        <v>168</v>
      </c>
      <c r="F919" s="32"/>
      <c r="G919" s="32">
        <v>71020</v>
      </c>
      <c r="H919" s="32" t="s">
        <v>459</v>
      </c>
      <c r="I919" s="33">
        <v>8.8360000000000003</v>
      </c>
      <c r="J919" s="170"/>
      <c r="K919" s="7" t="str">
        <f>VLOOKUP($E919,Mapping!$E$11:$I$204,3,0)</f>
        <v>Replacement</v>
      </c>
      <c r="L919" s="7" t="str">
        <f>IFERROR(VLOOKUP($G919,Mapping!$E$208:$K$236,5,0),"Contracts")</f>
        <v>Contracts</v>
      </c>
      <c r="M919" s="7" t="str">
        <f>IFERROR(VLOOKUP($G919,Mapping!$E$208:$K$236,7,0),"ENDirect")</f>
        <v>ENDirect</v>
      </c>
      <c r="N919" s="7" t="str">
        <f>IFERROR(HLOOKUP(L919,'Calc|Weightings'!$U$5:$W$5,1,0),"Excl")</f>
        <v>Contracts</v>
      </c>
      <c r="O919" s="7" t="str">
        <f>VLOOKUP(E919,Mapping!$E$11:$I$204,5,0)</f>
        <v>SCS</v>
      </c>
      <c r="Q919" s="32" t="s">
        <v>191</v>
      </c>
      <c r="R919" s="32"/>
      <c r="S919" s="32">
        <v>71000</v>
      </c>
      <c r="T919" s="32" t="s">
        <v>457</v>
      </c>
      <c r="U919" s="33">
        <v>1.474</v>
      </c>
      <c r="V919" s="7"/>
      <c r="W919" s="7" t="str">
        <f>VLOOKUP($Q919,Mapping!$E$11:$I$204,3,0)</f>
        <v>Replacement</v>
      </c>
      <c r="X919" s="7" t="str">
        <f>IFERROR(VLOOKUP($S919,Mapping!$E$208:$K$236,5,0),"Contracts")</f>
        <v>Labour</v>
      </c>
      <c r="Y919" s="7" t="str">
        <f>IFERROR(VLOOKUP($S919,Mapping!$E$208:$K$236,7,0),"ENDirect")</f>
        <v>ENDirect</v>
      </c>
      <c r="Z919" s="7" t="str">
        <f>IFERROR(HLOOKUP(X919,'Calc|Weightings'!$U$5:$W$5,1,0),"Excl")</f>
        <v>Labour</v>
      </c>
      <c r="AA919" s="7" t="str">
        <f>VLOOKUP(Q919,Mapping!$E$11:$I$204,5,0)</f>
        <v>SCS</v>
      </c>
      <c r="AC919" s="35" t="s">
        <v>156</v>
      </c>
      <c r="AD919" s="35"/>
      <c r="AE919" s="35">
        <v>71015</v>
      </c>
      <c r="AF919" s="35" t="s">
        <v>463</v>
      </c>
      <c r="AG919" s="36">
        <v>38.383000000000003</v>
      </c>
      <c r="AI919" s="7" t="str">
        <f>VLOOKUP($AC919,Mapping!$E$11:$I$204,3,0)</f>
        <v>VBRC</v>
      </c>
      <c r="AJ919" s="7" t="str">
        <f>IFERROR(VLOOKUP($AE919,Mapping!$E$208:$K$236,5,0),"Contracts")</f>
        <v>Materials</v>
      </c>
      <c r="AK919" s="7" t="str">
        <f>IFERROR(VLOOKUP($AE919,Mapping!$E$208:$K$236,7,0),"ENDirect")</f>
        <v>ENDirect</v>
      </c>
      <c r="AL919" s="7" t="str">
        <f>IFERROR(HLOOKUP(AJ919,'Calc|Weightings'!$U$5:$W$5,1,0),"Excl")</f>
        <v>Materials</v>
      </c>
      <c r="AM919" s="7" t="str">
        <f>VLOOKUP(AC919,Mapping!$E$11:$I$204,5,0)</f>
        <v>SCS</v>
      </c>
      <c r="AO919" s="35" t="s">
        <v>234</v>
      </c>
      <c r="AP919" s="35"/>
      <c r="AQ919" s="35">
        <v>71075</v>
      </c>
      <c r="AR919" s="35" t="s">
        <v>587</v>
      </c>
      <c r="AS919" s="121">
        <v>301.61173999999977</v>
      </c>
      <c r="AU919" s="7" t="str">
        <f>VLOOKUP($AO919,Mapping!$E$11:$I$204,3,0)</f>
        <v>Replacement</v>
      </c>
      <c r="AV919" s="7" t="str">
        <f>IFERROR(VLOOKUP($AQ919,Mapping!$E$208:$K$236,5,0),"Contracts")</f>
        <v>Contracts</v>
      </c>
      <c r="AW919" s="7" t="str">
        <f>IFERROR(VLOOKUP($AQ919,Mapping!$E$208:$K$236,7,0),"ENDirect")</f>
        <v>ENDirect</v>
      </c>
      <c r="AX919" s="7" t="str">
        <f>IFERROR(HLOOKUP(AV919,'Calc|Weightings'!$U$5:$W$5,1,0),"Excl")</f>
        <v>Contracts</v>
      </c>
      <c r="AY919" s="7" t="str">
        <f>VLOOKUP(AO919,Mapping!$E$11:$I$204,5,0)</f>
        <v>SCS</v>
      </c>
    </row>
    <row r="920" spans="1:51" x14ac:dyDescent="0.3">
      <c r="A920" s="7"/>
      <c r="B920" s="7"/>
      <c r="C920" s="7"/>
      <c r="D920" s="7"/>
      <c r="E920" s="32" t="s">
        <v>169</v>
      </c>
      <c r="F920" s="32"/>
      <c r="G920" s="32">
        <v>71000</v>
      </c>
      <c r="H920" s="32" t="s">
        <v>457</v>
      </c>
      <c r="I920" s="33">
        <v>22.283000000000001</v>
      </c>
      <c r="J920" s="170"/>
      <c r="K920" s="7" t="str">
        <f>VLOOKUP($E920,Mapping!$E$11:$I$204,3,0)</f>
        <v>Replacement</v>
      </c>
      <c r="L920" s="7" t="str">
        <f>IFERROR(VLOOKUP($G920,Mapping!$E$208:$K$236,5,0),"Contracts")</f>
        <v>Labour</v>
      </c>
      <c r="M920" s="7" t="str">
        <f>IFERROR(VLOOKUP($G920,Mapping!$E$208:$K$236,7,0),"ENDirect")</f>
        <v>ENDirect</v>
      </c>
      <c r="N920" s="7" t="str">
        <f>IFERROR(HLOOKUP(L920,'Calc|Weightings'!$U$5:$W$5,1,0),"Excl")</f>
        <v>Labour</v>
      </c>
      <c r="O920" s="7" t="str">
        <f>VLOOKUP(E920,Mapping!$E$11:$I$204,5,0)</f>
        <v>SCS</v>
      </c>
      <c r="Q920" s="32" t="s">
        <v>191</v>
      </c>
      <c r="R920" s="32"/>
      <c r="S920" s="32">
        <v>71005</v>
      </c>
      <c r="T920" s="32" t="s">
        <v>461</v>
      </c>
      <c r="U920" s="33">
        <v>0.68799999999999994</v>
      </c>
      <c r="V920" s="7"/>
      <c r="W920" s="7" t="str">
        <f>VLOOKUP($Q920,Mapping!$E$11:$I$204,3,0)</f>
        <v>Replacement</v>
      </c>
      <c r="X920" s="7" t="str">
        <f>IFERROR(VLOOKUP($S920,Mapping!$E$208:$K$236,5,0),"Contracts")</f>
        <v>Materials</v>
      </c>
      <c r="Y920" s="7" t="str">
        <f>IFERROR(VLOOKUP($S920,Mapping!$E$208:$K$236,7,0),"ENDirect")</f>
        <v>ENDirect</v>
      </c>
      <c r="Z920" s="7" t="str">
        <f>IFERROR(HLOOKUP(X920,'Calc|Weightings'!$U$5:$W$5,1,0),"Excl")</f>
        <v>Materials</v>
      </c>
      <c r="AA920" s="7" t="str">
        <f>VLOOKUP(Q920,Mapping!$E$11:$I$204,5,0)</f>
        <v>SCS</v>
      </c>
      <c r="AC920" s="35" t="s">
        <v>156</v>
      </c>
      <c r="AD920" s="35"/>
      <c r="AE920" s="35">
        <v>71020</v>
      </c>
      <c r="AF920" s="35" t="s">
        <v>459</v>
      </c>
      <c r="AG920" s="36">
        <v>0</v>
      </c>
      <c r="AI920" s="7" t="str">
        <f>VLOOKUP($AC920,Mapping!$E$11:$I$204,3,0)</f>
        <v>VBRC</v>
      </c>
      <c r="AJ920" s="7" t="str">
        <f>IFERROR(VLOOKUP($AE920,Mapping!$E$208:$K$236,5,0),"Contracts")</f>
        <v>Contracts</v>
      </c>
      <c r="AK920" s="7" t="str">
        <f>IFERROR(VLOOKUP($AE920,Mapping!$E$208:$K$236,7,0),"ENDirect")</f>
        <v>ENDirect</v>
      </c>
      <c r="AL920" s="7" t="str">
        <f>IFERROR(HLOOKUP(AJ920,'Calc|Weightings'!$U$5:$W$5,1,0),"Excl")</f>
        <v>Contracts</v>
      </c>
      <c r="AM920" s="7" t="str">
        <f>VLOOKUP(AC920,Mapping!$E$11:$I$204,5,0)</f>
        <v>SCS</v>
      </c>
      <c r="AO920" s="35" t="s">
        <v>234</v>
      </c>
      <c r="AP920" s="35"/>
      <c r="AQ920" s="35">
        <v>80000</v>
      </c>
      <c r="AR920" s="35" t="s">
        <v>589</v>
      </c>
      <c r="AS920" s="121">
        <v>431.91435000000007</v>
      </c>
      <c r="AU920" s="7" t="str">
        <f>VLOOKUP($AO920,Mapping!$E$11:$I$204,3,0)</f>
        <v>Replacement</v>
      </c>
      <c r="AV920" s="7" t="str">
        <f>IFERROR(VLOOKUP($AQ920,Mapping!$E$208:$K$236,5,0),"Contracts")</f>
        <v>Overhead</v>
      </c>
      <c r="AW920" s="7" t="str">
        <f>IFERROR(VLOOKUP($AQ920,Mapping!$E$208:$K$236,7,0),"ENDirect")</f>
        <v>OH</v>
      </c>
      <c r="AX920" s="7" t="str">
        <f>IFERROR(HLOOKUP(AV920,'Calc|Weightings'!$U$5:$W$5,1,0),"Excl")</f>
        <v>Excl</v>
      </c>
      <c r="AY920" s="7" t="str">
        <f>VLOOKUP(AO920,Mapping!$E$11:$I$204,5,0)</f>
        <v>SCS</v>
      </c>
    </row>
    <row r="921" spans="1:51" x14ac:dyDescent="0.3">
      <c r="A921" s="7"/>
      <c r="B921" s="7"/>
      <c r="C921" s="7"/>
      <c r="D921" s="7"/>
      <c r="E921" s="32" t="s">
        <v>169</v>
      </c>
      <c r="F921" s="32"/>
      <c r="G921" s="32">
        <v>71005</v>
      </c>
      <c r="H921" s="32" t="s">
        <v>461</v>
      </c>
      <c r="I921" s="33">
        <v>12.374000000000001</v>
      </c>
      <c r="J921" s="170"/>
      <c r="K921" s="7" t="str">
        <f>VLOOKUP($E921,Mapping!$E$11:$I$204,3,0)</f>
        <v>Replacement</v>
      </c>
      <c r="L921" s="7" t="str">
        <f>IFERROR(VLOOKUP($G921,Mapping!$E$208:$K$236,5,0),"Contracts")</f>
        <v>Materials</v>
      </c>
      <c r="M921" s="7" t="str">
        <f>IFERROR(VLOOKUP($G921,Mapping!$E$208:$K$236,7,0),"ENDirect")</f>
        <v>ENDirect</v>
      </c>
      <c r="N921" s="7" t="str">
        <f>IFERROR(HLOOKUP(L921,'Calc|Weightings'!$U$5:$W$5,1,0),"Excl")</f>
        <v>Materials</v>
      </c>
      <c r="O921" s="7" t="str">
        <f>VLOOKUP(E921,Mapping!$E$11:$I$204,5,0)</f>
        <v>SCS</v>
      </c>
      <c r="Q921" s="32" t="s">
        <v>191</v>
      </c>
      <c r="R921" s="32"/>
      <c r="S921" s="32">
        <v>71010</v>
      </c>
      <c r="T921" s="32" t="s">
        <v>462</v>
      </c>
      <c r="U921" s="33">
        <v>36.948999999999998</v>
      </c>
      <c r="V921" s="7"/>
      <c r="W921" s="7" t="str">
        <f>VLOOKUP($Q921,Mapping!$E$11:$I$204,3,0)</f>
        <v>Replacement</v>
      </c>
      <c r="X921" s="7" t="str">
        <f>IFERROR(VLOOKUP($S921,Mapping!$E$208:$K$236,5,0),"Contracts")</f>
        <v>Labour</v>
      </c>
      <c r="Y921" s="7" t="str">
        <f>IFERROR(VLOOKUP($S921,Mapping!$E$208:$K$236,7,0),"ENDirect")</f>
        <v>ENDirect</v>
      </c>
      <c r="Z921" s="7" t="str">
        <f>IFERROR(HLOOKUP(X921,'Calc|Weightings'!$U$5:$W$5,1,0),"Excl")</f>
        <v>Labour</v>
      </c>
      <c r="AA921" s="7" t="str">
        <f>VLOOKUP(Q921,Mapping!$E$11:$I$204,5,0)</f>
        <v>SCS</v>
      </c>
      <c r="AC921" s="35" t="s">
        <v>156</v>
      </c>
      <c r="AD921" s="35"/>
      <c r="AE921" s="35">
        <v>71030</v>
      </c>
      <c r="AF921" s="35" t="s">
        <v>464</v>
      </c>
      <c r="AG921" s="36">
        <v>18.742999999999999</v>
      </c>
      <c r="AI921" s="7" t="str">
        <f>VLOOKUP($AC921,Mapping!$E$11:$I$204,3,0)</f>
        <v>VBRC</v>
      </c>
      <c r="AJ921" s="7" t="str">
        <f>IFERROR(VLOOKUP($AE921,Mapping!$E$208:$K$236,5,0),"Contracts")</f>
        <v>Contracts</v>
      </c>
      <c r="AK921" s="7" t="str">
        <f>IFERROR(VLOOKUP($AE921,Mapping!$E$208:$K$236,7,0),"ENDirect")</f>
        <v>ENDirect</v>
      </c>
      <c r="AL921" s="7" t="str">
        <f>IFERROR(HLOOKUP(AJ921,'Calc|Weightings'!$U$5:$W$5,1,0),"Excl")</f>
        <v>Contracts</v>
      </c>
      <c r="AM921" s="7" t="str">
        <f>VLOOKUP(AC921,Mapping!$E$11:$I$204,5,0)</f>
        <v>SCS</v>
      </c>
      <c r="AO921" s="35" t="s">
        <v>234</v>
      </c>
      <c r="AP921" s="35"/>
      <c r="AQ921" s="35">
        <v>83010</v>
      </c>
      <c r="AR921" s="35" t="s">
        <v>591</v>
      </c>
      <c r="AS921" s="121">
        <v>2457.7979800000294</v>
      </c>
      <c r="AU921" s="7" t="str">
        <f>VLOOKUP($AO921,Mapping!$E$11:$I$204,3,0)</f>
        <v>Replacement</v>
      </c>
      <c r="AV921" s="7" t="str">
        <f>IFERROR(VLOOKUP($AQ921,Mapping!$E$208:$K$236,5,0),"Contracts")</f>
        <v>Contracts</v>
      </c>
      <c r="AW921" s="7" t="str">
        <f>IFERROR(VLOOKUP($AQ921,Mapping!$E$208:$K$236,7,0),"ENDirect")</f>
        <v>ENDirect</v>
      </c>
      <c r="AX921" s="7" t="str">
        <f>IFERROR(HLOOKUP(AV921,'Calc|Weightings'!$U$5:$W$5,1,0),"Excl")</f>
        <v>Contracts</v>
      </c>
      <c r="AY921" s="7" t="str">
        <f>VLOOKUP(AO921,Mapping!$E$11:$I$204,5,0)</f>
        <v>SCS</v>
      </c>
    </row>
    <row r="922" spans="1:51" x14ac:dyDescent="0.3">
      <c r="A922" s="7"/>
      <c r="B922" s="7"/>
      <c r="C922" s="7"/>
      <c r="D922" s="7"/>
      <c r="E922" s="32" t="s">
        <v>169</v>
      </c>
      <c r="F922" s="32"/>
      <c r="G922" s="32">
        <v>71010</v>
      </c>
      <c r="H922" s="32" t="s">
        <v>462</v>
      </c>
      <c r="I922" s="33">
        <v>42.414000000000001</v>
      </c>
      <c r="J922" s="170"/>
      <c r="K922" s="7" t="str">
        <f>VLOOKUP($E922,Mapping!$E$11:$I$204,3,0)</f>
        <v>Replacement</v>
      </c>
      <c r="L922" s="7" t="str">
        <f>IFERROR(VLOOKUP($G922,Mapping!$E$208:$K$236,5,0),"Contracts")</f>
        <v>Labour</v>
      </c>
      <c r="M922" s="7" t="str">
        <f>IFERROR(VLOOKUP($G922,Mapping!$E$208:$K$236,7,0),"ENDirect")</f>
        <v>ENDirect</v>
      </c>
      <c r="N922" s="7" t="str">
        <f>IFERROR(HLOOKUP(L922,'Calc|Weightings'!$U$5:$W$5,1,0),"Excl")</f>
        <v>Labour</v>
      </c>
      <c r="O922" s="7" t="str">
        <f>VLOOKUP(E922,Mapping!$E$11:$I$204,5,0)</f>
        <v>SCS</v>
      </c>
      <c r="Q922" s="32" t="s">
        <v>191</v>
      </c>
      <c r="R922" s="32"/>
      <c r="S922" s="32">
        <v>71015</v>
      </c>
      <c r="T922" s="32" t="s">
        <v>463</v>
      </c>
      <c r="U922" s="33">
        <v>0.27100000000000002</v>
      </c>
      <c r="V922" s="7"/>
      <c r="W922" s="7" t="str">
        <f>VLOOKUP($Q922,Mapping!$E$11:$I$204,3,0)</f>
        <v>Replacement</v>
      </c>
      <c r="X922" s="7" t="str">
        <f>IFERROR(VLOOKUP($S922,Mapping!$E$208:$K$236,5,0),"Contracts")</f>
        <v>Materials</v>
      </c>
      <c r="Y922" s="7" t="str">
        <f>IFERROR(VLOOKUP($S922,Mapping!$E$208:$K$236,7,0),"ENDirect")</f>
        <v>ENDirect</v>
      </c>
      <c r="Z922" s="7" t="str">
        <f>IFERROR(HLOOKUP(X922,'Calc|Weightings'!$U$5:$W$5,1,0),"Excl")</f>
        <v>Materials</v>
      </c>
      <c r="AA922" s="7" t="str">
        <f>VLOOKUP(Q922,Mapping!$E$11:$I$204,5,0)</f>
        <v>SCS</v>
      </c>
      <c r="AC922" s="35" t="s">
        <v>156</v>
      </c>
      <c r="AD922" s="35"/>
      <c r="AE922" s="35">
        <v>71055</v>
      </c>
      <c r="AF922" s="35" t="s">
        <v>465</v>
      </c>
      <c r="AG922" s="36">
        <v>38.534999999999997</v>
      </c>
      <c r="AI922" s="7" t="str">
        <f>VLOOKUP($AC922,Mapping!$E$11:$I$204,3,0)</f>
        <v>VBRC</v>
      </c>
      <c r="AJ922" s="7" t="str">
        <f>IFERROR(VLOOKUP($AE922,Mapping!$E$208:$K$236,5,0),"Contracts")</f>
        <v>Contracts</v>
      </c>
      <c r="AK922" s="7" t="str">
        <f>IFERROR(VLOOKUP($AE922,Mapping!$E$208:$K$236,7,0),"ENDirect")</f>
        <v>ENDirect</v>
      </c>
      <c r="AL922" s="7" t="str">
        <f>IFERROR(HLOOKUP(AJ922,'Calc|Weightings'!$U$5:$W$5,1,0),"Excl")</f>
        <v>Contracts</v>
      </c>
      <c r="AM922" s="7" t="str">
        <f>VLOOKUP(AC922,Mapping!$E$11:$I$204,5,0)</f>
        <v>SCS</v>
      </c>
      <c r="AO922" s="35" t="s">
        <v>236</v>
      </c>
      <c r="AP922" s="35"/>
      <c r="AQ922" s="35">
        <v>71070</v>
      </c>
      <c r="AR922" s="35" t="s">
        <v>586</v>
      </c>
      <c r="AS922" s="121">
        <v>3.2293100000000003</v>
      </c>
      <c r="AU922" s="7" t="str">
        <f>VLOOKUP($AO922,Mapping!$E$11:$I$204,3,0)</f>
        <v>Replacement</v>
      </c>
      <c r="AV922" s="7" t="str">
        <f>IFERROR(VLOOKUP($AQ922,Mapping!$E$208:$K$236,5,0),"Contracts")</f>
        <v>Contracts</v>
      </c>
      <c r="AW922" s="7" t="str">
        <f>IFERROR(VLOOKUP($AQ922,Mapping!$E$208:$K$236,7,0),"ENDirect")</f>
        <v>ENDirect</v>
      </c>
      <c r="AX922" s="7" t="str">
        <f>IFERROR(HLOOKUP(AV922,'Calc|Weightings'!$U$5:$W$5,1,0),"Excl")</f>
        <v>Contracts</v>
      </c>
      <c r="AY922" s="7" t="str">
        <f>VLOOKUP(AO922,Mapping!$E$11:$I$204,5,0)</f>
        <v>SCS</v>
      </c>
    </row>
    <row r="923" spans="1:51" x14ac:dyDescent="0.3">
      <c r="A923" s="7"/>
      <c r="B923" s="7"/>
      <c r="C923" s="7"/>
      <c r="D923" s="7"/>
      <c r="E923" s="32" t="s">
        <v>169</v>
      </c>
      <c r="F923" s="32"/>
      <c r="G923" s="32">
        <v>71015</v>
      </c>
      <c r="H923" s="32" t="s">
        <v>463</v>
      </c>
      <c r="I923" s="33">
        <v>5.8719999999999999</v>
      </c>
      <c r="J923" s="170"/>
      <c r="K923" s="7" t="str">
        <f>VLOOKUP($E923,Mapping!$E$11:$I$204,3,0)</f>
        <v>Replacement</v>
      </c>
      <c r="L923" s="7" t="str">
        <f>IFERROR(VLOOKUP($G923,Mapping!$E$208:$K$236,5,0),"Contracts")</f>
        <v>Materials</v>
      </c>
      <c r="M923" s="7" t="str">
        <f>IFERROR(VLOOKUP($G923,Mapping!$E$208:$K$236,7,0),"ENDirect")</f>
        <v>ENDirect</v>
      </c>
      <c r="N923" s="7" t="str">
        <f>IFERROR(HLOOKUP(L923,'Calc|Weightings'!$U$5:$W$5,1,0),"Excl")</f>
        <v>Materials</v>
      </c>
      <c r="O923" s="7" t="str">
        <f>VLOOKUP(E923,Mapping!$E$11:$I$204,5,0)</f>
        <v>SCS</v>
      </c>
      <c r="Q923" s="32" t="s">
        <v>191</v>
      </c>
      <c r="R923" s="32"/>
      <c r="S923" s="32">
        <v>71030</v>
      </c>
      <c r="T923" s="32" t="s">
        <v>464</v>
      </c>
      <c r="U923" s="33">
        <v>3.1520000000000001</v>
      </c>
      <c r="V923" s="7"/>
      <c r="W923" s="7" t="str">
        <f>VLOOKUP($Q923,Mapping!$E$11:$I$204,3,0)</f>
        <v>Replacement</v>
      </c>
      <c r="X923" s="7" t="str">
        <f>IFERROR(VLOOKUP($S923,Mapping!$E$208:$K$236,5,0),"Contracts")</f>
        <v>Contracts</v>
      </c>
      <c r="Y923" s="7" t="str">
        <f>IFERROR(VLOOKUP($S923,Mapping!$E$208:$K$236,7,0),"ENDirect")</f>
        <v>ENDirect</v>
      </c>
      <c r="Z923" s="7" t="str">
        <f>IFERROR(HLOOKUP(X923,'Calc|Weightings'!$U$5:$W$5,1,0),"Excl")</f>
        <v>Contracts</v>
      </c>
      <c r="AA923" s="7" t="str">
        <f>VLOOKUP(Q923,Mapping!$E$11:$I$204,5,0)</f>
        <v>SCS</v>
      </c>
      <c r="AC923" s="35" t="s">
        <v>156</v>
      </c>
      <c r="AD923" s="35"/>
      <c r="AE923" s="35">
        <v>80000</v>
      </c>
      <c r="AF923" s="35" t="s">
        <v>453</v>
      </c>
      <c r="AG923" s="36">
        <v>26.361000000000001</v>
      </c>
      <c r="AI923" s="7" t="str">
        <f>VLOOKUP($AC923,Mapping!$E$11:$I$204,3,0)</f>
        <v>VBRC</v>
      </c>
      <c r="AJ923" s="7" t="str">
        <f>IFERROR(VLOOKUP($AE923,Mapping!$E$208:$K$236,5,0),"Contracts")</f>
        <v>Overhead</v>
      </c>
      <c r="AK923" s="7" t="str">
        <f>IFERROR(VLOOKUP($AE923,Mapping!$E$208:$K$236,7,0),"ENDirect")</f>
        <v>OH</v>
      </c>
      <c r="AL923" s="7" t="str">
        <f>IFERROR(HLOOKUP(AJ923,'Calc|Weightings'!$U$5:$W$5,1,0),"Excl")</f>
        <v>Excl</v>
      </c>
      <c r="AM923" s="7" t="str">
        <f>VLOOKUP(AC923,Mapping!$E$11:$I$204,5,0)</f>
        <v>SCS</v>
      </c>
      <c r="AO923" s="35" t="s">
        <v>236</v>
      </c>
      <c r="AP923" s="35"/>
      <c r="AQ923" s="35">
        <v>71075</v>
      </c>
      <c r="AR923" s="35" t="s">
        <v>587</v>
      </c>
      <c r="AS923" s="121">
        <v>65.812359999999927</v>
      </c>
      <c r="AU923" s="7" t="str">
        <f>VLOOKUP($AO923,Mapping!$E$11:$I$204,3,0)</f>
        <v>Replacement</v>
      </c>
      <c r="AV923" s="7" t="str">
        <f>IFERROR(VLOOKUP($AQ923,Mapping!$E$208:$K$236,5,0),"Contracts")</f>
        <v>Contracts</v>
      </c>
      <c r="AW923" s="7" t="str">
        <f>IFERROR(VLOOKUP($AQ923,Mapping!$E$208:$K$236,7,0),"ENDirect")</f>
        <v>ENDirect</v>
      </c>
      <c r="AX923" s="7" t="str">
        <f>IFERROR(HLOOKUP(AV923,'Calc|Weightings'!$U$5:$W$5,1,0),"Excl")</f>
        <v>Contracts</v>
      </c>
      <c r="AY923" s="7" t="str">
        <f>VLOOKUP(AO923,Mapping!$E$11:$I$204,5,0)</f>
        <v>SCS</v>
      </c>
    </row>
    <row r="924" spans="1:51" x14ac:dyDescent="0.3">
      <c r="A924" s="7"/>
      <c r="B924" s="7"/>
      <c r="C924" s="7"/>
      <c r="D924" s="7"/>
      <c r="E924" s="32" t="s">
        <v>169</v>
      </c>
      <c r="F924" s="32"/>
      <c r="G924" s="32">
        <v>71020</v>
      </c>
      <c r="H924" s="32" t="s">
        <v>459</v>
      </c>
      <c r="I924" s="33">
        <v>-3.0609999999999999</v>
      </c>
      <c r="J924" s="170"/>
      <c r="K924" s="7" t="str">
        <f>VLOOKUP($E924,Mapping!$E$11:$I$204,3,0)</f>
        <v>Replacement</v>
      </c>
      <c r="L924" s="7" t="str">
        <f>IFERROR(VLOOKUP($G924,Mapping!$E$208:$K$236,5,0),"Contracts")</f>
        <v>Contracts</v>
      </c>
      <c r="M924" s="7" t="str">
        <f>IFERROR(VLOOKUP($G924,Mapping!$E$208:$K$236,7,0),"ENDirect")</f>
        <v>ENDirect</v>
      </c>
      <c r="N924" s="7" t="str">
        <f>IFERROR(HLOOKUP(L924,'Calc|Weightings'!$U$5:$W$5,1,0),"Excl")</f>
        <v>Contracts</v>
      </c>
      <c r="O924" s="7" t="str">
        <f>VLOOKUP(E924,Mapping!$E$11:$I$204,5,0)</f>
        <v>SCS</v>
      </c>
      <c r="Q924" s="32" t="s">
        <v>191</v>
      </c>
      <c r="R924" s="32"/>
      <c r="S924" s="32">
        <v>71055</v>
      </c>
      <c r="T924" s="32" t="s">
        <v>465</v>
      </c>
      <c r="U924" s="33">
        <v>5.6390000000000002</v>
      </c>
      <c r="V924" s="7"/>
      <c r="W924" s="7" t="str">
        <f>VLOOKUP($Q924,Mapping!$E$11:$I$204,3,0)</f>
        <v>Replacement</v>
      </c>
      <c r="X924" s="7" t="str">
        <f>IFERROR(VLOOKUP($S924,Mapping!$E$208:$K$236,5,0),"Contracts")</f>
        <v>Contracts</v>
      </c>
      <c r="Y924" s="7" t="str">
        <f>IFERROR(VLOOKUP($S924,Mapping!$E$208:$K$236,7,0),"ENDirect")</f>
        <v>ENDirect</v>
      </c>
      <c r="Z924" s="7" t="str">
        <f>IFERROR(HLOOKUP(X924,'Calc|Weightings'!$U$5:$W$5,1,0),"Excl")</f>
        <v>Contracts</v>
      </c>
      <c r="AA924" s="7" t="str">
        <f>VLOOKUP(Q924,Mapping!$E$11:$I$204,5,0)</f>
        <v>SCS</v>
      </c>
      <c r="AC924" s="35" t="s">
        <v>156</v>
      </c>
      <c r="AD924" s="35"/>
      <c r="AE924" s="35">
        <v>89999</v>
      </c>
      <c r="AF924" s="35" t="s">
        <v>471</v>
      </c>
      <c r="AG924" s="36">
        <v>0</v>
      </c>
      <c r="AI924" s="7" t="str">
        <f>VLOOKUP($AC924,Mapping!$E$11:$I$204,3,0)</f>
        <v>VBRC</v>
      </c>
      <c r="AJ924" s="7" t="str">
        <f>IFERROR(VLOOKUP($AE924,Mapping!$E$208:$K$236,5,0),"Contracts")</f>
        <v>Contracts</v>
      </c>
      <c r="AK924" s="7" t="str">
        <f>IFERROR(VLOOKUP($AE924,Mapping!$E$208:$K$236,7,0),"ENDirect")</f>
        <v>ENDirect</v>
      </c>
      <c r="AL924" s="7" t="str">
        <f>IFERROR(HLOOKUP(AJ924,'Calc|Weightings'!$U$5:$W$5,1,0),"Excl")</f>
        <v>Contracts</v>
      </c>
      <c r="AM924" s="7" t="str">
        <f>VLOOKUP(AC924,Mapping!$E$11:$I$204,5,0)</f>
        <v>SCS</v>
      </c>
      <c r="AO924" s="35" t="s">
        <v>236</v>
      </c>
      <c r="AP924" s="35"/>
      <c r="AQ924" s="35">
        <v>80000</v>
      </c>
      <c r="AR924" s="35" t="s">
        <v>589</v>
      </c>
      <c r="AS924" s="121">
        <v>106.26702000000002</v>
      </c>
      <c r="AU924" s="7" t="str">
        <f>VLOOKUP($AO924,Mapping!$E$11:$I$204,3,0)</f>
        <v>Replacement</v>
      </c>
      <c r="AV924" s="7" t="str">
        <f>IFERROR(VLOOKUP($AQ924,Mapping!$E$208:$K$236,5,0),"Contracts")</f>
        <v>Overhead</v>
      </c>
      <c r="AW924" s="7" t="str">
        <f>IFERROR(VLOOKUP($AQ924,Mapping!$E$208:$K$236,7,0),"ENDirect")</f>
        <v>OH</v>
      </c>
      <c r="AX924" s="7" t="str">
        <f>IFERROR(HLOOKUP(AV924,'Calc|Weightings'!$U$5:$W$5,1,0),"Excl")</f>
        <v>Excl</v>
      </c>
      <c r="AY924" s="7" t="str">
        <f>VLOOKUP(AO924,Mapping!$E$11:$I$204,5,0)</f>
        <v>SCS</v>
      </c>
    </row>
    <row r="925" spans="1:51" x14ac:dyDescent="0.3">
      <c r="A925" s="7"/>
      <c r="B925" s="7"/>
      <c r="C925" s="7"/>
      <c r="D925" s="7"/>
      <c r="E925" s="32" t="s">
        <v>169</v>
      </c>
      <c r="F925" s="32"/>
      <c r="G925" s="32">
        <v>71030</v>
      </c>
      <c r="H925" s="32" t="s">
        <v>464</v>
      </c>
      <c r="I925" s="33">
        <v>7.51</v>
      </c>
      <c r="J925" s="170"/>
      <c r="K925" s="7" t="str">
        <f>VLOOKUP($E925,Mapping!$E$11:$I$204,3,0)</f>
        <v>Replacement</v>
      </c>
      <c r="L925" s="7" t="str">
        <f>IFERROR(VLOOKUP($G925,Mapping!$E$208:$K$236,5,0),"Contracts")</f>
        <v>Contracts</v>
      </c>
      <c r="M925" s="7" t="str">
        <f>IFERROR(VLOOKUP($G925,Mapping!$E$208:$K$236,7,0),"ENDirect")</f>
        <v>ENDirect</v>
      </c>
      <c r="N925" s="7" t="str">
        <f>IFERROR(HLOOKUP(L925,'Calc|Weightings'!$U$5:$W$5,1,0),"Excl")</f>
        <v>Contracts</v>
      </c>
      <c r="O925" s="7" t="str">
        <f>VLOOKUP(E925,Mapping!$E$11:$I$204,5,0)</f>
        <v>SCS</v>
      </c>
      <c r="Q925" s="32" t="s">
        <v>191</v>
      </c>
      <c r="R925" s="32"/>
      <c r="S925" s="32">
        <v>80000</v>
      </c>
      <c r="T925" s="32" t="s">
        <v>453</v>
      </c>
      <c r="U925" s="33">
        <v>5.569</v>
      </c>
      <c r="V925" s="7"/>
      <c r="W925" s="7" t="str">
        <f>VLOOKUP($Q925,Mapping!$E$11:$I$204,3,0)</f>
        <v>Replacement</v>
      </c>
      <c r="X925" s="7" t="str">
        <f>IFERROR(VLOOKUP($S925,Mapping!$E$208:$K$236,5,0),"Contracts")</f>
        <v>Overhead</v>
      </c>
      <c r="Y925" s="7" t="str">
        <f>IFERROR(VLOOKUP($S925,Mapping!$E$208:$K$236,7,0),"ENDirect")</f>
        <v>OH</v>
      </c>
      <c r="Z925" s="7" t="str">
        <f>IFERROR(HLOOKUP(X925,'Calc|Weightings'!$U$5:$W$5,1,0),"Excl")</f>
        <v>Excl</v>
      </c>
      <c r="AA925" s="7" t="str">
        <f>VLOOKUP(Q925,Mapping!$E$11:$I$204,5,0)</f>
        <v>SCS</v>
      </c>
      <c r="AC925" s="35" t="s">
        <v>164</v>
      </c>
      <c r="AD925" s="35"/>
      <c r="AE925" s="35">
        <v>71000</v>
      </c>
      <c r="AF925" s="35" t="s">
        <v>457</v>
      </c>
      <c r="AG925" s="36">
        <v>74.736999999999995</v>
      </c>
      <c r="AI925" s="7" t="str">
        <f>VLOOKUP($AC925,Mapping!$E$11:$I$204,3,0)</f>
        <v>Replacement</v>
      </c>
      <c r="AJ925" s="7" t="str">
        <f>IFERROR(VLOOKUP($AE925,Mapping!$E$208:$K$236,5,0),"Contracts")</f>
        <v>Labour</v>
      </c>
      <c r="AK925" s="7" t="str">
        <f>IFERROR(VLOOKUP($AE925,Mapping!$E$208:$K$236,7,0),"ENDirect")</f>
        <v>ENDirect</v>
      </c>
      <c r="AL925" s="7" t="str">
        <f>IFERROR(HLOOKUP(AJ925,'Calc|Weightings'!$U$5:$W$5,1,0),"Excl")</f>
        <v>Labour</v>
      </c>
      <c r="AM925" s="7" t="str">
        <f>VLOOKUP(AC925,Mapping!$E$11:$I$204,5,0)</f>
        <v>SCS</v>
      </c>
      <c r="AO925" s="35" t="s">
        <v>236</v>
      </c>
      <c r="AP925" s="35"/>
      <c r="AQ925" s="35">
        <v>83010</v>
      </c>
      <c r="AR925" s="35" t="s">
        <v>591</v>
      </c>
      <c r="AS925" s="121">
        <v>539.29476999999986</v>
      </c>
      <c r="AU925" s="7" t="str">
        <f>VLOOKUP($AO925,Mapping!$E$11:$I$204,3,0)</f>
        <v>Replacement</v>
      </c>
      <c r="AV925" s="7" t="str">
        <f>IFERROR(VLOOKUP($AQ925,Mapping!$E$208:$K$236,5,0),"Contracts")</f>
        <v>Contracts</v>
      </c>
      <c r="AW925" s="7" t="str">
        <f>IFERROR(VLOOKUP($AQ925,Mapping!$E$208:$K$236,7,0),"ENDirect")</f>
        <v>ENDirect</v>
      </c>
      <c r="AX925" s="7" t="str">
        <f>IFERROR(HLOOKUP(AV925,'Calc|Weightings'!$U$5:$W$5,1,0),"Excl")</f>
        <v>Contracts</v>
      </c>
      <c r="AY925" s="7" t="str">
        <f>VLOOKUP(AO925,Mapping!$E$11:$I$204,5,0)</f>
        <v>SCS</v>
      </c>
    </row>
    <row r="926" spans="1:51" x14ac:dyDescent="0.3">
      <c r="A926" s="7"/>
      <c r="B926" s="7"/>
      <c r="C926" s="7"/>
      <c r="D926" s="7"/>
      <c r="E926" s="32" t="s">
        <v>169</v>
      </c>
      <c r="F926" s="32"/>
      <c r="G926" s="32">
        <v>71055</v>
      </c>
      <c r="H926" s="32" t="s">
        <v>465</v>
      </c>
      <c r="I926" s="33">
        <v>27.398</v>
      </c>
      <c r="J926" s="170"/>
      <c r="K926" s="7" t="str">
        <f>VLOOKUP($E926,Mapping!$E$11:$I$204,3,0)</f>
        <v>Replacement</v>
      </c>
      <c r="L926" s="7" t="str">
        <f>IFERROR(VLOOKUP($G926,Mapping!$E$208:$K$236,5,0),"Contracts")</f>
        <v>Contracts</v>
      </c>
      <c r="M926" s="7" t="str">
        <f>IFERROR(VLOOKUP($G926,Mapping!$E$208:$K$236,7,0),"ENDirect")</f>
        <v>ENDirect</v>
      </c>
      <c r="N926" s="7" t="str">
        <f>IFERROR(HLOOKUP(L926,'Calc|Weightings'!$U$5:$W$5,1,0),"Excl")</f>
        <v>Contracts</v>
      </c>
      <c r="O926" s="7" t="str">
        <f>VLOOKUP(E926,Mapping!$E$11:$I$204,5,0)</f>
        <v>SCS</v>
      </c>
      <c r="Q926" s="32" t="s">
        <v>193</v>
      </c>
      <c r="R926" s="32"/>
      <c r="S926" s="32">
        <v>71000</v>
      </c>
      <c r="T926" s="32" t="s">
        <v>457</v>
      </c>
      <c r="U926" s="33">
        <v>0.72799999999999998</v>
      </c>
      <c r="V926" s="7"/>
      <c r="W926" s="7" t="str">
        <f>VLOOKUP($Q926,Mapping!$E$11:$I$204,3,0)</f>
        <v>VBRC</v>
      </c>
      <c r="X926" s="7" t="str">
        <f>IFERROR(VLOOKUP($S926,Mapping!$E$208:$K$236,5,0),"Contracts")</f>
        <v>Labour</v>
      </c>
      <c r="Y926" s="7" t="str">
        <f>IFERROR(VLOOKUP($S926,Mapping!$E$208:$K$236,7,0),"ENDirect")</f>
        <v>ENDirect</v>
      </c>
      <c r="Z926" s="7" t="str">
        <f>IFERROR(HLOOKUP(X926,'Calc|Weightings'!$U$5:$W$5,1,0),"Excl")</f>
        <v>Labour</v>
      </c>
      <c r="AA926" s="7" t="str">
        <f>VLOOKUP(Q926,Mapping!$E$11:$I$204,5,0)</f>
        <v>SCS</v>
      </c>
      <c r="AC926" s="35" t="s">
        <v>164</v>
      </c>
      <c r="AD926" s="35"/>
      <c r="AE926" s="35">
        <v>71005</v>
      </c>
      <c r="AF926" s="35" t="s">
        <v>461</v>
      </c>
      <c r="AG926" s="36">
        <v>12.532999999999999</v>
      </c>
      <c r="AI926" s="7" t="str">
        <f>VLOOKUP($AC926,Mapping!$E$11:$I$204,3,0)</f>
        <v>Replacement</v>
      </c>
      <c r="AJ926" s="7" t="str">
        <f>IFERROR(VLOOKUP($AE926,Mapping!$E$208:$K$236,5,0),"Contracts")</f>
        <v>Materials</v>
      </c>
      <c r="AK926" s="7" t="str">
        <f>IFERROR(VLOOKUP($AE926,Mapping!$E$208:$K$236,7,0),"ENDirect")</f>
        <v>ENDirect</v>
      </c>
      <c r="AL926" s="7" t="str">
        <f>IFERROR(HLOOKUP(AJ926,'Calc|Weightings'!$U$5:$W$5,1,0),"Excl")</f>
        <v>Materials</v>
      </c>
      <c r="AM926" s="7" t="str">
        <f>VLOOKUP(AC926,Mapping!$E$11:$I$204,5,0)</f>
        <v>SCS</v>
      </c>
      <c r="AO926" s="35" t="s">
        <v>544</v>
      </c>
      <c r="AP926" s="35"/>
      <c r="AQ926" s="35">
        <v>71070</v>
      </c>
      <c r="AR926" s="35" t="s">
        <v>586</v>
      </c>
      <c r="AS926" s="121">
        <v>30.803639999999994</v>
      </c>
      <c r="AU926" s="7" t="str">
        <f>VLOOKUP($AO926,Mapping!$E$11:$I$204,3,0)</f>
        <v>Replacement</v>
      </c>
      <c r="AV926" s="7" t="str">
        <f>IFERROR(VLOOKUP($AQ926,Mapping!$E$208:$K$236,5,0),"Contracts")</f>
        <v>Contracts</v>
      </c>
      <c r="AW926" s="7" t="str">
        <f>IFERROR(VLOOKUP($AQ926,Mapping!$E$208:$K$236,7,0),"ENDirect")</f>
        <v>ENDirect</v>
      </c>
      <c r="AX926" s="7" t="str">
        <f>IFERROR(HLOOKUP(AV926,'Calc|Weightings'!$U$5:$W$5,1,0),"Excl")</f>
        <v>Contracts</v>
      </c>
      <c r="AY926" s="7" t="str">
        <f>VLOOKUP(AO926,Mapping!$E$11:$I$204,5,0)</f>
        <v>SCS</v>
      </c>
    </row>
    <row r="927" spans="1:51" x14ac:dyDescent="0.3">
      <c r="A927" s="7"/>
      <c r="B927" s="7"/>
      <c r="C927" s="7"/>
      <c r="D927" s="7"/>
      <c r="E927" s="32" t="s">
        <v>169</v>
      </c>
      <c r="F927" s="32"/>
      <c r="G927" s="32">
        <v>80000</v>
      </c>
      <c r="H927" s="32" t="s">
        <v>453</v>
      </c>
      <c r="I927" s="33">
        <v>10.923999999999999</v>
      </c>
      <c r="J927" s="170"/>
      <c r="K927" s="7" t="str">
        <f>VLOOKUP($E927,Mapping!$E$11:$I$204,3,0)</f>
        <v>Replacement</v>
      </c>
      <c r="L927" s="7" t="str">
        <f>IFERROR(VLOOKUP($G927,Mapping!$E$208:$K$236,5,0),"Contracts")</f>
        <v>Overhead</v>
      </c>
      <c r="M927" s="7" t="str">
        <f>IFERROR(VLOOKUP($G927,Mapping!$E$208:$K$236,7,0),"ENDirect")</f>
        <v>OH</v>
      </c>
      <c r="N927" s="7" t="str">
        <f>IFERROR(HLOOKUP(L927,'Calc|Weightings'!$U$5:$W$5,1,0),"Excl")</f>
        <v>Excl</v>
      </c>
      <c r="O927" s="7" t="str">
        <f>VLOOKUP(E927,Mapping!$E$11:$I$204,5,0)</f>
        <v>SCS</v>
      </c>
      <c r="Q927" s="32" t="s">
        <v>193</v>
      </c>
      <c r="R927" s="32"/>
      <c r="S927" s="32">
        <v>71005</v>
      </c>
      <c r="T927" s="32" t="s">
        <v>461</v>
      </c>
      <c r="U927" s="33">
        <v>7.2999999999999995E-2</v>
      </c>
      <c r="V927" s="7"/>
      <c r="W927" s="7" t="str">
        <f>VLOOKUP($Q927,Mapping!$E$11:$I$204,3,0)</f>
        <v>VBRC</v>
      </c>
      <c r="X927" s="7" t="str">
        <f>IFERROR(VLOOKUP($S927,Mapping!$E$208:$K$236,5,0),"Contracts")</f>
        <v>Materials</v>
      </c>
      <c r="Y927" s="7" t="str">
        <f>IFERROR(VLOOKUP($S927,Mapping!$E$208:$K$236,7,0),"ENDirect")</f>
        <v>ENDirect</v>
      </c>
      <c r="Z927" s="7" t="str">
        <f>IFERROR(HLOOKUP(X927,'Calc|Weightings'!$U$5:$W$5,1,0),"Excl")</f>
        <v>Materials</v>
      </c>
      <c r="AA927" s="7" t="str">
        <f>VLOOKUP(Q927,Mapping!$E$11:$I$204,5,0)</f>
        <v>SCS</v>
      </c>
      <c r="AC927" s="35" t="s">
        <v>164</v>
      </c>
      <c r="AD927" s="35"/>
      <c r="AE927" s="35">
        <v>71006</v>
      </c>
      <c r="AF927" s="35" t="s">
        <v>468</v>
      </c>
      <c r="AG927" s="36">
        <v>94.426000000000002</v>
      </c>
      <c r="AI927" s="7" t="str">
        <f>VLOOKUP($AC927,Mapping!$E$11:$I$204,3,0)</f>
        <v>Replacement</v>
      </c>
      <c r="AJ927" s="7" t="str">
        <f>IFERROR(VLOOKUP($AE927,Mapping!$E$208:$K$236,5,0),"Contracts")</f>
        <v>Materials</v>
      </c>
      <c r="AK927" s="7" t="str">
        <f>IFERROR(VLOOKUP($AE927,Mapping!$E$208:$K$236,7,0),"ENDirect")</f>
        <v>ENDirect</v>
      </c>
      <c r="AL927" s="7" t="str">
        <f>IFERROR(HLOOKUP(AJ927,'Calc|Weightings'!$U$5:$W$5,1,0),"Excl")</f>
        <v>Materials</v>
      </c>
      <c r="AM927" s="7" t="str">
        <f>VLOOKUP(AC927,Mapping!$E$11:$I$204,5,0)</f>
        <v>SCS</v>
      </c>
      <c r="AO927" s="35" t="s">
        <v>544</v>
      </c>
      <c r="AP927" s="35"/>
      <c r="AQ927" s="35">
        <v>71075</v>
      </c>
      <c r="AR927" s="35" t="s">
        <v>587</v>
      </c>
      <c r="AS927" s="121">
        <v>408.13434999999845</v>
      </c>
      <c r="AU927" s="7" t="str">
        <f>VLOOKUP($AO927,Mapping!$E$11:$I$204,3,0)</f>
        <v>Replacement</v>
      </c>
      <c r="AV927" s="7" t="str">
        <f>IFERROR(VLOOKUP($AQ927,Mapping!$E$208:$K$236,5,0),"Contracts")</f>
        <v>Contracts</v>
      </c>
      <c r="AW927" s="7" t="str">
        <f>IFERROR(VLOOKUP($AQ927,Mapping!$E$208:$K$236,7,0),"ENDirect")</f>
        <v>ENDirect</v>
      </c>
      <c r="AX927" s="7" t="str">
        <f>IFERROR(HLOOKUP(AV927,'Calc|Weightings'!$U$5:$W$5,1,0),"Excl")</f>
        <v>Contracts</v>
      </c>
      <c r="AY927" s="7" t="str">
        <f>VLOOKUP(AO927,Mapping!$E$11:$I$204,5,0)</f>
        <v>SCS</v>
      </c>
    </row>
    <row r="928" spans="1:51" x14ac:dyDescent="0.3">
      <c r="A928" s="7"/>
      <c r="B928" s="7"/>
      <c r="C928" s="7"/>
      <c r="D928" s="7"/>
      <c r="E928" s="32" t="s">
        <v>187</v>
      </c>
      <c r="F928" s="32"/>
      <c r="G928" s="32">
        <v>71020</v>
      </c>
      <c r="H928" s="32" t="s">
        <v>459</v>
      </c>
      <c r="I928" s="33">
        <v>-0.17399999999999999</v>
      </c>
      <c r="J928" s="170"/>
      <c r="K928" s="7" t="str">
        <f>VLOOKUP($E928,Mapping!$E$11:$I$204,3,0)</f>
        <v>Replacement</v>
      </c>
      <c r="L928" s="7" t="str">
        <f>IFERROR(VLOOKUP($G928,Mapping!$E$208:$K$236,5,0),"Contracts")</f>
        <v>Contracts</v>
      </c>
      <c r="M928" s="7" t="str">
        <f>IFERROR(VLOOKUP($G928,Mapping!$E$208:$K$236,7,0),"ENDirect")</f>
        <v>ENDirect</v>
      </c>
      <c r="N928" s="7" t="str">
        <f>IFERROR(HLOOKUP(L928,'Calc|Weightings'!$U$5:$W$5,1,0),"Excl")</f>
        <v>Contracts</v>
      </c>
      <c r="O928" s="7" t="str">
        <f>VLOOKUP(E928,Mapping!$E$11:$I$204,5,0)</f>
        <v>SCS</v>
      </c>
      <c r="Q928" s="32" t="s">
        <v>193</v>
      </c>
      <c r="R928" s="32"/>
      <c r="S928" s="32">
        <v>71015</v>
      </c>
      <c r="T928" s="32" t="s">
        <v>463</v>
      </c>
      <c r="U928" s="33">
        <v>0.17199999999999999</v>
      </c>
      <c r="V928" s="7"/>
      <c r="W928" s="7" t="str">
        <f>VLOOKUP($Q928,Mapping!$E$11:$I$204,3,0)</f>
        <v>VBRC</v>
      </c>
      <c r="X928" s="7" t="str">
        <f>IFERROR(VLOOKUP($S928,Mapping!$E$208:$K$236,5,0),"Contracts")</f>
        <v>Materials</v>
      </c>
      <c r="Y928" s="7" t="str">
        <f>IFERROR(VLOOKUP($S928,Mapping!$E$208:$K$236,7,0),"ENDirect")</f>
        <v>ENDirect</v>
      </c>
      <c r="Z928" s="7" t="str">
        <f>IFERROR(HLOOKUP(X928,'Calc|Weightings'!$U$5:$W$5,1,0),"Excl")</f>
        <v>Materials</v>
      </c>
      <c r="AA928" s="7" t="str">
        <f>VLOOKUP(Q928,Mapping!$E$11:$I$204,5,0)</f>
        <v>SCS</v>
      </c>
      <c r="AC928" s="35" t="s">
        <v>164</v>
      </c>
      <c r="AD928" s="35"/>
      <c r="AE928" s="35">
        <v>71010</v>
      </c>
      <c r="AF928" s="35" t="s">
        <v>462</v>
      </c>
      <c r="AG928" s="36">
        <v>14.417999999999999</v>
      </c>
      <c r="AI928" s="7" t="str">
        <f>VLOOKUP($AC928,Mapping!$E$11:$I$204,3,0)</f>
        <v>Replacement</v>
      </c>
      <c r="AJ928" s="7" t="str">
        <f>IFERROR(VLOOKUP($AE928,Mapping!$E$208:$K$236,5,0),"Contracts")</f>
        <v>Labour</v>
      </c>
      <c r="AK928" s="7" t="str">
        <f>IFERROR(VLOOKUP($AE928,Mapping!$E$208:$K$236,7,0),"ENDirect")</f>
        <v>ENDirect</v>
      </c>
      <c r="AL928" s="7" t="str">
        <f>IFERROR(HLOOKUP(AJ928,'Calc|Weightings'!$U$5:$W$5,1,0),"Excl")</f>
        <v>Labour</v>
      </c>
      <c r="AM928" s="7" t="str">
        <f>VLOOKUP(AC928,Mapping!$E$11:$I$204,5,0)</f>
        <v>SCS</v>
      </c>
      <c r="AO928" s="35" t="s">
        <v>544</v>
      </c>
      <c r="AP928" s="35"/>
      <c r="AQ928" s="35">
        <v>80000</v>
      </c>
      <c r="AR928" s="35" t="s">
        <v>589</v>
      </c>
      <c r="AS928" s="121">
        <v>676.21843999999999</v>
      </c>
      <c r="AU928" s="7" t="str">
        <f>VLOOKUP($AO928,Mapping!$E$11:$I$204,3,0)</f>
        <v>Replacement</v>
      </c>
      <c r="AV928" s="7" t="str">
        <f>IFERROR(VLOOKUP($AQ928,Mapping!$E$208:$K$236,5,0),"Contracts")</f>
        <v>Overhead</v>
      </c>
      <c r="AW928" s="7" t="str">
        <f>IFERROR(VLOOKUP($AQ928,Mapping!$E$208:$K$236,7,0),"ENDirect")</f>
        <v>OH</v>
      </c>
      <c r="AX928" s="7" t="str">
        <f>IFERROR(HLOOKUP(AV928,'Calc|Weightings'!$U$5:$W$5,1,0),"Excl")</f>
        <v>Excl</v>
      </c>
      <c r="AY928" s="7" t="str">
        <f>VLOOKUP(AO928,Mapping!$E$11:$I$204,5,0)</f>
        <v>SCS</v>
      </c>
    </row>
    <row r="929" spans="1:51" x14ac:dyDescent="0.3">
      <c r="A929" s="7"/>
      <c r="B929" s="7"/>
      <c r="C929" s="7"/>
      <c r="D929" s="7"/>
      <c r="E929" s="32" t="s">
        <v>193</v>
      </c>
      <c r="F929" s="32"/>
      <c r="G929" s="32">
        <v>71000</v>
      </c>
      <c r="H929" s="32" t="s">
        <v>457</v>
      </c>
      <c r="I929" s="33">
        <v>4.6059999999999999</v>
      </c>
      <c r="J929" s="170"/>
      <c r="K929" s="7" t="str">
        <f>VLOOKUP($E929,Mapping!$E$11:$I$204,3,0)</f>
        <v>VBRC</v>
      </c>
      <c r="L929" s="7" t="str">
        <f>IFERROR(VLOOKUP($G929,Mapping!$E$208:$K$236,5,0),"Contracts")</f>
        <v>Labour</v>
      </c>
      <c r="M929" s="7" t="str">
        <f>IFERROR(VLOOKUP($G929,Mapping!$E$208:$K$236,7,0),"ENDirect")</f>
        <v>ENDirect</v>
      </c>
      <c r="N929" s="7" t="str">
        <f>IFERROR(HLOOKUP(L929,'Calc|Weightings'!$U$5:$W$5,1,0),"Excl")</f>
        <v>Labour</v>
      </c>
      <c r="O929" s="7" t="str">
        <f>VLOOKUP(E929,Mapping!$E$11:$I$204,5,0)</f>
        <v>SCS</v>
      </c>
      <c r="Q929" s="32" t="s">
        <v>193</v>
      </c>
      <c r="R929" s="32"/>
      <c r="S929" s="32">
        <v>71030</v>
      </c>
      <c r="T929" s="32" t="s">
        <v>464</v>
      </c>
      <c r="U929" s="33">
        <v>9.6000000000000002E-2</v>
      </c>
      <c r="V929" s="7"/>
      <c r="W929" s="7" t="str">
        <f>VLOOKUP($Q929,Mapping!$E$11:$I$204,3,0)</f>
        <v>VBRC</v>
      </c>
      <c r="X929" s="7" t="str">
        <f>IFERROR(VLOOKUP($S929,Mapping!$E$208:$K$236,5,0),"Contracts")</f>
        <v>Contracts</v>
      </c>
      <c r="Y929" s="7" t="str">
        <f>IFERROR(VLOOKUP($S929,Mapping!$E$208:$K$236,7,0),"ENDirect")</f>
        <v>ENDirect</v>
      </c>
      <c r="Z929" s="7" t="str">
        <f>IFERROR(HLOOKUP(X929,'Calc|Weightings'!$U$5:$W$5,1,0),"Excl")</f>
        <v>Contracts</v>
      </c>
      <c r="AA929" s="7" t="str">
        <f>VLOOKUP(Q929,Mapping!$E$11:$I$204,5,0)</f>
        <v>SCS</v>
      </c>
      <c r="AC929" s="35" t="s">
        <v>164</v>
      </c>
      <c r="AD929" s="35"/>
      <c r="AE929" s="35">
        <v>71015</v>
      </c>
      <c r="AF929" s="35" t="s">
        <v>463</v>
      </c>
      <c r="AG929" s="36">
        <v>14.824</v>
      </c>
      <c r="AI929" s="7" t="str">
        <f>VLOOKUP($AC929,Mapping!$E$11:$I$204,3,0)</f>
        <v>Replacement</v>
      </c>
      <c r="AJ929" s="7" t="str">
        <f>IFERROR(VLOOKUP($AE929,Mapping!$E$208:$K$236,5,0),"Contracts")</f>
        <v>Materials</v>
      </c>
      <c r="AK929" s="7" t="str">
        <f>IFERROR(VLOOKUP($AE929,Mapping!$E$208:$K$236,7,0),"ENDirect")</f>
        <v>ENDirect</v>
      </c>
      <c r="AL929" s="7" t="str">
        <f>IFERROR(HLOOKUP(AJ929,'Calc|Weightings'!$U$5:$W$5,1,0),"Excl")</f>
        <v>Materials</v>
      </c>
      <c r="AM929" s="7" t="str">
        <f>VLOOKUP(AC929,Mapping!$E$11:$I$204,5,0)</f>
        <v>SCS</v>
      </c>
      <c r="AO929" s="35" t="s">
        <v>544</v>
      </c>
      <c r="AP929" s="35"/>
      <c r="AQ929" s="35">
        <v>83010</v>
      </c>
      <c r="AR929" s="35" t="s">
        <v>591</v>
      </c>
      <c r="AS929" s="121">
        <v>3401.2352500000206</v>
      </c>
      <c r="AU929" s="7" t="str">
        <f>VLOOKUP($AO929,Mapping!$E$11:$I$204,3,0)</f>
        <v>Replacement</v>
      </c>
      <c r="AV929" s="7" t="str">
        <f>IFERROR(VLOOKUP($AQ929,Mapping!$E$208:$K$236,5,0),"Contracts")</f>
        <v>Contracts</v>
      </c>
      <c r="AW929" s="7" t="str">
        <f>IFERROR(VLOOKUP($AQ929,Mapping!$E$208:$K$236,7,0),"ENDirect")</f>
        <v>ENDirect</v>
      </c>
      <c r="AX929" s="7" t="str">
        <f>IFERROR(HLOOKUP(AV929,'Calc|Weightings'!$U$5:$W$5,1,0),"Excl")</f>
        <v>Contracts</v>
      </c>
      <c r="AY929" s="7" t="str">
        <f>VLOOKUP(AO929,Mapping!$E$11:$I$204,5,0)</f>
        <v>SCS</v>
      </c>
    </row>
    <row r="930" spans="1:51" x14ac:dyDescent="0.3">
      <c r="A930" s="7"/>
      <c r="B930" s="7"/>
      <c r="C930" s="7"/>
      <c r="D930" s="7"/>
      <c r="E930" s="32" t="s">
        <v>193</v>
      </c>
      <c r="F930" s="32"/>
      <c r="G930" s="32">
        <v>71015</v>
      </c>
      <c r="H930" s="32" t="s">
        <v>463</v>
      </c>
      <c r="I930" s="33">
        <v>1.5680000000000001</v>
      </c>
      <c r="J930" s="170"/>
      <c r="K930" s="7" t="str">
        <f>VLOOKUP($E930,Mapping!$E$11:$I$204,3,0)</f>
        <v>VBRC</v>
      </c>
      <c r="L930" s="7" t="str">
        <f>IFERROR(VLOOKUP($G930,Mapping!$E$208:$K$236,5,0),"Contracts")</f>
        <v>Materials</v>
      </c>
      <c r="M930" s="7" t="str">
        <f>IFERROR(VLOOKUP($G930,Mapping!$E$208:$K$236,7,0),"ENDirect")</f>
        <v>ENDirect</v>
      </c>
      <c r="N930" s="7" t="str">
        <f>IFERROR(HLOOKUP(L930,'Calc|Weightings'!$U$5:$W$5,1,0),"Excl")</f>
        <v>Materials</v>
      </c>
      <c r="O930" s="7" t="str">
        <f>VLOOKUP(E930,Mapping!$E$11:$I$204,5,0)</f>
        <v>SCS</v>
      </c>
      <c r="Q930" s="32" t="s">
        <v>193</v>
      </c>
      <c r="R930" s="32"/>
      <c r="S930" s="32">
        <v>71055</v>
      </c>
      <c r="T930" s="32" t="s">
        <v>465</v>
      </c>
      <c r="U930" s="33">
        <v>0.17299999999999999</v>
      </c>
      <c r="V930" s="7"/>
      <c r="W930" s="7" t="str">
        <f>VLOOKUP($Q930,Mapping!$E$11:$I$204,3,0)</f>
        <v>VBRC</v>
      </c>
      <c r="X930" s="7" t="str">
        <f>IFERROR(VLOOKUP($S930,Mapping!$E$208:$K$236,5,0),"Contracts")</f>
        <v>Contracts</v>
      </c>
      <c r="Y930" s="7" t="str">
        <f>IFERROR(VLOOKUP($S930,Mapping!$E$208:$K$236,7,0),"ENDirect")</f>
        <v>ENDirect</v>
      </c>
      <c r="Z930" s="7" t="str">
        <f>IFERROR(HLOOKUP(X930,'Calc|Weightings'!$U$5:$W$5,1,0),"Excl")</f>
        <v>Contracts</v>
      </c>
      <c r="AA930" s="7" t="str">
        <f>VLOOKUP(Q930,Mapping!$E$11:$I$204,5,0)</f>
        <v>SCS</v>
      </c>
      <c r="AC930" s="35" t="s">
        <v>164</v>
      </c>
      <c r="AD930" s="35"/>
      <c r="AE930" s="35">
        <v>71020</v>
      </c>
      <c r="AF930" s="35" t="s">
        <v>459</v>
      </c>
      <c r="AG930" s="36">
        <v>0</v>
      </c>
      <c r="AI930" s="7" t="str">
        <f>VLOOKUP($AC930,Mapping!$E$11:$I$204,3,0)</f>
        <v>Replacement</v>
      </c>
      <c r="AJ930" s="7" t="str">
        <f>IFERROR(VLOOKUP($AE930,Mapping!$E$208:$K$236,5,0),"Contracts")</f>
        <v>Contracts</v>
      </c>
      <c r="AK930" s="7" t="str">
        <f>IFERROR(VLOOKUP($AE930,Mapping!$E$208:$K$236,7,0),"ENDirect")</f>
        <v>ENDirect</v>
      </c>
      <c r="AL930" s="7" t="str">
        <f>IFERROR(HLOOKUP(AJ930,'Calc|Weightings'!$U$5:$W$5,1,0),"Excl")</f>
        <v>Contracts</v>
      </c>
      <c r="AM930" s="7" t="str">
        <f>VLOOKUP(AC930,Mapping!$E$11:$I$204,5,0)</f>
        <v>SCS</v>
      </c>
      <c r="AO930" s="35" t="s">
        <v>237</v>
      </c>
      <c r="AP930" s="35"/>
      <c r="AQ930" s="35">
        <v>71000</v>
      </c>
      <c r="AR930" s="35" t="s">
        <v>457</v>
      </c>
      <c r="AS930" s="121">
        <v>5.4868000000000006</v>
      </c>
      <c r="AU930" s="7" t="str">
        <f>VLOOKUP($AO930,Mapping!$E$11:$I$204,3,0)</f>
        <v>Replacement</v>
      </c>
      <c r="AV930" s="7" t="str">
        <f>IFERROR(VLOOKUP($AQ930,Mapping!$E$208:$K$236,5,0),"Contracts")</f>
        <v>Labour</v>
      </c>
      <c r="AW930" s="7" t="str">
        <f>IFERROR(VLOOKUP($AQ930,Mapping!$E$208:$K$236,7,0),"ENDirect")</f>
        <v>ENDirect</v>
      </c>
      <c r="AX930" s="7" t="str">
        <f>IFERROR(HLOOKUP(AV930,'Calc|Weightings'!$U$5:$W$5,1,0),"Excl")</f>
        <v>Labour</v>
      </c>
      <c r="AY930" s="7" t="str">
        <f>VLOOKUP(AO930,Mapping!$E$11:$I$204,5,0)</f>
        <v>SCS</v>
      </c>
    </row>
    <row r="931" spans="1:51" x14ac:dyDescent="0.3">
      <c r="A931" s="7"/>
      <c r="B931" s="7"/>
      <c r="C931" s="7"/>
      <c r="D931" s="7"/>
      <c r="E931" s="32" t="s">
        <v>197</v>
      </c>
      <c r="F931" s="32"/>
      <c r="G931" s="32">
        <v>71020</v>
      </c>
      <c r="H931" s="32" t="s">
        <v>459</v>
      </c>
      <c r="I931" s="33">
        <v>0.114</v>
      </c>
      <c r="J931" s="170"/>
      <c r="K931" s="7" t="str">
        <f>VLOOKUP($E931,Mapping!$E$11:$I$204,3,0)</f>
        <v>Replacement</v>
      </c>
      <c r="L931" s="7" t="str">
        <f>IFERROR(VLOOKUP($G931,Mapping!$E$208:$K$236,5,0),"Contracts")</f>
        <v>Contracts</v>
      </c>
      <c r="M931" s="7" t="str">
        <f>IFERROR(VLOOKUP($G931,Mapping!$E$208:$K$236,7,0),"ENDirect")</f>
        <v>ENDirect</v>
      </c>
      <c r="N931" s="7" t="str">
        <f>IFERROR(HLOOKUP(L931,'Calc|Weightings'!$U$5:$W$5,1,0),"Excl")</f>
        <v>Contracts</v>
      </c>
      <c r="O931" s="7" t="str">
        <f>VLOOKUP(E931,Mapping!$E$11:$I$204,5,0)</f>
        <v>SCS</v>
      </c>
      <c r="Q931" s="32" t="s">
        <v>193</v>
      </c>
      <c r="R931" s="32"/>
      <c r="S931" s="32">
        <v>80000</v>
      </c>
      <c r="T931" s="32" t="s">
        <v>453</v>
      </c>
      <c r="U931" s="33">
        <v>0.20399999999999999</v>
      </c>
      <c r="V931" s="7"/>
      <c r="W931" s="7" t="str">
        <f>VLOOKUP($Q931,Mapping!$E$11:$I$204,3,0)</f>
        <v>VBRC</v>
      </c>
      <c r="X931" s="7" t="str">
        <f>IFERROR(VLOOKUP($S931,Mapping!$E$208:$K$236,5,0),"Contracts")</f>
        <v>Overhead</v>
      </c>
      <c r="Y931" s="7" t="str">
        <f>IFERROR(VLOOKUP($S931,Mapping!$E$208:$K$236,7,0),"ENDirect")</f>
        <v>OH</v>
      </c>
      <c r="Z931" s="7" t="str">
        <f>IFERROR(HLOOKUP(X931,'Calc|Weightings'!$U$5:$W$5,1,0),"Excl")</f>
        <v>Excl</v>
      </c>
      <c r="AA931" s="7" t="str">
        <f>VLOOKUP(Q931,Mapping!$E$11:$I$204,5,0)</f>
        <v>SCS</v>
      </c>
      <c r="AC931" s="35" t="s">
        <v>164</v>
      </c>
      <c r="AD931" s="35"/>
      <c r="AE931" s="35">
        <v>71030</v>
      </c>
      <c r="AF931" s="35" t="s">
        <v>464</v>
      </c>
      <c r="AG931" s="36">
        <v>9.3620000000000001</v>
      </c>
      <c r="AI931" s="7" t="str">
        <f>VLOOKUP($AC931,Mapping!$E$11:$I$204,3,0)</f>
        <v>Replacement</v>
      </c>
      <c r="AJ931" s="7" t="str">
        <f>IFERROR(VLOOKUP($AE931,Mapping!$E$208:$K$236,5,0),"Contracts")</f>
        <v>Contracts</v>
      </c>
      <c r="AK931" s="7" t="str">
        <f>IFERROR(VLOOKUP($AE931,Mapping!$E$208:$K$236,7,0),"ENDirect")</f>
        <v>ENDirect</v>
      </c>
      <c r="AL931" s="7" t="str">
        <f>IFERROR(HLOOKUP(AJ931,'Calc|Weightings'!$U$5:$W$5,1,0),"Excl")</f>
        <v>Contracts</v>
      </c>
      <c r="AM931" s="7" t="str">
        <f>VLOOKUP(AC931,Mapping!$E$11:$I$204,5,0)</f>
        <v>SCS</v>
      </c>
      <c r="AO931" s="35" t="s">
        <v>237</v>
      </c>
      <c r="AP931" s="35"/>
      <c r="AQ931" s="35">
        <v>71005</v>
      </c>
      <c r="AR931" s="35" t="s">
        <v>461</v>
      </c>
      <c r="AS931" s="121">
        <v>1.3088200000000001</v>
      </c>
      <c r="AU931" s="7" t="str">
        <f>VLOOKUP($AO931,Mapping!$E$11:$I$204,3,0)</f>
        <v>Replacement</v>
      </c>
      <c r="AV931" s="7" t="str">
        <f>IFERROR(VLOOKUP($AQ931,Mapping!$E$208:$K$236,5,0),"Contracts")</f>
        <v>Materials</v>
      </c>
      <c r="AW931" s="7" t="str">
        <f>IFERROR(VLOOKUP($AQ931,Mapping!$E$208:$K$236,7,0),"ENDirect")</f>
        <v>ENDirect</v>
      </c>
      <c r="AX931" s="7" t="str">
        <f>IFERROR(HLOOKUP(AV931,'Calc|Weightings'!$U$5:$W$5,1,0),"Excl")</f>
        <v>Materials</v>
      </c>
      <c r="AY931" s="7" t="str">
        <f>VLOOKUP(AO931,Mapping!$E$11:$I$204,5,0)</f>
        <v>SCS</v>
      </c>
    </row>
    <row r="932" spans="1:51" x14ac:dyDescent="0.3">
      <c r="A932" s="7"/>
      <c r="B932" s="7"/>
      <c r="C932" s="7"/>
      <c r="D932" s="7"/>
      <c r="E932" s="32" t="s">
        <v>200</v>
      </c>
      <c r="F932" s="32"/>
      <c r="G932" s="32">
        <v>71000</v>
      </c>
      <c r="H932" s="32" t="s">
        <v>457</v>
      </c>
      <c r="I932" s="33">
        <v>-5.3999999999999999E-2</v>
      </c>
      <c r="J932" s="170"/>
      <c r="K932" s="7" t="str">
        <f>VLOOKUP($E932,Mapping!$E$11:$I$204,3,0)</f>
        <v>Public Lighting</v>
      </c>
      <c r="L932" s="7" t="str">
        <f>IFERROR(VLOOKUP($G932,Mapping!$E$208:$K$236,5,0),"Contracts")</f>
        <v>Labour</v>
      </c>
      <c r="M932" s="7" t="str">
        <f>IFERROR(VLOOKUP($G932,Mapping!$E$208:$K$236,7,0),"ENDirect")</f>
        <v>ENDirect</v>
      </c>
      <c r="N932" s="7" t="str">
        <f>IFERROR(HLOOKUP(L932,'Calc|Weightings'!$U$5:$W$5,1,0),"Excl")</f>
        <v>Labour</v>
      </c>
      <c r="O932" s="7" t="str">
        <f>VLOOKUP(E932,Mapping!$E$11:$I$204,5,0)</f>
        <v>Public Lighting</v>
      </c>
      <c r="Q932" s="32" t="s">
        <v>201</v>
      </c>
      <c r="R932" s="32"/>
      <c r="S932" s="32">
        <v>71006</v>
      </c>
      <c r="T932" s="32" t="s">
        <v>468</v>
      </c>
      <c r="U932" s="33">
        <v>5.3760000000000003</v>
      </c>
      <c r="V932" s="7"/>
      <c r="W932" s="7" t="str">
        <f>VLOOKUP($Q932,Mapping!$E$11:$I$204,3,0)</f>
        <v>Replacement</v>
      </c>
      <c r="X932" s="7" t="str">
        <f>IFERROR(VLOOKUP($S932,Mapping!$E$208:$K$236,5,0),"Contracts")</f>
        <v>Materials</v>
      </c>
      <c r="Y932" s="7" t="str">
        <f>IFERROR(VLOOKUP($S932,Mapping!$E$208:$K$236,7,0),"ENDirect")</f>
        <v>ENDirect</v>
      </c>
      <c r="Z932" s="7" t="str">
        <f>IFERROR(HLOOKUP(X932,'Calc|Weightings'!$U$5:$W$5,1,0),"Excl")</f>
        <v>Materials</v>
      </c>
      <c r="AA932" s="7" t="str">
        <f>VLOOKUP(Q932,Mapping!$E$11:$I$204,5,0)</f>
        <v>SCS</v>
      </c>
      <c r="AC932" s="35" t="s">
        <v>164</v>
      </c>
      <c r="AD932" s="35"/>
      <c r="AE932" s="35">
        <v>71055</v>
      </c>
      <c r="AF932" s="35" t="s">
        <v>465</v>
      </c>
      <c r="AG932" s="36">
        <v>17.222999999999999</v>
      </c>
      <c r="AI932" s="7" t="str">
        <f>VLOOKUP($AC932,Mapping!$E$11:$I$204,3,0)</f>
        <v>Replacement</v>
      </c>
      <c r="AJ932" s="7" t="str">
        <f>IFERROR(VLOOKUP($AE932,Mapping!$E$208:$K$236,5,0),"Contracts")</f>
        <v>Contracts</v>
      </c>
      <c r="AK932" s="7" t="str">
        <f>IFERROR(VLOOKUP($AE932,Mapping!$E$208:$K$236,7,0),"ENDirect")</f>
        <v>ENDirect</v>
      </c>
      <c r="AL932" s="7" t="str">
        <f>IFERROR(HLOOKUP(AJ932,'Calc|Weightings'!$U$5:$W$5,1,0),"Excl")</f>
        <v>Contracts</v>
      </c>
      <c r="AM932" s="7" t="str">
        <f>VLOOKUP(AC932,Mapping!$E$11:$I$204,5,0)</f>
        <v>SCS</v>
      </c>
      <c r="AO932" s="35" t="s">
        <v>237</v>
      </c>
      <c r="AP932" s="35"/>
      <c r="AQ932" s="35">
        <v>71010</v>
      </c>
      <c r="AR932" s="35" t="s">
        <v>487</v>
      </c>
      <c r="AS932" s="121">
        <v>0.34325</v>
      </c>
      <c r="AU932" s="7" t="str">
        <f>VLOOKUP($AO932,Mapping!$E$11:$I$204,3,0)</f>
        <v>Replacement</v>
      </c>
      <c r="AV932" s="7" t="str">
        <f>IFERROR(VLOOKUP($AQ932,Mapping!$E$208:$K$236,5,0),"Contracts")</f>
        <v>Labour</v>
      </c>
      <c r="AW932" s="7" t="str">
        <f>IFERROR(VLOOKUP($AQ932,Mapping!$E$208:$K$236,7,0),"ENDirect")</f>
        <v>ENDirect</v>
      </c>
      <c r="AX932" s="7" t="str">
        <f>IFERROR(HLOOKUP(AV932,'Calc|Weightings'!$U$5:$W$5,1,0),"Excl")</f>
        <v>Labour</v>
      </c>
      <c r="AY932" s="7" t="str">
        <f>VLOOKUP(AO932,Mapping!$E$11:$I$204,5,0)</f>
        <v>SCS</v>
      </c>
    </row>
    <row r="933" spans="1:51" x14ac:dyDescent="0.3">
      <c r="A933" s="7"/>
      <c r="B933" s="7"/>
      <c r="C933" s="7"/>
      <c r="D933" s="7"/>
      <c r="E933" s="32" t="s">
        <v>201</v>
      </c>
      <c r="F933" s="32"/>
      <c r="G933" s="32">
        <v>71006</v>
      </c>
      <c r="H933" s="32" t="s">
        <v>468</v>
      </c>
      <c r="I933" s="33">
        <v>27.731000000000002</v>
      </c>
      <c r="J933" s="170"/>
      <c r="K933" s="7" t="str">
        <f>VLOOKUP($E933,Mapping!$E$11:$I$204,3,0)</f>
        <v>Replacement</v>
      </c>
      <c r="L933" s="7" t="str">
        <f>IFERROR(VLOOKUP($G933,Mapping!$E$208:$K$236,5,0),"Contracts")</f>
        <v>Materials</v>
      </c>
      <c r="M933" s="7" t="str">
        <f>IFERROR(VLOOKUP($G933,Mapping!$E$208:$K$236,7,0),"ENDirect")</f>
        <v>ENDirect</v>
      </c>
      <c r="N933" s="7" t="str">
        <f>IFERROR(HLOOKUP(L933,'Calc|Weightings'!$U$5:$W$5,1,0),"Excl")</f>
        <v>Materials</v>
      </c>
      <c r="O933" s="7" t="str">
        <f>VLOOKUP(E933,Mapping!$E$11:$I$204,5,0)</f>
        <v>SCS</v>
      </c>
      <c r="Q933" s="32" t="s">
        <v>201</v>
      </c>
      <c r="R933" s="32"/>
      <c r="S933" s="32">
        <v>71040</v>
      </c>
      <c r="T933" s="32" t="s">
        <v>460</v>
      </c>
      <c r="U933" s="33">
        <v>-40.079000000000001</v>
      </c>
      <c r="V933" s="7"/>
      <c r="W933" s="7" t="str">
        <f>VLOOKUP($Q933,Mapping!$E$11:$I$204,3,0)</f>
        <v>Replacement</v>
      </c>
      <c r="X933" s="7" t="str">
        <f>IFERROR(VLOOKUP($S933,Mapping!$E$208:$K$236,5,0),"Contracts")</f>
        <v>Contracts</v>
      </c>
      <c r="Y933" s="7" t="str">
        <f>IFERROR(VLOOKUP($S933,Mapping!$E$208:$K$236,7,0),"ENDirect")</f>
        <v>ENDirect</v>
      </c>
      <c r="Z933" s="7" t="str">
        <f>IFERROR(HLOOKUP(X933,'Calc|Weightings'!$U$5:$W$5,1,0),"Excl")</f>
        <v>Contracts</v>
      </c>
      <c r="AA933" s="7" t="str">
        <f>VLOOKUP(Q933,Mapping!$E$11:$I$204,5,0)</f>
        <v>SCS</v>
      </c>
      <c r="AC933" s="35" t="s">
        <v>164</v>
      </c>
      <c r="AD933" s="35"/>
      <c r="AE933" s="35">
        <v>80000</v>
      </c>
      <c r="AF933" s="35" t="s">
        <v>453</v>
      </c>
      <c r="AG933" s="36">
        <v>20.370999999999999</v>
      </c>
      <c r="AI933" s="7" t="str">
        <f>VLOOKUP($AC933,Mapping!$E$11:$I$204,3,0)</f>
        <v>Replacement</v>
      </c>
      <c r="AJ933" s="7" t="str">
        <f>IFERROR(VLOOKUP($AE933,Mapping!$E$208:$K$236,5,0),"Contracts")</f>
        <v>Overhead</v>
      </c>
      <c r="AK933" s="7" t="str">
        <f>IFERROR(VLOOKUP($AE933,Mapping!$E$208:$K$236,7,0),"ENDirect")</f>
        <v>OH</v>
      </c>
      <c r="AL933" s="7" t="str">
        <f>IFERROR(HLOOKUP(AJ933,'Calc|Weightings'!$U$5:$W$5,1,0),"Excl")</f>
        <v>Excl</v>
      </c>
      <c r="AM933" s="7" t="str">
        <f>VLOOKUP(AC933,Mapping!$E$11:$I$204,5,0)</f>
        <v>SCS</v>
      </c>
      <c r="AO933" s="35" t="s">
        <v>237</v>
      </c>
      <c r="AP933" s="35"/>
      <c r="AQ933" s="35">
        <v>71015</v>
      </c>
      <c r="AR933" s="35" t="s">
        <v>585</v>
      </c>
      <c r="AS933" s="121">
        <v>1.2525999999999999</v>
      </c>
      <c r="AU933" s="7" t="str">
        <f>VLOOKUP($AO933,Mapping!$E$11:$I$204,3,0)</f>
        <v>Replacement</v>
      </c>
      <c r="AV933" s="7" t="str">
        <f>IFERROR(VLOOKUP($AQ933,Mapping!$E$208:$K$236,5,0),"Contracts")</f>
        <v>Materials</v>
      </c>
      <c r="AW933" s="7" t="str">
        <f>IFERROR(VLOOKUP($AQ933,Mapping!$E$208:$K$236,7,0),"ENDirect")</f>
        <v>ENDirect</v>
      </c>
      <c r="AX933" s="7" t="str">
        <f>IFERROR(HLOOKUP(AV933,'Calc|Weightings'!$U$5:$W$5,1,0),"Excl")</f>
        <v>Materials</v>
      </c>
      <c r="AY933" s="7" t="str">
        <f>VLOOKUP(AO933,Mapping!$E$11:$I$204,5,0)</f>
        <v>SCS</v>
      </c>
    </row>
    <row r="934" spans="1:51" x14ac:dyDescent="0.3">
      <c r="A934" s="7"/>
      <c r="B934" s="7"/>
      <c r="C934" s="7"/>
      <c r="D934" s="7"/>
      <c r="E934" s="32" t="s">
        <v>202</v>
      </c>
      <c r="F934" s="32"/>
      <c r="G934" s="32">
        <v>89999</v>
      </c>
      <c r="H934" s="32" t="s">
        <v>471</v>
      </c>
      <c r="I934" s="33">
        <v>0</v>
      </c>
      <c r="J934" s="170"/>
      <c r="K934" s="7" t="str">
        <f>VLOOKUP($E934,Mapping!$E$11:$I$204,3,0)</f>
        <v>Replacement</v>
      </c>
      <c r="L934" s="7" t="str">
        <f>IFERROR(VLOOKUP($G934,Mapping!$E$208:$K$236,5,0),"Contracts")</f>
        <v>Contracts</v>
      </c>
      <c r="M934" s="7" t="str">
        <f>IFERROR(VLOOKUP($G934,Mapping!$E$208:$K$236,7,0),"ENDirect")</f>
        <v>ENDirect</v>
      </c>
      <c r="N934" s="7" t="str">
        <f>IFERROR(HLOOKUP(L934,'Calc|Weightings'!$U$5:$W$5,1,0),"Excl")</f>
        <v>Contracts</v>
      </c>
      <c r="O934" s="7" t="str">
        <f>VLOOKUP(E934,Mapping!$E$11:$I$204,5,0)</f>
        <v>SCS</v>
      </c>
      <c r="Q934" s="32" t="s">
        <v>202</v>
      </c>
      <c r="R934" s="32"/>
      <c r="S934" s="32">
        <v>71040</v>
      </c>
      <c r="T934" s="32" t="s">
        <v>460</v>
      </c>
      <c r="U934" s="33">
        <v>-34.317999999999998</v>
      </c>
      <c r="V934" s="7"/>
      <c r="W934" s="7" t="str">
        <f>VLOOKUP($Q934,Mapping!$E$11:$I$204,3,0)</f>
        <v>Replacement</v>
      </c>
      <c r="X934" s="7" t="str">
        <f>IFERROR(VLOOKUP($S934,Mapping!$E$208:$K$236,5,0),"Contracts")</f>
        <v>Contracts</v>
      </c>
      <c r="Y934" s="7" t="str">
        <f>IFERROR(VLOOKUP($S934,Mapping!$E$208:$K$236,7,0),"ENDirect")</f>
        <v>ENDirect</v>
      </c>
      <c r="Z934" s="7" t="str">
        <f>IFERROR(HLOOKUP(X934,'Calc|Weightings'!$U$5:$W$5,1,0),"Excl")</f>
        <v>Contracts</v>
      </c>
      <c r="AA934" s="7" t="str">
        <f>VLOOKUP(Q934,Mapping!$E$11:$I$204,5,0)</f>
        <v>SCS</v>
      </c>
      <c r="AC934" s="35" t="s">
        <v>164</v>
      </c>
      <c r="AD934" s="35"/>
      <c r="AE934" s="35">
        <v>89999</v>
      </c>
      <c r="AF934" s="35" t="s">
        <v>471</v>
      </c>
      <c r="AG934" s="36">
        <v>0</v>
      </c>
      <c r="AI934" s="7" t="str">
        <f>VLOOKUP($AC934,Mapping!$E$11:$I$204,3,0)</f>
        <v>Replacement</v>
      </c>
      <c r="AJ934" s="7" t="str">
        <f>IFERROR(VLOOKUP($AE934,Mapping!$E$208:$K$236,5,0),"Contracts")</f>
        <v>Contracts</v>
      </c>
      <c r="AK934" s="7" t="str">
        <f>IFERROR(VLOOKUP($AE934,Mapping!$E$208:$K$236,7,0),"ENDirect")</f>
        <v>ENDirect</v>
      </c>
      <c r="AL934" s="7" t="str">
        <f>IFERROR(HLOOKUP(AJ934,'Calc|Weightings'!$U$5:$W$5,1,0),"Excl")</f>
        <v>Contracts</v>
      </c>
      <c r="AM934" s="7" t="str">
        <f>VLOOKUP(AC934,Mapping!$E$11:$I$204,5,0)</f>
        <v>SCS</v>
      </c>
      <c r="AO934" s="35" t="s">
        <v>237</v>
      </c>
      <c r="AP934" s="35"/>
      <c r="AQ934" s="35">
        <v>71030</v>
      </c>
      <c r="AR934" s="35" t="s">
        <v>464</v>
      </c>
      <c r="AS934" s="121">
        <v>0.68891999999999998</v>
      </c>
      <c r="AU934" s="7" t="str">
        <f>VLOOKUP($AO934,Mapping!$E$11:$I$204,3,0)</f>
        <v>Replacement</v>
      </c>
      <c r="AV934" s="7" t="str">
        <f>IFERROR(VLOOKUP($AQ934,Mapping!$E$208:$K$236,5,0),"Contracts")</f>
        <v>Contracts</v>
      </c>
      <c r="AW934" s="7" t="str">
        <f>IFERROR(VLOOKUP($AQ934,Mapping!$E$208:$K$236,7,0),"ENDirect")</f>
        <v>ENDirect</v>
      </c>
      <c r="AX934" s="7" t="str">
        <f>IFERROR(HLOOKUP(AV934,'Calc|Weightings'!$U$5:$W$5,1,0),"Excl")</f>
        <v>Contracts</v>
      </c>
      <c r="AY934" s="7" t="str">
        <f>VLOOKUP(AO934,Mapping!$E$11:$I$204,5,0)</f>
        <v>SCS</v>
      </c>
    </row>
    <row r="935" spans="1:51" x14ac:dyDescent="0.3">
      <c r="A935" s="7"/>
      <c r="B935" s="7"/>
      <c r="C935" s="7"/>
      <c r="D935" s="7"/>
      <c r="E935" s="32" t="s">
        <v>203</v>
      </c>
      <c r="F935" s="32"/>
      <c r="G935" s="32">
        <v>71020</v>
      </c>
      <c r="H935" s="32" t="s">
        <v>459</v>
      </c>
      <c r="I935" s="33">
        <v>19.260000000000002</v>
      </c>
      <c r="J935" s="170"/>
      <c r="K935" s="7" t="str">
        <f>VLOOKUP($E935,Mapping!$E$11:$I$204,3,0)</f>
        <v>Replacement</v>
      </c>
      <c r="L935" s="7" t="str">
        <f>IFERROR(VLOOKUP($G935,Mapping!$E$208:$K$236,5,0),"Contracts")</f>
        <v>Contracts</v>
      </c>
      <c r="M935" s="7" t="str">
        <f>IFERROR(VLOOKUP($G935,Mapping!$E$208:$K$236,7,0),"ENDirect")</f>
        <v>ENDirect</v>
      </c>
      <c r="N935" s="7" t="str">
        <f>IFERROR(HLOOKUP(L935,'Calc|Weightings'!$U$5:$W$5,1,0),"Excl")</f>
        <v>Contracts</v>
      </c>
      <c r="O935" s="7" t="str">
        <f>VLOOKUP(E935,Mapping!$E$11:$I$204,5,0)</f>
        <v>SCS</v>
      </c>
      <c r="Q935" s="32" t="s">
        <v>202</v>
      </c>
      <c r="R935" s="32"/>
      <c r="S935" s="32">
        <v>89999</v>
      </c>
      <c r="T935" s="32" t="s">
        <v>471</v>
      </c>
      <c r="U935" s="33">
        <v>0</v>
      </c>
      <c r="V935" s="7"/>
      <c r="W935" s="7" t="str">
        <f>VLOOKUP($Q935,Mapping!$E$11:$I$204,3,0)</f>
        <v>Replacement</v>
      </c>
      <c r="X935" s="7" t="str">
        <f>IFERROR(VLOOKUP($S935,Mapping!$E$208:$K$236,5,0),"Contracts")</f>
        <v>Contracts</v>
      </c>
      <c r="Y935" s="7" t="str">
        <f>IFERROR(VLOOKUP($S935,Mapping!$E$208:$K$236,7,0),"ENDirect")</f>
        <v>ENDirect</v>
      </c>
      <c r="Z935" s="7" t="str">
        <f>IFERROR(HLOOKUP(X935,'Calc|Weightings'!$U$5:$W$5,1,0),"Excl")</f>
        <v>Contracts</v>
      </c>
      <c r="AA935" s="7" t="str">
        <f>VLOOKUP(Q935,Mapping!$E$11:$I$204,5,0)</f>
        <v>SCS</v>
      </c>
      <c r="AC935" s="35" t="s">
        <v>165</v>
      </c>
      <c r="AD935" s="35"/>
      <c r="AE935" s="35">
        <v>71020</v>
      </c>
      <c r="AF935" s="35" t="s">
        <v>459</v>
      </c>
      <c r="AG935" s="36">
        <v>0</v>
      </c>
      <c r="AI935" s="7" t="str">
        <f>VLOOKUP($AC935,Mapping!$E$11:$I$204,3,0)</f>
        <v>Replacement</v>
      </c>
      <c r="AJ935" s="7" t="str">
        <f>IFERROR(VLOOKUP($AE935,Mapping!$E$208:$K$236,5,0),"Contracts")</f>
        <v>Contracts</v>
      </c>
      <c r="AK935" s="7" t="str">
        <f>IFERROR(VLOOKUP($AE935,Mapping!$E$208:$K$236,7,0),"ENDirect")</f>
        <v>ENDirect</v>
      </c>
      <c r="AL935" s="7" t="str">
        <f>IFERROR(HLOOKUP(AJ935,'Calc|Weightings'!$U$5:$W$5,1,0),"Excl")</f>
        <v>Contracts</v>
      </c>
      <c r="AM935" s="7" t="str">
        <f>VLOOKUP(AC935,Mapping!$E$11:$I$204,5,0)</f>
        <v>SCS</v>
      </c>
      <c r="AO935" s="35" t="s">
        <v>237</v>
      </c>
      <c r="AP935" s="35"/>
      <c r="AQ935" s="35">
        <v>71055</v>
      </c>
      <c r="AR935" s="35" t="s">
        <v>465</v>
      </c>
      <c r="AS935" s="121">
        <v>1.45048</v>
      </c>
      <c r="AU935" s="7" t="str">
        <f>VLOOKUP($AO935,Mapping!$E$11:$I$204,3,0)</f>
        <v>Replacement</v>
      </c>
      <c r="AV935" s="7" t="str">
        <f>IFERROR(VLOOKUP($AQ935,Mapping!$E$208:$K$236,5,0),"Contracts")</f>
        <v>Contracts</v>
      </c>
      <c r="AW935" s="7" t="str">
        <f>IFERROR(VLOOKUP($AQ935,Mapping!$E$208:$K$236,7,0),"ENDirect")</f>
        <v>ENDirect</v>
      </c>
      <c r="AX935" s="7" t="str">
        <f>IFERROR(HLOOKUP(AV935,'Calc|Weightings'!$U$5:$W$5,1,0),"Excl")</f>
        <v>Contracts</v>
      </c>
      <c r="AY935" s="7" t="str">
        <f>VLOOKUP(AO935,Mapping!$E$11:$I$204,5,0)</f>
        <v>SCS</v>
      </c>
    </row>
    <row r="936" spans="1:51" x14ac:dyDescent="0.3">
      <c r="A936" s="7"/>
      <c r="B936" s="7"/>
      <c r="C936" s="7"/>
      <c r="D936" s="7"/>
      <c r="E936" s="32" t="s">
        <v>220</v>
      </c>
      <c r="F936" s="32"/>
      <c r="G936" s="32">
        <v>71000</v>
      </c>
      <c r="H936" s="32" t="s">
        <v>457</v>
      </c>
      <c r="I936" s="33">
        <v>23.864000000000001</v>
      </c>
      <c r="J936" s="170"/>
      <c r="K936" s="7" t="str">
        <f>VLOOKUP($E936,Mapping!$E$11:$I$204,3,0)</f>
        <v>Replacement</v>
      </c>
      <c r="L936" s="7" t="str">
        <f>IFERROR(VLOOKUP($G936,Mapping!$E$208:$K$236,5,0),"Contracts")</f>
        <v>Labour</v>
      </c>
      <c r="M936" s="7" t="str">
        <f>IFERROR(VLOOKUP($G936,Mapping!$E$208:$K$236,7,0),"ENDirect")</f>
        <v>ENDirect</v>
      </c>
      <c r="N936" s="7" t="str">
        <f>IFERROR(HLOOKUP(L936,'Calc|Weightings'!$U$5:$W$5,1,0),"Excl")</f>
        <v>Labour</v>
      </c>
      <c r="O936" s="7" t="str">
        <f>VLOOKUP(E936,Mapping!$E$11:$I$204,5,0)</f>
        <v>SCS</v>
      </c>
      <c r="Q936" s="32" t="s">
        <v>222</v>
      </c>
      <c r="R936" s="32"/>
      <c r="S936" s="32">
        <v>89999</v>
      </c>
      <c r="T936" s="32" t="s">
        <v>471</v>
      </c>
      <c r="U936" s="33">
        <v>0</v>
      </c>
      <c r="V936" s="7"/>
      <c r="W936" s="7" t="str">
        <f>VLOOKUP($Q936,Mapping!$E$11:$I$204,3,0)</f>
        <v>Replacement</v>
      </c>
      <c r="X936" s="7" t="str">
        <f>IFERROR(VLOOKUP($S936,Mapping!$E$208:$K$236,5,0),"Contracts")</f>
        <v>Contracts</v>
      </c>
      <c r="Y936" s="7" t="str">
        <f>IFERROR(VLOOKUP($S936,Mapping!$E$208:$K$236,7,0),"ENDirect")</f>
        <v>ENDirect</v>
      </c>
      <c r="Z936" s="7" t="str">
        <f>IFERROR(HLOOKUP(X936,'Calc|Weightings'!$U$5:$W$5,1,0),"Excl")</f>
        <v>Contracts</v>
      </c>
      <c r="AA936" s="7" t="str">
        <f>VLOOKUP(Q936,Mapping!$E$11:$I$204,5,0)</f>
        <v>SCS</v>
      </c>
      <c r="AC936" s="35" t="s">
        <v>166</v>
      </c>
      <c r="AD936" s="35"/>
      <c r="AE936" s="35">
        <v>71020</v>
      </c>
      <c r="AF936" s="35" t="s">
        <v>459</v>
      </c>
      <c r="AG936" s="36">
        <v>0</v>
      </c>
      <c r="AI936" s="7" t="str">
        <f>VLOOKUP($AC936,Mapping!$E$11:$I$204,3,0)</f>
        <v>Replacement</v>
      </c>
      <c r="AJ936" s="7" t="str">
        <f>IFERROR(VLOOKUP($AE936,Mapping!$E$208:$K$236,5,0),"Contracts")</f>
        <v>Contracts</v>
      </c>
      <c r="AK936" s="7" t="str">
        <f>IFERROR(VLOOKUP($AE936,Mapping!$E$208:$K$236,7,0),"ENDirect")</f>
        <v>ENDirect</v>
      </c>
      <c r="AL936" s="7" t="str">
        <f>IFERROR(HLOOKUP(AJ936,'Calc|Weightings'!$U$5:$W$5,1,0),"Excl")</f>
        <v>Contracts</v>
      </c>
      <c r="AM936" s="7" t="str">
        <f>VLOOKUP(AC936,Mapping!$E$11:$I$204,5,0)</f>
        <v>SCS</v>
      </c>
      <c r="AO936" s="35" t="s">
        <v>237</v>
      </c>
      <c r="AP936" s="35"/>
      <c r="AQ936" s="35">
        <v>71075</v>
      </c>
      <c r="AR936" s="35" t="s">
        <v>587</v>
      </c>
      <c r="AS936" s="121">
        <v>4.5645399999999992</v>
      </c>
      <c r="AU936" s="7" t="str">
        <f>VLOOKUP($AO936,Mapping!$E$11:$I$204,3,0)</f>
        <v>Replacement</v>
      </c>
      <c r="AV936" s="7" t="str">
        <f>IFERROR(VLOOKUP($AQ936,Mapping!$E$208:$K$236,5,0),"Contracts")</f>
        <v>Contracts</v>
      </c>
      <c r="AW936" s="7" t="str">
        <f>IFERROR(VLOOKUP($AQ936,Mapping!$E$208:$K$236,7,0),"ENDirect")</f>
        <v>ENDirect</v>
      </c>
      <c r="AX936" s="7" t="str">
        <f>IFERROR(HLOOKUP(AV936,'Calc|Weightings'!$U$5:$W$5,1,0),"Excl")</f>
        <v>Contracts</v>
      </c>
      <c r="AY936" s="7" t="str">
        <f>VLOOKUP(AO936,Mapping!$E$11:$I$204,5,0)</f>
        <v>SCS</v>
      </c>
    </row>
    <row r="937" spans="1:51" x14ac:dyDescent="0.3">
      <c r="A937" s="7"/>
      <c r="B937" s="7"/>
      <c r="C937" s="7"/>
      <c r="D937" s="7"/>
      <c r="E937" s="32" t="s">
        <v>220</v>
      </c>
      <c r="F937" s="32"/>
      <c r="G937" s="32">
        <v>71005</v>
      </c>
      <c r="H937" s="32" t="s">
        <v>461</v>
      </c>
      <c r="I937" s="33">
        <v>5.0739999999999998</v>
      </c>
      <c r="J937" s="170"/>
      <c r="K937" s="7" t="str">
        <f>VLOOKUP($E937,Mapping!$E$11:$I$204,3,0)</f>
        <v>Replacement</v>
      </c>
      <c r="L937" s="7" t="str">
        <f>IFERROR(VLOOKUP($G937,Mapping!$E$208:$K$236,5,0),"Contracts")</f>
        <v>Materials</v>
      </c>
      <c r="M937" s="7" t="str">
        <f>IFERROR(VLOOKUP($G937,Mapping!$E$208:$K$236,7,0),"ENDirect")</f>
        <v>ENDirect</v>
      </c>
      <c r="N937" s="7" t="str">
        <f>IFERROR(HLOOKUP(L937,'Calc|Weightings'!$U$5:$W$5,1,0),"Excl")</f>
        <v>Materials</v>
      </c>
      <c r="O937" s="7" t="str">
        <f>VLOOKUP(E937,Mapping!$E$11:$I$204,5,0)</f>
        <v>SCS</v>
      </c>
      <c r="Q937" s="32" t="s">
        <v>223</v>
      </c>
      <c r="R937" s="32"/>
      <c r="S937" s="32">
        <v>89999</v>
      </c>
      <c r="T937" s="32" t="s">
        <v>471</v>
      </c>
      <c r="U937" s="33">
        <v>0</v>
      </c>
      <c r="V937" s="7"/>
      <c r="W937" s="7" t="str">
        <f>VLOOKUP($Q937,Mapping!$E$11:$I$204,3,0)</f>
        <v>Replacement</v>
      </c>
      <c r="X937" s="7" t="str">
        <f>IFERROR(VLOOKUP($S937,Mapping!$E$208:$K$236,5,0),"Contracts")</f>
        <v>Contracts</v>
      </c>
      <c r="Y937" s="7" t="str">
        <f>IFERROR(VLOOKUP($S937,Mapping!$E$208:$K$236,7,0),"ENDirect")</f>
        <v>ENDirect</v>
      </c>
      <c r="Z937" s="7" t="str">
        <f>IFERROR(HLOOKUP(X937,'Calc|Weightings'!$U$5:$W$5,1,0),"Excl")</f>
        <v>Contracts</v>
      </c>
      <c r="AA937" s="7" t="str">
        <f>VLOOKUP(Q937,Mapping!$E$11:$I$204,5,0)</f>
        <v>SCS</v>
      </c>
      <c r="AC937" s="35" t="s">
        <v>167</v>
      </c>
      <c r="AD937" s="35"/>
      <c r="AE937" s="35">
        <v>71006</v>
      </c>
      <c r="AF937" s="35" t="s">
        <v>468</v>
      </c>
      <c r="AG937" s="36">
        <v>0</v>
      </c>
      <c r="AI937" s="7" t="str">
        <f>VLOOKUP($AC937,Mapping!$E$11:$I$204,3,0)</f>
        <v>Replacement</v>
      </c>
      <c r="AJ937" s="7" t="str">
        <f>IFERROR(VLOOKUP($AE937,Mapping!$E$208:$K$236,5,0),"Contracts")</f>
        <v>Materials</v>
      </c>
      <c r="AK937" s="7" t="str">
        <f>IFERROR(VLOOKUP($AE937,Mapping!$E$208:$K$236,7,0),"ENDirect")</f>
        <v>ENDirect</v>
      </c>
      <c r="AL937" s="7" t="str">
        <f>IFERROR(HLOOKUP(AJ937,'Calc|Weightings'!$U$5:$W$5,1,0),"Excl")</f>
        <v>Materials</v>
      </c>
      <c r="AM937" s="7" t="str">
        <f>VLOOKUP(AC937,Mapping!$E$11:$I$204,5,0)</f>
        <v>SCS</v>
      </c>
      <c r="AO937" s="35" t="s">
        <v>237</v>
      </c>
      <c r="AP937" s="35"/>
      <c r="AQ937" s="35">
        <v>80000</v>
      </c>
      <c r="AR937" s="35" t="s">
        <v>589</v>
      </c>
      <c r="AS937" s="121">
        <v>9.5983000000000001</v>
      </c>
      <c r="AU937" s="7" t="str">
        <f>VLOOKUP($AO937,Mapping!$E$11:$I$204,3,0)</f>
        <v>Replacement</v>
      </c>
      <c r="AV937" s="7" t="str">
        <f>IFERROR(VLOOKUP($AQ937,Mapping!$E$208:$K$236,5,0),"Contracts")</f>
        <v>Overhead</v>
      </c>
      <c r="AW937" s="7" t="str">
        <f>IFERROR(VLOOKUP($AQ937,Mapping!$E$208:$K$236,7,0),"ENDirect")</f>
        <v>OH</v>
      </c>
      <c r="AX937" s="7" t="str">
        <f>IFERROR(HLOOKUP(AV937,'Calc|Weightings'!$U$5:$W$5,1,0),"Excl")</f>
        <v>Excl</v>
      </c>
      <c r="AY937" s="7" t="str">
        <f>VLOOKUP(AO937,Mapping!$E$11:$I$204,5,0)</f>
        <v>SCS</v>
      </c>
    </row>
    <row r="938" spans="1:51" x14ac:dyDescent="0.3">
      <c r="A938" s="7"/>
      <c r="B938" s="7"/>
      <c r="C938" s="7"/>
      <c r="D938" s="7"/>
      <c r="E938" s="32" t="s">
        <v>220</v>
      </c>
      <c r="F938" s="32"/>
      <c r="G938" s="32">
        <v>71015</v>
      </c>
      <c r="H938" s="32" t="s">
        <v>463</v>
      </c>
      <c r="I938" s="33">
        <v>3.4969999999999999</v>
      </c>
      <c r="J938" s="170"/>
      <c r="K938" s="7" t="str">
        <f>VLOOKUP($E938,Mapping!$E$11:$I$204,3,0)</f>
        <v>Replacement</v>
      </c>
      <c r="L938" s="7" t="str">
        <f>IFERROR(VLOOKUP($G938,Mapping!$E$208:$K$236,5,0),"Contracts")</f>
        <v>Materials</v>
      </c>
      <c r="M938" s="7" t="str">
        <f>IFERROR(VLOOKUP($G938,Mapping!$E$208:$K$236,7,0),"ENDirect")</f>
        <v>ENDirect</v>
      </c>
      <c r="N938" s="7" t="str">
        <f>IFERROR(HLOOKUP(L938,'Calc|Weightings'!$U$5:$W$5,1,0),"Excl")</f>
        <v>Materials</v>
      </c>
      <c r="O938" s="7" t="str">
        <f>VLOOKUP(E938,Mapping!$E$11:$I$204,5,0)</f>
        <v>SCS</v>
      </c>
      <c r="Q938" s="32" t="s">
        <v>227</v>
      </c>
      <c r="R938" s="32"/>
      <c r="S938" s="32">
        <v>71040</v>
      </c>
      <c r="T938" s="32" t="s">
        <v>460</v>
      </c>
      <c r="U938" s="33">
        <v>-41.180999999999997</v>
      </c>
      <c r="V938" s="7"/>
      <c r="W938" s="7" t="str">
        <f>VLOOKUP($Q938,Mapping!$E$11:$I$204,3,0)</f>
        <v>Replacement</v>
      </c>
      <c r="X938" s="7" t="str">
        <f>IFERROR(VLOOKUP($S938,Mapping!$E$208:$K$236,5,0),"Contracts")</f>
        <v>Contracts</v>
      </c>
      <c r="Y938" s="7" t="str">
        <f>IFERROR(VLOOKUP($S938,Mapping!$E$208:$K$236,7,0),"ENDirect")</f>
        <v>ENDirect</v>
      </c>
      <c r="Z938" s="7" t="str">
        <f>IFERROR(HLOOKUP(X938,'Calc|Weightings'!$U$5:$W$5,1,0),"Excl")</f>
        <v>Contracts</v>
      </c>
      <c r="AA938" s="7" t="str">
        <f>VLOOKUP(Q938,Mapping!$E$11:$I$204,5,0)</f>
        <v>SCS</v>
      </c>
      <c r="AC938" s="35" t="s">
        <v>167</v>
      </c>
      <c r="AD938" s="35"/>
      <c r="AE938" s="35">
        <v>71020</v>
      </c>
      <c r="AF938" s="35" t="s">
        <v>459</v>
      </c>
      <c r="AG938" s="36">
        <v>0</v>
      </c>
      <c r="AI938" s="7" t="str">
        <f>VLOOKUP($AC938,Mapping!$E$11:$I$204,3,0)</f>
        <v>Replacement</v>
      </c>
      <c r="AJ938" s="7" t="str">
        <f>IFERROR(VLOOKUP($AE938,Mapping!$E$208:$K$236,5,0),"Contracts")</f>
        <v>Contracts</v>
      </c>
      <c r="AK938" s="7" t="str">
        <f>IFERROR(VLOOKUP($AE938,Mapping!$E$208:$K$236,7,0),"ENDirect")</f>
        <v>ENDirect</v>
      </c>
      <c r="AL938" s="7" t="str">
        <f>IFERROR(HLOOKUP(AJ938,'Calc|Weightings'!$U$5:$W$5,1,0),"Excl")</f>
        <v>Contracts</v>
      </c>
      <c r="AM938" s="7" t="str">
        <f>VLOOKUP(AC938,Mapping!$E$11:$I$204,5,0)</f>
        <v>SCS</v>
      </c>
      <c r="AO938" s="35" t="s">
        <v>237</v>
      </c>
      <c r="AP938" s="35"/>
      <c r="AQ938" s="35">
        <v>83010</v>
      </c>
      <c r="AR938" s="35" t="s">
        <v>591</v>
      </c>
      <c r="AS938" s="121">
        <v>41.221440000000015</v>
      </c>
      <c r="AU938" s="7" t="str">
        <f>VLOOKUP($AO938,Mapping!$E$11:$I$204,3,0)</f>
        <v>Replacement</v>
      </c>
      <c r="AV938" s="7" t="str">
        <f>IFERROR(VLOOKUP($AQ938,Mapping!$E$208:$K$236,5,0),"Contracts")</f>
        <v>Contracts</v>
      </c>
      <c r="AW938" s="7" t="str">
        <f>IFERROR(VLOOKUP($AQ938,Mapping!$E$208:$K$236,7,0),"ENDirect")</f>
        <v>ENDirect</v>
      </c>
      <c r="AX938" s="7" t="str">
        <f>IFERROR(HLOOKUP(AV938,'Calc|Weightings'!$U$5:$W$5,1,0),"Excl")</f>
        <v>Contracts</v>
      </c>
      <c r="AY938" s="7" t="str">
        <f>VLOOKUP(AO938,Mapping!$E$11:$I$204,5,0)</f>
        <v>SCS</v>
      </c>
    </row>
    <row r="939" spans="1:51" x14ac:dyDescent="0.3">
      <c r="A939" s="7"/>
      <c r="B939" s="7"/>
      <c r="C939" s="7"/>
      <c r="D939" s="7"/>
      <c r="E939" s="32" t="s">
        <v>221</v>
      </c>
      <c r="F939" s="32"/>
      <c r="G939" s="32">
        <v>71020</v>
      </c>
      <c r="H939" s="32" t="s">
        <v>459</v>
      </c>
      <c r="I939" s="33">
        <v>1.1080000000000001</v>
      </c>
      <c r="J939" s="170"/>
      <c r="K939" s="7" t="str">
        <f>VLOOKUP($E939,Mapping!$E$11:$I$204,3,0)</f>
        <v>Replacement</v>
      </c>
      <c r="L939" s="7" t="str">
        <f>IFERROR(VLOOKUP($G939,Mapping!$E$208:$K$236,5,0),"Contracts")</f>
        <v>Contracts</v>
      </c>
      <c r="M939" s="7" t="str">
        <f>IFERROR(VLOOKUP($G939,Mapping!$E$208:$K$236,7,0),"ENDirect")</f>
        <v>ENDirect</v>
      </c>
      <c r="N939" s="7" t="str">
        <f>IFERROR(HLOOKUP(L939,'Calc|Weightings'!$U$5:$W$5,1,0),"Excl")</f>
        <v>Contracts</v>
      </c>
      <c r="O939" s="7" t="str">
        <f>VLOOKUP(E939,Mapping!$E$11:$I$204,5,0)</f>
        <v>SCS</v>
      </c>
      <c r="Q939" s="32" t="s">
        <v>230</v>
      </c>
      <c r="R939" s="32"/>
      <c r="S939" s="32">
        <v>71006</v>
      </c>
      <c r="T939" s="32" t="s">
        <v>468</v>
      </c>
      <c r="U939" s="33">
        <v>9.423</v>
      </c>
      <c r="V939" s="7"/>
      <c r="W939" s="7" t="str">
        <f>VLOOKUP($Q939,Mapping!$E$11:$I$204,3,0)</f>
        <v>Replacement</v>
      </c>
      <c r="X939" s="7" t="str">
        <f>IFERROR(VLOOKUP($S939,Mapping!$E$208:$K$236,5,0),"Contracts")</f>
        <v>Materials</v>
      </c>
      <c r="Y939" s="7" t="str">
        <f>IFERROR(VLOOKUP($S939,Mapping!$E$208:$K$236,7,0),"ENDirect")</f>
        <v>ENDirect</v>
      </c>
      <c r="Z939" s="7" t="str">
        <f>IFERROR(HLOOKUP(X939,'Calc|Weightings'!$U$5:$W$5,1,0),"Excl")</f>
        <v>Materials</v>
      </c>
      <c r="AA939" s="7" t="str">
        <f>VLOOKUP(Q939,Mapping!$E$11:$I$204,5,0)</f>
        <v>SCS</v>
      </c>
      <c r="AC939" s="35" t="s">
        <v>168</v>
      </c>
      <c r="AD939" s="35"/>
      <c r="AE939" s="35">
        <v>71020</v>
      </c>
      <c r="AF939" s="35" t="s">
        <v>459</v>
      </c>
      <c r="AG939" s="36">
        <v>0</v>
      </c>
      <c r="AI939" s="7" t="str">
        <f>VLOOKUP($AC939,Mapping!$E$11:$I$204,3,0)</f>
        <v>Replacement</v>
      </c>
      <c r="AJ939" s="7" t="str">
        <f>IFERROR(VLOOKUP($AE939,Mapping!$E$208:$K$236,5,0),"Contracts")</f>
        <v>Contracts</v>
      </c>
      <c r="AK939" s="7" t="str">
        <f>IFERROR(VLOOKUP($AE939,Mapping!$E$208:$K$236,7,0),"ENDirect")</f>
        <v>ENDirect</v>
      </c>
      <c r="AL939" s="7" t="str">
        <f>IFERROR(HLOOKUP(AJ939,'Calc|Weightings'!$U$5:$W$5,1,0),"Excl")</f>
        <v>Contracts</v>
      </c>
      <c r="AM939" s="7" t="str">
        <f>VLOOKUP(AC939,Mapping!$E$11:$I$204,5,0)</f>
        <v>SCS</v>
      </c>
      <c r="AO939" s="35" t="s">
        <v>238</v>
      </c>
      <c r="AP939" s="35"/>
      <c r="AQ939" s="35">
        <v>71070</v>
      </c>
      <c r="AR939" s="35" t="s">
        <v>586</v>
      </c>
      <c r="AS939" s="121">
        <v>3.7908900000000005</v>
      </c>
      <c r="AU939" s="7" t="str">
        <f>VLOOKUP($AO939,Mapping!$E$11:$I$204,3,0)</f>
        <v>Replacement</v>
      </c>
      <c r="AV939" s="7" t="str">
        <f>IFERROR(VLOOKUP($AQ939,Mapping!$E$208:$K$236,5,0),"Contracts")</f>
        <v>Contracts</v>
      </c>
      <c r="AW939" s="7" t="str">
        <f>IFERROR(VLOOKUP($AQ939,Mapping!$E$208:$K$236,7,0),"ENDirect")</f>
        <v>ENDirect</v>
      </c>
      <c r="AX939" s="7" t="str">
        <f>IFERROR(HLOOKUP(AV939,'Calc|Weightings'!$U$5:$W$5,1,0),"Excl")</f>
        <v>Contracts</v>
      </c>
      <c r="AY939" s="7" t="str">
        <f>VLOOKUP(AO939,Mapping!$E$11:$I$204,5,0)</f>
        <v>SCS</v>
      </c>
    </row>
    <row r="940" spans="1:51" x14ac:dyDescent="0.3">
      <c r="A940" s="7"/>
      <c r="B940" s="7"/>
      <c r="C940" s="7"/>
      <c r="D940" s="7"/>
      <c r="E940" s="32" t="s">
        <v>222</v>
      </c>
      <c r="F940" s="32"/>
      <c r="G940" s="32">
        <v>71020</v>
      </c>
      <c r="H940" s="32" t="s">
        <v>459</v>
      </c>
      <c r="I940" s="33">
        <v>-4.1109999999999998</v>
      </c>
      <c r="J940" s="170"/>
      <c r="K940" s="7" t="str">
        <f>VLOOKUP($E940,Mapping!$E$11:$I$204,3,0)</f>
        <v>Replacement</v>
      </c>
      <c r="L940" s="7" t="str">
        <f>IFERROR(VLOOKUP($G940,Mapping!$E$208:$K$236,5,0),"Contracts")</f>
        <v>Contracts</v>
      </c>
      <c r="M940" s="7" t="str">
        <f>IFERROR(VLOOKUP($G940,Mapping!$E$208:$K$236,7,0),"ENDirect")</f>
        <v>ENDirect</v>
      </c>
      <c r="N940" s="7" t="str">
        <f>IFERROR(HLOOKUP(L940,'Calc|Weightings'!$U$5:$W$5,1,0),"Excl")</f>
        <v>Contracts</v>
      </c>
      <c r="O940" s="7" t="str">
        <f>VLOOKUP(E940,Mapping!$E$11:$I$204,5,0)</f>
        <v>SCS</v>
      </c>
      <c r="Q940" s="32" t="s">
        <v>230</v>
      </c>
      <c r="R940" s="32"/>
      <c r="S940" s="32">
        <v>71040</v>
      </c>
      <c r="T940" s="32" t="s">
        <v>460</v>
      </c>
      <c r="U940" s="33">
        <v>57.201999999999998</v>
      </c>
      <c r="V940" s="7"/>
      <c r="W940" s="7" t="str">
        <f>VLOOKUP($Q940,Mapping!$E$11:$I$204,3,0)</f>
        <v>Replacement</v>
      </c>
      <c r="X940" s="7" t="str">
        <f>IFERROR(VLOOKUP($S940,Mapping!$E$208:$K$236,5,0),"Contracts")</f>
        <v>Contracts</v>
      </c>
      <c r="Y940" s="7" t="str">
        <f>IFERROR(VLOOKUP($S940,Mapping!$E$208:$K$236,7,0),"ENDirect")</f>
        <v>ENDirect</v>
      </c>
      <c r="Z940" s="7" t="str">
        <f>IFERROR(HLOOKUP(X940,'Calc|Weightings'!$U$5:$W$5,1,0),"Excl")</f>
        <v>Contracts</v>
      </c>
      <c r="AA940" s="7" t="str">
        <f>VLOOKUP(Q940,Mapping!$E$11:$I$204,5,0)</f>
        <v>SCS</v>
      </c>
      <c r="AC940" s="35" t="s">
        <v>171</v>
      </c>
      <c r="AD940" s="35"/>
      <c r="AE940" s="35">
        <v>71020</v>
      </c>
      <c r="AF940" s="35" t="s">
        <v>459</v>
      </c>
      <c r="AG940" s="36">
        <v>0</v>
      </c>
      <c r="AI940" s="7" t="str">
        <f>VLOOKUP($AC940,Mapping!$E$11:$I$204,3,0)</f>
        <v>Replacement</v>
      </c>
      <c r="AJ940" s="7" t="str">
        <f>IFERROR(VLOOKUP($AE940,Mapping!$E$208:$K$236,5,0),"Contracts")</f>
        <v>Contracts</v>
      </c>
      <c r="AK940" s="7" t="str">
        <f>IFERROR(VLOOKUP($AE940,Mapping!$E$208:$K$236,7,0),"ENDirect")</f>
        <v>ENDirect</v>
      </c>
      <c r="AL940" s="7" t="str">
        <f>IFERROR(HLOOKUP(AJ940,'Calc|Weightings'!$U$5:$W$5,1,0),"Excl")</f>
        <v>Contracts</v>
      </c>
      <c r="AM940" s="7" t="str">
        <f>VLOOKUP(AC940,Mapping!$E$11:$I$204,5,0)</f>
        <v>SCS</v>
      </c>
      <c r="AO940" s="35" t="s">
        <v>238</v>
      </c>
      <c r="AP940" s="35"/>
      <c r="AQ940" s="35">
        <v>71075</v>
      </c>
      <c r="AR940" s="35" t="s">
        <v>587</v>
      </c>
      <c r="AS940" s="121">
        <v>4.0673899999999996</v>
      </c>
      <c r="AU940" s="7" t="str">
        <f>VLOOKUP($AO940,Mapping!$E$11:$I$204,3,0)</f>
        <v>Replacement</v>
      </c>
      <c r="AV940" s="7" t="str">
        <f>IFERROR(VLOOKUP($AQ940,Mapping!$E$208:$K$236,5,0),"Contracts")</f>
        <v>Contracts</v>
      </c>
      <c r="AW940" s="7" t="str">
        <f>IFERROR(VLOOKUP($AQ940,Mapping!$E$208:$K$236,7,0),"ENDirect")</f>
        <v>ENDirect</v>
      </c>
      <c r="AX940" s="7" t="str">
        <f>IFERROR(HLOOKUP(AV940,'Calc|Weightings'!$U$5:$W$5,1,0),"Excl")</f>
        <v>Contracts</v>
      </c>
      <c r="AY940" s="7" t="str">
        <f>VLOOKUP(AO940,Mapping!$E$11:$I$204,5,0)</f>
        <v>SCS</v>
      </c>
    </row>
    <row r="941" spans="1:51" x14ac:dyDescent="0.3">
      <c r="A941" s="7"/>
      <c r="B941" s="7"/>
      <c r="C941" s="7"/>
      <c r="D941" s="7"/>
      <c r="E941" s="32" t="s">
        <v>223</v>
      </c>
      <c r="F941" s="32"/>
      <c r="G941" s="32">
        <v>71020</v>
      </c>
      <c r="H941" s="32" t="s">
        <v>459</v>
      </c>
      <c r="I941" s="33">
        <v>-2.7189999999999999</v>
      </c>
      <c r="J941" s="170"/>
      <c r="K941" s="7" t="str">
        <f>VLOOKUP($E941,Mapping!$E$11:$I$204,3,0)</f>
        <v>Replacement</v>
      </c>
      <c r="L941" s="7" t="str">
        <f>IFERROR(VLOOKUP($G941,Mapping!$E$208:$K$236,5,0),"Contracts")</f>
        <v>Contracts</v>
      </c>
      <c r="M941" s="7" t="str">
        <f>IFERROR(VLOOKUP($G941,Mapping!$E$208:$K$236,7,0),"ENDirect")</f>
        <v>ENDirect</v>
      </c>
      <c r="N941" s="7" t="str">
        <f>IFERROR(HLOOKUP(L941,'Calc|Weightings'!$U$5:$W$5,1,0),"Excl")</f>
        <v>Contracts</v>
      </c>
      <c r="O941" s="7" t="str">
        <f>VLOOKUP(E941,Mapping!$E$11:$I$204,5,0)</f>
        <v>SCS</v>
      </c>
      <c r="Q941" s="32" t="s">
        <v>234</v>
      </c>
      <c r="R941" s="32"/>
      <c r="S941" s="32">
        <v>71040</v>
      </c>
      <c r="T941" s="32" t="s">
        <v>460</v>
      </c>
      <c r="U941" s="33">
        <v>-97.27</v>
      </c>
      <c r="V941" s="7"/>
      <c r="W941" s="7" t="str">
        <f>VLOOKUP($Q941,Mapping!$E$11:$I$204,3,0)</f>
        <v>Replacement</v>
      </c>
      <c r="X941" s="7" t="str">
        <f>IFERROR(VLOOKUP($S941,Mapping!$E$208:$K$236,5,0),"Contracts")</f>
        <v>Contracts</v>
      </c>
      <c r="Y941" s="7" t="str">
        <f>IFERROR(VLOOKUP($S941,Mapping!$E$208:$K$236,7,0),"ENDirect")</f>
        <v>ENDirect</v>
      </c>
      <c r="Z941" s="7" t="str">
        <f>IFERROR(HLOOKUP(X941,'Calc|Weightings'!$U$5:$W$5,1,0),"Excl")</f>
        <v>Contracts</v>
      </c>
      <c r="AA941" s="7" t="str">
        <f>VLOOKUP(Q941,Mapping!$E$11:$I$204,5,0)</f>
        <v>SCS</v>
      </c>
      <c r="AC941" s="35" t="s">
        <v>184</v>
      </c>
      <c r="AD941" s="35"/>
      <c r="AE941" s="35">
        <v>71020</v>
      </c>
      <c r="AF941" s="35" t="s">
        <v>459</v>
      </c>
      <c r="AG941" s="36">
        <v>0</v>
      </c>
      <c r="AI941" s="7" t="str">
        <f>VLOOKUP($AC941,Mapping!$E$11:$I$204,3,0)</f>
        <v>Public Lighting</v>
      </c>
      <c r="AJ941" s="7" t="str">
        <f>IFERROR(VLOOKUP($AE941,Mapping!$E$208:$K$236,5,0),"Contracts")</f>
        <v>Contracts</v>
      </c>
      <c r="AK941" s="7" t="str">
        <f>IFERROR(VLOOKUP($AE941,Mapping!$E$208:$K$236,7,0),"ENDirect")</f>
        <v>ENDirect</v>
      </c>
      <c r="AL941" s="7" t="str">
        <f>IFERROR(HLOOKUP(AJ941,'Calc|Weightings'!$U$5:$W$5,1,0),"Excl")</f>
        <v>Contracts</v>
      </c>
      <c r="AM941" s="7" t="str">
        <f>VLOOKUP(AC941,Mapping!$E$11:$I$204,5,0)</f>
        <v>Public Lighting</v>
      </c>
      <c r="AO941" s="35" t="s">
        <v>238</v>
      </c>
      <c r="AP941" s="35"/>
      <c r="AQ941" s="35">
        <v>80000</v>
      </c>
      <c r="AR941" s="35" t="s">
        <v>589</v>
      </c>
      <c r="AS941" s="121">
        <v>6.8481499999999995</v>
      </c>
      <c r="AU941" s="7" t="str">
        <f>VLOOKUP($AO941,Mapping!$E$11:$I$204,3,0)</f>
        <v>Replacement</v>
      </c>
      <c r="AV941" s="7" t="str">
        <f>IFERROR(VLOOKUP($AQ941,Mapping!$E$208:$K$236,5,0),"Contracts")</f>
        <v>Overhead</v>
      </c>
      <c r="AW941" s="7" t="str">
        <f>IFERROR(VLOOKUP($AQ941,Mapping!$E$208:$K$236,7,0),"ENDirect")</f>
        <v>OH</v>
      </c>
      <c r="AX941" s="7" t="str">
        <f>IFERROR(HLOOKUP(AV941,'Calc|Weightings'!$U$5:$W$5,1,0),"Excl")</f>
        <v>Excl</v>
      </c>
      <c r="AY941" s="7" t="str">
        <f>VLOOKUP(AO941,Mapping!$E$11:$I$204,5,0)</f>
        <v>SCS</v>
      </c>
    </row>
    <row r="942" spans="1:51" x14ac:dyDescent="0.3">
      <c r="A942" s="7"/>
      <c r="B942" s="7"/>
      <c r="C942" s="7"/>
      <c r="D942" s="7"/>
      <c r="E942" s="32" t="s">
        <v>224</v>
      </c>
      <c r="F942" s="32"/>
      <c r="G942" s="32">
        <v>71020</v>
      </c>
      <c r="H942" s="32" t="s">
        <v>459</v>
      </c>
      <c r="I942" s="33">
        <v>1.393</v>
      </c>
      <c r="J942" s="170"/>
      <c r="K942" s="7" t="str">
        <f>VLOOKUP($E942,Mapping!$E$11:$I$204,3,0)</f>
        <v>Replacement</v>
      </c>
      <c r="L942" s="7" t="str">
        <f>IFERROR(VLOOKUP($G942,Mapping!$E$208:$K$236,5,0),"Contracts")</f>
        <v>Contracts</v>
      </c>
      <c r="M942" s="7" t="str">
        <f>IFERROR(VLOOKUP($G942,Mapping!$E$208:$K$236,7,0),"ENDirect")</f>
        <v>ENDirect</v>
      </c>
      <c r="N942" s="7" t="str">
        <f>IFERROR(HLOOKUP(L942,'Calc|Weightings'!$U$5:$W$5,1,0),"Excl")</f>
        <v>Contracts</v>
      </c>
      <c r="O942" s="7" t="str">
        <f>VLOOKUP(E942,Mapping!$E$11:$I$204,5,0)</f>
        <v>SCS</v>
      </c>
      <c r="Q942" s="32" t="s">
        <v>240</v>
      </c>
      <c r="R942" s="32"/>
      <c r="S942" s="32">
        <v>71040</v>
      </c>
      <c r="T942" s="32" t="s">
        <v>460</v>
      </c>
      <c r="U942" s="33">
        <v>-27.454000000000001</v>
      </c>
      <c r="V942" s="7"/>
      <c r="W942" s="7" t="str">
        <f>VLOOKUP($Q942,Mapping!$E$11:$I$204,3,0)</f>
        <v>Replacement</v>
      </c>
      <c r="X942" s="7" t="str">
        <f>IFERROR(VLOOKUP($S942,Mapping!$E$208:$K$236,5,0),"Contracts")</f>
        <v>Contracts</v>
      </c>
      <c r="Y942" s="7" t="str">
        <f>IFERROR(VLOOKUP($S942,Mapping!$E$208:$K$236,7,0),"ENDirect")</f>
        <v>ENDirect</v>
      </c>
      <c r="Z942" s="7" t="str">
        <f>IFERROR(HLOOKUP(X942,'Calc|Weightings'!$U$5:$W$5,1,0),"Excl")</f>
        <v>Contracts</v>
      </c>
      <c r="AA942" s="7" t="str">
        <f>VLOOKUP(Q942,Mapping!$E$11:$I$204,5,0)</f>
        <v>SCS</v>
      </c>
      <c r="AC942" s="35" t="s">
        <v>188</v>
      </c>
      <c r="AD942" s="35"/>
      <c r="AE942" s="35">
        <v>71010</v>
      </c>
      <c r="AF942" s="35" t="s">
        <v>462</v>
      </c>
      <c r="AG942" s="36">
        <v>96.081000000000003</v>
      </c>
      <c r="AI942" s="7" t="str">
        <f>VLOOKUP($AC942,Mapping!$E$11:$I$204,3,0)</f>
        <v>Replacement</v>
      </c>
      <c r="AJ942" s="7" t="str">
        <f>IFERROR(VLOOKUP($AE942,Mapping!$E$208:$K$236,5,0),"Contracts")</f>
        <v>Labour</v>
      </c>
      <c r="AK942" s="7" t="str">
        <f>IFERROR(VLOOKUP($AE942,Mapping!$E$208:$K$236,7,0),"ENDirect")</f>
        <v>ENDirect</v>
      </c>
      <c r="AL942" s="7" t="str">
        <f>IFERROR(HLOOKUP(AJ942,'Calc|Weightings'!$U$5:$W$5,1,0),"Excl")</f>
        <v>Labour</v>
      </c>
      <c r="AM942" s="7" t="str">
        <f>VLOOKUP(AC942,Mapping!$E$11:$I$204,5,0)</f>
        <v>SCS</v>
      </c>
      <c r="AO942" s="35" t="s">
        <v>238</v>
      </c>
      <c r="AP942" s="35"/>
      <c r="AQ942" s="35">
        <v>83010</v>
      </c>
      <c r="AR942" s="35" t="s">
        <v>591</v>
      </c>
      <c r="AS942" s="121">
        <v>30.327120000000004</v>
      </c>
      <c r="AU942" s="7" t="str">
        <f>VLOOKUP($AO942,Mapping!$E$11:$I$204,3,0)</f>
        <v>Replacement</v>
      </c>
      <c r="AV942" s="7" t="str">
        <f>IFERROR(VLOOKUP($AQ942,Mapping!$E$208:$K$236,5,0),"Contracts")</f>
        <v>Contracts</v>
      </c>
      <c r="AW942" s="7" t="str">
        <f>IFERROR(VLOOKUP($AQ942,Mapping!$E$208:$K$236,7,0),"ENDirect")</f>
        <v>ENDirect</v>
      </c>
      <c r="AX942" s="7" t="str">
        <f>IFERROR(HLOOKUP(AV942,'Calc|Weightings'!$U$5:$W$5,1,0),"Excl")</f>
        <v>Contracts</v>
      </c>
      <c r="AY942" s="7" t="str">
        <f>VLOOKUP(AO942,Mapping!$E$11:$I$204,5,0)</f>
        <v>SCS</v>
      </c>
    </row>
    <row r="943" spans="1:51" x14ac:dyDescent="0.3">
      <c r="A943" s="7"/>
      <c r="B943" s="7"/>
      <c r="C943" s="7"/>
      <c r="D943" s="7"/>
      <c r="E943" s="32" t="s">
        <v>227</v>
      </c>
      <c r="F943" s="32"/>
      <c r="G943" s="32">
        <v>71020</v>
      </c>
      <c r="H943" s="32" t="s">
        <v>459</v>
      </c>
      <c r="I943" s="33">
        <v>-16.04</v>
      </c>
      <c r="J943" s="170"/>
      <c r="K943" s="7" t="str">
        <f>VLOOKUP($E943,Mapping!$E$11:$I$204,3,0)</f>
        <v>Replacement</v>
      </c>
      <c r="L943" s="7" t="str">
        <f>IFERROR(VLOOKUP($G943,Mapping!$E$208:$K$236,5,0),"Contracts")</f>
        <v>Contracts</v>
      </c>
      <c r="M943" s="7" t="str">
        <f>IFERROR(VLOOKUP($G943,Mapping!$E$208:$K$236,7,0),"ENDirect")</f>
        <v>ENDirect</v>
      </c>
      <c r="N943" s="7" t="str">
        <f>IFERROR(HLOOKUP(L943,'Calc|Weightings'!$U$5:$W$5,1,0),"Excl")</f>
        <v>Contracts</v>
      </c>
      <c r="O943" s="7" t="str">
        <f>VLOOKUP(E943,Mapping!$E$11:$I$204,5,0)</f>
        <v>SCS</v>
      </c>
      <c r="Q943" s="32" t="s">
        <v>241</v>
      </c>
      <c r="R943" s="32"/>
      <c r="S943" s="32">
        <v>89999</v>
      </c>
      <c r="T943" s="32" t="s">
        <v>471</v>
      </c>
      <c r="U943" s="33">
        <v>0</v>
      </c>
      <c r="V943" s="7"/>
      <c r="W943" s="7" t="str">
        <f>VLOOKUP($Q943,Mapping!$E$11:$I$204,3,0)</f>
        <v>Replacement</v>
      </c>
      <c r="X943" s="7" t="str">
        <f>IFERROR(VLOOKUP($S943,Mapping!$E$208:$K$236,5,0),"Contracts")</f>
        <v>Contracts</v>
      </c>
      <c r="Y943" s="7" t="str">
        <f>IFERROR(VLOOKUP($S943,Mapping!$E$208:$K$236,7,0),"ENDirect")</f>
        <v>ENDirect</v>
      </c>
      <c r="Z943" s="7" t="str">
        <f>IFERROR(HLOOKUP(X943,'Calc|Weightings'!$U$5:$W$5,1,0),"Excl")</f>
        <v>Contracts</v>
      </c>
      <c r="AA943" s="7" t="str">
        <f>VLOOKUP(Q943,Mapping!$E$11:$I$204,5,0)</f>
        <v>SCS</v>
      </c>
      <c r="AC943" s="35" t="s">
        <v>188</v>
      </c>
      <c r="AD943" s="35"/>
      <c r="AE943" s="35">
        <v>71020</v>
      </c>
      <c r="AF943" s="35" t="s">
        <v>459</v>
      </c>
      <c r="AG943" s="36">
        <v>0</v>
      </c>
      <c r="AI943" s="7" t="str">
        <f>VLOOKUP($AC943,Mapping!$E$11:$I$204,3,0)</f>
        <v>Replacement</v>
      </c>
      <c r="AJ943" s="7" t="str">
        <f>IFERROR(VLOOKUP($AE943,Mapping!$E$208:$K$236,5,0),"Contracts")</f>
        <v>Contracts</v>
      </c>
      <c r="AK943" s="7" t="str">
        <f>IFERROR(VLOOKUP($AE943,Mapping!$E$208:$K$236,7,0),"ENDirect")</f>
        <v>ENDirect</v>
      </c>
      <c r="AL943" s="7" t="str">
        <f>IFERROR(HLOOKUP(AJ943,'Calc|Weightings'!$U$5:$W$5,1,0),"Excl")</f>
        <v>Contracts</v>
      </c>
      <c r="AM943" s="7" t="str">
        <f>VLOOKUP(AC943,Mapping!$E$11:$I$204,5,0)</f>
        <v>SCS</v>
      </c>
      <c r="AO943" s="35" t="s">
        <v>239</v>
      </c>
      <c r="AP943" s="35"/>
      <c r="AQ943" s="35">
        <v>71070</v>
      </c>
      <c r="AR943" s="35" t="s">
        <v>586</v>
      </c>
      <c r="AS943" s="121">
        <v>3.7877299999999998</v>
      </c>
      <c r="AU943" s="7" t="str">
        <f>VLOOKUP($AO943,Mapping!$E$11:$I$204,3,0)</f>
        <v>Replacement</v>
      </c>
      <c r="AV943" s="7" t="str">
        <f>IFERROR(VLOOKUP($AQ943,Mapping!$E$208:$K$236,5,0),"Contracts")</f>
        <v>Contracts</v>
      </c>
      <c r="AW943" s="7" t="str">
        <f>IFERROR(VLOOKUP($AQ943,Mapping!$E$208:$K$236,7,0),"ENDirect")</f>
        <v>ENDirect</v>
      </c>
      <c r="AX943" s="7" t="str">
        <f>IFERROR(HLOOKUP(AV943,'Calc|Weightings'!$U$5:$W$5,1,0),"Excl")</f>
        <v>Contracts</v>
      </c>
      <c r="AY943" s="7" t="str">
        <f>VLOOKUP(AO943,Mapping!$E$11:$I$204,5,0)</f>
        <v>SCS</v>
      </c>
    </row>
    <row r="944" spans="1:51" x14ac:dyDescent="0.3">
      <c r="A944" s="7"/>
      <c r="B944" s="7"/>
      <c r="C944" s="7"/>
      <c r="D944" s="7"/>
      <c r="E944" s="32" t="s">
        <v>228</v>
      </c>
      <c r="F944" s="32"/>
      <c r="G944" s="32">
        <v>71020</v>
      </c>
      <c r="H944" s="32" t="s">
        <v>459</v>
      </c>
      <c r="I944" s="33">
        <v>-0.90800000000000003</v>
      </c>
      <c r="J944" s="170"/>
      <c r="K944" s="7" t="str">
        <f>VLOOKUP($E944,Mapping!$E$11:$I$204,3,0)</f>
        <v>Replacement</v>
      </c>
      <c r="L944" s="7" t="str">
        <f>IFERROR(VLOOKUP($G944,Mapping!$E$208:$K$236,5,0),"Contracts")</f>
        <v>Contracts</v>
      </c>
      <c r="M944" s="7" t="str">
        <f>IFERROR(VLOOKUP($G944,Mapping!$E$208:$K$236,7,0),"ENDirect")</f>
        <v>ENDirect</v>
      </c>
      <c r="N944" s="7" t="str">
        <f>IFERROR(HLOOKUP(L944,'Calc|Weightings'!$U$5:$W$5,1,0),"Excl")</f>
        <v>Contracts</v>
      </c>
      <c r="O944" s="7" t="str">
        <f>VLOOKUP(E944,Mapping!$E$11:$I$204,5,0)</f>
        <v>SCS</v>
      </c>
      <c r="Q944" s="32" t="s">
        <v>244</v>
      </c>
      <c r="R944" s="32"/>
      <c r="S944" s="32">
        <v>71006</v>
      </c>
      <c r="T944" s="32" t="s">
        <v>468</v>
      </c>
      <c r="U944" s="33">
        <v>-1.653</v>
      </c>
      <c r="V944" s="7"/>
      <c r="W944" s="7" t="str">
        <f>VLOOKUP($Q944,Mapping!$E$11:$I$204,3,0)</f>
        <v>Replacement</v>
      </c>
      <c r="X944" s="7" t="str">
        <f>IFERROR(VLOOKUP($S944,Mapping!$E$208:$K$236,5,0),"Contracts")</f>
        <v>Materials</v>
      </c>
      <c r="Y944" s="7" t="str">
        <f>IFERROR(VLOOKUP($S944,Mapping!$E$208:$K$236,7,0),"ENDirect")</f>
        <v>ENDirect</v>
      </c>
      <c r="Z944" s="7" t="str">
        <f>IFERROR(HLOOKUP(X944,'Calc|Weightings'!$U$5:$W$5,1,0),"Excl")</f>
        <v>Materials</v>
      </c>
      <c r="AA944" s="7" t="str">
        <f>VLOOKUP(Q944,Mapping!$E$11:$I$204,5,0)</f>
        <v>SCS</v>
      </c>
      <c r="AC944" s="35" t="s">
        <v>189</v>
      </c>
      <c r="AD944" s="35"/>
      <c r="AE944" s="35">
        <v>71020</v>
      </c>
      <c r="AF944" s="35" t="s">
        <v>459</v>
      </c>
      <c r="AG944" s="36">
        <v>0</v>
      </c>
      <c r="AI944" s="7" t="str">
        <f>VLOOKUP($AC944,Mapping!$E$11:$I$204,3,0)</f>
        <v>Replacement</v>
      </c>
      <c r="AJ944" s="7" t="str">
        <f>IFERROR(VLOOKUP($AE944,Mapping!$E$208:$K$236,5,0),"Contracts")</f>
        <v>Contracts</v>
      </c>
      <c r="AK944" s="7" t="str">
        <f>IFERROR(VLOOKUP($AE944,Mapping!$E$208:$K$236,7,0),"ENDirect")</f>
        <v>ENDirect</v>
      </c>
      <c r="AL944" s="7" t="str">
        <f>IFERROR(HLOOKUP(AJ944,'Calc|Weightings'!$U$5:$W$5,1,0),"Excl")</f>
        <v>Contracts</v>
      </c>
      <c r="AM944" s="7" t="str">
        <f>VLOOKUP(AC944,Mapping!$E$11:$I$204,5,0)</f>
        <v>SCS</v>
      </c>
      <c r="AO944" s="35" t="s">
        <v>239</v>
      </c>
      <c r="AP944" s="35"/>
      <c r="AQ944" s="35">
        <v>71075</v>
      </c>
      <c r="AR944" s="35" t="s">
        <v>587</v>
      </c>
      <c r="AS944" s="121">
        <v>2.5094499999999997</v>
      </c>
      <c r="AU944" s="7" t="str">
        <f>VLOOKUP($AO944,Mapping!$E$11:$I$204,3,0)</f>
        <v>Replacement</v>
      </c>
      <c r="AV944" s="7" t="str">
        <f>IFERROR(VLOOKUP($AQ944,Mapping!$E$208:$K$236,5,0),"Contracts")</f>
        <v>Contracts</v>
      </c>
      <c r="AW944" s="7" t="str">
        <f>IFERROR(VLOOKUP($AQ944,Mapping!$E$208:$K$236,7,0),"ENDirect")</f>
        <v>ENDirect</v>
      </c>
      <c r="AX944" s="7" t="str">
        <f>IFERROR(HLOOKUP(AV944,'Calc|Weightings'!$U$5:$W$5,1,0),"Excl")</f>
        <v>Contracts</v>
      </c>
      <c r="AY944" s="7" t="str">
        <f>VLOOKUP(AO944,Mapping!$E$11:$I$204,5,0)</f>
        <v>SCS</v>
      </c>
    </row>
    <row r="945" spans="1:51" x14ac:dyDescent="0.3">
      <c r="A945" s="7"/>
      <c r="B945" s="7"/>
      <c r="C945" s="7"/>
      <c r="D945" s="7"/>
      <c r="E945" s="32" t="s">
        <v>230</v>
      </c>
      <c r="F945" s="32"/>
      <c r="G945" s="32">
        <v>71020</v>
      </c>
      <c r="H945" s="32" t="s">
        <v>459</v>
      </c>
      <c r="I945" s="33">
        <v>56.985999999999997</v>
      </c>
      <c r="J945" s="170"/>
      <c r="K945" s="7" t="str">
        <f>VLOOKUP($E945,Mapping!$E$11:$I$204,3,0)</f>
        <v>Replacement</v>
      </c>
      <c r="L945" s="7" t="str">
        <f>IFERROR(VLOOKUP($G945,Mapping!$E$208:$K$236,5,0),"Contracts")</f>
        <v>Contracts</v>
      </c>
      <c r="M945" s="7" t="str">
        <f>IFERROR(VLOOKUP($G945,Mapping!$E$208:$K$236,7,0),"ENDirect")</f>
        <v>ENDirect</v>
      </c>
      <c r="N945" s="7" t="str">
        <f>IFERROR(HLOOKUP(L945,'Calc|Weightings'!$U$5:$W$5,1,0),"Excl")</f>
        <v>Contracts</v>
      </c>
      <c r="O945" s="7" t="str">
        <f>VLOOKUP(E945,Mapping!$E$11:$I$204,5,0)</f>
        <v>SCS</v>
      </c>
      <c r="Q945" s="32" t="s">
        <v>253</v>
      </c>
      <c r="R945" s="32"/>
      <c r="S945" s="32">
        <v>71005</v>
      </c>
      <c r="T945" s="32" t="s">
        <v>461</v>
      </c>
      <c r="U945" s="33">
        <v>0.54600000000000004</v>
      </c>
      <c r="V945" s="7"/>
      <c r="W945" s="7" t="str">
        <f>VLOOKUP($Q945,Mapping!$E$11:$I$204,3,0)</f>
        <v>ACS</v>
      </c>
      <c r="X945" s="7" t="str">
        <f>IFERROR(VLOOKUP($S945,Mapping!$E$208:$K$236,5,0),"Contracts")</f>
        <v>Materials</v>
      </c>
      <c r="Y945" s="7" t="str">
        <f>IFERROR(VLOOKUP($S945,Mapping!$E$208:$K$236,7,0),"ENDirect")</f>
        <v>ENDirect</v>
      </c>
      <c r="Z945" s="7" t="str">
        <f>IFERROR(HLOOKUP(X945,'Calc|Weightings'!$U$5:$W$5,1,0),"Excl")</f>
        <v>Materials</v>
      </c>
      <c r="AA945" s="7" t="str">
        <f>VLOOKUP(Q945,Mapping!$E$11:$I$204,5,0)</f>
        <v>ACS</v>
      </c>
      <c r="AC945" s="35" t="s">
        <v>191</v>
      </c>
      <c r="AD945" s="35"/>
      <c r="AE945" s="35">
        <v>71000</v>
      </c>
      <c r="AF945" s="35" t="s">
        <v>457</v>
      </c>
      <c r="AG945" s="36">
        <v>1.206</v>
      </c>
      <c r="AI945" s="7" t="str">
        <f>VLOOKUP($AC945,Mapping!$E$11:$I$204,3,0)</f>
        <v>Replacement</v>
      </c>
      <c r="AJ945" s="7" t="str">
        <f>IFERROR(VLOOKUP($AE945,Mapping!$E$208:$K$236,5,0),"Contracts")</f>
        <v>Labour</v>
      </c>
      <c r="AK945" s="7" t="str">
        <f>IFERROR(VLOOKUP($AE945,Mapping!$E$208:$K$236,7,0),"ENDirect")</f>
        <v>ENDirect</v>
      </c>
      <c r="AL945" s="7" t="str">
        <f>IFERROR(HLOOKUP(AJ945,'Calc|Weightings'!$U$5:$W$5,1,0),"Excl")</f>
        <v>Labour</v>
      </c>
      <c r="AM945" s="7" t="str">
        <f>VLOOKUP(AC945,Mapping!$E$11:$I$204,5,0)</f>
        <v>SCS</v>
      </c>
      <c r="AO945" s="35" t="s">
        <v>239</v>
      </c>
      <c r="AP945" s="35"/>
      <c r="AQ945" s="35">
        <v>80000</v>
      </c>
      <c r="AR945" s="35" t="s">
        <v>589</v>
      </c>
      <c r="AS945" s="121">
        <v>4.6076100000000002</v>
      </c>
      <c r="AU945" s="7" t="str">
        <f>VLOOKUP($AO945,Mapping!$E$11:$I$204,3,0)</f>
        <v>Replacement</v>
      </c>
      <c r="AV945" s="7" t="str">
        <f>IFERROR(VLOOKUP($AQ945,Mapping!$E$208:$K$236,5,0),"Contracts")</f>
        <v>Overhead</v>
      </c>
      <c r="AW945" s="7" t="str">
        <f>IFERROR(VLOOKUP($AQ945,Mapping!$E$208:$K$236,7,0),"ENDirect")</f>
        <v>OH</v>
      </c>
      <c r="AX945" s="7" t="str">
        <f>IFERROR(HLOOKUP(AV945,'Calc|Weightings'!$U$5:$W$5,1,0),"Excl")</f>
        <v>Excl</v>
      </c>
      <c r="AY945" s="7" t="str">
        <f>VLOOKUP(AO945,Mapping!$E$11:$I$204,5,0)</f>
        <v>SCS</v>
      </c>
    </row>
    <row r="946" spans="1:51" x14ac:dyDescent="0.3">
      <c r="A946" s="7"/>
      <c r="B946" s="7"/>
      <c r="C946" s="7"/>
      <c r="D946" s="7"/>
      <c r="E946" s="32" t="s">
        <v>231</v>
      </c>
      <c r="F946" s="32"/>
      <c r="G946" s="32">
        <v>71020</v>
      </c>
      <c r="H946" s="32" t="s">
        <v>459</v>
      </c>
      <c r="I946" s="33">
        <v>-2.1520000000000001</v>
      </c>
      <c r="J946" s="170"/>
      <c r="K946" s="7" t="str">
        <f>VLOOKUP($E946,Mapping!$E$11:$I$204,3,0)</f>
        <v>Replacement</v>
      </c>
      <c r="L946" s="7" t="str">
        <f>IFERROR(VLOOKUP($G946,Mapping!$E$208:$K$236,5,0),"Contracts")</f>
        <v>Contracts</v>
      </c>
      <c r="M946" s="7" t="str">
        <f>IFERROR(VLOOKUP($G946,Mapping!$E$208:$K$236,7,0),"ENDirect")</f>
        <v>ENDirect</v>
      </c>
      <c r="N946" s="7" t="str">
        <f>IFERROR(HLOOKUP(L946,'Calc|Weightings'!$U$5:$W$5,1,0),"Excl")</f>
        <v>Contracts</v>
      </c>
      <c r="O946" s="7" t="str">
        <f>VLOOKUP(E946,Mapping!$E$11:$I$204,5,0)</f>
        <v>SCS</v>
      </c>
      <c r="Q946" s="32" t="s">
        <v>253</v>
      </c>
      <c r="R946" s="32"/>
      <c r="S946" s="32">
        <v>71010</v>
      </c>
      <c r="T946" s="32" t="s">
        <v>462</v>
      </c>
      <c r="U946" s="33">
        <v>2E-3</v>
      </c>
      <c r="V946" s="7"/>
      <c r="W946" s="7" t="str">
        <f>VLOOKUP($Q946,Mapping!$E$11:$I$204,3,0)</f>
        <v>ACS</v>
      </c>
      <c r="X946" s="7" t="str">
        <f>IFERROR(VLOOKUP($S946,Mapping!$E$208:$K$236,5,0),"Contracts")</f>
        <v>Labour</v>
      </c>
      <c r="Y946" s="7" t="str">
        <f>IFERROR(VLOOKUP($S946,Mapping!$E$208:$K$236,7,0),"ENDirect")</f>
        <v>ENDirect</v>
      </c>
      <c r="Z946" s="7" t="str">
        <f>IFERROR(HLOOKUP(X946,'Calc|Weightings'!$U$5:$W$5,1,0),"Excl")</f>
        <v>Labour</v>
      </c>
      <c r="AA946" s="7" t="str">
        <f>VLOOKUP(Q946,Mapping!$E$11:$I$204,5,0)</f>
        <v>ACS</v>
      </c>
      <c r="AC946" s="35" t="s">
        <v>191</v>
      </c>
      <c r="AD946" s="35"/>
      <c r="AE946" s="35">
        <v>71005</v>
      </c>
      <c r="AF946" s="35" t="s">
        <v>461</v>
      </c>
      <c r="AG946" s="36">
        <v>0.93200000000000005</v>
      </c>
      <c r="AI946" s="7" t="str">
        <f>VLOOKUP($AC946,Mapping!$E$11:$I$204,3,0)</f>
        <v>Replacement</v>
      </c>
      <c r="AJ946" s="7" t="str">
        <f>IFERROR(VLOOKUP($AE946,Mapping!$E$208:$K$236,5,0),"Contracts")</f>
        <v>Materials</v>
      </c>
      <c r="AK946" s="7" t="str">
        <f>IFERROR(VLOOKUP($AE946,Mapping!$E$208:$K$236,7,0),"ENDirect")</f>
        <v>ENDirect</v>
      </c>
      <c r="AL946" s="7" t="str">
        <f>IFERROR(HLOOKUP(AJ946,'Calc|Weightings'!$U$5:$W$5,1,0),"Excl")</f>
        <v>Materials</v>
      </c>
      <c r="AM946" s="7" t="str">
        <f>VLOOKUP(AC946,Mapping!$E$11:$I$204,5,0)</f>
        <v>SCS</v>
      </c>
      <c r="AO946" s="35" t="s">
        <v>239</v>
      </c>
      <c r="AP946" s="35"/>
      <c r="AQ946" s="35">
        <v>83010</v>
      </c>
      <c r="AR946" s="35" t="s">
        <v>591</v>
      </c>
      <c r="AS946" s="121">
        <v>22.726379999999999</v>
      </c>
      <c r="AU946" s="7" t="str">
        <f>VLOOKUP($AO946,Mapping!$E$11:$I$204,3,0)</f>
        <v>Replacement</v>
      </c>
      <c r="AV946" s="7" t="str">
        <f>IFERROR(VLOOKUP($AQ946,Mapping!$E$208:$K$236,5,0),"Contracts")</f>
        <v>Contracts</v>
      </c>
      <c r="AW946" s="7" t="str">
        <f>IFERROR(VLOOKUP($AQ946,Mapping!$E$208:$K$236,7,0),"ENDirect")</f>
        <v>ENDirect</v>
      </c>
      <c r="AX946" s="7" t="str">
        <f>IFERROR(HLOOKUP(AV946,'Calc|Weightings'!$U$5:$W$5,1,0),"Excl")</f>
        <v>Contracts</v>
      </c>
      <c r="AY946" s="7" t="str">
        <f>VLOOKUP(AO946,Mapping!$E$11:$I$204,5,0)</f>
        <v>SCS</v>
      </c>
    </row>
    <row r="947" spans="1:51" x14ac:dyDescent="0.3">
      <c r="A947" s="7"/>
      <c r="B947" s="7"/>
      <c r="C947" s="7"/>
      <c r="D947" s="7"/>
      <c r="E947" s="32" t="s">
        <v>237</v>
      </c>
      <c r="F947" s="32"/>
      <c r="G947" s="32">
        <v>71020</v>
      </c>
      <c r="H947" s="32" t="s">
        <v>459</v>
      </c>
      <c r="I947" s="33">
        <v>-0.14699999999999999</v>
      </c>
      <c r="J947" s="170"/>
      <c r="K947" s="7" t="str">
        <f>VLOOKUP($E947,Mapping!$E$11:$I$204,3,0)</f>
        <v>Replacement</v>
      </c>
      <c r="L947" s="7" t="str">
        <f>IFERROR(VLOOKUP($G947,Mapping!$E$208:$K$236,5,0),"Contracts")</f>
        <v>Contracts</v>
      </c>
      <c r="M947" s="7" t="str">
        <f>IFERROR(VLOOKUP($G947,Mapping!$E$208:$K$236,7,0),"ENDirect")</f>
        <v>ENDirect</v>
      </c>
      <c r="N947" s="7" t="str">
        <f>IFERROR(HLOOKUP(L947,'Calc|Weightings'!$U$5:$W$5,1,0),"Excl")</f>
        <v>Contracts</v>
      </c>
      <c r="O947" s="7" t="str">
        <f>VLOOKUP(E947,Mapping!$E$11:$I$204,5,0)</f>
        <v>SCS</v>
      </c>
      <c r="Q947" s="32" t="s">
        <v>125</v>
      </c>
      <c r="R947" s="32"/>
      <c r="S947" s="32">
        <v>71006</v>
      </c>
      <c r="T947" s="32" t="s">
        <v>468</v>
      </c>
      <c r="U947" s="33">
        <v>207.566</v>
      </c>
      <c r="V947" s="7"/>
      <c r="W947" s="7" t="str">
        <f>VLOOKUP($Q947,Mapping!$E$11:$I$204,3,0)</f>
        <v>Augmentation</v>
      </c>
      <c r="X947" s="7" t="str">
        <f>IFERROR(VLOOKUP($S947,Mapping!$E$208:$K$236,5,0),"Contracts")</f>
        <v>Materials</v>
      </c>
      <c r="Y947" s="7" t="str">
        <f>IFERROR(VLOOKUP($S947,Mapping!$E$208:$K$236,7,0),"ENDirect")</f>
        <v>ENDirect</v>
      </c>
      <c r="Z947" s="7" t="str">
        <f>IFERROR(HLOOKUP(X947,'Calc|Weightings'!$U$5:$W$5,1,0),"Excl")</f>
        <v>Materials</v>
      </c>
      <c r="AA947" s="7" t="str">
        <f>VLOOKUP(Q947,Mapping!$E$11:$I$204,5,0)</f>
        <v>SCS</v>
      </c>
      <c r="AC947" s="35" t="s">
        <v>191</v>
      </c>
      <c r="AD947" s="35"/>
      <c r="AE947" s="35">
        <v>71010</v>
      </c>
      <c r="AF947" s="35" t="s">
        <v>462</v>
      </c>
      <c r="AG947" s="36">
        <v>22.027000000000001</v>
      </c>
      <c r="AI947" s="7" t="str">
        <f>VLOOKUP($AC947,Mapping!$E$11:$I$204,3,0)</f>
        <v>Replacement</v>
      </c>
      <c r="AJ947" s="7" t="str">
        <f>IFERROR(VLOOKUP($AE947,Mapping!$E$208:$K$236,5,0),"Contracts")</f>
        <v>Labour</v>
      </c>
      <c r="AK947" s="7" t="str">
        <f>IFERROR(VLOOKUP($AE947,Mapping!$E$208:$K$236,7,0),"ENDirect")</f>
        <v>ENDirect</v>
      </c>
      <c r="AL947" s="7" t="str">
        <f>IFERROR(HLOOKUP(AJ947,'Calc|Weightings'!$U$5:$W$5,1,0),"Excl")</f>
        <v>Labour</v>
      </c>
      <c r="AM947" s="7" t="str">
        <f>VLOOKUP(AC947,Mapping!$E$11:$I$204,5,0)</f>
        <v>SCS</v>
      </c>
      <c r="AO947" s="35" t="s">
        <v>240</v>
      </c>
      <c r="AP947" s="35"/>
      <c r="AQ947" s="35">
        <v>70815</v>
      </c>
      <c r="AR947" s="35" t="s">
        <v>594</v>
      </c>
      <c r="AS947" s="121">
        <v>-28.1</v>
      </c>
      <c r="AU947" s="7" t="str">
        <f>VLOOKUP($AO947,Mapping!$E$11:$I$204,3,0)</f>
        <v>Replacement</v>
      </c>
      <c r="AV947" s="7" t="str">
        <f>IFERROR(VLOOKUP($AQ947,Mapping!$E$208:$K$236,5,0),"Contracts")</f>
        <v>Materials</v>
      </c>
      <c r="AW947" s="7" t="str">
        <f>IFERROR(VLOOKUP($AQ947,Mapping!$E$208:$K$236,7,0),"ENDirect")</f>
        <v>ENDirect</v>
      </c>
      <c r="AX947" s="7" t="str">
        <f>IFERROR(HLOOKUP(AV947,'Calc|Weightings'!$U$5:$W$5,1,0),"Excl")</f>
        <v>Materials</v>
      </c>
      <c r="AY947" s="7" t="str">
        <f>VLOOKUP(AO947,Mapping!$E$11:$I$204,5,0)</f>
        <v>SCS</v>
      </c>
    </row>
    <row r="948" spans="1:51" x14ac:dyDescent="0.3">
      <c r="A948" s="7"/>
      <c r="B948" s="7"/>
      <c r="C948" s="7"/>
      <c r="D948" s="7"/>
      <c r="E948" s="32" t="s">
        <v>240</v>
      </c>
      <c r="F948" s="32"/>
      <c r="G948" s="32">
        <v>71020</v>
      </c>
      <c r="H948" s="32" t="s">
        <v>459</v>
      </c>
      <c r="I948" s="33">
        <v>-0.154</v>
      </c>
      <c r="J948" s="170"/>
      <c r="K948" s="7" t="str">
        <f>VLOOKUP($E948,Mapping!$E$11:$I$204,3,0)</f>
        <v>Replacement</v>
      </c>
      <c r="L948" s="7" t="str">
        <f>IFERROR(VLOOKUP($G948,Mapping!$E$208:$K$236,5,0),"Contracts")</f>
        <v>Contracts</v>
      </c>
      <c r="M948" s="7" t="str">
        <f>IFERROR(VLOOKUP($G948,Mapping!$E$208:$K$236,7,0),"ENDirect")</f>
        <v>ENDirect</v>
      </c>
      <c r="N948" s="7" t="str">
        <f>IFERROR(HLOOKUP(L948,'Calc|Weightings'!$U$5:$W$5,1,0),"Excl")</f>
        <v>Contracts</v>
      </c>
      <c r="O948" s="7" t="str">
        <f>VLOOKUP(E948,Mapping!$E$11:$I$204,5,0)</f>
        <v>SCS</v>
      </c>
      <c r="Q948" s="32" t="s">
        <v>210</v>
      </c>
      <c r="R948" s="32"/>
      <c r="S948" s="32">
        <v>71040</v>
      </c>
      <c r="T948" s="32" t="s">
        <v>460</v>
      </c>
      <c r="U948" s="33">
        <v>-40.344000000000001</v>
      </c>
      <c r="V948" s="7"/>
      <c r="W948" s="7" t="str">
        <f>VLOOKUP($Q948,Mapping!$E$11:$I$204,3,0)</f>
        <v>Replacement</v>
      </c>
      <c r="X948" s="7" t="str">
        <f>IFERROR(VLOOKUP($S948,Mapping!$E$208:$K$236,5,0),"Contracts")</f>
        <v>Contracts</v>
      </c>
      <c r="Y948" s="7" t="str">
        <f>IFERROR(VLOOKUP($S948,Mapping!$E$208:$K$236,7,0),"ENDirect")</f>
        <v>ENDirect</v>
      </c>
      <c r="Z948" s="7" t="str">
        <f>IFERROR(HLOOKUP(X948,'Calc|Weightings'!$U$5:$W$5,1,0),"Excl")</f>
        <v>Contracts</v>
      </c>
      <c r="AA948" s="7" t="str">
        <f>VLOOKUP(Q948,Mapping!$E$11:$I$204,5,0)</f>
        <v>SCS</v>
      </c>
      <c r="AC948" s="35" t="s">
        <v>191</v>
      </c>
      <c r="AD948" s="35"/>
      <c r="AE948" s="35">
        <v>71015</v>
      </c>
      <c r="AF948" s="35" t="s">
        <v>463</v>
      </c>
      <c r="AG948" s="36">
        <v>0.25600000000000001</v>
      </c>
      <c r="AI948" s="7" t="str">
        <f>VLOOKUP($AC948,Mapping!$E$11:$I$204,3,0)</f>
        <v>Replacement</v>
      </c>
      <c r="AJ948" s="7" t="str">
        <f>IFERROR(VLOOKUP($AE948,Mapping!$E$208:$K$236,5,0),"Contracts")</f>
        <v>Materials</v>
      </c>
      <c r="AK948" s="7" t="str">
        <f>IFERROR(VLOOKUP($AE948,Mapping!$E$208:$K$236,7,0),"ENDirect")</f>
        <v>ENDirect</v>
      </c>
      <c r="AL948" s="7" t="str">
        <f>IFERROR(HLOOKUP(AJ948,'Calc|Weightings'!$U$5:$W$5,1,0),"Excl")</f>
        <v>Materials</v>
      </c>
      <c r="AM948" s="7" t="str">
        <f>VLOOKUP(AC948,Mapping!$E$11:$I$204,5,0)</f>
        <v>SCS</v>
      </c>
      <c r="AO948" s="35" t="s">
        <v>240</v>
      </c>
      <c r="AP948" s="35"/>
      <c r="AQ948" s="35">
        <v>71000</v>
      </c>
      <c r="AR948" s="35" t="s">
        <v>457</v>
      </c>
      <c r="AS948" s="121">
        <v>14.424799999999999</v>
      </c>
      <c r="AU948" s="7" t="str">
        <f>VLOOKUP($AO948,Mapping!$E$11:$I$204,3,0)</f>
        <v>Replacement</v>
      </c>
      <c r="AV948" s="7" t="str">
        <f>IFERROR(VLOOKUP($AQ948,Mapping!$E$208:$K$236,5,0),"Contracts")</f>
        <v>Labour</v>
      </c>
      <c r="AW948" s="7" t="str">
        <f>IFERROR(VLOOKUP($AQ948,Mapping!$E$208:$K$236,7,0),"ENDirect")</f>
        <v>ENDirect</v>
      </c>
      <c r="AX948" s="7" t="str">
        <f>IFERROR(HLOOKUP(AV948,'Calc|Weightings'!$U$5:$W$5,1,0),"Excl")</f>
        <v>Labour</v>
      </c>
      <c r="AY948" s="7" t="str">
        <f>VLOOKUP(AO948,Mapping!$E$11:$I$204,5,0)</f>
        <v>SCS</v>
      </c>
    </row>
    <row r="949" spans="1:51" x14ac:dyDescent="0.3">
      <c r="A949" s="7"/>
      <c r="B949" s="7"/>
      <c r="C949" s="7"/>
      <c r="D949" s="7"/>
      <c r="E949" s="32" t="s">
        <v>107</v>
      </c>
      <c r="F949" s="32"/>
      <c r="G949" s="32">
        <v>71005</v>
      </c>
      <c r="H949" s="32" t="s">
        <v>461</v>
      </c>
      <c r="I949" s="33">
        <v>26.558</v>
      </c>
      <c r="J949" s="170"/>
      <c r="K949" s="7" t="str">
        <f>VLOOKUP($E949,Mapping!$E$11:$I$204,3,0)</f>
        <v>Public Lighting</v>
      </c>
      <c r="L949" s="7" t="str">
        <f>IFERROR(VLOOKUP($G949,Mapping!$E$208:$K$236,5,0),"Contracts")</f>
        <v>Materials</v>
      </c>
      <c r="M949" s="7" t="str">
        <f>IFERROR(VLOOKUP($G949,Mapping!$E$208:$K$236,7,0),"ENDirect")</f>
        <v>ENDirect</v>
      </c>
      <c r="N949" s="7" t="str">
        <f>IFERROR(HLOOKUP(L949,'Calc|Weightings'!$U$5:$W$5,1,0),"Excl")</f>
        <v>Materials</v>
      </c>
      <c r="O949" s="7" t="str">
        <f>VLOOKUP(E949,Mapping!$E$11:$I$204,5,0)</f>
        <v>Public Lighting</v>
      </c>
      <c r="Q949" s="32" t="s">
        <v>103</v>
      </c>
      <c r="R949" s="32"/>
      <c r="S949" s="32">
        <v>71015</v>
      </c>
      <c r="T949" s="32" t="s">
        <v>463</v>
      </c>
      <c r="U949" s="33">
        <v>0.89400000000000002</v>
      </c>
      <c r="V949" s="7"/>
      <c r="W949" s="7" t="str">
        <f>VLOOKUP($Q949,Mapping!$E$11:$I$204,3,0)</f>
        <v>Public Lighting</v>
      </c>
      <c r="X949" s="7" t="str">
        <f>IFERROR(VLOOKUP($S949,Mapping!$E$208:$K$236,5,0),"Contracts")</f>
        <v>Materials</v>
      </c>
      <c r="Y949" s="7" t="str">
        <f>IFERROR(VLOOKUP($S949,Mapping!$E$208:$K$236,7,0),"ENDirect")</f>
        <v>ENDirect</v>
      </c>
      <c r="Z949" s="7" t="str">
        <f>IFERROR(HLOOKUP(X949,'Calc|Weightings'!$U$5:$W$5,1,0),"Excl")</f>
        <v>Materials</v>
      </c>
      <c r="AA949" s="7" t="str">
        <f>VLOOKUP(Q949,Mapping!$E$11:$I$204,5,0)</f>
        <v>Public Lighting</v>
      </c>
      <c r="AC949" s="35" t="s">
        <v>191</v>
      </c>
      <c r="AD949" s="35"/>
      <c r="AE949" s="35">
        <v>71030</v>
      </c>
      <c r="AF949" s="35" t="s">
        <v>464</v>
      </c>
      <c r="AG949" s="36">
        <v>1.954</v>
      </c>
      <c r="AI949" s="7" t="str">
        <f>VLOOKUP($AC949,Mapping!$E$11:$I$204,3,0)</f>
        <v>Replacement</v>
      </c>
      <c r="AJ949" s="7" t="str">
        <f>IFERROR(VLOOKUP($AE949,Mapping!$E$208:$K$236,5,0),"Contracts")</f>
        <v>Contracts</v>
      </c>
      <c r="AK949" s="7" t="str">
        <f>IFERROR(VLOOKUP($AE949,Mapping!$E$208:$K$236,7,0),"ENDirect")</f>
        <v>ENDirect</v>
      </c>
      <c r="AL949" s="7" t="str">
        <f>IFERROR(HLOOKUP(AJ949,'Calc|Weightings'!$U$5:$W$5,1,0),"Excl")</f>
        <v>Contracts</v>
      </c>
      <c r="AM949" s="7" t="str">
        <f>VLOOKUP(AC949,Mapping!$E$11:$I$204,5,0)</f>
        <v>SCS</v>
      </c>
      <c r="AO949" s="35" t="s">
        <v>240</v>
      </c>
      <c r="AP949" s="35"/>
      <c r="AQ949" s="35">
        <v>71005</v>
      </c>
      <c r="AR949" s="35" t="s">
        <v>461</v>
      </c>
      <c r="AS949" s="121">
        <v>6.2815899999999996</v>
      </c>
      <c r="AU949" s="7" t="str">
        <f>VLOOKUP($AO949,Mapping!$E$11:$I$204,3,0)</f>
        <v>Replacement</v>
      </c>
      <c r="AV949" s="7" t="str">
        <f>IFERROR(VLOOKUP($AQ949,Mapping!$E$208:$K$236,5,0),"Contracts")</f>
        <v>Materials</v>
      </c>
      <c r="AW949" s="7" t="str">
        <f>IFERROR(VLOOKUP($AQ949,Mapping!$E$208:$K$236,7,0),"ENDirect")</f>
        <v>ENDirect</v>
      </c>
      <c r="AX949" s="7" t="str">
        <f>IFERROR(HLOOKUP(AV949,'Calc|Weightings'!$U$5:$W$5,1,0),"Excl")</f>
        <v>Materials</v>
      </c>
      <c r="AY949" s="7" t="str">
        <f>VLOOKUP(AO949,Mapping!$E$11:$I$204,5,0)</f>
        <v>SCS</v>
      </c>
    </row>
    <row r="950" spans="1:51" x14ac:dyDescent="0.3">
      <c r="A950" s="7"/>
      <c r="B950" s="7"/>
      <c r="C950" s="7"/>
      <c r="D950" s="7"/>
      <c r="E950" s="32" t="s">
        <v>107</v>
      </c>
      <c r="F950" s="32"/>
      <c r="G950" s="32">
        <v>71010</v>
      </c>
      <c r="H950" s="32" t="s">
        <v>462</v>
      </c>
      <c r="I950" s="33">
        <v>42.24</v>
      </c>
      <c r="J950" s="170"/>
      <c r="K950" s="7" t="str">
        <f>VLOOKUP($E950,Mapping!$E$11:$I$204,3,0)</f>
        <v>Public Lighting</v>
      </c>
      <c r="L950" s="7" t="str">
        <f>IFERROR(VLOOKUP($G950,Mapping!$E$208:$K$236,5,0),"Contracts")</f>
        <v>Labour</v>
      </c>
      <c r="M950" s="7" t="str">
        <f>IFERROR(VLOOKUP($G950,Mapping!$E$208:$K$236,7,0),"ENDirect")</f>
        <v>ENDirect</v>
      </c>
      <c r="N950" s="7" t="str">
        <f>IFERROR(HLOOKUP(L950,'Calc|Weightings'!$U$5:$W$5,1,0),"Excl")</f>
        <v>Labour</v>
      </c>
      <c r="O950" s="7" t="str">
        <f>VLOOKUP(E950,Mapping!$E$11:$I$204,5,0)</f>
        <v>Public Lighting</v>
      </c>
      <c r="Q950" s="32" t="s">
        <v>122</v>
      </c>
      <c r="R950" s="32"/>
      <c r="S950" s="32">
        <v>71006</v>
      </c>
      <c r="T950" s="32" t="s">
        <v>468</v>
      </c>
      <c r="U950" s="33">
        <v>0</v>
      </c>
      <c r="V950" s="7"/>
      <c r="W950" s="7" t="str">
        <f>VLOOKUP($Q950,Mapping!$E$11:$I$204,3,0)</f>
        <v>Augmentation</v>
      </c>
      <c r="X950" s="7" t="str">
        <f>IFERROR(VLOOKUP($S950,Mapping!$E$208:$K$236,5,0),"Contracts")</f>
        <v>Materials</v>
      </c>
      <c r="Y950" s="7" t="str">
        <f>IFERROR(VLOOKUP($S950,Mapping!$E$208:$K$236,7,0),"ENDirect")</f>
        <v>ENDirect</v>
      </c>
      <c r="Z950" s="7" t="str">
        <f>IFERROR(HLOOKUP(X950,'Calc|Weightings'!$U$5:$W$5,1,0),"Excl")</f>
        <v>Materials</v>
      </c>
      <c r="AA950" s="7" t="str">
        <f>VLOOKUP(Q950,Mapping!$E$11:$I$204,5,0)</f>
        <v>SCS</v>
      </c>
      <c r="AC950" s="35" t="s">
        <v>191</v>
      </c>
      <c r="AD950" s="35"/>
      <c r="AE950" s="35">
        <v>71055</v>
      </c>
      <c r="AF950" s="35" t="s">
        <v>465</v>
      </c>
      <c r="AG950" s="36">
        <v>3.492</v>
      </c>
      <c r="AI950" s="7" t="str">
        <f>VLOOKUP($AC950,Mapping!$E$11:$I$204,3,0)</f>
        <v>Replacement</v>
      </c>
      <c r="AJ950" s="7" t="str">
        <f>IFERROR(VLOOKUP($AE950,Mapping!$E$208:$K$236,5,0),"Contracts")</f>
        <v>Contracts</v>
      </c>
      <c r="AK950" s="7" t="str">
        <f>IFERROR(VLOOKUP($AE950,Mapping!$E$208:$K$236,7,0),"ENDirect")</f>
        <v>ENDirect</v>
      </c>
      <c r="AL950" s="7" t="str">
        <f>IFERROR(HLOOKUP(AJ950,'Calc|Weightings'!$U$5:$W$5,1,0),"Excl")</f>
        <v>Contracts</v>
      </c>
      <c r="AM950" s="7" t="str">
        <f>VLOOKUP(AC950,Mapping!$E$11:$I$204,5,0)</f>
        <v>SCS</v>
      </c>
      <c r="AO950" s="35" t="s">
        <v>240</v>
      </c>
      <c r="AP950" s="35"/>
      <c r="AQ950" s="35">
        <v>71010</v>
      </c>
      <c r="AR950" s="35" t="s">
        <v>487</v>
      </c>
      <c r="AS950" s="121">
        <v>5.5955700000000004</v>
      </c>
      <c r="AU950" s="7" t="str">
        <f>VLOOKUP($AO950,Mapping!$E$11:$I$204,3,0)</f>
        <v>Replacement</v>
      </c>
      <c r="AV950" s="7" t="str">
        <f>IFERROR(VLOOKUP($AQ950,Mapping!$E$208:$K$236,5,0),"Contracts")</f>
        <v>Labour</v>
      </c>
      <c r="AW950" s="7" t="str">
        <f>IFERROR(VLOOKUP($AQ950,Mapping!$E$208:$K$236,7,0),"ENDirect")</f>
        <v>ENDirect</v>
      </c>
      <c r="AX950" s="7" t="str">
        <f>IFERROR(HLOOKUP(AV950,'Calc|Weightings'!$U$5:$W$5,1,0),"Excl")</f>
        <v>Labour</v>
      </c>
      <c r="AY950" s="7" t="str">
        <f>VLOOKUP(AO950,Mapping!$E$11:$I$204,5,0)</f>
        <v>SCS</v>
      </c>
    </row>
    <row r="951" spans="1:51" x14ac:dyDescent="0.3">
      <c r="A951" s="7"/>
      <c r="B951" s="7"/>
      <c r="C951" s="7"/>
      <c r="D951" s="7"/>
      <c r="E951" s="32" t="s">
        <v>107</v>
      </c>
      <c r="F951" s="32"/>
      <c r="G951" s="32">
        <v>71030</v>
      </c>
      <c r="H951" s="32" t="s">
        <v>464</v>
      </c>
      <c r="I951" s="33">
        <v>6.6660000000000004</v>
      </c>
      <c r="J951" s="170"/>
      <c r="K951" s="7" t="str">
        <f>VLOOKUP($E951,Mapping!$E$11:$I$204,3,0)</f>
        <v>Public Lighting</v>
      </c>
      <c r="L951" s="7" t="str">
        <f>IFERROR(VLOOKUP($G951,Mapping!$E$208:$K$236,5,0),"Contracts")</f>
        <v>Contracts</v>
      </c>
      <c r="M951" s="7" t="str">
        <f>IFERROR(VLOOKUP($G951,Mapping!$E$208:$K$236,7,0),"ENDirect")</f>
        <v>ENDirect</v>
      </c>
      <c r="N951" s="7" t="str">
        <f>IFERROR(HLOOKUP(L951,'Calc|Weightings'!$U$5:$W$5,1,0),"Excl")</f>
        <v>Contracts</v>
      </c>
      <c r="O951" s="7" t="str">
        <f>VLOOKUP(E951,Mapping!$E$11:$I$204,5,0)</f>
        <v>Public Lighting</v>
      </c>
      <c r="Q951" s="32" t="s">
        <v>225</v>
      </c>
      <c r="R951" s="32"/>
      <c r="S951" s="32">
        <v>71000</v>
      </c>
      <c r="T951" s="32" t="s">
        <v>457</v>
      </c>
      <c r="U951" s="33">
        <v>843.99400000000003</v>
      </c>
      <c r="V951" s="7"/>
      <c r="W951" s="7" t="str">
        <f>VLOOKUP($Q951,Mapping!$E$11:$I$204,3,0)</f>
        <v>Replacement</v>
      </c>
      <c r="X951" s="7" t="str">
        <f>IFERROR(VLOOKUP($S951,Mapping!$E$208:$K$236,5,0),"Contracts")</f>
        <v>Labour</v>
      </c>
      <c r="Y951" s="7" t="str">
        <f>IFERROR(VLOOKUP($S951,Mapping!$E$208:$K$236,7,0),"ENDirect")</f>
        <v>ENDirect</v>
      </c>
      <c r="Z951" s="7" t="str">
        <f>IFERROR(HLOOKUP(X951,'Calc|Weightings'!$U$5:$W$5,1,0),"Excl")</f>
        <v>Labour</v>
      </c>
      <c r="AA951" s="7" t="str">
        <f>VLOOKUP(Q951,Mapping!$E$11:$I$204,5,0)</f>
        <v>SCS</v>
      </c>
      <c r="AC951" s="35" t="s">
        <v>191</v>
      </c>
      <c r="AD951" s="35"/>
      <c r="AE951" s="35">
        <v>80000</v>
      </c>
      <c r="AF951" s="35" t="s">
        <v>453</v>
      </c>
      <c r="AG951" s="36">
        <v>6.7190000000000003</v>
      </c>
      <c r="AI951" s="7" t="str">
        <f>VLOOKUP($AC951,Mapping!$E$11:$I$204,3,0)</f>
        <v>Replacement</v>
      </c>
      <c r="AJ951" s="7" t="str">
        <f>IFERROR(VLOOKUP($AE951,Mapping!$E$208:$K$236,5,0),"Contracts")</f>
        <v>Overhead</v>
      </c>
      <c r="AK951" s="7" t="str">
        <f>IFERROR(VLOOKUP($AE951,Mapping!$E$208:$K$236,7,0),"ENDirect")</f>
        <v>OH</v>
      </c>
      <c r="AL951" s="7" t="str">
        <f>IFERROR(HLOOKUP(AJ951,'Calc|Weightings'!$U$5:$W$5,1,0),"Excl")</f>
        <v>Excl</v>
      </c>
      <c r="AM951" s="7" t="str">
        <f>VLOOKUP(AC951,Mapping!$E$11:$I$204,5,0)</f>
        <v>SCS</v>
      </c>
      <c r="AO951" s="35" t="s">
        <v>240</v>
      </c>
      <c r="AP951" s="35"/>
      <c r="AQ951" s="35">
        <v>71015</v>
      </c>
      <c r="AR951" s="35" t="s">
        <v>585</v>
      </c>
      <c r="AS951" s="121">
        <v>4.4567100000000002</v>
      </c>
      <c r="AU951" s="7" t="str">
        <f>VLOOKUP($AO951,Mapping!$E$11:$I$204,3,0)</f>
        <v>Replacement</v>
      </c>
      <c r="AV951" s="7" t="str">
        <f>IFERROR(VLOOKUP($AQ951,Mapping!$E$208:$K$236,5,0),"Contracts")</f>
        <v>Materials</v>
      </c>
      <c r="AW951" s="7" t="str">
        <f>IFERROR(VLOOKUP($AQ951,Mapping!$E$208:$K$236,7,0),"ENDirect")</f>
        <v>ENDirect</v>
      </c>
      <c r="AX951" s="7" t="str">
        <f>IFERROR(HLOOKUP(AV951,'Calc|Weightings'!$U$5:$W$5,1,0),"Excl")</f>
        <v>Materials</v>
      </c>
      <c r="AY951" s="7" t="str">
        <f>VLOOKUP(AO951,Mapping!$E$11:$I$204,5,0)</f>
        <v>SCS</v>
      </c>
    </row>
    <row r="952" spans="1:51" x14ac:dyDescent="0.3">
      <c r="A952" s="7"/>
      <c r="B952" s="7"/>
      <c r="C952" s="7"/>
      <c r="D952" s="7"/>
      <c r="E952" s="32" t="s">
        <v>107</v>
      </c>
      <c r="F952" s="32"/>
      <c r="G952" s="32">
        <v>71055</v>
      </c>
      <c r="H952" s="32" t="s">
        <v>465</v>
      </c>
      <c r="I952" s="33">
        <v>20.309999999999999</v>
      </c>
      <c r="J952" s="170"/>
      <c r="K952" s="7" t="str">
        <f>VLOOKUP($E952,Mapping!$E$11:$I$204,3,0)</f>
        <v>Public Lighting</v>
      </c>
      <c r="L952" s="7" t="str">
        <f>IFERROR(VLOOKUP($G952,Mapping!$E$208:$K$236,5,0),"Contracts")</f>
        <v>Contracts</v>
      </c>
      <c r="M952" s="7" t="str">
        <f>IFERROR(VLOOKUP($G952,Mapping!$E$208:$K$236,7,0),"ENDirect")</f>
        <v>ENDirect</v>
      </c>
      <c r="N952" s="7" t="str">
        <f>IFERROR(HLOOKUP(L952,'Calc|Weightings'!$U$5:$W$5,1,0),"Excl")</f>
        <v>Contracts</v>
      </c>
      <c r="O952" s="7" t="str">
        <f>VLOOKUP(E952,Mapping!$E$11:$I$204,5,0)</f>
        <v>Public Lighting</v>
      </c>
      <c r="Q952" s="32" t="s">
        <v>225</v>
      </c>
      <c r="R952" s="32"/>
      <c r="S952" s="32">
        <v>71005</v>
      </c>
      <c r="T952" s="32" t="s">
        <v>461</v>
      </c>
      <c r="U952" s="33">
        <v>357.96800000000002</v>
      </c>
      <c r="V952" s="7"/>
      <c r="W952" s="7" t="str">
        <f>VLOOKUP($Q952,Mapping!$E$11:$I$204,3,0)</f>
        <v>Replacement</v>
      </c>
      <c r="X952" s="7" t="str">
        <f>IFERROR(VLOOKUP($S952,Mapping!$E$208:$K$236,5,0),"Contracts")</f>
        <v>Materials</v>
      </c>
      <c r="Y952" s="7" t="str">
        <f>IFERROR(VLOOKUP($S952,Mapping!$E$208:$K$236,7,0),"ENDirect")</f>
        <v>ENDirect</v>
      </c>
      <c r="Z952" s="7" t="str">
        <f>IFERROR(HLOOKUP(X952,'Calc|Weightings'!$U$5:$W$5,1,0),"Excl")</f>
        <v>Materials</v>
      </c>
      <c r="AA952" s="7" t="str">
        <f>VLOOKUP(Q952,Mapping!$E$11:$I$204,5,0)</f>
        <v>SCS</v>
      </c>
      <c r="AC952" s="35" t="s">
        <v>191</v>
      </c>
      <c r="AD952" s="35"/>
      <c r="AE952" s="35">
        <v>89999</v>
      </c>
      <c r="AF952" s="35" t="s">
        <v>471</v>
      </c>
      <c r="AG952" s="36">
        <v>0</v>
      </c>
      <c r="AI952" s="7" t="str">
        <f>VLOOKUP($AC952,Mapping!$E$11:$I$204,3,0)</f>
        <v>Replacement</v>
      </c>
      <c r="AJ952" s="7" t="str">
        <f>IFERROR(VLOOKUP($AE952,Mapping!$E$208:$K$236,5,0),"Contracts")</f>
        <v>Contracts</v>
      </c>
      <c r="AK952" s="7" t="str">
        <f>IFERROR(VLOOKUP($AE952,Mapping!$E$208:$K$236,7,0),"ENDirect")</f>
        <v>ENDirect</v>
      </c>
      <c r="AL952" s="7" t="str">
        <f>IFERROR(HLOOKUP(AJ952,'Calc|Weightings'!$U$5:$W$5,1,0),"Excl")</f>
        <v>Contracts</v>
      </c>
      <c r="AM952" s="7" t="str">
        <f>VLOOKUP(AC952,Mapping!$E$11:$I$204,5,0)</f>
        <v>SCS</v>
      </c>
      <c r="AO952" s="35" t="s">
        <v>240</v>
      </c>
      <c r="AP952" s="35"/>
      <c r="AQ952" s="35">
        <v>71030</v>
      </c>
      <c r="AR952" s="35" t="s">
        <v>464</v>
      </c>
      <c r="AS952" s="121">
        <v>2.4165000000000001</v>
      </c>
      <c r="AU952" s="7" t="str">
        <f>VLOOKUP($AO952,Mapping!$E$11:$I$204,3,0)</f>
        <v>Replacement</v>
      </c>
      <c r="AV952" s="7" t="str">
        <f>IFERROR(VLOOKUP($AQ952,Mapping!$E$208:$K$236,5,0),"Contracts")</f>
        <v>Contracts</v>
      </c>
      <c r="AW952" s="7" t="str">
        <f>IFERROR(VLOOKUP($AQ952,Mapping!$E$208:$K$236,7,0),"ENDirect")</f>
        <v>ENDirect</v>
      </c>
      <c r="AX952" s="7" t="str">
        <f>IFERROR(HLOOKUP(AV952,'Calc|Weightings'!$U$5:$W$5,1,0),"Excl")</f>
        <v>Contracts</v>
      </c>
      <c r="AY952" s="7" t="str">
        <f>VLOOKUP(AO952,Mapping!$E$11:$I$204,5,0)</f>
        <v>SCS</v>
      </c>
    </row>
    <row r="953" spans="1:51" x14ac:dyDescent="0.3">
      <c r="A953" s="7"/>
      <c r="B953" s="7"/>
      <c r="C953" s="7"/>
      <c r="D953" s="7"/>
      <c r="E953" s="32" t="s">
        <v>107</v>
      </c>
      <c r="F953" s="32"/>
      <c r="G953" s="32">
        <v>80000</v>
      </c>
      <c r="H953" s="32" t="s">
        <v>453</v>
      </c>
      <c r="I953" s="33">
        <v>10.494999999999999</v>
      </c>
      <c r="J953" s="170"/>
      <c r="K953" s="7" t="str">
        <f>VLOOKUP($E953,Mapping!$E$11:$I$204,3,0)</f>
        <v>Public Lighting</v>
      </c>
      <c r="L953" s="7" t="str">
        <f>IFERROR(VLOOKUP($G953,Mapping!$E$208:$K$236,5,0),"Contracts")</f>
        <v>Overhead</v>
      </c>
      <c r="M953" s="7" t="str">
        <f>IFERROR(VLOOKUP($G953,Mapping!$E$208:$K$236,7,0),"ENDirect")</f>
        <v>OH</v>
      </c>
      <c r="N953" s="7" t="str">
        <f>IFERROR(HLOOKUP(L953,'Calc|Weightings'!$U$5:$W$5,1,0),"Excl")</f>
        <v>Excl</v>
      </c>
      <c r="O953" s="7" t="str">
        <f>VLOOKUP(E953,Mapping!$E$11:$I$204,5,0)</f>
        <v>Public Lighting</v>
      </c>
      <c r="Q953" s="32" t="s">
        <v>225</v>
      </c>
      <c r="R953" s="32"/>
      <c r="S953" s="32">
        <v>71010</v>
      </c>
      <c r="T953" s="32" t="s">
        <v>462</v>
      </c>
      <c r="U953" s="33">
        <v>1327.1</v>
      </c>
      <c r="V953" s="7"/>
      <c r="W953" s="7" t="str">
        <f>VLOOKUP($Q953,Mapping!$E$11:$I$204,3,0)</f>
        <v>Replacement</v>
      </c>
      <c r="X953" s="7" t="str">
        <f>IFERROR(VLOOKUP($S953,Mapping!$E$208:$K$236,5,0),"Contracts")</f>
        <v>Labour</v>
      </c>
      <c r="Y953" s="7" t="str">
        <f>IFERROR(VLOOKUP($S953,Mapping!$E$208:$K$236,7,0),"ENDirect")</f>
        <v>ENDirect</v>
      </c>
      <c r="Z953" s="7" t="str">
        <f>IFERROR(HLOOKUP(X953,'Calc|Weightings'!$U$5:$W$5,1,0),"Excl")</f>
        <v>Labour</v>
      </c>
      <c r="AA953" s="7" t="str">
        <f>VLOOKUP(Q953,Mapping!$E$11:$I$204,5,0)</f>
        <v>SCS</v>
      </c>
      <c r="AC953" s="35" t="s">
        <v>206</v>
      </c>
      <c r="AD953" s="35"/>
      <c r="AE953" s="35">
        <v>71005</v>
      </c>
      <c r="AF953" s="35" t="s">
        <v>461</v>
      </c>
      <c r="AG953" s="36">
        <v>0.218</v>
      </c>
      <c r="AI953" s="7" t="str">
        <f>VLOOKUP($AC953,Mapping!$E$11:$I$204,3,0)</f>
        <v>Replacement</v>
      </c>
      <c r="AJ953" s="7" t="str">
        <f>IFERROR(VLOOKUP($AE953,Mapping!$E$208:$K$236,5,0),"Contracts")</f>
        <v>Materials</v>
      </c>
      <c r="AK953" s="7" t="str">
        <f>IFERROR(VLOOKUP($AE953,Mapping!$E$208:$K$236,7,0),"ENDirect")</f>
        <v>ENDirect</v>
      </c>
      <c r="AL953" s="7" t="str">
        <f>IFERROR(HLOOKUP(AJ953,'Calc|Weightings'!$U$5:$W$5,1,0),"Excl")</f>
        <v>Materials</v>
      </c>
      <c r="AM953" s="7" t="str">
        <f>VLOOKUP(AC953,Mapping!$E$11:$I$204,5,0)</f>
        <v>SCS</v>
      </c>
      <c r="AO953" s="35" t="s">
        <v>240</v>
      </c>
      <c r="AP953" s="35"/>
      <c r="AQ953" s="35">
        <v>71055</v>
      </c>
      <c r="AR953" s="35" t="s">
        <v>465</v>
      </c>
      <c r="AS953" s="121">
        <v>3.7635900000000002</v>
      </c>
      <c r="AU953" s="7" t="str">
        <f>VLOOKUP($AO953,Mapping!$E$11:$I$204,3,0)</f>
        <v>Replacement</v>
      </c>
      <c r="AV953" s="7" t="str">
        <f>IFERROR(VLOOKUP($AQ953,Mapping!$E$208:$K$236,5,0),"Contracts")</f>
        <v>Contracts</v>
      </c>
      <c r="AW953" s="7" t="str">
        <f>IFERROR(VLOOKUP($AQ953,Mapping!$E$208:$K$236,7,0),"ENDirect")</f>
        <v>ENDirect</v>
      </c>
      <c r="AX953" s="7" t="str">
        <f>IFERROR(HLOOKUP(AV953,'Calc|Weightings'!$U$5:$W$5,1,0),"Excl")</f>
        <v>Contracts</v>
      </c>
      <c r="AY953" s="7" t="str">
        <f>VLOOKUP(AO953,Mapping!$E$11:$I$204,5,0)</f>
        <v>SCS</v>
      </c>
    </row>
    <row r="954" spans="1:51" x14ac:dyDescent="0.3">
      <c r="A954" s="7"/>
      <c r="B954" s="7"/>
      <c r="C954" s="7"/>
      <c r="D954" s="7"/>
      <c r="E954" s="32" t="s">
        <v>183</v>
      </c>
      <c r="F954" s="32"/>
      <c r="G954" s="32">
        <v>71010</v>
      </c>
      <c r="H954" s="32" t="s">
        <v>462</v>
      </c>
      <c r="I954" s="33">
        <v>20.038</v>
      </c>
      <c r="J954" s="170"/>
      <c r="K954" s="7" t="str">
        <f>VLOOKUP($E954,Mapping!$E$11:$I$204,3,0)</f>
        <v>Public Lighting</v>
      </c>
      <c r="L954" s="7" t="str">
        <f>IFERROR(VLOOKUP($G954,Mapping!$E$208:$K$236,5,0),"Contracts")</f>
        <v>Labour</v>
      </c>
      <c r="M954" s="7" t="str">
        <f>IFERROR(VLOOKUP($G954,Mapping!$E$208:$K$236,7,0),"ENDirect")</f>
        <v>ENDirect</v>
      </c>
      <c r="N954" s="7" t="str">
        <f>IFERROR(HLOOKUP(L954,'Calc|Weightings'!$U$5:$W$5,1,0),"Excl")</f>
        <v>Labour</v>
      </c>
      <c r="O954" s="7" t="str">
        <f>VLOOKUP(E954,Mapping!$E$11:$I$204,5,0)</f>
        <v>Public Lighting</v>
      </c>
      <c r="Q954" s="32" t="s">
        <v>225</v>
      </c>
      <c r="R954" s="32"/>
      <c r="S954" s="32">
        <v>71015</v>
      </c>
      <c r="T954" s="32" t="s">
        <v>463</v>
      </c>
      <c r="U954" s="33">
        <v>145.44999999999999</v>
      </c>
      <c r="V954" s="7"/>
      <c r="W954" s="7" t="str">
        <f>VLOOKUP($Q954,Mapping!$E$11:$I$204,3,0)</f>
        <v>Replacement</v>
      </c>
      <c r="X954" s="7" t="str">
        <f>IFERROR(VLOOKUP($S954,Mapping!$E$208:$K$236,5,0),"Contracts")</f>
        <v>Materials</v>
      </c>
      <c r="Y954" s="7" t="str">
        <f>IFERROR(VLOOKUP($S954,Mapping!$E$208:$K$236,7,0),"ENDirect")</f>
        <v>ENDirect</v>
      </c>
      <c r="Z954" s="7" t="str">
        <f>IFERROR(HLOOKUP(X954,'Calc|Weightings'!$U$5:$W$5,1,0),"Excl")</f>
        <v>Materials</v>
      </c>
      <c r="AA954" s="7" t="str">
        <f>VLOOKUP(Q954,Mapping!$E$11:$I$204,5,0)</f>
        <v>SCS</v>
      </c>
      <c r="AC954" s="35" t="s">
        <v>217</v>
      </c>
      <c r="AD954" s="35"/>
      <c r="AE954" s="35">
        <v>71020</v>
      </c>
      <c r="AF954" s="35" t="s">
        <v>459</v>
      </c>
      <c r="AG954" s="36">
        <v>0</v>
      </c>
      <c r="AI954" s="7" t="str">
        <f>VLOOKUP($AC954,Mapping!$E$11:$I$204,3,0)</f>
        <v>Replacement</v>
      </c>
      <c r="AJ954" s="7" t="str">
        <f>IFERROR(VLOOKUP($AE954,Mapping!$E$208:$K$236,5,0),"Contracts")</f>
        <v>Contracts</v>
      </c>
      <c r="AK954" s="7" t="str">
        <f>IFERROR(VLOOKUP($AE954,Mapping!$E$208:$K$236,7,0),"ENDirect")</f>
        <v>ENDirect</v>
      </c>
      <c r="AL954" s="7" t="str">
        <f>IFERROR(HLOOKUP(AJ954,'Calc|Weightings'!$U$5:$W$5,1,0),"Excl")</f>
        <v>Contracts</v>
      </c>
      <c r="AM954" s="7" t="str">
        <f>VLOOKUP(AC954,Mapping!$E$11:$I$204,5,0)</f>
        <v>SCS</v>
      </c>
      <c r="AO954" s="35" t="s">
        <v>240</v>
      </c>
      <c r="AP954" s="35"/>
      <c r="AQ954" s="35">
        <v>71070</v>
      </c>
      <c r="AR954" s="35" t="s">
        <v>586</v>
      </c>
      <c r="AS954" s="121">
        <v>3.3238900000000009</v>
      </c>
      <c r="AU954" s="7" t="str">
        <f>VLOOKUP($AO954,Mapping!$E$11:$I$204,3,0)</f>
        <v>Replacement</v>
      </c>
      <c r="AV954" s="7" t="str">
        <f>IFERROR(VLOOKUP($AQ954,Mapping!$E$208:$K$236,5,0),"Contracts")</f>
        <v>Contracts</v>
      </c>
      <c r="AW954" s="7" t="str">
        <f>IFERROR(VLOOKUP($AQ954,Mapping!$E$208:$K$236,7,0),"ENDirect")</f>
        <v>ENDirect</v>
      </c>
      <c r="AX954" s="7" t="str">
        <f>IFERROR(HLOOKUP(AV954,'Calc|Weightings'!$U$5:$W$5,1,0),"Excl")</f>
        <v>Contracts</v>
      </c>
      <c r="AY954" s="7" t="str">
        <f>VLOOKUP(AO954,Mapping!$E$11:$I$204,5,0)</f>
        <v>SCS</v>
      </c>
    </row>
    <row r="955" spans="1:51" x14ac:dyDescent="0.3">
      <c r="A955" s="7"/>
      <c r="B955" s="7"/>
      <c r="C955" s="7"/>
      <c r="D955" s="7"/>
      <c r="E955" s="32" t="s">
        <v>183</v>
      </c>
      <c r="F955" s="32"/>
      <c r="G955" s="32">
        <v>71030</v>
      </c>
      <c r="H955" s="32" t="s">
        <v>464</v>
      </c>
      <c r="I955" s="33">
        <v>3.004</v>
      </c>
      <c r="J955" s="170"/>
      <c r="K955" s="7" t="str">
        <f>VLOOKUP($E955,Mapping!$E$11:$I$204,3,0)</f>
        <v>Public Lighting</v>
      </c>
      <c r="L955" s="7" t="str">
        <f>IFERROR(VLOOKUP($G955,Mapping!$E$208:$K$236,5,0),"Contracts")</f>
        <v>Contracts</v>
      </c>
      <c r="M955" s="7" t="str">
        <f>IFERROR(VLOOKUP($G955,Mapping!$E$208:$K$236,7,0),"ENDirect")</f>
        <v>ENDirect</v>
      </c>
      <c r="N955" s="7" t="str">
        <f>IFERROR(HLOOKUP(L955,'Calc|Weightings'!$U$5:$W$5,1,0),"Excl")</f>
        <v>Contracts</v>
      </c>
      <c r="O955" s="7" t="str">
        <f>VLOOKUP(E955,Mapping!$E$11:$I$204,5,0)</f>
        <v>Public Lighting</v>
      </c>
      <c r="Q955" s="32" t="s">
        <v>225</v>
      </c>
      <c r="R955" s="32"/>
      <c r="S955" s="32">
        <v>71020</v>
      </c>
      <c r="T955" s="32" t="s">
        <v>459</v>
      </c>
      <c r="U955" s="33">
        <v>50.649000000000001</v>
      </c>
      <c r="V955" s="7"/>
      <c r="W955" s="7" t="str">
        <f>VLOOKUP($Q955,Mapping!$E$11:$I$204,3,0)</f>
        <v>Replacement</v>
      </c>
      <c r="X955" s="7" t="str">
        <f>IFERROR(VLOOKUP($S955,Mapping!$E$208:$K$236,5,0),"Contracts")</f>
        <v>Contracts</v>
      </c>
      <c r="Y955" s="7" t="str">
        <f>IFERROR(VLOOKUP($S955,Mapping!$E$208:$K$236,7,0),"ENDirect")</f>
        <v>ENDirect</v>
      </c>
      <c r="Z955" s="7" t="str">
        <f>IFERROR(HLOOKUP(X955,'Calc|Weightings'!$U$5:$W$5,1,0),"Excl")</f>
        <v>Contracts</v>
      </c>
      <c r="AA955" s="7" t="str">
        <f>VLOOKUP(Q955,Mapping!$E$11:$I$204,5,0)</f>
        <v>SCS</v>
      </c>
      <c r="AC955" s="35" t="s">
        <v>218</v>
      </c>
      <c r="AD955" s="35"/>
      <c r="AE955" s="35">
        <v>71020</v>
      </c>
      <c r="AF955" s="35" t="s">
        <v>459</v>
      </c>
      <c r="AG955" s="36">
        <v>0</v>
      </c>
      <c r="AI955" s="7" t="str">
        <f>VLOOKUP($AC955,Mapping!$E$11:$I$204,3,0)</f>
        <v>Replacement</v>
      </c>
      <c r="AJ955" s="7" t="str">
        <f>IFERROR(VLOOKUP($AE955,Mapping!$E$208:$K$236,5,0),"Contracts")</f>
        <v>Contracts</v>
      </c>
      <c r="AK955" s="7" t="str">
        <f>IFERROR(VLOOKUP($AE955,Mapping!$E$208:$K$236,7,0),"ENDirect")</f>
        <v>ENDirect</v>
      </c>
      <c r="AL955" s="7" t="str">
        <f>IFERROR(HLOOKUP(AJ955,'Calc|Weightings'!$U$5:$W$5,1,0),"Excl")</f>
        <v>Contracts</v>
      </c>
      <c r="AM955" s="7" t="str">
        <f>VLOOKUP(AC955,Mapping!$E$11:$I$204,5,0)</f>
        <v>SCS</v>
      </c>
      <c r="AO955" s="35" t="s">
        <v>240</v>
      </c>
      <c r="AP955" s="35"/>
      <c r="AQ955" s="35">
        <v>71075</v>
      </c>
      <c r="AR955" s="35" t="s">
        <v>587</v>
      </c>
      <c r="AS955" s="121">
        <v>9.0598300000000016</v>
      </c>
      <c r="AU955" s="7" t="str">
        <f>VLOOKUP($AO955,Mapping!$E$11:$I$204,3,0)</f>
        <v>Replacement</v>
      </c>
      <c r="AV955" s="7" t="str">
        <f>IFERROR(VLOOKUP($AQ955,Mapping!$E$208:$K$236,5,0),"Contracts")</f>
        <v>Contracts</v>
      </c>
      <c r="AW955" s="7" t="str">
        <f>IFERROR(VLOOKUP($AQ955,Mapping!$E$208:$K$236,7,0),"ENDirect")</f>
        <v>ENDirect</v>
      </c>
      <c r="AX955" s="7" t="str">
        <f>IFERROR(HLOOKUP(AV955,'Calc|Weightings'!$U$5:$W$5,1,0),"Excl")</f>
        <v>Contracts</v>
      </c>
      <c r="AY955" s="7" t="str">
        <f>VLOOKUP(AO955,Mapping!$E$11:$I$204,5,0)</f>
        <v>SCS</v>
      </c>
    </row>
    <row r="956" spans="1:51" x14ac:dyDescent="0.3">
      <c r="A956" s="7"/>
      <c r="B956" s="7"/>
      <c r="C956" s="7"/>
      <c r="D956" s="7"/>
      <c r="E956" s="32" t="s">
        <v>183</v>
      </c>
      <c r="F956" s="32"/>
      <c r="G956" s="32">
        <v>71055</v>
      </c>
      <c r="H956" s="32" t="s">
        <v>465</v>
      </c>
      <c r="I956" s="33">
        <v>14.007999999999999</v>
      </c>
      <c r="J956" s="170"/>
      <c r="K956" s="7" t="str">
        <f>VLOOKUP($E956,Mapping!$E$11:$I$204,3,0)</f>
        <v>Public Lighting</v>
      </c>
      <c r="L956" s="7" t="str">
        <f>IFERROR(VLOOKUP($G956,Mapping!$E$208:$K$236,5,0),"Contracts")</f>
        <v>Contracts</v>
      </c>
      <c r="M956" s="7" t="str">
        <f>IFERROR(VLOOKUP($G956,Mapping!$E$208:$K$236,7,0),"ENDirect")</f>
        <v>ENDirect</v>
      </c>
      <c r="N956" s="7" t="str">
        <f>IFERROR(HLOOKUP(L956,'Calc|Weightings'!$U$5:$W$5,1,0),"Excl")</f>
        <v>Contracts</v>
      </c>
      <c r="O956" s="7" t="str">
        <f>VLOOKUP(E956,Mapping!$E$11:$I$204,5,0)</f>
        <v>Public Lighting</v>
      </c>
      <c r="Q956" s="32" t="s">
        <v>225</v>
      </c>
      <c r="R956" s="32"/>
      <c r="S956" s="32">
        <v>71030</v>
      </c>
      <c r="T956" s="32" t="s">
        <v>464</v>
      </c>
      <c r="U956" s="33">
        <v>227.11</v>
      </c>
      <c r="V956" s="7"/>
      <c r="W956" s="7" t="str">
        <f>VLOOKUP($Q956,Mapping!$E$11:$I$204,3,0)</f>
        <v>Replacement</v>
      </c>
      <c r="X956" s="7" t="str">
        <f>IFERROR(VLOOKUP($S956,Mapping!$E$208:$K$236,5,0),"Contracts")</f>
        <v>Contracts</v>
      </c>
      <c r="Y956" s="7" t="str">
        <f>IFERROR(VLOOKUP($S956,Mapping!$E$208:$K$236,7,0),"ENDirect")</f>
        <v>ENDirect</v>
      </c>
      <c r="Z956" s="7" t="str">
        <f>IFERROR(HLOOKUP(X956,'Calc|Weightings'!$U$5:$W$5,1,0),"Excl")</f>
        <v>Contracts</v>
      </c>
      <c r="AA956" s="7" t="str">
        <f>VLOOKUP(Q956,Mapping!$E$11:$I$204,5,0)</f>
        <v>SCS</v>
      </c>
      <c r="AC956" s="35" t="s">
        <v>222</v>
      </c>
      <c r="AD956" s="35"/>
      <c r="AE956" s="35">
        <v>71020</v>
      </c>
      <c r="AF956" s="35" t="s">
        <v>459</v>
      </c>
      <c r="AG956" s="36">
        <v>0</v>
      </c>
      <c r="AI956" s="7" t="str">
        <f>VLOOKUP($AC956,Mapping!$E$11:$I$204,3,0)</f>
        <v>Replacement</v>
      </c>
      <c r="AJ956" s="7" t="str">
        <f>IFERROR(VLOOKUP($AE956,Mapping!$E$208:$K$236,5,0),"Contracts")</f>
        <v>Contracts</v>
      </c>
      <c r="AK956" s="7" t="str">
        <f>IFERROR(VLOOKUP($AE956,Mapping!$E$208:$K$236,7,0),"ENDirect")</f>
        <v>ENDirect</v>
      </c>
      <c r="AL956" s="7" t="str">
        <f>IFERROR(HLOOKUP(AJ956,'Calc|Weightings'!$U$5:$W$5,1,0),"Excl")</f>
        <v>Contracts</v>
      </c>
      <c r="AM956" s="7" t="str">
        <f>VLOOKUP(AC956,Mapping!$E$11:$I$204,5,0)</f>
        <v>SCS</v>
      </c>
      <c r="AO956" s="35" t="s">
        <v>240</v>
      </c>
      <c r="AP956" s="35"/>
      <c r="AQ956" s="35">
        <v>80000</v>
      </c>
      <c r="AR956" s="35" t="s">
        <v>589</v>
      </c>
      <c r="AS956" s="121">
        <v>15.175780000000001</v>
      </c>
      <c r="AU956" s="7" t="str">
        <f>VLOOKUP($AO956,Mapping!$E$11:$I$204,3,0)</f>
        <v>Replacement</v>
      </c>
      <c r="AV956" s="7" t="str">
        <f>IFERROR(VLOOKUP($AQ956,Mapping!$E$208:$K$236,5,0),"Contracts")</f>
        <v>Overhead</v>
      </c>
      <c r="AW956" s="7" t="str">
        <f>IFERROR(VLOOKUP($AQ956,Mapping!$E$208:$K$236,7,0),"ENDirect")</f>
        <v>OH</v>
      </c>
      <c r="AX956" s="7" t="str">
        <f>IFERROR(HLOOKUP(AV956,'Calc|Weightings'!$U$5:$W$5,1,0),"Excl")</f>
        <v>Excl</v>
      </c>
      <c r="AY956" s="7" t="str">
        <f>VLOOKUP(AO956,Mapping!$E$11:$I$204,5,0)</f>
        <v>SCS</v>
      </c>
    </row>
    <row r="957" spans="1:51" x14ac:dyDescent="0.3">
      <c r="A957" s="7"/>
      <c r="B957" s="7"/>
      <c r="C957" s="7"/>
      <c r="D957" s="7"/>
      <c r="E957" s="32" t="s">
        <v>183</v>
      </c>
      <c r="F957" s="32"/>
      <c r="G957" s="32">
        <v>80000</v>
      </c>
      <c r="H957" s="32" t="s">
        <v>453</v>
      </c>
      <c r="I957" s="33">
        <v>4.5469999999999997</v>
      </c>
      <c r="J957" s="170"/>
      <c r="K957" s="7" t="str">
        <f>VLOOKUP($E957,Mapping!$E$11:$I$204,3,0)</f>
        <v>Public Lighting</v>
      </c>
      <c r="L957" s="7" t="str">
        <f>IFERROR(VLOOKUP($G957,Mapping!$E$208:$K$236,5,0),"Contracts")</f>
        <v>Overhead</v>
      </c>
      <c r="M957" s="7" t="str">
        <f>IFERROR(VLOOKUP($G957,Mapping!$E$208:$K$236,7,0),"ENDirect")</f>
        <v>OH</v>
      </c>
      <c r="N957" s="7" t="str">
        <f>IFERROR(HLOOKUP(L957,'Calc|Weightings'!$U$5:$W$5,1,0),"Excl")</f>
        <v>Excl</v>
      </c>
      <c r="O957" s="7" t="str">
        <f>VLOOKUP(E957,Mapping!$E$11:$I$204,5,0)</f>
        <v>Public Lighting</v>
      </c>
      <c r="Q957" s="32" t="s">
        <v>225</v>
      </c>
      <c r="R957" s="32"/>
      <c r="S957" s="32">
        <v>71040</v>
      </c>
      <c r="T957" s="32" t="s">
        <v>460</v>
      </c>
      <c r="U957" s="33">
        <v>-166.74600000000001</v>
      </c>
      <c r="V957" s="7"/>
      <c r="W957" s="7" t="str">
        <f>VLOOKUP($Q957,Mapping!$E$11:$I$204,3,0)</f>
        <v>Replacement</v>
      </c>
      <c r="X957" s="7" t="str">
        <f>IFERROR(VLOOKUP($S957,Mapping!$E$208:$K$236,5,0),"Contracts")</f>
        <v>Contracts</v>
      </c>
      <c r="Y957" s="7" t="str">
        <f>IFERROR(VLOOKUP($S957,Mapping!$E$208:$K$236,7,0),"ENDirect")</f>
        <v>ENDirect</v>
      </c>
      <c r="Z957" s="7" t="str">
        <f>IFERROR(HLOOKUP(X957,'Calc|Weightings'!$U$5:$W$5,1,0),"Excl")</f>
        <v>Contracts</v>
      </c>
      <c r="AA957" s="7" t="str">
        <f>VLOOKUP(Q957,Mapping!$E$11:$I$204,5,0)</f>
        <v>SCS</v>
      </c>
      <c r="AC957" s="35" t="s">
        <v>223</v>
      </c>
      <c r="AD957" s="35"/>
      <c r="AE957" s="35">
        <v>71020</v>
      </c>
      <c r="AF957" s="35" t="s">
        <v>459</v>
      </c>
      <c r="AG957" s="36">
        <v>0</v>
      </c>
      <c r="AI957" s="7" t="str">
        <f>VLOOKUP($AC957,Mapping!$E$11:$I$204,3,0)</f>
        <v>Replacement</v>
      </c>
      <c r="AJ957" s="7" t="str">
        <f>IFERROR(VLOOKUP($AE957,Mapping!$E$208:$K$236,5,0),"Contracts")</f>
        <v>Contracts</v>
      </c>
      <c r="AK957" s="7" t="str">
        <f>IFERROR(VLOOKUP($AE957,Mapping!$E$208:$K$236,7,0),"ENDirect")</f>
        <v>ENDirect</v>
      </c>
      <c r="AL957" s="7" t="str">
        <f>IFERROR(HLOOKUP(AJ957,'Calc|Weightings'!$U$5:$W$5,1,0),"Excl")</f>
        <v>Contracts</v>
      </c>
      <c r="AM957" s="7" t="str">
        <f>VLOOKUP(AC957,Mapping!$E$11:$I$204,5,0)</f>
        <v>SCS</v>
      </c>
      <c r="AO957" s="35" t="s">
        <v>240</v>
      </c>
      <c r="AP957" s="35"/>
      <c r="AQ957" s="35">
        <v>83010</v>
      </c>
      <c r="AR957" s="35" t="s">
        <v>591</v>
      </c>
      <c r="AS957" s="121">
        <v>79.773360000000011</v>
      </c>
      <c r="AU957" s="7" t="str">
        <f>VLOOKUP($AO957,Mapping!$E$11:$I$204,3,0)</f>
        <v>Replacement</v>
      </c>
      <c r="AV957" s="7" t="str">
        <f>IFERROR(VLOOKUP($AQ957,Mapping!$E$208:$K$236,5,0),"Contracts")</f>
        <v>Contracts</v>
      </c>
      <c r="AW957" s="7" t="str">
        <f>IFERROR(VLOOKUP($AQ957,Mapping!$E$208:$K$236,7,0),"ENDirect")</f>
        <v>ENDirect</v>
      </c>
      <c r="AX957" s="7" t="str">
        <f>IFERROR(HLOOKUP(AV957,'Calc|Weightings'!$U$5:$W$5,1,0),"Excl")</f>
        <v>Contracts</v>
      </c>
      <c r="AY957" s="7" t="str">
        <f>VLOOKUP(AO957,Mapping!$E$11:$I$204,5,0)</f>
        <v>SCS</v>
      </c>
    </row>
    <row r="958" spans="1:51" x14ac:dyDescent="0.3">
      <c r="A958" s="7"/>
      <c r="B958" s="7"/>
      <c r="C958" s="7"/>
      <c r="D958" s="7"/>
      <c r="E958" s="32" t="s">
        <v>105</v>
      </c>
      <c r="F958" s="32"/>
      <c r="G958" s="32">
        <v>71005</v>
      </c>
      <c r="H958" s="32" t="s">
        <v>461</v>
      </c>
      <c r="I958" s="33">
        <v>256.39999999999998</v>
      </c>
      <c r="J958" s="170"/>
      <c r="K958" s="7" t="str">
        <f>VLOOKUP($E958,Mapping!$E$11:$I$204,3,0)</f>
        <v>ACS</v>
      </c>
      <c r="L958" s="7" t="str">
        <f>IFERROR(VLOOKUP($G958,Mapping!$E$208:$K$236,5,0),"Contracts")</f>
        <v>Materials</v>
      </c>
      <c r="M958" s="7" t="str">
        <f>IFERROR(VLOOKUP($G958,Mapping!$E$208:$K$236,7,0),"ENDirect")</f>
        <v>ENDirect</v>
      </c>
      <c r="N958" s="7" t="str">
        <f>IFERROR(HLOOKUP(L958,'Calc|Weightings'!$U$5:$W$5,1,0),"Excl")</f>
        <v>Materials</v>
      </c>
      <c r="O958" s="7" t="str">
        <f>VLOOKUP(E958,Mapping!$E$11:$I$204,5,0)</f>
        <v>ACS</v>
      </c>
      <c r="Q958" s="32" t="s">
        <v>225</v>
      </c>
      <c r="R958" s="32"/>
      <c r="S958" s="32">
        <v>71055</v>
      </c>
      <c r="T958" s="32" t="s">
        <v>465</v>
      </c>
      <c r="U958" s="33">
        <v>569.12199999999996</v>
      </c>
      <c r="V958" s="7"/>
      <c r="W958" s="7" t="str">
        <f>VLOOKUP($Q958,Mapping!$E$11:$I$204,3,0)</f>
        <v>Replacement</v>
      </c>
      <c r="X958" s="7" t="str">
        <f>IFERROR(VLOOKUP($S958,Mapping!$E$208:$K$236,5,0),"Contracts")</f>
        <v>Contracts</v>
      </c>
      <c r="Y958" s="7" t="str">
        <f>IFERROR(VLOOKUP($S958,Mapping!$E$208:$K$236,7,0),"ENDirect")</f>
        <v>ENDirect</v>
      </c>
      <c r="Z958" s="7" t="str">
        <f>IFERROR(HLOOKUP(X958,'Calc|Weightings'!$U$5:$W$5,1,0),"Excl")</f>
        <v>Contracts</v>
      </c>
      <c r="AA958" s="7" t="str">
        <f>VLOOKUP(Q958,Mapping!$E$11:$I$204,5,0)</f>
        <v>SCS</v>
      </c>
      <c r="AC958" s="35" t="s">
        <v>224</v>
      </c>
      <c r="AD958" s="35"/>
      <c r="AE958" s="35">
        <v>71020</v>
      </c>
      <c r="AF958" s="35" t="s">
        <v>459</v>
      </c>
      <c r="AG958" s="36">
        <v>0</v>
      </c>
      <c r="AI958" s="7" t="str">
        <f>VLOOKUP($AC958,Mapping!$E$11:$I$204,3,0)</f>
        <v>Replacement</v>
      </c>
      <c r="AJ958" s="7" t="str">
        <f>IFERROR(VLOOKUP($AE958,Mapping!$E$208:$K$236,5,0),"Contracts")</f>
        <v>Contracts</v>
      </c>
      <c r="AK958" s="7" t="str">
        <f>IFERROR(VLOOKUP($AE958,Mapping!$E$208:$K$236,7,0),"ENDirect")</f>
        <v>ENDirect</v>
      </c>
      <c r="AL958" s="7" t="str">
        <f>IFERROR(HLOOKUP(AJ958,'Calc|Weightings'!$U$5:$W$5,1,0),"Excl")</f>
        <v>Contracts</v>
      </c>
      <c r="AM958" s="7" t="str">
        <f>VLOOKUP(AC958,Mapping!$E$11:$I$204,5,0)</f>
        <v>SCS</v>
      </c>
      <c r="AO958" s="35" t="s">
        <v>241</v>
      </c>
      <c r="AP958" s="35"/>
      <c r="AQ958" s="35">
        <v>71000</v>
      </c>
      <c r="AR958" s="35" t="s">
        <v>457</v>
      </c>
      <c r="AS958" s="121">
        <v>1.7565200000000001</v>
      </c>
      <c r="AU958" s="7" t="str">
        <f>VLOOKUP($AO958,Mapping!$E$11:$I$204,3,0)</f>
        <v>Replacement</v>
      </c>
      <c r="AV958" s="7" t="str">
        <f>IFERROR(VLOOKUP($AQ958,Mapping!$E$208:$K$236,5,0),"Contracts")</f>
        <v>Labour</v>
      </c>
      <c r="AW958" s="7" t="str">
        <f>IFERROR(VLOOKUP($AQ958,Mapping!$E$208:$K$236,7,0),"ENDirect")</f>
        <v>ENDirect</v>
      </c>
      <c r="AX958" s="7" t="str">
        <f>IFERROR(HLOOKUP(AV958,'Calc|Weightings'!$U$5:$W$5,1,0),"Excl")</f>
        <v>Labour</v>
      </c>
      <c r="AY958" s="7" t="str">
        <f>VLOOKUP(AO958,Mapping!$E$11:$I$204,5,0)</f>
        <v>SCS</v>
      </c>
    </row>
    <row r="959" spans="1:51" x14ac:dyDescent="0.3">
      <c r="A959" s="7"/>
      <c r="B959" s="7"/>
      <c r="C959" s="7"/>
      <c r="D959" s="7"/>
      <c r="E959" s="32" t="s">
        <v>105</v>
      </c>
      <c r="F959" s="32"/>
      <c r="G959" s="32">
        <v>71015</v>
      </c>
      <c r="H959" s="32" t="s">
        <v>463</v>
      </c>
      <c r="I959" s="33">
        <v>160.28200000000001</v>
      </c>
      <c r="J959" s="170"/>
      <c r="K959" s="7" t="str">
        <f>VLOOKUP($E959,Mapping!$E$11:$I$204,3,0)</f>
        <v>ACS</v>
      </c>
      <c r="L959" s="7" t="str">
        <f>IFERROR(VLOOKUP($G959,Mapping!$E$208:$K$236,5,0),"Contracts")</f>
        <v>Materials</v>
      </c>
      <c r="M959" s="7" t="str">
        <f>IFERROR(VLOOKUP($G959,Mapping!$E$208:$K$236,7,0),"ENDirect")</f>
        <v>ENDirect</v>
      </c>
      <c r="N959" s="7" t="str">
        <f>IFERROR(HLOOKUP(L959,'Calc|Weightings'!$U$5:$W$5,1,0),"Excl")</f>
        <v>Materials</v>
      </c>
      <c r="O959" s="7" t="str">
        <f>VLOOKUP(E959,Mapping!$E$11:$I$204,5,0)</f>
        <v>ACS</v>
      </c>
      <c r="Q959" s="32" t="s">
        <v>225</v>
      </c>
      <c r="R959" s="32"/>
      <c r="S959" s="32">
        <v>80000</v>
      </c>
      <c r="T959" s="32" t="s">
        <v>453</v>
      </c>
      <c r="U959" s="33">
        <v>487.43299999999999</v>
      </c>
      <c r="V959" s="7"/>
      <c r="W959" s="7" t="str">
        <f>VLOOKUP($Q959,Mapping!$E$11:$I$204,3,0)</f>
        <v>Replacement</v>
      </c>
      <c r="X959" s="7" t="str">
        <f>IFERROR(VLOOKUP($S959,Mapping!$E$208:$K$236,5,0),"Contracts")</f>
        <v>Overhead</v>
      </c>
      <c r="Y959" s="7" t="str">
        <f>IFERROR(VLOOKUP($S959,Mapping!$E$208:$K$236,7,0),"ENDirect")</f>
        <v>OH</v>
      </c>
      <c r="Z959" s="7" t="str">
        <f>IFERROR(HLOOKUP(X959,'Calc|Weightings'!$U$5:$W$5,1,0),"Excl")</f>
        <v>Excl</v>
      </c>
      <c r="AA959" s="7" t="str">
        <f>VLOOKUP(Q959,Mapping!$E$11:$I$204,5,0)</f>
        <v>SCS</v>
      </c>
      <c r="AC959" s="35" t="s">
        <v>227</v>
      </c>
      <c r="AD959" s="35"/>
      <c r="AE959" s="35">
        <v>71006</v>
      </c>
      <c r="AF959" s="35" t="s">
        <v>468</v>
      </c>
      <c r="AG959" s="36">
        <v>5.2649999999999997</v>
      </c>
      <c r="AI959" s="7" t="str">
        <f>VLOOKUP($AC959,Mapping!$E$11:$I$204,3,0)</f>
        <v>Replacement</v>
      </c>
      <c r="AJ959" s="7" t="str">
        <f>IFERROR(VLOOKUP($AE959,Mapping!$E$208:$K$236,5,0),"Contracts")</f>
        <v>Materials</v>
      </c>
      <c r="AK959" s="7" t="str">
        <f>IFERROR(VLOOKUP($AE959,Mapping!$E$208:$K$236,7,0),"ENDirect")</f>
        <v>ENDirect</v>
      </c>
      <c r="AL959" s="7" t="str">
        <f>IFERROR(HLOOKUP(AJ959,'Calc|Weightings'!$U$5:$W$5,1,0),"Excl")</f>
        <v>Materials</v>
      </c>
      <c r="AM959" s="7" t="str">
        <f>VLOOKUP(AC959,Mapping!$E$11:$I$204,5,0)</f>
        <v>SCS</v>
      </c>
      <c r="AO959" s="35" t="s">
        <v>241</v>
      </c>
      <c r="AP959" s="35"/>
      <c r="AQ959" s="35">
        <v>71005</v>
      </c>
      <c r="AR959" s="35" t="s">
        <v>461</v>
      </c>
      <c r="AS959" s="121">
        <v>0.25699</v>
      </c>
      <c r="AU959" s="7" t="str">
        <f>VLOOKUP($AO959,Mapping!$E$11:$I$204,3,0)</f>
        <v>Replacement</v>
      </c>
      <c r="AV959" s="7" t="str">
        <f>IFERROR(VLOOKUP($AQ959,Mapping!$E$208:$K$236,5,0),"Contracts")</f>
        <v>Materials</v>
      </c>
      <c r="AW959" s="7" t="str">
        <f>IFERROR(VLOOKUP($AQ959,Mapping!$E$208:$K$236,7,0),"ENDirect")</f>
        <v>ENDirect</v>
      </c>
      <c r="AX959" s="7" t="str">
        <f>IFERROR(HLOOKUP(AV959,'Calc|Weightings'!$U$5:$W$5,1,0),"Excl")</f>
        <v>Materials</v>
      </c>
      <c r="AY959" s="7" t="str">
        <f>VLOOKUP(AO959,Mapping!$E$11:$I$204,5,0)</f>
        <v>SCS</v>
      </c>
    </row>
    <row r="960" spans="1:51" x14ac:dyDescent="0.3">
      <c r="A960" s="7"/>
      <c r="B960" s="7"/>
      <c r="C960" s="7"/>
      <c r="D960" s="7"/>
      <c r="E960" s="32" t="s">
        <v>105</v>
      </c>
      <c r="F960" s="32"/>
      <c r="G960" s="32">
        <v>71055</v>
      </c>
      <c r="H960" s="32" t="s">
        <v>465</v>
      </c>
      <c r="I960" s="33">
        <v>257.416</v>
      </c>
      <c r="J960" s="170"/>
      <c r="K960" s="7" t="str">
        <f>VLOOKUP($E960,Mapping!$E$11:$I$204,3,0)</f>
        <v>ACS</v>
      </c>
      <c r="L960" s="7" t="str">
        <f>IFERROR(VLOOKUP($G960,Mapping!$E$208:$K$236,5,0),"Contracts")</f>
        <v>Contracts</v>
      </c>
      <c r="M960" s="7" t="str">
        <f>IFERROR(VLOOKUP($G960,Mapping!$E$208:$K$236,7,0),"ENDirect")</f>
        <v>ENDirect</v>
      </c>
      <c r="N960" s="7" t="str">
        <f>IFERROR(HLOOKUP(L960,'Calc|Weightings'!$U$5:$W$5,1,0),"Excl")</f>
        <v>Contracts</v>
      </c>
      <c r="O960" s="7" t="str">
        <f>VLOOKUP(E960,Mapping!$E$11:$I$204,5,0)</f>
        <v>ACS</v>
      </c>
      <c r="Q960" s="32" t="s">
        <v>551</v>
      </c>
      <c r="R960" s="32"/>
      <c r="S960" s="32">
        <v>72345</v>
      </c>
      <c r="T960" s="32" t="s">
        <v>467</v>
      </c>
      <c r="U960" s="33">
        <v>66.507000000000005</v>
      </c>
      <c r="V960" s="7"/>
      <c r="W960" s="7" t="str">
        <f>VLOOKUP($Q960,Mapping!$E$11:$I$204,3,0)</f>
        <v>Connections</v>
      </c>
      <c r="X960" s="7" t="str">
        <f>IFERROR(VLOOKUP($S960,Mapping!$E$208:$K$236,5,0),"Contracts")</f>
        <v>Contracts</v>
      </c>
      <c r="Y960" s="7" t="str">
        <f>IFERROR(VLOOKUP($S960,Mapping!$E$208:$K$236,7,0),"ENDirect")</f>
        <v>ENDirect</v>
      </c>
      <c r="Z960" s="7" t="str">
        <f>IFERROR(HLOOKUP(X960,'Calc|Weightings'!$U$5:$W$5,1,0),"Excl")</f>
        <v>Contracts</v>
      </c>
      <c r="AA960" s="7" t="str">
        <f>VLOOKUP(Q960,Mapping!$E$11:$I$204,5,0)</f>
        <v>SCS</v>
      </c>
      <c r="AC960" s="35" t="s">
        <v>227</v>
      </c>
      <c r="AD960" s="35"/>
      <c r="AE960" s="35">
        <v>71020</v>
      </c>
      <c r="AF960" s="35" t="s">
        <v>459</v>
      </c>
      <c r="AG960" s="36">
        <v>0</v>
      </c>
      <c r="AI960" s="7" t="str">
        <f>VLOOKUP($AC960,Mapping!$E$11:$I$204,3,0)</f>
        <v>Replacement</v>
      </c>
      <c r="AJ960" s="7" t="str">
        <f>IFERROR(VLOOKUP($AE960,Mapping!$E$208:$K$236,5,0),"Contracts")</f>
        <v>Contracts</v>
      </c>
      <c r="AK960" s="7" t="str">
        <f>IFERROR(VLOOKUP($AE960,Mapping!$E$208:$K$236,7,0),"ENDirect")</f>
        <v>ENDirect</v>
      </c>
      <c r="AL960" s="7" t="str">
        <f>IFERROR(HLOOKUP(AJ960,'Calc|Weightings'!$U$5:$W$5,1,0),"Excl")</f>
        <v>Contracts</v>
      </c>
      <c r="AM960" s="7" t="str">
        <f>VLOOKUP(AC960,Mapping!$E$11:$I$204,5,0)</f>
        <v>SCS</v>
      </c>
      <c r="AO960" s="35" t="s">
        <v>241</v>
      </c>
      <c r="AP960" s="35"/>
      <c r="AQ960" s="35">
        <v>71010</v>
      </c>
      <c r="AR960" s="35" t="s">
        <v>487</v>
      </c>
      <c r="AS960" s="121">
        <v>0.14599999999999999</v>
      </c>
      <c r="AU960" s="7" t="str">
        <f>VLOOKUP($AO960,Mapping!$E$11:$I$204,3,0)</f>
        <v>Replacement</v>
      </c>
      <c r="AV960" s="7" t="str">
        <f>IFERROR(VLOOKUP($AQ960,Mapping!$E$208:$K$236,5,0),"Contracts")</f>
        <v>Labour</v>
      </c>
      <c r="AW960" s="7" t="str">
        <f>IFERROR(VLOOKUP($AQ960,Mapping!$E$208:$K$236,7,0),"ENDirect")</f>
        <v>ENDirect</v>
      </c>
      <c r="AX960" s="7" t="str">
        <f>IFERROR(HLOOKUP(AV960,'Calc|Weightings'!$U$5:$W$5,1,0),"Excl")</f>
        <v>Labour</v>
      </c>
      <c r="AY960" s="7" t="str">
        <f>VLOOKUP(AO960,Mapping!$E$11:$I$204,5,0)</f>
        <v>SCS</v>
      </c>
    </row>
    <row r="961" spans="1:51" x14ac:dyDescent="0.3">
      <c r="A961" s="7"/>
      <c r="B961" s="7"/>
      <c r="C961" s="7"/>
      <c r="D961" s="7"/>
      <c r="E961" s="32" t="s">
        <v>106</v>
      </c>
      <c r="F961" s="32"/>
      <c r="G961" s="32">
        <v>71005</v>
      </c>
      <c r="H961" s="32" t="s">
        <v>461</v>
      </c>
      <c r="I961" s="33">
        <v>12.836</v>
      </c>
      <c r="J961" s="170"/>
      <c r="K961" s="7" t="str">
        <f>VLOOKUP($E961,Mapping!$E$11:$I$204,3,0)</f>
        <v>ACS</v>
      </c>
      <c r="L961" s="7" t="str">
        <f>IFERROR(VLOOKUP($G961,Mapping!$E$208:$K$236,5,0),"Contracts")</f>
        <v>Materials</v>
      </c>
      <c r="M961" s="7" t="str">
        <f>IFERROR(VLOOKUP($G961,Mapping!$E$208:$K$236,7,0),"ENDirect")</f>
        <v>ENDirect</v>
      </c>
      <c r="N961" s="7" t="str">
        <f>IFERROR(HLOOKUP(L961,'Calc|Weightings'!$U$5:$W$5,1,0),"Excl")</f>
        <v>Materials</v>
      </c>
      <c r="O961" s="7" t="str">
        <f>VLOOKUP(E961,Mapping!$E$11:$I$204,5,0)</f>
        <v>ACS</v>
      </c>
      <c r="Q961" s="32" t="s">
        <v>195</v>
      </c>
      <c r="R961" s="32"/>
      <c r="S961" s="32">
        <v>71010</v>
      </c>
      <c r="T961" s="32" t="s">
        <v>462</v>
      </c>
      <c r="U961" s="33">
        <v>0.45800000000000002</v>
      </c>
      <c r="V961" s="7"/>
      <c r="W961" s="7" t="str">
        <f>VLOOKUP($Q961,Mapping!$E$11:$I$204,3,0)</f>
        <v>VBRC</v>
      </c>
      <c r="X961" s="7" t="str">
        <f>IFERROR(VLOOKUP($S961,Mapping!$E$208:$K$236,5,0),"Contracts")</f>
        <v>Labour</v>
      </c>
      <c r="Y961" s="7" t="str">
        <f>IFERROR(VLOOKUP($S961,Mapping!$E$208:$K$236,7,0),"ENDirect")</f>
        <v>ENDirect</v>
      </c>
      <c r="Z961" s="7" t="str">
        <f>IFERROR(HLOOKUP(X961,'Calc|Weightings'!$U$5:$W$5,1,0),"Excl")</f>
        <v>Labour</v>
      </c>
      <c r="AA961" s="7" t="str">
        <f>VLOOKUP(Q961,Mapping!$E$11:$I$204,5,0)</f>
        <v>SCS</v>
      </c>
      <c r="AC961" s="35" t="s">
        <v>231</v>
      </c>
      <c r="AD961" s="35"/>
      <c r="AE961" s="35">
        <v>71020</v>
      </c>
      <c r="AF961" s="35" t="s">
        <v>459</v>
      </c>
      <c r="AG961" s="36">
        <v>0</v>
      </c>
      <c r="AI961" s="7" t="str">
        <f>VLOOKUP($AC961,Mapping!$E$11:$I$204,3,0)</f>
        <v>Replacement</v>
      </c>
      <c r="AJ961" s="7" t="str">
        <f>IFERROR(VLOOKUP($AE961,Mapping!$E$208:$K$236,5,0),"Contracts")</f>
        <v>Contracts</v>
      </c>
      <c r="AK961" s="7" t="str">
        <f>IFERROR(VLOOKUP($AE961,Mapping!$E$208:$K$236,7,0),"ENDirect")</f>
        <v>ENDirect</v>
      </c>
      <c r="AL961" s="7" t="str">
        <f>IFERROR(HLOOKUP(AJ961,'Calc|Weightings'!$U$5:$W$5,1,0),"Excl")</f>
        <v>Contracts</v>
      </c>
      <c r="AM961" s="7" t="str">
        <f>VLOOKUP(AC961,Mapping!$E$11:$I$204,5,0)</f>
        <v>SCS</v>
      </c>
      <c r="AO961" s="35" t="s">
        <v>241</v>
      </c>
      <c r="AP961" s="35"/>
      <c r="AQ961" s="35">
        <v>71015</v>
      </c>
      <c r="AR961" s="35" t="s">
        <v>585</v>
      </c>
      <c r="AS961" s="121">
        <v>0.27144000000000001</v>
      </c>
      <c r="AU961" s="7" t="str">
        <f>VLOOKUP($AO961,Mapping!$E$11:$I$204,3,0)</f>
        <v>Replacement</v>
      </c>
      <c r="AV961" s="7" t="str">
        <f>IFERROR(VLOOKUP($AQ961,Mapping!$E$208:$K$236,5,0),"Contracts")</f>
        <v>Materials</v>
      </c>
      <c r="AW961" s="7" t="str">
        <f>IFERROR(VLOOKUP($AQ961,Mapping!$E$208:$K$236,7,0),"ENDirect")</f>
        <v>ENDirect</v>
      </c>
      <c r="AX961" s="7" t="str">
        <f>IFERROR(HLOOKUP(AV961,'Calc|Weightings'!$U$5:$W$5,1,0),"Excl")</f>
        <v>Materials</v>
      </c>
      <c r="AY961" s="7" t="str">
        <f>VLOOKUP(AO961,Mapping!$E$11:$I$204,5,0)</f>
        <v>SCS</v>
      </c>
    </row>
    <row r="962" spans="1:51" x14ac:dyDescent="0.3">
      <c r="A962" s="7"/>
      <c r="B962" s="7"/>
      <c r="C962" s="7"/>
      <c r="D962" s="7"/>
      <c r="E962" s="32" t="s">
        <v>106</v>
      </c>
      <c r="F962" s="32"/>
      <c r="G962" s="32">
        <v>71015</v>
      </c>
      <c r="H962" s="32" t="s">
        <v>463</v>
      </c>
      <c r="I962" s="33">
        <v>15.369</v>
      </c>
      <c r="J962" s="170"/>
      <c r="K962" s="7" t="str">
        <f>VLOOKUP($E962,Mapping!$E$11:$I$204,3,0)</f>
        <v>ACS</v>
      </c>
      <c r="L962" s="7" t="str">
        <f>IFERROR(VLOOKUP($G962,Mapping!$E$208:$K$236,5,0),"Contracts")</f>
        <v>Materials</v>
      </c>
      <c r="M962" s="7" t="str">
        <f>IFERROR(VLOOKUP($G962,Mapping!$E$208:$K$236,7,0),"ENDirect")</f>
        <v>ENDirect</v>
      </c>
      <c r="N962" s="7" t="str">
        <f>IFERROR(HLOOKUP(L962,'Calc|Weightings'!$U$5:$W$5,1,0),"Excl")</f>
        <v>Materials</v>
      </c>
      <c r="O962" s="7" t="str">
        <f>VLOOKUP(E962,Mapping!$E$11:$I$204,5,0)</f>
        <v>ACS</v>
      </c>
      <c r="Q962" s="32" t="s">
        <v>195</v>
      </c>
      <c r="R962" s="32"/>
      <c r="S962" s="32">
        <v>71030</v>
      </c>
      <c r="T962" s="32" t="s">
        <v>464</v>
      </c>
      <c r="U962" s="33">
        <v>4.2000000000000003E-2</v>
      </c>
      <c r="V962" s="7"/>
      <c r="W962" s="7" t="str">
        <f>VLOOKUP($Q962,Mapping!$E$11:$I$204,3,0)</f>
        <v>VBRC</v>
      </c>
      <c r="X962" s="7" t="str">
        <f>IFERROR(VLOOKUP($S962,Mapping!$E$208:$K$236,5,0),"Contracts")</f>
        <v>Contracts</v>
      </c>
      <c r="Y962" s="7" t="str">
        <f>IFERROR(VLOOKUP($S962,Mapping!$E$208:$K$236,7,0),"ENDirect")</f>
        <v>ENDirect</v>
      </c>
      <c r="Z962" s="7" t="str">
        <f>IFERROR(HLOOKUP(X962,'Calc|Weightings'!$U$5:$W$5,1,0),"Excl")</f>
        <v>Contracts</v>
      </c>
      <c r="AA962" s="7" t="str">
        <f>VLOOKUP(Q962,Mapping!$E$11:$I$204,5,0)</f>
        <v>SCS</v>
      </c>
      <c r="AC962" s="35" t="s">
        <v>240</v>
      </c>
      <c r="AD962" s="35"/>
      <c r="AE962" s="35">
        <v>71020</v>
      </c>
      <c r="AF962" s="35" t="s">
        <v>459</v>
      </c>
      <c r="AG962" s="36">
        <v>0</v>
      </c>
      <c r="AI962" s="7" t="str">
        <f>VLOOKUP($AC962,Mapping!$E$11:$I$204,3,0)</f>
        <v>Replacement</v>
      </c>
      <c r="AJ962" s="7" t="str">
        <f>IFERROR(VLOOKUP($AE962,Mapping!$E$208:$K$236,5,0),"Contracts")</f>
        <v>Contracts</v>
      </c>
      <c r="AK962" s="7" t="str">
        <f>IFERROR(VLOOKUP($AE962,Mapping!$E$208:$K$236,7,0),"ENDirect")</f>
        <v>ENDirect</v>
      </c>
      <c r="AL962" s="7" t="str">
        <f>IFERROR(HLOOKUP(AJ962,'Calc|Weightings'!$U$5:$W$5,1,0),"Excl")</f>
        <v>Contracts</v>
      </c>
      <c r="AM962" s="7" t="str">
        <f>VLOOKUP(AC962,Mapping!$E$11:$I$204,5,0)</f>
        <v>SCS</v>
      </c>
      <c r="AO962" s="35" t="s">
        <v>241</v>
      </c>
      <c r="AP962" s="35"/>
      <c r="AQ962" s="35">
        <v>71030</v>
      </c>
      <c r="AR962" s="35" t="s">
        <v>464</v>
      </c>
      <c r="AS962" s="121">
        <v>0.18321999999999999</v>
      </c>
      <c r="AU962" s="7" t="str">
        <f>VLOOKUP($AO962,Mapping!$E$11:$I$204,3,0)</f>
        <v>Replacement</v>
      </c>
      <c r="AV962" s="7" t="str">
        <f>IFERROR(VLOOKUP($AQ962,Mapping!$E$208:$K$236,5,0),"Contracts")</f>
        <v>Contracts</v>
      </c>
      <c r="AW962" s="7" t="str">
        <f>IFERROR(VLOOKUP($AQ962,Mapping!$E$208:$K$236,7,0),"ENDirect")</f>
        <v>ENDirect</v>
      </c>
      <c r="AX962" s="7" t="str">
        <f>IFERROR(HLOOKUP(AV962,'Calc|Weightings'!$U$5:$W$5,1,0),"Excl")</f>
        <v>Contracts</v>
      </c>
      <c r="AY962" s="7" t="str">
        <f>VLOOKUP(AO962,Mapping!$E$11:$I$204,5,0)</f>
        <v>SCS</v>
      </c>
    </row>
    <row r="963" spans="1:51" x14ac:dyDescent="0.3">
      <c r="A963" s="7"/>
      <c r="B963" s="7"/>
      <c r="C963" s="7"/>
      <c r="D963" s="7"/>
      <c r="E963" s="32" t="s">
        <v>106</v>
      </c>
      <c r="F963" s="32"/>
      <c r="G963" s="32">
        <v>71055</v>
      </c>
      <c r="H963" s="32" t="s">
        <v>465</v>
      </c>
      <c r="I963" s="33">
        <v>48.533999999999999</v>
      </c>
      <c r="J963" s="170"/>
      <c r="K963" s="7" t="str">
        <f>VLOOKUP($E963,Mapping!$E$11:$I$204,3,0)</f>
        <v>ACS</v>
      </c>
      <c r="L963" s="7" t="str">
        <f>IFERROR(VLOOKUP($G963,Mapping!$E$208:$K$236,5,0),"Contracts")</f>
        <v>Contracts</v>
      </c>
      <c r="M963" s="7" t="str">
        <f>IFERROR(VLOOKUP($G963,Mapping!$E$208:$K$236,7,0),"ENDirect")</f>
        <v>ENDirect</v>
      </c>
      <c r="N963" s="7" t="str">
        <f>IFERROR(HLOOKUP(L963,'Calc|Weightings'!$U$5:$W$5,1,0),"Excl")</f>
        <v>Contracts</v>
      </c>
      <c r="O963" s="7" t="str">
        <f>VLOOKUP(E963,Mapping!$E$11:$I$204,5,0)</f>
        <v>ACS</v>
      </c>
      <c r="Q963" s="32" t="s">
        <v>195</v>
      </c>
      <c r="R963" s="32"/>
      <c r="S963" s="32">
        <v>71055</v>
      </c>
      <c r="T963" s="32" t="s">
        <v>465</v>
      </c>
      <c r="U963" s="33">
        <v>0.14699999999999999</v>
      </c>
      <c r="V963" s="7"/>
      <c r="W963" s="7" t="str">
        <f>VLOOKUP($Q963,Mapping!$E$11:$I$204,3,0)</f>
        <v>VBRC</v>
      </c>
      <c r="X963" s="7" t="str">
        <f>IFERROR(VLOOKUP($S963,Mapping!$E$208:$K$236,5,0),"Contracts")</f>
        <v>Contracts</v>
      </c>
      <c r="Y963" s="7" t="str">
        <f>IFERROR(VLOOKUP($S963,Mapping!$E$208:$K$236,7,0),"ENDirect")</f>
        <v>ENDirect</v>
      </c>
      <c r="Z963" s="7" t="str">
        <f>IFERROR(HLOOKUP(X963,'Calc|Weightings'!$U$5:$W$5,1,0),"Excl")</f>
        <v>Contracts</v>
      </c>
      <c r="AA963" s="7" t="str">
        <f>VLOOKUP(Q963,Mapping!$E$11:$I$204,5,0)</f>
        <v>SCS</v>
      </c>
      <c r="AC963" s="35" t="s">
        <v>244</v>
      </c>
      <c r="AD963" s="35"/>
      <c r="AE963" s="35">
        <v>71020</v>
      </c>
      <c r="AF963" s="35" t="s">
        <v>459</v>
      </c>
      <c r="AG963" s="36">
        <v>0</v>
      </c>
      <c r="AI963" s="7" t="str">
        <f>VLOOKUP($AC963,Mapping!$E$11:$I$204,3,0)</f>
        <v>Replacement</v>
      </c>
      <c r="AJ963" s="7" t="str">
        <f>IFERROR(VLOOKUP($AE963,Mapping!$E$208:$K$236,5,0),"Contracts")</f>
        <v>Contracts</v>
      </c>
      <c r="AK963" s="7" t="str">
        <f>IFERROR(VLOOKUP($AE963,Mapping!$E$208:$K$236,7,0),"ENDirect")</f>
        <v>ENDirect</v>
      </c>
      <c r="AL963" s="7" t="str">
        <f>IFERROR(HLOOKUP(AJ963,'Calc|Weightings'!$U$5:$W$5,1,0),"Excl")</f>
        <v>Contracts</v>
      </c>
      <c r="AM963" s="7" t="str">
        <f>VLOOKUP(AC963,Mapping!$E$11:$I$204,5,0)</f>
        <v>SCS</v>
      </c>
      <c r="AO963" s="35" t="s">
        <v>241</v>
      </c>
      <c r="AP963" s="35"/>
      <c r="AQ963" s="35">
        <v>71055</v>
      </c>
      <c r="AR963" s="35" t="s">
        <v>465</v>
      </c>
      <c r="AS963" s="121">
        <v>0.18668999999999999</v>
      </c>
      <c r="AU963" s="7" t="str">
        <f>VLOOKUP($AO963,Mapping!$E$11:$I$204,3,0)</f>
        <v>Replacement</v>
      </c>
      <c r="AV963" s="7" t="str">
        <f>IFERROR(VLOOKUP($AQ963,Mapping!$E$208:$K$236,5,0),"Contracts")</f>
        <v>Contracts</v>
      </c>
      <c r="AW963" s="7" t="str">
        <f>IFERROR(VLOOKUP($AQ963,Mapping!$E$208:$K$236,7,0),"ENDirect")</f>
        <v>ENDirect</v>
      </c>
      <c r="AX963" s="7" t="str">
        <f>IFERROR(HLOOKUP(AV963,'Calc|Weightings'!$U$5:$W$5,1,0),"Excl")</f>
        <v>Contracts</v>
      </c>
      <c r="AY963" s="7" t="str">
        <f>VLOOKUP(AO963,Mapping!$E$11:$I$204,5,0)</f>
        <v>SCS</v>
      </c>
    </row>
    <row r="964" spans="1:51" x14ac:dyDescent="0.3">
      <c r="A964" s="7"/>
      <c r="B964" s="7"/>
      <c r="C964" s="7"/>
      <c r="D964" s="7"/>
      <c r="E964" s="32" t="s">
        <v>246</v>
      </c>
      <c r="F964" s="32"/>
      <c r="G964" s="32">
        <v>71005</v>
      </c>
      <c r="H964" s="32" t="s">
        <v>461</v>
      </c>
      <c r="I964" s="33">
        <v>0.115</v>
      </c>
      <c r="J964" s="170"/>
      <c r="K964" s="7" t="str">
        <f>VLOOKUP($E964,Mapping!$E$11:$I$204,3,0)</f>
        <v>ACS</v>
      </c>
      <c r="L964" s="7" t="str">
        <f>IFERROR(VLOOKUP($G964,Mapping!$E$208:$K$236,5,0),"Contracts")</f>
        <v>Materials</v>
      </c>
      <c r="M964" s="7" t="str">
        <f>IFERROR(VLOOKUP($G964,Mapping!$E$208:$K$236,7,0),"ENDirect")</f>
        <v>ENDirect</v>
      </c>
      <c r="N964" s="7" t="str">
        <f>IFERROR(HLOOKUP(L964,'Calc|Weightings'!$U$5:$W$5,1,0),"Excl")</f>
        <v>Materials</v>
      </c>
      <c r="O964" s="7" t="str">
        <f>VLOOKUP(E964,Mapping!$E$11:$I$204,5,0)</f>
        <v>ACS</v>
      </c>
      <c r="Q964" s="32" t="s">
        <v>195</v>
      </c>
      <c r="R964" s="32"/>
      <c r="S964" s="32">
        <v>80000</v>
      </c>
      <c r="T964" s="32" t="s">
        <v>453</v>
      </c>
      <c r="U964" s="33">
        <v>7.4999999999999997E-2</v>
      </c>
      <c r="V964" s="7"/>
      <c r="W964" s="7" t="str">
        <f>VLOOKUP($Q964,Mapping!$E$11:$I$204,3,0)</f>
        <v>VBRC</v>
      </c>
      <c r="X964" s="7" t="str">
        <f>IFERROR(VLOOKUP($S964,Mapping!$E$208:$K$236,5,0),"Contracts")</f>
        <v>Overhead</v>
      </c>
      <c r="Y964" s="7" t="str">
        <f>IFERROR(VLOOKUP($S964,Mapping!$E$208:$K$236,7,0),"ENDirect")</f>
        <v>OH</v>
      </c>
      <c r="Z964" s="7" t="str">
        <f>IFERROR(HLOOKUP(X964,'Calc|Weightings'!$U$5:$W$5,1,0),"Excl")</f>
        <v>Excl</v>
      </c>
      <c r="AA964" s="7" t="str">
        <f>VLOOKUP(Q964,Mapping!$E$11:$I$204,5,0)</f>
        <v>SCS</v>
      </c>
      <c r="AC964" s="35" t="s">
        <v>249</v>
      </c>
      <c r="AD964" s="35"/>
      <c r="AE964" s="35">
        <v>71020</v>
      </c>
      <c r="AF964" s="35" t="s">
        <v>459</v>
      </c>
      <c r="AG964" s="36">
        <v>0</v>
      </c>
      <c r="AI964" s="7" t="str">
        <f>VLOOKUP($AC964,Mapping!$E$11:$I$204,3,0)</f>
        <v>ACS</v>
      </c>
      <c r="AJ964" s="7" t="str">
        <f>IFERROR(VLOOKUP($AE964,Mapping!$E$208:$K$236,5,0),"Contracts")</f>
        <v>Contracts</v>
      </c>
      <c r="AK964" s="7" t="str">
        <f>IFERROR(VLOOKUP($AE964,Mapping!$E$208:$K$236,7,0),"ENDirect")</f>
        <v>ENDirect</v>
      </c>
      <c r="AL964" s="7" t="str">
        <f>IFERROR(HLOOKUP(AJ964,'Calc|Weightings'!$U$5:$W$5,1,0),"Excl")</f>
        <v>Contracts</v>
      </c>
      <c r="AM964" s="7" t="str">
        <f>VLOOKUP(AC964,Mapping!$E$11:$I$204,5,0)</f>
        <v>ACS</v>
      </c>
      <c r="AO964" s="35" t="s">
        <v>241</v>
      </c>
      <c r="AP964" s="35"/>
      <c r="AQ964" s="35">
        <v>71070</v>
      </c>
      <c r="AR964" s="35" t="s">
        <v>586</v>
      </c>
      <c r="AS964" s="121">
        <v>5.1790600000000016</v>
      </c>
      <c r="AU964" s="7" t="str">
        <f>VLOOKUP($AO964,Mapping!$E$11:$I$204,3,0)</f>
        <v>Replacement</v>
      </c>
      <c r="AV964" s="7" t="str">
        <f>IFERROR(VLOOKUP($AQ964,Mapping!$E$208:$K$236,5,0),"Contracts")</f>
        <v>Contracts</v>
      </c>
      <c r="AW964" s="7" t="str">
        <f>IFERROR(VLOOKUP($AQ964,Mapping!$E$208:$K$236,7,0),"ENDirect")</f>
        <v>ENDirect</v>
      </c>
      <c r="AX964" s="7" t="str">
        <f>IFERROR(HLOOKUP(AV964,'Calc|Weightings'!$U$5:$W$5,1,0),"Excl")</f>
        <v>Contracts</v>
      </c>
      <c r="AY964" s="7" t="str">
        <f>VLOOKUP(AO964,Mapping!$E$11:$I$204,5,0)</f>
        <v>SCS</v>
      </c>
    </row>
    <row r="965" spans="1:51" x14ac:dyDescent="0.3">
      <c r="A965" s="7"/>
      <c r="B965" s="7"/>
      <c r="C965" s="7"/>
      <c r="D965" s="7"/>
      <c r="E965" s="32" t="s">
        <v>246</v>
      </c>
      <c r="F965" s="32"/>
      <c r="G965" s="32">
        <v>71015</v>
      </c>
      <c r="H965" s="32" t="s">
        <v>463</v>
      </c>
      <c r="I965" s="33">
        <v>5.5E-2</v>
      </c>
      <c r="J965" s="170"/>
      <c r="K965" s="7" t="str">
        <f>VLOOKUP($E965,Mapping!$E$11:$I$204,3,0)</f>
        <v>ACS</v>
      </c>
      <c r="L965" s="7" t="str">
        <f>IFERROR(VLOOKUP($G965,Mapping!$E$208:$K$236,5,0),"Contracts")</f>
        <v>Materials</v>
      </c>
      <c r="M965" s="7" t="str">
        <f>IFERROR(VLOOKUP($G965,Mapping!$E$208:$K$236,7,0),"ENDirect")</f>
        <v>ENDirect</v>
      </c>
      <c r="N965" s="7" t="str">
        <f>IFERROR(HLOOKUP(L965,'Calc|Weightings'!$U$5:$W$5,1,0),"Excl")</f>
        <v>Materials</v>
      </c>
      <c r="O965" s="7" t="str">
        <f>VLOOKUP(E965,Mapping!$E$11:$I$204,5,0)</f>
        <v>ACS</v>
      </c>
      <c r="Q965" s="32" t="s">
        <v>242</v>
      </c>
      <c r="R965" s="32"/>
      <c r="S965" s="32">
        <v>71000</v>
      </c>
      <c r="T965" s="32" t="s">
        <v>457</v>
      </c>
      <c r="U965" s="33">
        <v>26.923999999999999</v>
      </c>
      <c r="V965" s="7"/>
      <c r="W965" s="7" t="str">
        <f>VLOOKUP($Q965,Mapping!$E$11:$I$204,3,0)</f>
        <v>Replacement</v>
      </c>
      <c r="X965" s="7" t="str">
        <f>IFERROR(VLOOKUP($S965,Mapping!$E$208:$K$236,5,0),"Contracts")</f>
        <v>Labour</v>
      </c>
      <c r="Y965" s="7" t="str">
        <f>IFERROR(VLOOKUP($S965,Mapping!$E$208:$K$236,7,0),"ENDirect")</f>
        <v>ENDirect</v>
      </c>
      <c r="Z965" s="7" t="str">
        <f>IFERROR(HLOOKUP(X965,'Calc|Weightings'!$U$5:$W$5,1,0),"Excl")</f>
        <v>Labour</v>
      </c>
      <c r="AA965" s="7" t="str">
        <f>VLOOKUP(Q965,Mapping!$E$11:$I$204,5,0)</f>
        <v>SCS</v>
      </c>
      <c r="AC965" s="35" t="s">
        <v>252</v>
      </c>
      <c r="AD965" s="35"/>
      <c r="AE965" s="35">
        <v>71005</v>
      </c>
      <c r="AF965" s="35" t="s">
        <v>461</v>
      </c>
      <c r="AG965" s="36">
        <v>4.2370000000000001</v>
      </c>
      <c r="AI965" s="7" t="str">
        <f>VLOOKUP($AC965,Mapping!$E$11:$I$204,3,0)</f>
        <v>ACS</v>
      </c>
      <c r="AJ965" s="7" t="str">
        <f>IFERROR(VLOOKUP($AE965,Mapping!$E$208:$K$236,5,0),"Contracts")</f>
        <v>Materials</v>
      </c>
      <c r="AK965" s="7" t="str">
        <f>IFERROR(VLOOKUP($AE965,Mapping!$E$208:$K$236,7,0),"ENDirect")</f>
        <v>ENDirect</v>
      </c>
      <c r="AL965" s="7" t="str">
        <f>IFERROR(HLOOKUP(AJ965,'Calc|Weightings'!$U$5:$W$5,1,0),"Excl")</f>
        <v>Materials</v>
      </c>
      <c r="AM965" s="7" t="str">
        <f>VLOOKUP(AC965,Mapping!$E$11:$I$204,5,0)</f>
        <v>ACS</v>
      </c>
      <c r="AO965" s="35" t="s">
        <v>241</v>
      </c>
      <c r="AP965" s="35"/>
      <c r="AQ965" s="35">
        <v>71075</v>
      </c>
      <c r="AR965" s="35" t="s">
        <v>587</v>
      </c>
      <c r="AS965" s="121">
        <v>22.29974</v>
      </c>
      <c r="AU965" s="7" t="str">
        <f>VLOOKUP($AO965,Mapping!$E$11:$I$204,3,0)</f>
        <v>Replacement</v>
      </c>
      <c r="AV965" s="7" t="str">
        <f>IFERROR(VLOOKUP($AQ965,Mapping!$E$208:$K$236,5,0),"Contracts")</f>
        <v>Contracts</v>
      </c>
      <c r="AW965" s="7" t="str">
        <f>IFERROR(VLOOKUP($AQ965,Mapping!$E$208:$K$236,7,0),"ENDirect")</f>
        <v>ENDirect</v>
      </c>
      <c r="AX965" s="7" t="str">
        <f>IFERROR(HLOOKUP(AV965,'Calc|Weightings'!$U$5:$W$5,1,0),"Excl")</f>
        <v>Contracts</v>
      </c>
      <c r="AY965" s="7" t="str">
        <f>VLOOKUP(AO965,Mapping!$E$11:$I$204,5,0)</f>
        <v>SCS</v>
      </c>
    </row>
    <row r="966" spans="1:51" x14ac:dyDescent="0.3">
      <c r="A966" s="7"/>
      <c r="B966" s="7"/>
      <c r="C966" s="7"/>
      <c r="D966" s="7"/>
      <c r="E966" s="32" t="s">
        <v>246</v>
      </c>
      <c r="F966" s="32"/>
      <c r="G966" s="32">
        <v>71055</v>
      </c>
      <c r="H966" s="32" t="s">
        <v>465</v>
      </c>
      <c r="I966" s="33">
        <v>0.115</v>
      </c>
      <c r="J966" s="170"/>
      <c r="K966" s="7" t="str">
        <f>VLOOKUP($E966,Mapping!$E$11:$I$204,3,0)</f>
        <v>ACS</v>
      </c>
      <c r="L966" s="7" t="str">
        <f>IFERROR(VLOOKUP($G966,Mapping!$E$208:$K$236,5,0),"Contracts")</f>
        <v>Contracts</v>
      </c>
      <c r="M966" s="7" t="str">
        <f>IFERROR(VLOOKUP($G966,Mapping!$E$208:$K$236,7,0),"ENDirect")</f>
        <v>ENDirect</v>
      </c>
      <c r="N966" s="7" t="str">
        <f>IFERROR(HLOOKUP(L966,'Calc|Weightings'!$U$5:$W$5,1,0),"Excl")</f>
        <v>Contracts</v>
      </c>
      <c r="O966" s="7" t="str">
        <f>VLOOKUP(E966,Mapping!$E$11:$I$204,5,0)</f>
        <v>ACS</v>
      </c>
      <c r="Q966" s="32" t="s">
        <v>242</v>
      </c>
      <c r="R966" s="32"/>
      <c r="S966" s="32">
        <v>71005</v>
      </c>
      <c r="T966" s="32" t="s">
        <v>461</v>
      </c>
      <c r="U966" s="33">
        <v>1.206</v>
      </c>
      <c r="V966" s="7"/>
      <c r="W966" s="7" t="str">
        <f>VLOOKUP($Q966,Mapping!$E$11:$I$204,3,0)</f>
        <v>Replacement</v>
      </c>
      <c r="X966" s="7" t="str">
        <f>IFERROR(VLOOKUP($S966,Mapping!$E$208:$K$236,5,0),"Contracts")</f>
        <v>Materials</v>
      </c>
      <c r="Y966" s="7" t="str">
        <f>IFERROR(VLOOKUP($S966,Mapping!$E$208:$K$236,7,0),"ENDirect")</f>
        <v>ENDirect</v>
      </c>
      <c r="Z966" s="7" t="str">
        <f>IFERROR(HLOOKUP(X966,'Calc|Weightings'!$U$5:$W$5,1,0),"Excl")</f>
        <v>Materials</v>
      </c>
      <c r="AA966" s="7" t="str">
        <f>VLOOKUP(Q966,Mapping!$E$11:$I$204,5,0)</f>
        <v>SCS</v>
      </c>
      <c r="AC966" s="35" t="s">
        <v>252</v>
      </c>
      <c r="AD966" s="35"/>
      <c r="AE966" s="35">
        <v>71010</v>
      </c>
      <c r="AF966" s="35" t="s">
        <v>462</v>
      </c>
      <c r="AG966" s="36">
        <v>0.255</v>
      </c>
      <c r="AI966" s="7" t="str">
        <f>VLOOKUP($AC966,Mapping!$E$11:$I$204,3,0)</f>
        <v>ACS</v>
      </c>
      <c r="AJ966" s="7" t="str">
        <f>IFERROR(VLOOKUP($AE966,Mapping!$E$208:$K$236,5,0),"Contracts")</f>
        <v>Labour</v>
      </c>
      <c r="AK966" s="7" t="str">
        <f>IFERROR(VLOOKUP($AE966,Mapping!$E$208:$K$236,7,0),"ENDirect")</f>
        <v>ENDirect</v>
      </c>
      <c r="AL966" s="7" t="str">
        <f>IFERROR(HLOOKUP(AJ966,'Calc|Weightings'!$U$5:$W$5,1,0),"Excl")</f>
        <v>Labour</v>
      </c>
      <c r="AM966" s="7" t="str">
        <f>VLOOKUP(AC966,Mapping!$E$11:$I$204,5,0)</f>
        <v>ACS</v>
      </c>
      <c r="AO966" s="35" t="s">
        <v>241</v>
      </c>
      <c r="AP966" s="35"/>
      <c r="AQ966" s="35">
        <v>80000</v>
      </c>
      <c r="AR966" s="35" t="s">
        <v>589</v>
      </c>
      <c r="AS966" s="121">
        <v>36.064410000000002</v>
      </c>
      <c r="AU966" s="7" t="str">
        <f>VLOOKUP($AO966,Mapping!$E$11:$I$204,3,0)</f>
        <v>Replacement</v>
      </c>
      <c r="AV966" s="7" t="str">
        <f>IFERROR(VLOOKUP($AQ966,Mapping!$E$208:$K$236,5,0),"Contracts")</f>
        <v>Overhead</v>
      </c>
      <c r="AW966" s="7" t="str">
        <f>IFERROR(VLOOKUP($AQ966,Mapping!$E$208:$K$236,7,0),"ENDirect")</f>
        <v>OH</v>
      </c>
      <c r="AX966" s="7" t="str">
        <f>IFERROR(HLOOKUP(AV966,'Calc|Weightings'!$U$5:$W$5,1,0),"Excl")</f>
        <v>Excl</v>
      </c>
      <c r="AY966" s="7" t="str">
        <f>VLOOKUP(AO966,Mapping!$E$11:$I$204,5,0)</f>
        <v>SCS</v>
      </c>
    </row>
    <row r="967" spans="1:51" x14ac:dyDescent="0.3">
      <c r="A967" s="7"/>
      <c r="B967" s="7"/>
      <c r="C967" s="7"/>
      <c r="D967" s="7"/>
      <c r="E967" s="32" t="s">
        <v>247</v>
      </c>
      <c r="F967" s="32"/>
      <c r="G967" s="32">
        <v>71005</v>
      </c>
      <c r="H967" s="32" t="s">
        <v>461</v>
      </c>
      <c r="I967" s="33">
        <v>0.35799999999999998</v>
      </c>
      <c r="J967" s="170"/>
      <c r="K967" s="7" t="str">
        <f>VLOOKUP($E967,Mapping!$E$11:$I$204,3,0)</f>
        <v>ACS</v>
      </c>
      <c r="L967" s="7" t="str">
        <f>IFERROR(VLOOKUP($G967,Mapping!$E$208:$K$236,5,0),"Contracts")</f>
        <v>Materials</v>
      </c>
      <c r="M967" s="7" t="str">
        <f>IFERROR(VLOOKUP($G967,Mapping!$E$208:$K$236,7,0),"ENDirect")</f>
        <v>ENDirect</v>
      </c>
      <c r="N967" s="7" t="str">
        <f>IFERROR(HLOOKUP(L967,'Calc|Weightings'!$U$5:$W$5,1,0),"Excl")</f>
        <v>Materials</v>
      </c>
      <c r="O967" s="7" t="str">
        <f>VLOOKUP(E967,Mapping!$E$11:$I$204,5,0)</f>
        <v>ACS</v>
      </c>
      <c r="Q967" s="32" t="s">
        <v>242</v>
      </c>
      <c r="R967" s="32"/>
      <c r="S967" s="32">
        <v>71010</v>
      </c>
      <c r="T967" s="32" t="s">
        <v>462</v>
      </c>
      <c r="U967" s="33">
        <v>10.676</v>
      </c>
      <c r="V967" s="7"/>
      <c r="W967" s="7" t="str">
        <f>VLOOKUP($Q967,Mapping!$E$11:$I$204,3,0)</f>
        <v>Replacement</v>
      </c>
      <c r="X967" s="7" t="str">
        <f>IFERROR(VLOOKUP($S967,Mapping!$E$208:$K$236,5,0),"Contracts")</f>
        <v>Labour</v>
      </c>
      <c r="Y967" s="7" t="str">
        <f>IFERROR(VLOOKUP($S967,Mapping!$E$208:$K$236,7,0),"ENDirect")</f>
        <v>ENDirect</v>
      </c>
      <c r="Z967" s="7" t="str">
        <f>IFERROR(HLOOKUP(X967,'Calc|Weightings'!$U$5:$W$5,1,0),"Excl")</f>
        <v>Labour</v>
      </c>
      <c r="AA967" s="7" t="str">
        <f>VLOOKUP(Q967,Mapping!$E$11:$I$204,5,0)</f>
        <v>SCS</v>
      </c>
      <c r="AC967" s="35" t="s">
        <v>256</v>
      </c>
      <c r="AD967" s="35"/>
      <c r="AE967" s="35">
        <v>71000</v>
      </c>
      <c r="AF967" s="35" t="s">
        <v>457</v>
      </c>
      <c r="AG967" s="36">
        <v>566.25900000000001</v>
      </c>
      <c r="AI967" s="7" t="str">
        <f>VLOOKUP($AC967,Mapping!$E$11:$I$204,3,0)</f>
        <v>ACS</v>
      </c>
      <c r="AJ967" s="7" t="str">
        <f>IFERROR(VLOOKUP($AE967,Mapping!$E$208:$K$236,5,0),"Contracts")</f>
        <v>Labour</v>
      </c>
      <c r="AK967" s="7" t="str">
        <f>IFERROR(VLOOKUP($AE967,Mapping!$E$208:$K$236,7,0),"ENDirect")</f>
        <v>ENDirect</v>
      </c>
      <c r="AL967" s="7" t="str">
        <f>IFERROR(HLOOKUP(AJ967,'Calc|Weightings'!$U$5:$W$5,1,0),"Excl")</f>
        <v>Labour</v>
      </c>
      <c r="AM967" s="7" t="str">
        <f>VLOOKUP(AC967,Mapping!$E$11:$I$204,5,0)</f>
        <v>ACS</v>
      </c>
      <c r="AO967" s="35" t="s">
        <v>241</v>
      </c>
      <c r="AP967" s="35"/>
      <c r="AQ967" s="35">
        <v>83010</v>
      </c>
      <c r="AR967" s="35" t="s">
        <v>591</v>
      </c>
      <c r="AS967" s="121">
        <v>186.44615999999996</v>
      </c>
      <c r="AU967" s="7" t="str">
        <f>VLOOKUP($AO967,Mapping!$E$11:$I$204,3,0)</f>
        <v>Replacement</v>
      </c>
      <c r="AV967" s="7" t="str">
        <f>IFERROR(VLOOKUP($AQ967,Mapping!$E$208:$K$236,5,0),"Contracts")</f>
        <v>Contracts</v>
      </c>
      <c r="AW967" s="7" t="str">
        <f>IFERROR(VLOOKUP($AQ967,Mapping!$E$208:$K$236,7,0),"ENDirect")</f>
        <v>ENDirect</v>
      </c>
      <c r="AX967" s="7" t="str">
        <f>IFERROR(HLOOKUP(AV967,'Calc|Weightings'!$U$5:$W$5,1,0),"Excl")</f>
        <v>Contracts</v>
      </c>
      <c r="AY967" s="7" t="str">
        <f>VLOOKUP(AO967,Mapping!$E$11:$I$204,5,0)</f>
        <v>SCS</v>
      </c>
    </row>
    <row r="968" spans="1:51" x14ac:dyDescent="0.3">
      <c r="A968" s="7"/>
      <c r="B968" s="7"/>
      <c r="C968" s="7"/>
      <c r="D968" s="7"/>
      <c r="E968" s="32" t="s">
        <v>247</v>
      </c>
      <c r="F968" s="32"/>
      <c r="G968" s="32">
        <v>71015</v>
      </c>
      <c r="H968" s="32" t="s">
        <v>463</v>
      </c>
      <c r="I968" s="33">
        <v>0.13800000000000001</v>
      </c>
      <c r="J968" s="170"/>
      <c r="K968" s="7" t="str">
        <f>VLOOKUP($E968,Mapping!$E$11:$I$204,3,0)</f>
        <v>ACS</v>
      </c>
      <c r="L968" s="7" t="str">
        <f>IFERROR(VLOOKUP($G968,Mapping!$E$208:$K$236,5,0),"Contracts")</f>
        <v>Materials</v>
      </c>
      <c r="M968" s="7" t="str">
        <f>IFERROR(VLOOKUP($G968,Mapping!$E$208:$K$236,7,0),"ENDirect")</f>
        <v>ENDirect</v>
      </c>
      <c r="N968" s="7" t="str">
        <f>IFERROR(HLOOKUP(L968,'Calc|Weightings'!$U$5:$W$5,1,0),"Excl")</f>
        <v>Materials</v>
      </c>
      <c r="O968" s="7" t="str">
        <f>VLOOKUP(E968,Mapping!$E$11:$I$204,5,0)</f>
        <v>ACS</v>
      </c>
      <c r="Q968" s="32" t="s">
        <v>242</v>
      </c>
      <c r="R968" s="32"/>
      <c r="S968" s="32">
        <v>71015</v>
      </c>
      <c r="T968" s="32" t="s">
        <v>463</v>
      </c>
      <c r="U968" s="33">
        <v>6.4710000000000001</v>
      </c>
      <c r="V968" s="7"/>
      <c r="W968" s="7" t="str">
        <f>VLOOKUP($Q968,Mapping!$E$11:$I$204,3,0)</f>
        <v>Replacement</v>
      </c>
      <c r="X968" s="7" t="str">
        <f>IFERROR(VLOOKUP($S968,Mapping!$E$208:$K$236,5,0),"Contracts")</f>
        <v>Materials</v>
      </c>
      <c r="Y968" s="7" t="str">
        <f>IFERROR(VLOOKUP($S968,Mapping!$E$208:$K$236,7,0),"ENDirect")</f>
        <v>ENDirect</v>
      </c>
      <c r="Z968" s="7" t="str">
        <f>IFERROR(HLOOKUP(X968,'Calc|Weightings'!$U$5:$W$5,1,0),"Excl")</f>
        <v>Materials</v>
      </c>
      <c r="AA968" s="7" t="str">
        <f>VLOOKUP(Q968,Mapping!$E$11:$I$204,5,0)</f>
        <v>SCS</v>
      </c>
      <c r="AC968" s="35" t="s">
        <v>256</v>
      </c>
      <c r="AD968" s="35"/>
      <c r="AE968" s="35">
        <v>71005</v>
      </c>
      <c r="AF968" s="35" t="s">
        <v>461</v>
      </c>
      <c r="AG968" s="36">
        <v>177.827</v>
      </c>
      <c r="AI968" s="7" t="str">
        <f>VLOOKUP($AC968,Mapping!$E$11:$I$204,3,0)</f>
        <v>ACS</v>
      </c>
      <c r="AJ968" s="7" t="str">
        <f>IFERROR(VLOOKUP($AE968,Mapping!$E$208:$K$236,5,0),"Contracts")</f>
        <v>Materials</v>
      </c>
      <c r="AK968" s="7" t="str">
        <f>IFERROR(VLOOKUP($AE968,Mapping!$E$208:$K$236,7,0),"ENDirect")</f>
        <v>ENDirect</v>
      </c>
      <c r="AL968" s="7" t="str">
        <f>IFERROR(HLOOKUP(AJ968,'Calc|Weightings'!$U$5:$W$5,1,0),"Excl")</f>
        <v>Materials</v>
      </c>
      <c r="AM968" s="7" t="str">
        <f>VLOOKUP(AC968,Mapping!$E$11:$I$204,5,0)</f>
        <v>ACS</v>
      </c>
      <c r="AO968" s="35" t="s">
        <v>242</v>
      </c>
      <c r="AP968" s="35"/>
      <c r="AQ968" s="35">
        <v>71070</v>
      </c>
      <c r="AR968" s="35" t="s">
        <v>586</v>
      </c>
      <c r="AS968" s="121">
        <v>0.58722000000000008</v>
      </c>
      <c r="AU968" s="7" t="str">
        <f>VLOOKUP($AO968,Mapping!$E$11:$I$204,3,0)</f>
        <v>Replacement</v>
      </c>
      <c r="AV968" s="7" t="str">
        <f>IFERROR(VLOOKUP($AQ968,Mapping!$E$208:$K$236,5,0),"Contracts")</f>
        <v>Contracts</v>
      </c>
      <c r="AW968" s="7" t="str">
        <f>IFERROR(VLOOKUP($AQ968,Mapping!$E$208:$K$236,7,0),"ENDirect")</f>
        <v>ENDirect</v>
      </c>
      <c r="AX968" s="7" t="str">
        <f>IFERROR(HLOOKUP(AV968,'Calc|Weightings'!$U$5:$W$5,1,0),"Excl")</f>
        <v>Contracts</v>
      </c>
      <c r="AY968" s="7" t="str">
        <f>VLOOKUP(AO968,Mapping!$E$11:$I$204,5,0)</f>
        <v>SCS</v>
      </c>
    </row>
    <row r="969" spans="1:51" x14ac:dyDescent="0.3">
      <c r="A969" s="7"/>
      <c r="B969" s="7"/>
      <c r="C969" s="7"/>
      <c r="D969" s="7"/>
      <c r="E969" s="32" t="s">
        <v>247</v>
      </c>
      <c r="F969" s="32"/>
      <c r="G969" s="32">
        <v>71055</v>
      </c>
      <c r="H969" s="32" t="s">
        <v>465</v>
      </c>
      <c r="I969" s="33">
        <v>4.8689999999999998</v>
      </c>
      <c r="J969" s="170"/>
      <c r="K969" s="7" t="str">
        <f>VLOOKUP($E969,Mapping!$E$11:$I$204,3,0)</f>
        <v>ACS</v>
      </c>
      <c r="L969" s="7" t="str">
        <f>IFERROR(VLOOKUP($G969,Mapping!$E$208:$K$236,5,0),"Contracts")</f>
        <v>Contracts</v>
      </c>
      <c r="M969" s="7" t="str">
        <f>IFERROR(VLOOKUP($G969,Mapping!$E$208:$K$236,7,0),"ENDirect")</f>
        <v>ENDirect</v>
      </c>
      <c r="N969" s="7" t="str">
        <f>IFERROR(HLOOKUP(L969,'Calc|Weightings'!$U$5:$W$5,1,0),"Excl")</f>
        <v>Contracts</v>
      </c>
      <c r="O969" s="7" t="str">
        <f>VLOOKUP(E969,Mapping!$E$11:$I$204,5,0)</f>
        <v>ACS</v>
      </c>
      <c r="Q969" s="32" t="s">
        <v>242</v>
      </c>
      <c r="R969" s="32"/>
      <c r="S969" s="32">
        <v>71030</v>
      </c>
      <c r="T969" s="32" t="s">
        <v>464</v>
      </c>
      <c r="U969" s="33">
        <v>3.4550000000000001</v>
      </c>
      <c r="V969" s="7"/>
      <c r="W969" s="7" t="str">
        <f>VLOOKUP($Q969,Mapping!$E$11:$I$204,3,0)</f>
        <v>Replacement</v>
      </c>
      <c r="X969" s="7" t="str">
        <f>IFERROR(VLOOKUP($S969,Mapping!$E$208:$K$236,5,0),"Contracts")</f>
        <v>Contracts</v>
      </c>
      <c r="Y969" s="7" t="str">
        <f>IFERROR(VLOOKUP($S969,Mapping!$E$208:$K$236,7,0),"ENDirect")</f>
        <v>ENDirect</v>
      </c>
      <c r="Z969" s="7" t="str">
        <f>IFERROR(HLOOKUP(X969,'Calc|Weightings'!$U$5:$W$5,1,0),"Excl")</f>
        <v>Contracts</v>
      </c>
      <c r="AA969" s="7" t="str">
        <f>VLOOKUP(Q969,Mapping!$E$11:$I$204,5,0)</f>
        <v>SCS</v>
      </c>
      <c r="AC969" s="35" t="s">
        <v>256</v>
      </c>
      <c r="AD969" s="35"/>
      <c r="AE969" s="35">
        <v>71010</v>
      </c>
      <c r="AF969" s="35" t="s">
        <v>462</v>
      </c>
      <c r="AG969" s="36">
        <v>40.54</v>
      </c>
      <c r="AI969" s="7" t="str">
        <f>VLOOKUP($AC969,Mapping!$E$11:$I$204,3,0)</f>
        <v>ACS</v>
      </c>
      <c r="AJ969" s="7" t="str">
        <f>IFERROR(VLOOKUP($AE969,Mapping!$E$208:$K$236,5,0),"Contracts")</f>
        <v>Labour</v>
      </c>
      <c r="AK969" s="7" t="str">
        <f>IFERROR(VLOOKUP($AE969,Mapping!$E$208:$K$236,7,0),"ENDirect")</f>
        <v>ENDirect</v>
      </c>
      <c r="AL969" s="7" t="str">
        <f>IFERROR(HLOOKUP(AJ969,'Calc|Weightings'!$U$5:$W$5,1,0),"Excl")</f>
        <v>Labour</v>
      </c>
      <c r="AM969" s="7" t="str">
        <f>VLOOKUP(AC969,Mapping!$E$11:$I$204,5,0)</f>
        <v>ACS</v>
      </c>
      <c r="AO969" s="35" t="s">
        <v>242</v>
      </c>
      <c r="AP969" s="35"/>
      <c r="AQ969" s="35">
        <v>71075</v>
      </c>
      <c r="AR969" s="35" t="s">
        <v>587</v>
      </c>
      <c r="AS969" s="121">
        <v>3.3749300000000009</v>
      </c>
      <c r="AU969" s="7" t="str">
        <f>VLOOKUP($AO969,Mapping!$E$11:$I$204,3,0)</f>
        <v>Replacement</v>
      </c>
      <c r="AV969" s="7" t="str">
        <f>IFERROR(VLOOKUP($AQ969,Mapping!$E$208:$K$236,5,0),"Contracts")</f>
        <v>Contracts</v>
      </c>
      <c r="AW969" s="7" t="str">
        <f>IFERROR(VLOOKUP($AQ969,Mapping!$E$208:$K$236,7,0),"ENDirect")</f>
        <v>ENDirect</v>
      </c>
      <c r="AX969" s="7" t="str">
        <f>IFERROR(HLOOKUP(AV969,'Calc|Weightings'!$U$5:$W$5,1,0),"Excl")</f>
        <v>Contracts</v>
      </c>
      <c r="AY969" s="7" t="str">
        <f>VLOOKUP(AO969,Mapping!$E$11:$I$204,5,0)</f>
        <v>SCS</v>
      </c>
    </row>
    <row r="970" spans="1:51" x14ac:dyDescent="0.3">
      <c r="A970" s="7"/>
      <c r="B970" s="7"/>
      <c r="C970" s="7"/>
      <c r="D970" s="7"/>
      <c r="E970" s="32" t="s">
        <v>256</v>
      </c>
      <c r="F970" s="32"/>
      <c r="G970" s="32">
        <v>71005</v>
      </c>
      <c r="H970" s="32" t="s">
        <v>461</v>
      </c>
      <c r="I970" s="33">
        <v>1.2549999999999999</v>
      </c>
      <c r="J970" s="170"/>
      <c r="K970" s="7" t="str">
        <f>VLOOKUP($E970,Mapping!$E$11:$I$204,3,0)</f>
        <v>ACS</v>
      </c>
      <c r="L970" s="7" t="str">
        <f>IFERROR(VLOOKUP($G970,Mapping!$E$208:$K$236,5,0),"Contracts")</f>
        <v>Materials</v>
      </c>
      <c r="M970" s="7" t="str">
        <f>IFERROR(VLOOKUP($G970,Mapping!$E$208:$K$236,7,0),"ENDirect")</f>
        <v>ENDirect</v>
      </c>
      <c r="N970" s="7" t="str">
        <f>IFERROR(HLOOKUP(L970,'Calc|Weightings'!$U$5:$W$5,1,0),"Excl")</f>
        <v>Materials</v>
      </c>
      <c r="O970" s="7" t="str">
        <f>VLOOKUP(E970,Mapping!$E$11:$I$204,5,0)</f>
        <v>ACS</v>
      </c>
      <c r="Q970" s="32" t="s">
        <v>242</v>
      </c>
      <c r="R970" s="32"/>
      <c r="S970" s="32">
        <v>71055</v>
      </c>
      <c r="T970" s="32" t="s">
        <v>465</v>
      </c>
      <c r="U970" s="33">
        <v>4.0839999999999996</v>
      </c>
      <c r="V970" s="7"/>
      <c r="W970" s="7" t="str">
        <f>VLOOKUP($Q970,Mapping!$E$11:$I$204,3,0)</f>
        <v>Replacement</v>
      </c>
      <c r="X970" s="7" t="str">
        <f>IFERROR(VLOOKUP($S970,Mapping!$E$208:$K$236,5,0),"Contracts")</f>
        <v>Contracts</v>
      </c>
      <c r="Y970" s="7" t="str">
        <f>IFERROR(VLOOKUP($S970,Mapping!$E$208:$K$236,7,0),"ENDirect")</f>
        <v>ENDirect</v>
      </c>
      <c r="Z970" s="7" t="str">
        <f>IFERROR(HLOOKUP(X970,'Calc|Weightings'!$U$5:$W$5,1,0),"Excl")</f>
        <v>Contracts</v>
      </c>
      <c r="AA970" s="7" t="str">
        <f>VLOOKUP(Q970,Mapping!$E$11:$I$204,5,0)</f>
        <v>SCS</v>
      </c>
      <c r="AC970" s="35" t="s">
        <v>256</v>
      </c>
      <c r="AD970" s="35"/>
      <c r="AE970" s="35">
        <v>71015</v>
      </c>
      <c r="AF970" s="35" t="s">
        <v>463</v>
      </c>
      <c r="AG970" s="36">
        <v>168.12700000000001</v>
      </c>
      <c r="AI970" s="7" t="str">
        <f>VLOOKUP($AC970,Mapping!$E$11:$I$204,3,0)</f>
        <v>ACS</v>
      </c>
      <c r="AJ970" s="7" t="str">
        <f>IFERROR(VLOOKUP($AE970,Mapping!$E$208:$K$236,5,0),"Contracts")</f>
        <v>Materials</v>
      </c>
      <c r="AK970" s="7" t="str">
        <f>IFERROR(VLOOKUP($AE970,Mapping!$E$208:$K$236,7,0),"ENDirect")</f>
        <v>ENDirect</v>
      </c>
      <c r="AL970" s="7" t="str">
        <f>IFERROR(HLOOKUP(AJ970,'Calc|Weightings'!$U$5:$W$5,1,0),"Excl")</f>
        <v>Materials</v>
      </c>
      <c r="AM970" s="7" t="str">
        <f>VLOOKUP(AC970,Mapping!$E$11:$I$204,5,0)</f>
        <v>ACS</v>
      </c>
      <c r="AO970" s="35" t="s">
        <v>242</v>
      </c>
      <c r="AP970" s="35"/>
      <c r="AQ970" s="35">
        <v>80000</v>
      </c>
      <c r="AR970" s="35" t="s">
        <v>589</v>
      </c>
      <c r="AS970" s="121">
        <v>5.6510199999999999</v>
      </c>
      <c r="AU970" s="7" t="str">
        <f>VLOOKUP($AO970,Mapping!$E$11:$I$204,3,0)</f>
        <v>Replacement</v>
      </c>
      <c r="AV970" s="7" t="str">
        <f>IFERROR(VLOOKUP($AQ970,Mapping!$E$208:$K$236,5,0),"Contracts")</f>
        <v>Overhead</v>
      </c>
      <c r="AW970" s="7" t="str">
        <f>IFERROR(VLOOKUP($AQ970,Mapping!$E$208:$K$236,7,0),"ENDirect")</f>
        <v>OH</v>
      </c>
      <c r="AX970" s="7" t="str">
        <f>IFERROR(HLOOKUP(AV970,'Calc|Weightings'!$U$5:$W$5,1,0),"Excl")</f>
        <v>Excl</v>
      </c>
      <c r="AY970" s="7" t="str">
        <f>VLOOKUP(AO970,Mapping!$E$11:$I$204,5,0)</f>
        <v>SCS</v>
      </c>
    </row>
    <row r="971" spans="1:51" x14ac:dyDescent="0.3">
      <c r="A971" s="7"/>
      <c r="B971" s="7"/>
      <c r="C971" s="7"/>
      <c r="D971" s="7"/>
      <c r="E971" s="32" t="s">
        <v>256</v>
      </c>
      <c r="F971" s="32"/>
      <c r="G971" s="32">
        <v>71055</v>
      </c>
      <c r="H971" s="32" t="s">
        <v>465</v>
      </c>
      <c r="I971" s="33">
        <v>6.3360000000000003</v>
      </c>
      <c r="J971" s="170"/>
      <c r="K971" s="7" t="str">
        <f>VLOOKUP($E971,Mapping!$E$11:$I$204,3,0)</f>
        <v>ACS</v>
      </c>
      <c r="L971" s="7" t="str">
        <f>IFERROR(VLOOKUP($G971,Mapping!$E$208:$K$236,5,0),"Contracts")</f>
        <v>Contracts</v>
      </c>
      <c r="M971" s="7" t="str">
        <f>IFERROR(VLOOKUP($G971,Mapping!$E$208:$K$236,7,0),"ENDirect")</f>
        <v>ENDirect</v>
      </c>
      <c r="N971" s="7" t="str">
        <f>IFERROR(HLOOKUP(L971,'Calc|Weightings'!$U$5:$W$5,1,0),"Excl")</f>
        <v>Contracts</v>
      </c>
      <c r="O971" s="7" t="str">
        <f>VLOOKUP(E971,Mapping!$E$11:$I$204,5,0)</f>
        <v>ACS</v>
      </c>
      <c r="Q971" s="32" t="s">
        <v>242</v>
      </c>
      <c r="R971" s="32"/>
      <c r="S971" s="32">
        <v>80000</v>
      </c>
      <c r="T971" s="32" t="s">
        <v>453</v>
      </c>
      <c r="U971" s="33">
        <v>6.9820000000000002</v>
      </c>
      <c r="V971" s="7"/>
      <c r="W971" s="7" t="str">
        <f>VLOOKUP($Q971,Mapping!$E$11:$I$204,3,0)</f>
        <v>Replacement</v>
      </c>
      <c r="X971" s="7" t="str">
        <f>IFERROR(VLOOKUP($S971,Mapping!$E$208:$K$236,5,0),"Contracts")</f>
        <v>Overhead</v>
      </c>
      <c r="Y971" s="7" t="str">
        <f>IFERROR(VLOOKUP($S971,Mapping!$E$208:$K$236,7,0),"ENDirect")</f>
        <v>OH</v>
      </c>
      <c r="Z971" s="7" t="str">
        <f>IFERROR(HLOOKUP(X971,'Calc|Weightings'!$U$5:$W$5,1,0),"Excl")</f>
        <v>Excl</v>
      </c>
      <c r="AA971" s="7" t="str">
        <f>VLOOKUP(Q971,Mapping!$E$11:$I$204,5,0)</f>
        <v>SCS</v>
      </c>
      <c r="AC971" s="35" t="s">
        <v>256</v>
      </c>
      <c r="AD971" s="35"/>
      <c r="AE971" s="35">
        <v>71030</v>
      </c>
      <c r="AF971" s="35" t="s">
        <v>464</v>
      </c>
      <c r="AG971" s="36">
        <v>77.884</v>
      </c>
      <c r="AI971" s="7" t="str">
        <f>VLOOKUP($AC971,Mapping!$E$11:$I$204,3,0)</f>
        <v>ACS</v>
      </c>
      <c r="AJ971" s="7" t="str">
        <f>IFERROR(VLOOKUP($AE971,Mapping!$E$208:$K$236,5,0),"Contracts")</f>
        <v>Contracts</v>
      </c>
      <c r="AK971" s="7" t="str">
        <f>IFERROR(VLOOKUP($AE971,Mapping!$E$208:$K$236,7,0),"ENDirect")</f>
        <v>ENDirect</v>
      </c>
      <c r="AL971" s="7" t="str">
        <f>IFERROR(HLOOKUP(AJ971,'Calc|Weightings'!$U$5:$W$5,1,0),"Excl")</f>
        <v>Contracts</v>
      </c>
      <c r="AM971" s="7" t="str">
        <f>VLOOKUP(AC971,Mapping!$E$11:$I$204,5,0)</f>
        <v>ACS</v>
      </c>
      <c r="AO971" s="35" t="s">
        <v>242</v>
      </c>
      <c r="AP971" s="35"/>
      <c r="AQ971" s="35">
        <v>83010</v>
      </c>
      <c r="AR971" s="35" t="s">
        <v>591</v>
      </c>
      <c r="AS971" s="121">
        <v>29.654610000000016</v>
      </c>
      <c r="AU971" s="7" t="str">
        <f>VLOOKUP($AO971,Mapping!$E$11:$I$204,3,0)</f>
        <v>Replacement</v>
      </c>
      <c r="AV971" s="7" t="str">
        <f>IFERROR(VLOOKUP($AQ971,Mapping!$E$208:$K$236,5,0),"Contracts")</f>
        <v>Contracts</v>
      </c>
      <c r="AW971" s="7" t="str">
        <f>IFERROR(VLOOKUP($AQ971,Mapping!$E$208:$K$236,7,0),"ENDirect")</f>
        <v>ENDirect</v>
      </c>
      <c r="AX971" s="7" t="str">
        <f>IFERROR(HLOOKUP(AV971,'Calc|Weightings'!$U$5:$W$5,1,0),"Excl")</f>
        <v>Contracts</v>
      </c>
      <c r="AY971" s="7" t="str">
        <f>VLOOKUP(AO971,Mapping!$E$11:$I$204,5,0)</f>
        <v>SCS</v>
      </c>
    </row>
    <row r="972" spans="1:51" x14ac:dyDescent="0.3">
      <c r="A972" s="7"/>
      <c r="B972" s="7"/>
      <c r="C972" s="7"/>
      <c r="D972" s="7"/>
      <c r="E972" s="32" t="s">
        <v>133</v>
      </c>
      <c r="F972" s="32"/>
      <c r="G972" s="32">
        <v>71005</v>
      </c>
      <c r="H972" s="32" t="s">
        <v>461</v>
      </c>
      <c r="I972" s="33">
        <v>202.11199999999999</v>
      </c>
      <c r="J972" s="170"/>
      <c r="K972" s="7" t="str">
        <f>VLOOKUP($E972,Mapping!$E$11:$I$204,3,0)</f>
        <v>ACS</v>
      </c>
      <c r="L972" s="7" t="str">
        <f>IFERROR(VLOOKUP($G972,Mapping!$E$208:$K$236,5,0),"Contracts")</f>
        <v>Materials</v>
      </c>
      <c r="M972" s="7" t="str">
        <f>IFERROR(VLOOKUP($G972,Mapping!$E$208:$K$236,7,0),"ENDirect")</f>
        <v>ENDirect</v>
      </c>
      <c r="N972" s="7" t="str">
        <f>IFERROR(HLOOKUP(L972,'Calc|Weightings'!$U$5:$W$5,1,0),"Excl")</f>
        <v>Materials</v>
      </c>
      <c r="O972" s="7" t="str">
        <f>VLOOKUP(E972,Mapping!$E$11:$I$204,5,0)</f>
        <v>ACS</v>
      </c>
      <c r="Q972" s="32" t="s">
        <v>242</v>
      </c>
      <c r="R972" s="32"/>
      <c r="S972" s="32">
        <v>89999</v>
      </c>
      <c r="T972" s="32" t="s">
        <v>471</v>
      </c>
      <c r="U972" s="33">
        <v>0</v>
      </c>
      <c r="V972" s="7"/>
      <c r="W972" s="7" t="str">
        <f>VLOOKUP($Q972,Mapping!$E$11:$I$204,3,0)</f>
        <v>Replacement</v>
      </c>
      <c r="X972" s="7" t="str">
        <f>IFERROR(VLOOKUP($S972,Mapping!$E$208:$K$236,5,0),"Contracts")</f>
        <v>Contracts</v>
      </c>
      <c r="Y972" s="7" t="str">
        <f>IFERROR(VLOOKUP($S972,Mapping!$E$208:$K$236,7,0),"ENDirect")</f>
        <v>ENDirect</v>
      </c>
      <c r="Z972" s="7" t="str">
        <f>IFERROR(HLOOKUP(X972,'Calc|Weightings'!$U$5:$W$5,1,0),"Excl")</f>
        <v>Contracts</v>
      </c>
      <c r="AA972" s="7" t="str">
        <f>VLOOKUP(Q972,Mapping!$E$11:$I$204,5,0)</f>
        <v>SCS</v>
      </c>
      <c r="AC972" s="35" t="s">
        <v>256</v>
      </c>
      <c r="AD972" s="35"/>
      <c r="AE972" s="35">
        <v>71055</v>
      </c>
      <c r="AF972" s="35" t="s">
        <v>465</v>
      </c>
      <c r="AG972" s="36">
        <v>142.02000000000001</v>
      </c>
      <c r="AI972" s="7" t="str">
        <f>VLOOKUP($AC972,Mapping!$E$11:$I$204,3,0)</f>
        <v>ACS</v>
      </c>
      <c r="AJ972" s="7" t="str">
        <f>IFERROR(VLOOKUP($AE972,Mapping!$E$208:$K$236,5,0),"Contracts")</f>
        <v>Contracts</v>
      </c>
      <c r="AK972" s="7" t="str">
        <f>IFERROR(VLOOKUP($AE972,Mapping!$E$208:$K$236,7,0),"ENDirect")</f>
        <v>ENDirect</v>
      </c>
      <c r="AL972" s="7" t="str">
        <f>IFERROR(HLOOKUP(AJ972,'Calc|Weightings'!$U$5:$W$5,1,0),"Excl")</f>
        <v>Contracts</v>
      </c>
      <c r="AM972" s="7" t="str">
        <f>VLOOKUP(AC972,Mapping!$E$11:$I$204,5,0)</f>
        <v>ACS</v>
      </c>
      <c r="AO972" s="35" t="s">
        <v>244</v>
      </c>
      <c r="AP972" s="35"/>
      <c r="AQ972" s="35">
        <v>71000</v>
      </c>
      <c r="AR972" s="35" t="s">
        <v>457</v>
      </c>
      <c r="AS972" s="121">
        <v>29.887030000000003</v>
      </c>
      <c r="AU972" s="7" t="str">
        <f>VLOOKUP($AO972,Mapping!$E$11:$I$204,3,0)</f>
        <v>Replacement</v>
      </c>
      <c r="AV972" s="7" t="str">
        <f>IFERROR(VLOOKUP($AQ972,Mapping!$E$208:$K$236,5,0),"Contracts")</f>
        <v>Labour</v>
      </c>
      <c r="AW972" s="7" t="str">
        <f>IFERROR(VLOOKUP($AQ972,Mapping!$E$208:$K$236,7,0),"ENDirect")</f>
        <v>ENDirect</v>
      </c>
      <c r="AX972" s="7" t="str">
        <f>IFERROR(HLOOKUP(AV972,'Calc|Weightings'!$U$5:$W$5,1,0),"Excl")</f>
        <v>Labour</v>
      </c>
      <c r="AY972" s="7" t="str">
        <f>VLOOKUP(AO972,Mapping!$E$11:$I$204,5,0)</f>
        <v>SCS</v>
      </c>
    </row>
    <row r="973" spans="1:51" x14ac:dyDescent="0.3">
      <c r="A973" s="7"/>
      <c r="B973" s="7"/>
      <c r="C973" s="7"/>
      <c r="D973" s="7"/>
      <c r="E973" s="32" t="s">
        <v>133</v>
      </c>
      <c r="F973" s="32"/>
      <c r="G973" s="32">
        <v>71015</v>
      </c>
      <c r="H973" s="32" t="s">
        <v>463</v>
      </c>
      <c r="I973" s="33">
        <v>119.804</v>
      </c>
      <c r="J973" s="170"/>
      <c r="K973" s="7" t="str">
        <f>VLOOKUP($E973,Mapping!$E$11:$I$204,3,0)</f>
        <v>ACS</v>
      </c>
      <c r="L973" s="7" t="str">
        <f>IFERROR(VLOOKUP($G973,Mapping!$E$208:$K$236,5,0),"Contracts")</f>
        <v>Materials</v>
      </c>
      <c r="M973" s="7" t="str">
        <f>IFERROR(VLOOKUP($G973,Mapping!$E$208:$K$236,7,0),"ENDirect")</f>
        <v>ENDirect</v>
      </c>
      <c r="N973" s="7" t="str">
        <f>IFERROR(HLOOKUP(L973,'Calc|Weightings'!$U$5:$W$5,1,0),"Excl")</f>
        <v>Materials</v>
      </c>
      <c r="O973" s="7" t="str">
        <f>VLOOKUP(E973,Mapping!$E$11:$I$204,5,0)</f>
        <v>ACS</v>
      </c>
      <c r="Q973" s="32" t="s">
        <v>210</v>
      </c>
      <c r="R973" s="32"/>
      <c r="S973" s="32">
        <v>71006</v>
      </c>
      <c r="T973" s="32" t="s">
        <v>468</v>
      </c>
      <c r="U973" s="33">
        <v>267.90300000000002</v>
      </c>
      <c r="V973" s="7"/>
      <c r="W973" s="7" t="str">
        <f>VLOOKUP($Q973,Mapping!$E$11:$I$204,3,0)</f>
        <v>Replacement</v>
      </c>
      <c r="X973" s="7" t="str">
        <f>IFERROR(VLOOKUP($S973,Mapping!$E$208:$K$236,5,0),"Contracts")</f>
        <v>Materials</v>
      </c>
      <c r="Y973" s="7" t="str">
        <f>IFERROR(VLOOKUP($S973,Mapping!$E$208:$K$236,7,0),"ENDirect")</f>
        <v>ENDirect</v>
      </c>
      <c r="Z973" s="7" t="str">
        <f>IFERROR(HLOOKUP(X973,'Calc|Weightings'!$U$5:$W$5,1,0),"Excl")</f>
        <v>Materials</v>
      </c>
      <c r="AA973" s="7" t="str">
        <f>VLOOKUP(Q973,Mapping!$E$11:$I$204,5,0)</f>
        <v>SCS</v>
      </c>
      <c r="AC973" s="35" t="s">
        <v>242</v>
      </c>
      <c r="AD973" s="35"/>
      <c r="AE973" s="35">
        <v>71020</v>
      </c>
      <c r="AF973" s="35" t="s">
        <v>459</v>
      </c>
      <c r="AG973" s="36">
        <v>0</v>
      </c>
      <c r="AI973" s="7" t="str">
        <f>VLOOKUP($AC973,Mapping!$E$11:$I$204,3,0)</f>
        <v>Replacement</v>
      </c>
      <c r="AJ973" s="7" t="str">
        <f>IFERROR(VLOOKUP($AE973,Mapping!$E$208:$K$236,5,0),"Contracts")</f>
        <v>Contracts</v>
      </c>
      <c r="AK973" s="7" t="str">
        <f>IFERROR(VLOOKUP($AE973,Mapping!$E$208:$K$236,7,0),"ENDirect")</f>
        <v>ENDirect</v>
      </c>
      <c r="AL973" s="7" t="str">
        <f>IFERROR(HLOOKUP(AJ973,'Calc|Weightings'!$U$5:$W$5,1,0),"Excl")</f>
        <v>Contracts</v>
      </c>
      <c r="AM973" s="7" t="str">
        <f>VLOOKUP(AC973,Mapping!$E$11:$I$204,5,0)</f>
        <v>SCS</v>
      </c>
      <c r="AO973" s="35" t="s">
        <v>244</v>
      </c>
      <c r="AP973" s="35"/>
      <c r="AQ973" s="35">
        <v>71005</v>
      </c>
      <c r="AR973" s="35" t="s">
        <v>461</v>
      </c>
      <c r="AS973" s="121">
        <v>1.7547600000000001</v>
      </c>
      <c r="AU973" s="7" t="str">
        <f>VLOOKUP($AO973,Mapping!$E$11:$I$204,3,0)</f>
        <v>Replacement</v>
      </c>
      <c r="AV973" s="7" t="str">
        <f>IFERROR(VLOOKUP($AQ973,Mapping!$E$208:$K$236,5,0),"Contracts")</f>
        <v>Materials</v>
      </c>
      <c r="AW973" s="7" t="str">
        <f>IFERROR(VLOOKUP($AQ973,Mapping!$E$208:$K$236,7,0),"ENDirect")</f>
        <v>ENDirect</v>
      </c>
      <c r="AX973" s="7" t="str">
        <f>IFERROR(HLOOKUP(AV973,'Calc|Weightings'!$U$5:$W$5,1,0),"Excl")</f>
        <v>Materials</v>
      </c>
      <c r="AY973" s="7" t="str">
        <f>VLOOKUP(AO973,Mapping!$E$11:$I$204,5,0)</f>
        <v>SCS</v>
      </c>
    </row>
    <row r="974" spans="1:51" x14ac:dyDescent="0.3">
      <c r="A974" s="7"/>
      <c r="B974" s="7"/>
      <c r="C974" s="7"/>
      <c r="D974" s="7"/>
      <c r="E974" s="32" t="s">
        <v>133</v>
      </c>
      <c r="F974" s="32"/>
      <c r="G974" s="32">
        <v>71040</v>
      </c>
      <c r="H974" s="32" t="s">
        <v>460</v>
      </c>
      <c r="I974" s="33">
        <v>-7.2080000000000002</v>
      </c>
      <c r="J974" s="170"/>
      <c r="K974" s="7" t="str">
        <f>VLOOKUP($E974,Mapping!$E$11:$I$204,3,0)</f>
        <v>ACS</v>
      </c>
      <c r="L974" s="7" t="str">
        <f>IFERROR(VLOOKUP($G974,Mapping!$E$208:$K$236,5,0),"Contracts")</f>
        <v>Contracts</v>
      </c>
      <c r="M974" s="7" t="str">
        <f>IFERROR(VLOOKUP($G974,Mapping!$E$208:$K$236,7,0),"ENDirect")</f>
        <v>ENDirect</v>
      </c>
      <c r="N974" s="7" t="str">
        <f>IFERROR(HLOOKUP(L974,'Calc|Weightings'!$U$5:$W$5,1,0),"Excl")</f>
        <v>Contracts</v>
      </c>
      <c r="O974" s="7" t="str">
        <f>VLOOKUP(E974,Mapping!$E$11:$I$204,5,0)</f>
        <v>ACS</v>
      </c>
      <c r="Q974" s="32" t="s">
        <v>210</v>
      </c>
      <c r="R974" s="32"/>
      <c r="S974" s="32">
        <v>71045</v>
      </c>
      <c r="T974" s="32" t="s">
        <v>469</v>
      </c>
      <c r="U974" s="33">
        <v>2037.8340000000001</v>
      </c>
      <c r="V974" s="7"/>
      <c r="W974" s="7" t="str">
        <f>VLOOKUP($Q974,Mapping!$E$11:$I$204,3,0)</f>
        <v>Replacement</v>
      </c>
      <c r="X974" s="7" t="str">
        <f>IFERROR(VLOOKUP($S974,Mapping!$E$208:$K$236,5,0),"Contracts")</f>
        <v>Materials</v>
      </c>
      <c r="Y974" s="7" t="str">
        <f>IFERROR(VLOOKUP($S974,Mapping!$E$208:$K$236,7,0),"ENDirect")</f>
        <v>ENDirect</v>
      </c>
      <c r="Z974" s="7" t="str">
        <f>IFERROR(HLOOKUP(X974,'Calc|Weightings'!$U$5:$W$5,1,0),"Excl")</f>
        <v>Materials</v>
      </c>
      <c r="AA974" s="7" t="str">
        <f>VLOOKUP(Q974,Mapping!$E$11:$I$204,5,0)</f>
        <v>SCS</v>
      </c>
      <c r="AC974" s="35" t="s">
        <v>254</v>
      </c>
      <c r="AD974" s="35"/>
      <c r="AE974" s="35">
        <v>71020</v>
      </c>
      <c r="AF974" s="35" t="s">
        <v>459</v>
      </c>
      <c r="AG974" s="36">
        <v>0</v>
      </c>
      <c r="AI974" s="7" t="str">
        <f>VLOOKUP($AC974,Mapping!$E$11:$I$204,3,0)</f>
        <v>ACS</v>
      </c>
      <c r="AJ974" s="7" t="str">
        <f>IFERROR(VLOOKUP($AE974,Mapping!$E$208:$K$236,5,0),"Contracts")</f>
        <v>Contracts</v>
      </c>
      <c r="AK974" s="7" t="str">
        <f>IFERROR(VLOOKUP($AE974,Mapping!$E$208:$K$236,7,0),"ENDirect")</f>
        <v>ENDirect</v>
      </c>
      <c r="AL974" s="7" t="str">
        <f>IFERROR(HLOOKUP(AJ974,'Calc|Weightings'!$U$5:$W$5,1,0),"Excl")</f>
        <v>Contracts</v>
      </c>
      <c r="AM974" s="7" t="str">
        <f>VLOOKUP(AC974,Mapping!$E$11:$I$204,5,0)</f>
        <v>ACS</v>
      </c>
      <c r="AO974" s="35" t="s">
        <v>244</v>
      </c>
      <c r="AP974" s="35"/>
      <c r="AQ974" s="35">
        <v>71010</v>
      </c>
      <c r="AR974" s="35" t="s">
        <v>487</v>
      </c>
      <c r="AS974" s="121">
        <v>9.0845300000000009</v>
      </c>
      <c r="AU974" s="7" t="str">
        <f>VLOOKUP($AO974,Mapping!$E$11:$I$204,3,0)</f>
        <v>Replacement</v>
      </c>
      <c r="AV974" s="7" t="str">
        <f>IFERROR(VLOOKUP($AQ974,Mapping!$E$208:$K$236,5,0),"Contracts")</f>
        <v>Labour</v>
      </c>
      <c r="AW974" s="7" t="str">
        <f>IFERROR(VLOOKUP($AQ974,Mapping!$E$208:$K$236,7,0),"ENDirect")</f>
        <v>ENDirect</v>
      </c>
      <c r="AX974" s="7" t="str">
        <f>IFERROR(HLOOKUP(AV974,'Calc|Weightings'!$U$5:$W$5,1,0),"Excl")</f>
        <v>Labour</v>
      </c>
      <c r="AY974" s="7" t="str">
        <f>VLOOKUP(AO974,Mapping!$E$11:$I$204,5,0)</f>
        <v>SCS</v>
      </c>
    </row>
    <row r="975" spans="1:51" x14ac:dyDescent="0.3">
      <c r="A975" s="7"/>
      <c r="B975" s="7"/>
      <c r="C975" s="7"/>
      <c r="D975" s="7"/>
      <c r="E975" s="32" t="s">
        <v>133</v>
      </c>
      <c r="F975" s="32"/>
      <c r="G975" s="32">
        <v>71055</v>
      </c>
      <c r="H975" s="32" t="s">
        <v>465</v>
      </c>
      <c r="I975" s="33">
        <v>228.15100000000001</v>
      </c>
      <c r="J975" s="170"/>
      <c r="K975" s="7" t="str">
        <f>VLOOKUP($E975,Mapping!$E$11:$I$204,3,0)</f>
        <v>ACS</v>
      </c>
      <c r="L975" s="7" t="str">
        <f>IFERROR(VLOOKUP($G975,Mapping!$E$208:$K$236,5,0),"Contracts")</f>
        <v>Contracts</v>
      </c>
      <c r="M975" s="7" t="str">
        <f>IFERROR(VLOOKUP($G975,Mapping!$E$208:$K$236,7,0),"ENDirect")</f>
        <v>ENDirect</v>
      </c>
      <c r="N975" s="7" t="str">
        <f>IFERROR(HLOOKUP(L975,'Calc|Weightings'!$U$5:$W$5,1,0),"Excl")</f>
        <v>Contracts</v>
      </c>
      <c r="O975" s="7" t="str">
        <f>VLOOKUP(E975,Mapping!$E$11:$I$204,5,0)</f>
        <v>ACS</v>
      </c>
      <c r="Q975" s="32" t="s">
        <v>163</v>
      </c>
      <c r="R975" s="32"/>
      <c r="S975" s="32">
        <v>71020</v>
      </c>
      <c r="T975" s="32" t="s">
        <v>459</v>
      </c>
      <c r="U975" s="33">
        <v>0.22900000000000001</v>
      </c>
      <c r="V975" s="7"/>
      <c r="W975" s="7" t="str">
        <f>VLOOKUP($Q975,Mapping!$E$11:$I$204,3,0)</f>
        <v>Replacement</v>
      </c>
      <c r="X975" s="7" t="str">
        <f>IFERROR(VLOOKUP($S975,Mapping!$E$208:$K$236,5,0),"Contracts")</f>
        <v>Contracts</v>
      </c>
      <c r="Y975" s="7" t="str">
        <f>IFERROR(VLOOKUP($S975,Mapping!$E$208:$K$236,7,0),"ENDirect")</f>
        <v>ENDirect</v>
      </c>
      <c r="Z975" s="7" t="str">
        <f>IFERROR(HLOOKUP(X975,'Calc|Weightings'!$U$5:$W$5,1,0),"Excl")</f>
        <v>Contracts</v>
      </c>
      <c r="AA975" s="7" t="str">
        <f>VLOOKUP(Q975,Mapping!$E$11:$I$204,5,0)</f>
        <v>SCS</v>
      </c>
      <c r="AC975" s="35" t="s">
        <v>225</v>
      </c>
      <c r="AD975" s="35"/>
      <c r="AE975" s="35">
        <v>71005</v>
      </c>
      <c r="AF975" s="35" t="s">
        <v>461</v>
      </c>
      <c r="AG975" s="36">
        <v>91.605999999999995</v>
      </c>
      <c r="AI975" s="7" t="str">
        <f>VLOOKUP($AC975,Mapping!$E$11:$I$204,3,0)</f>
        <v>Replacement</v>
      </c>
      <c r="AJ975" s="7" t="str">
        <f>IFERROR(VLOOKUP($AE975,Mapping!$E$208:$K$236,5,0),"Contracts")</f>
        <v>Materials</v>
      </c>
      <c r="AK975" s="7" t="str">
        <f>IFERROR(VLOOKUP($AE975,Mapping!$E$208:$K$236,7,0),"ENDirect")</f>
        <v>ENDirect</v>
      </c>
      <c r="AL975" s="7" t="str">
        <f>IFERROR(HLOOKUP(AJ975,'Calc|Weightings'!$U$5:$W$5,1,0),"Excl")</f>
        <v>Materials</v>
      </c>
      <c r="AM975" s="7" t="str">
        <f>VLOOKUP(AC975,Mapping!$E$11:$I$204,5,0)</f>
        <v>SCS</v>
      </c>
      <c r="AO975" s="35" t="s">
        <v>244</v>
      </c>
      <c r="AP975" s="35"/>
      <c r="AQ975" s="35">
        <v>71015</v>
      </c>
      <c r="AR975" s="35" t="s">
        <v>585</v>
      </c>
      <c r="AS975" s="121">
        <v>2.5126599999999999</v>
      </c>
      <c r="AU975" s="7" t="str">
        <f>VLOOKUP($AO975,Mapping!$E$11:$I$204,3,0)</f>
        <v>Replacement</v>
      </c>
      <c r="AV975" s="7" t="str">
        <f>IFERROR(VLOOKUP($AQ975,Mapping!$E$208:$K$236,5,0),"Contracts")</f>
        <v>Materials</v>
      </c>
      <c r="AW975" s="7" t="str">
        <f>IFERROR(VLOOKUP($AQ975,Mapping!$E$208:$K$236,7,0),"ENDirect")</f>
        <v>ENDirect</v>
      </c>
      <c r="AX975" s="7" t="str">
        <f>IFERROR(HLOOKUP(AV975,'Calc|Weightings'!$U$5:$W$5,1,0),"Excl")</f>
        <v>Materials</v>
      </c>
      <c r="AY975" s="7" t="str">
        <f>VLOOKUP(AO975,Mapping!$E$11:$I$204,5,0)</f>
        <v>SCS</v>
      </c>
    </row>
    <row r="976" spans="1:51" x14ac:dyDescent="0.3">
      <c r="A976" s="7"/>
      <c r="B976" s="7"/>
      <c r="C976" s="7"/>
      <c r="D976" s="7"/>
      <c r="E976" s="32" t="s">
        <v>135</v>
      </c>
      <c r="F976" s="32"/>
      <c r="G976" s="32">
        <v>71005</v>
      </c>
      <c r="H976" s="32" t="s">
        <v>461</v>
      </c>
      <c r="I976" s="33">
        <v>63.091000000000001</v>
      </c>
      <c r="J976" s="170"/>
      <c r="K976" s="7" t="str">
        <f>VLOOKUP($E976,Mapping!$E$11:$I$204,3,0)</f>
        <v>ACS</v>
      </c>
      <c r="L976" s="7" t="str">
        <f>IFERROR(VLOOKUP($G976,Mapping!$E$208:$K$236,5,0),"Contracts")</f>
        <v>Materials</v>
      </c>
      <c r="M976" s="7" t="str">
        <f>IFERROR(VLOOKUP($G976,Mapping!$E$208:$K$236,7,0),"ENDirect")</f>
        <v>ENDirect</v>
      </c>
      <c r="N976" s="7" t="str">
        <f>IFERROR(HLOOKUP(L976,'Calc|Weightings'!$U$5:$W$5,1,0),"Excl")</f>
        <v>Materials</v>
      </c>
      <c r="O976" s="7" t="str">
        <f>VLOOKUP(E976,Mapping!$E$11:$I$204,5,0)</f>
        <v>ACS</v>
      </c>
      <c r="Q976" s="32" t="s">
        <v>192</v>
      </c>
      <c r="R976" s="32"/>
      <c r="S976" s="32">
        <v>71006</v>
      </c>
      <c r="T976" s="32" t="s">
        <v>468</v>
      </c>
      <c r="U976" s="33">
        <v>12.06</v>
      </c>
      <c r="V976" s="7"/>
      <c r="W976" s="7" t="str">
        <f>VLOOKUP($Q976,Mapping!$E$11:$I$204,3,0)</f>
        <v>VBRC</v>
      </c>
      <c r="X976" s="7" t="str">
        <f>IFERROR(VLOOKUP($S976,Mapping!$E$208:$K$236,5,0),"Contracts")</f>
        <v>Materials</v>
      </c>
      <c r="Y976" s="7" t="str">
        <f>IFERROR(VLOOKUP($S976,Mapping!$E$208:$K$236,7,0),"ENDirect")</f>
        <v>ENDirect</v>
      </c>
      <c r="Z976" s="7" t="str">
        <f>IFERROR(HLOOKUP(X976,'Calc|Weightings'!$U$5:$W$5,1,0),"Excl")</f>
        <v>Materials</v>
      </c>
      <c r="AA976" s="7" t="str">
        <f>VLOOKUP(Q976,Mapping!$E$11:$I$204,5,0)</f>
        <v>SCS</v>
      </c>
      <c r="AC976" s="35" t="s">
        <v>225</v>
      </c>
      <c r="AD976" s="35"/>
      <c r="AE976" s="35">
        <v>71010</v>
      </c>
      <c r="AF976" s="35" t="s">
        <v>462</v>
      </c>
      <c r="AG976" s="36">
        <v>698.61599999999999</v>
      </c>
      <c r="AI976" s="7" t="str">
        <f>VLOOKUP($AC976,Mapping!$E$11:$I$204,3,0)</f>
        <v>Replacement</v>
      </c>
      <c r="AJ976" s="7" t="str">
        <f>IFERROR(VLOOKUP($AE976,Mapping!$E$208:$K$236,5,0),"Contracts")</f>
        <v>Labour</v>
      </c>
      <c r="AK976" s="7" t="str">
        <f>IFERROR(VLOOKUP($AE976,Mapping!$E$208:$K$236,7,0),"ENDirect")</f>
        <v>ENDirect</v>
      </c>
      <c r="AL976" s="7" t="str">
        <f>IFERROR(HLOOKUP(AJ976,'Calc|Weightings'!$U$5:$W$5,1,0),"Excl")</f>
        <v>Labour</v>
      </c>
      <c r="AM976" s="7" t="str">
        <f>VLOOKUP(AC976,Mapping!$E$11:$I$204,5,0)</f>
        <v>SCS</v>
      </c>
      <c r="AO976" s="35" t="s">
        <v>244</v>
      </c>
      <c r="AP976" s="35"/>
      <c r="AQ976" s="35">
        <v>71030</v>
      </c>
      <c r="AR976" s="35" t="s">
        <v>464</v>
      </c>
      <c r="AS976" s="121">
        <v>3.57273</v>
      </c>
      <c r="AU976" s="7" t="str">
        <f>VLOOKUP($AO976,Mapping!$E$11:$I$204,3,0)</f>
        <v>Replacement</v>
      </c>
      <c r="AV976" s="7" t="str">
        <f>IFERROR(VLOOKUP($AQ976,Mapping!$E$208:$K$236,5,0),"Contracts")</f>
        <v>Contracts</v>
      </c>
      <c r="AW976" s="7" t="str">
        <f>IFERROR(VLOOKUP($AQ976,Mapping!$E$208:$K$236,7,0),"ENDirect")</f>
        <v>ENDirect</v>
      </c>
      <c r="AX976" s="7" t="str">
        <f>IFERROR(HLOOKUP(AV976,'Calc|Weightings'!$U$5:$W$5,1,0),"Excl")</f>
        <v>Contracts</v>
      </c>
      <c r="AY976" s="7" t="str">
        <f>VLOOKUP(AO976,Mapping!$E$11:$I$204,5,0)</f>
        <v>SCS</v>
      </c>
    </row>
    <row r="977" spans="1:51" x14ac:dyDescent="0.3">
      <c r="A977" s="7"/>
      <c r="B977" s="7"/>
      <c r="C977" s="7"/>
      <c r="D977" s="7"/>
      <c r="E977" s="32" t="s">
        <v>135</v>
      </c>
      <c r="F977" s="32"/>
      <c r="G977" s="32">
        <v>71015</v>
      </c>
      <c r="H977" s="32" t="s">
        <v>463</v>
      </c>
      <c r="I977" s="33">
        <v>43.396999999999998</v>
      </c>
      <c r="J977" s="170"/>
      <c r="K977" s="7" t="str">
        <f>VLOOKUP($E977,Mapping!$E$11:$I$204,3,0)</f>
        <v>ACS</v>
      </c>
      <c r="L977" s="7" t="str">
        <f>IFERROR(VLOOKUP($G977,Mapping!$E$208:$K$236,5,0),"Contracts")</f>
        <v>Materials</v>
      </c>
      <c r="M977" s="7" t="str">
        <f>IFERROR(VLOOKUP($G977,Mapping!$E$208:$K$236,7,0),"ENDirect")</f>
        <v>ENDirect</v>
      </c>
      <c r="N977" s="7" t="str">
        <f>IFERROR(HLOOKUP(L977,'Calc|Weightings'!$U$5:$W$5,1,0),"Excl")</f>
        <v>Materials</v>
      </c>
      <c r="O977" s="7" t="str">
        <f>VLOOKUP(E977,Mapping!$E$11:$I$204,5,0)</f>
        <v>ACS</v>
      </c>
      <c r="Q977" s="32" t="s">
        <v>192</v>
      </c>
      <c r="R977" s="32"/>
      <c r="S977" s="32">
        <v>71045</v>
      </c>
      <c r="T977" s="32" t="s">
        <v>469</v>
      </c>
      <c r="U977" s="33">
        <v>173.39400000000001</v>
      </c>
      <c r="V977" s="7"/>
      <c r="W977" s="7" t="str">
        <f>VLOOKUP($Q977,Mapping!$E$11:$I$204,3,0)</f>
        <v>VBRC</v>
      </c>
      <c r="X977" s="7" t="str">
        <f>IFERROR(VLOOKUP($S977,Mapping!$E$208:$K$236,5,0),"Contracts")</f>
        <v>Materials</v>
      </c>
      <c r="Y977" s="7" t="str">
        <f>IFERROR(VLOOKUP($S977,Mapping!$E$208:$K$236,7,0),"ENDirect")</f>
        <v>ENDirect</v>
      </c>
      <c r="Z977" s="7" t="str">
        <f>IFERROR(HLOOKUP(X977,'Calc|Weightings'!$U$5:$W$5,1,0),"Excl")</f>
        <v>Materials</v>
      </c>
      <c r="AA977" s="7" t="str">
        <f>VLOOKUP(Q977,Mapping!$E$11:$I$204,5,0)</f>
        <v>SCS</v>
      </c>
      <c r="AC977" s="35" t="s">
        <v>225</v>
      </c>
      <c r="AD977" s="35"/>
      <c r="AE977" s="35">
        <v>71015</v>
      </c>
      <c r="AF977" s="35" t="s">
        <v>463</v>
      </c>
      <c r="AG977" s="36">
        <v>74.644999999999996</v>
      </c>
      <c r="AI977" s="7" t="str">
        <f>VLOOKUP($AC977,Mapping!$E$11:$I$204,3,0)</f>
        <v>Replacement</v>
      </c>
      <c r="AJ977" s="7" t="str">
        <f>IFERROR(VLOOKUP($AE977,Mapping!$E$208:$K$236,5,0),"Contracts")</f>
        <v>Materials</v>
      </c>
      <c r="AK977" s="7" t="str">
        <f>IFERROR(VLOOKUP($AE977,Mapping!$E$208:$K$236,7,0),"ENDirect")</f>
        <v>ENDirect</v>
      </c>
      <c r="AL977" s="7" t="str">
        <f>IFERROR(HLOOKUP(AJ977,'Calc|Weightings'!$U$5:$W$5,1,0),"Excl")</f>
        <v>Materials</v>
      </c>
      <c r="AM977" s="7" t="str">
        <f>VLOOKUP(AC977,Mapping!$E$11:$I$204,5,0)</f>
        <v>SCS</v>
      </c>
      <c r="AO977" s="35" t="s">
        <v>244</v>
      </c>
      <c r="AP977" s="35"/>
      <c r="AQ977" s="35">
        <v>71055</v>
      </c>
      <c r="AR977" s="35" t="s">
        <v>465</v>
      </c>
      <c r="AS977" s="121">
        <v>7.7999200000000002</v>
      </c>
      <c r="AU977" s="7" t="str">
        <f>VLOOKUP($AO977,Mapping!$E$11:$I$204,3,0)</f>
        <v>Replacement</v>
      </c>
      <c r="AV977" s="7" t="str">
        <f>IFERROR(VLOOKUP($AQ977,Mapping!$E$208:$K$236,5,0),"Contracts")</f>
        <v>Contracts</v>
      </c>
      <c r="AW977" s="7" t="str">
        <f>IFERROR(VLOOKUP($AQ977,Mapping!$E$208:$K$236,7,0),"ENDirect")</f>
        <v>ENDirect</v>
      </c>
      <c r="AX977" s="7" t="str">
        <f>IFERROR(HLOOKUP(AV977,'Calc|Weightings'!$U$5:$W$5,1,0),"Excl")</f>
        <v>Contracts</v>
      </c>
      <c r="AY977" s="7" t="str">
        <f>VLOOKUP(AO977,Mapping!$E$11:$I$204,5,0)</f>
        <v>SCS</v>
      </c>
    </row>
    <row r="978" spans="1:51" x14ac:dyDescent="0.3">
      <c r="A978" s="7"/>
      <c r="B978" s="7"/>
      <c r="C978" s="7"/>
      <c r="D978" s="7"/>
      <c r="E978" s="32" t="s">
        <v>135</v>
      </c>
      <c r="F978" s="32"/>
      <c r="G978" s="32">
        <v>71040</v>
      </c>
      <c r="H978" s="32" t="s">
        <v>460</v>
      </c>
      <c r="I978" s="33">
        <v>-2.5150000000000001</v>
      </c>
      <c r="J978" s="170"/>
      <c r="K978" s="7" t="str">
        <f>VLOOKUP($E978,Mapping!$E$11:$I$204,3,0)</f>
        <v>ACS</v>
      </c>
      <c r="L978" s="7" t="str">
        <f>IFERROR(VLOOKUP($G978,Mapping!$E$208:$K$236,5,0),"Contracts")</f>
        <v>Contracts</v>
      </c>
      <c r="M978" s="7" t="str">
        <f>IFERROR(VLOOKUP($G978,Mapping!$E$208:$K$236,7,0),"ENDirect")</f>
        <v>ENDirect</v>
      </c>
      <c r="N978" s="7" t="str">
        <f>IFERROR(HLOOKUP(L978,'Calc|Weightings'!$U$5:$W$5,1,0),"Excl")</f>
        <v>Contracts</v>
      </c>
      <c r="O978" s="7" t="str">
        <f>VLOOKUP(E978,Mapping!$E$11:$I$204,5,0)</f>
        <v>ACS</v>
      </c>
      <c r="Q978" s="32" t="s">
        <v>192</v>
      </c>
      <c r="R978" s="32"/>
      <c r="S978" s="32">
        <v>72300</v>
      </c>
      <c r="T978" s="32" t="s">
        <v>450</v>
      </c>
      <c r="U978" s="33">
        <v>0</v>
      </c>
      <c r="V978" s="7"/>
      <c r="W978" s="7" t="str">
        <f>VLOOKUP($Q978,Mapping!$E$11:$I$204,3,0)</f>
        <v>VBRC</v>
      </c>
      <c r="X978" s="7" t="str">
        <f>IFERROR(VLOOKUP($S978,Mapping!$E$208:$K$236,5,0),"Contracts")</f>
        <v>Contracts</v>
      </c>
      <c r="Y978" s="7" t="str">
        <f>IFERROR(VLOOKUP($S978,Mapping!$E$208:$K$236,7,0),"ENDirect")</f>
        <v>ENDirect</v>
      </c>
      <c r="Z978" s="7" t="str">
        <f>IFERROR(HLOOKUP(X978,'Calc|Weightings'!$U$5:$W$5,1,0),"Excl")</f>
        <v>Contracts</v>
      </c>
      <c r="AA978" s="7" t="str">
        <f>VLOOKUP(Q978,Mapping!$E$11:$I$204,5,0)</f>
        <v>SCS</v>
      </c>
      <c r="AC978" s="35" t="s">
        <v>225</v>
      </c>
      <c r="AD978" s="35"/>
      <c r="AE978" s="35">
        <v>71020</v>
      </c>
      <c r="AF978" s="35" t="s">
        <v>459</v>
      </c>
      <c r="AG978" s="36">
        <v>3.5139999999999998</v>
      </c>
      <c r="AI978" s="7" t="str">
        <f>VLOOKUP($AC978,Mapping!$E$11:$I$204,3,0)</f>
        <v>Replacement</v>
      </c>
      <c r="AJ978" s="7" t="str">
        <f>IFERROR(VLOOKUP($AE978,Mapping!$E$208:$K$236,5,0),"Contracts")</f>
        <v>Contracts</v>
      </c>
      <c r="AK978" s="7" t="str">
        <f>IFERROR(VLOOKUP($AE978,Mapping!$E$208:$K$236,7,0),"ENDirect")</f>
        <v>ENDirect</v>
      </c>
      <c r="AL978" s="7" t="str">
        <f>IFERROR(HLOOKUP(AJ978,'Calc|Weightings'!$U$5:$W$5,1,0),"Excl")</f>
        <v>Contracts</v>
      </c>
      <c r="AM978" s="7" t="str">
        <f>VLOOKUP(AC978,Mapping!$E$11:$I$204,5,0)</f>
        <v>SCS</v>
      </c>
      <c r="AO978" s="35" t="s">
        <v>244</v>
      </c>
      <c r="AP978" s="35"/>
      <c r="AQ978" s="35">
        <v>71070</v>
      </c>
      <c r="AR978" s="35" t="s">
        <v>586</v>
      </c>
      <c r="AS978" s="121">
        <v>2.2000000000000002</v>
      </c>
      <c r="AU978" s="7" t="str">
        <f>VLOOKUP($AO978,Mapping!$E$11:$I$204,3,0)</f>
        <v>Replacement</v>
      </c>
      <c r="AV978" s="7" t="str">
        <f>IFERROR(VLOOKUP($AQ978,Mapping!$E$208:$K$236,5,0),"Contracts")</f>
        <v>Contracts</v>
      </c>
      <c r="AW978" s="7" t="str">
        <f>IFERROR(VLOOKUP($AQ978,Mapping!$E$208:$K$236,7,0),"ENDirect")</f>
        <v>ENDirect</v>
      </c>
      <c r="AX978" s="7" t="str">
        <f>IFERROR(HLOOKUP(AV978,'Calc|Weightings'!$U$5:$W$5,1,0),"Excl")</f>
        <v>Contracts</v>
      </c>
      <c r="AY978" s="7" t="str">
        <f>VLOOKUP(AO978,Mapping!$E$11:$I$204,5,0)</f>
        <v>SCS</v>
      </c>
    </row>
    <row r="979" spans="1:51" x14ac:dyDescent="0.3">
      <c r="A979" s="7"/>
      <c r="B979" s="7"/>
      <c r="C979" s="7"/>
      <c r="D979" s="7"/>
      <c r="E979" s="32" t="s">
        <v>135</v>
      </c>
      <c r="F979" s="32"/>
      <c r="G979" s="32">
        <v>71055</v>
      </c>
      <c r="H979" s="32" t="s">
        <v>465</v>
      </c>
      <c r="I979" s="33">
        <v>85.317999999999998</v>
      </c>
      <c r="J979" s="170"/>
      <c r="K979" s="7" t="str">
        <f>VLOOKUP($E979,Mapping!$E$11:$I$204,3,0)</f>
        <v>ACS</v>
      </c>
      <c r="L979" s="7" t="str">
        <f>IFERROR(VLOOKUP($G979,Mapping!$E$208:$K$236,5,0),"Contracts")</f>
        <v>Contracts</v>
      </c>
      <c r="M979" s="7" t="str">
        <f>IFERROR(VLOOKUP($G979,Mapping!$E$208:$K$236,7,0),"ENDirect")</f>
        <v>ENDirect</v>
      </c>
      <c r="N979" s="7" t="str">
        <f>IFERROR(HLOOKUP(L979,'Calc|Weightings'!$U$5:$W$5,1,0),"Excl")</f>
        <v>Contracts</v>
      </c>
      <c r="O979" s="7" t="str">
        <f>VLOOKUP(E979,Mapping!$E$11:$I$204,5,0)</f>
        <v>ACS</v>
      </c>
      <c r="Q979" s="32" t="s">
        <v>152</v>
      </c>
      <c r="R979" s="32"/>
      <c r="S979" s="32">
        <v>71020</v>
      </c>
      <c r="T979" s="32" t="s">
        <v>459</v>
      </c>
      <c r="U979" s="33">
        <v>4.085</v>
      </c>
      <c r="V979" s="7"/>
      <c r="W979" s="7" t="str">
        <f>VLOOKUP($Q979,Mapping!$E$11:$I$204,3,0)</f>
        <v>Augmentation</v>
      </c>
      <c r="X979" s="7" t="str">
        <f>IFERROR(VLOOKUP($S979,Mapping!$E$208:$K$236,5,0),"Contracts")</f>
        <v>Contracts</v>
      </c>
      <c r="Y979" s="7" t="str">
        <f>IFERROR(VLOOKUP($S979,Mapping!$E$208:$K$236,7,0),"ENDirect")</f>
        <v>ENDirect</v>
      </c>
      <c r="Z979" s="7" t="str">
        <f>IFERROR(HLOOKUP(X979,'Calc|Weightings'!$U$5:$W$5,1,0),"Excl")</f>
        <v>Contracts</v>
      </c>
      <c r="AA979" s="7" t="str">
        <f>VLOOKUP(Q979,Mapping!$E$11:$I$204,5,0)</f>
        <v>SCS</v>
      </c>
      <c r="AC979" s="35" t="s">
        <v>225</v>
      </c>
      <c r="AD979" s="35"/>
      <c r="AE979" s="35">
        <v>71030</v>
      </c>
      <c r="AF979" s="35" t="s">
        <v>464</v>
      </c>
      <c r="AG979" s="36">
        <v>107.961</v>
      </c>
      <c r="AI979" s="7" t="str">
        <f>VLOOKUP($AC979,Mapping!$E$11:$I$204,3,0)</f>
        <v>Replacement</v>
      </c>
      <c r="AJ979" s="7" t="str">
        <f>IFERROR(VLOOKUP($AE979,Mapping!$E$208:$K$236,5,0),"Contracts")</f>
        <v>Contracts</v>
      </c>
      <c r="AK979" s="7" t="str">
        <f>IFERROR(VLOOKUP($AE979,Mapping!$E$208:$K$236,7,0),"ENDirect")</f>
        <v>ENDirect</v>
      </c>
      <c r="AL979" s="7" t="str">
        <f>IFERROR(HLOOKUP(AJ979,'Calc|Weightings'!$U$5:$W$5,1,0),"Excl")</f>
        <v>Contracts</v>
      </c>
      <c r="AM979" s="7" t="str">
        <f>VLOOKUP(AC979,Mapping!$E$11:$I$204,5,0)</f>
        <v>SCS</v>
      </c>
      <c r="AO979" s="35" t="s">
        <v>244</v>
      </c>
      <c r="AP979" s="35"/>
      <c r="AQ979" s="35">
        <v>71075</v>
      </c>
      <c r="AR979" s="35" t="s">
        <v>587</v>
      </c>
      <c r="AS979" s="121">
        <v>41.155039999999993</v>
      </c>
      <c r="AU979" s="7" t="str">
        <f>VLOOKUP($AO979,Mapping!$E$11:$I$204,3,0)</f>
        <v>Replacement</v>
      </c>
      <c r="AV979" s="7" t="str">
        <f>IFERROR(VLOOKUP($AQ979,Mapping!$E$208:$K$236,5,0),"Contracts")</f>
        <v>Contracts</v>
      </c>
      <c r="AW979" s="7" t="str">
        <f>IFERROR(VLOOKUP($AQ979,Mapping!$E$208:$K$236,7,0),"ENDirect")</f>
        <v>ENDirect</v>
      </c>
      <c r="AX979" s="7" t="str">
        <f>IFERROR(HLOOKUP(AV979,'Calc|Weightings'!$U$5:$W$5,1,0),"Excl")</f>
        <v>Contracts</v>
      </c>
      <c r="AY979" s="7" t="str">
        <f>VLOOKUP(AO979,Mapping!$E$11:$I$204,5,0)</f>
        <v>SCS</v>
      </c>
    </row>
    <row r="980" spans="1:51" x14ac:dyDescent="0.3">
      <c r="A980" s="7"/>
      <c r="B980" s="7"/>
      <c r="C980" s="7"/>
      <c r="D980" s="7"/>
      <c r="E980" s="32" t="s">
        <v>137</v>
      </c>
      <c r="F980" s="32"/>
      <c r="G980" s="32">
        <v>71005</v>
      </c>
      <c r="H980" s="32" t="s">
        <v>461</v>
      </c>
      <c r="I980" s="33">
        <v>5.7000000000000002E-2</v>
      </c>
      <c r="J980" s="170"/>
      <c r="K980" s="7" t="str">
        <f>VLOOKUP($E980,Mapping!$E$11:$I$204,3,0)</f>
        <v>ACS</v>
      </c>
      <c r="L980" s="7" t="str">
        <f>IFERROR(VLOOKUP($G980,Mapping!$E$208:$K$236,5,0),"Contracts")</f>
        <v>Materials</v>
      </c>
      <c r="M980" s="7" t="str">
        <f>IFERROR(VLOOKUP($G980,Mapping!$E$208:$K$236,7,0),"ENDirect")</f>
        <v>ENDirect</v>
      </c>
      <c r="N980" s="7" t="str">
        <f>IFERROR(HLOOKUP(L980,'Calc|Weightings'!$U$5:$W$5,1,0),"Excl")</f>
        <v>Materials</v>
      </c>
      <c r="O980" s="7" t="str">
        <f>VLOOKUP(E980,Mapping!$E$11:$I$204,5,0)</f>
        <v>ACS</v>
      </c>
      <c r="Q980" s="32" t="s">
        <v>111</v>
      </c>
      <c r="R980" s="32"/>
      <c r="S980" s="32">
        <v>72200</v>
      </c>
      <c r="T980" s="32" t="s">
        <v>455</v>
      </c>
      <c r="U980" s="33">
        <v>0</v>
      </c>
      <c r="V980" s="7"/>
      <c r="W980" s="7" t="str">
        <f>VLOOKUP($Q980,Mapping!$E$11:$I$204,3,0)</f>
        <v>Connections</v>
      </c>
      <c r="X980" s="7" t="str">
        <f>IFERROR(VLOOKUP($S980,Mapping!$E$208:$K$236,5,0),"Contracts")</f>
        <v>Labour</v>
      </c>
      <c r="Y980" s="7" t="str">
        <f>IFERROR(VLOOKUP($S980,Mapping!$E$208:$K$236,7,0),"ENDirect")</f>
        <v>ENDirect</v>
      </c>
      <c r="Z980" s="7" t="str">
        <f>IFERROR(HLOOKUP(X980,'Calc|Weightings'!$U$5:$W$5,1,0),"Excl")</f>
        <v>Labour</v>
      </c>
      <c r="AA980" s="7" t="str">
        <f>VLOOKUP(Q980,Mapping!$E$11:$I$204,5,0)</f>
        <v>SCS</v>
      </c>
      <c r="AC980" s="35" t="s">
        <v>225</v>
      </c>
      <c r="AD980" s="35"/>
      <c r="AE980" s="35">
        <v>71055</v>
      </c>
      <c r="AF980" s="35" t="s">
        <v>465</v>
      </c>
      <c r="AG980" s="36">
        <v>250.34</v>
      </c>
      <c r="AI980" s="7" t="str">
        <f>VLOOKUP($AC980,Mapping!$E$11:$I$204,3,0)</f>
        <v>Replacement</v>
      </c>
      <c r="AJ980" s="7" t="str">
        <f>IFERROR(VLOOKUP($AE980,Mapping!$E$208:$K$236,5,0),"Contracts")</f>
        <v>Contracts</v>
      </c>
      <c r="AK980" s="7" t="str">
        <f>IFERROR(VLOOKUP($AE980,Mapping!$E$208:$K$236,7,0),"ENDirect")</f>
        <v>ENDirect</v>
      </c>
      <c r="AL980" s="7" t="str">
        <f>IFERROR(HLOOKUP(AJ980,'Calc|Weightings'!$U$5:$W$5,1,0),"Excl")</f>
        <v>Contracts</v>
      </c>
      <c r="AM980" s="7" t="str">
        <f>VLOOKUP(AC980,Mapping!$E$11:$I$204,5,0)</f>
        <v>SCS</v>
      </c>
      <c r="AO980" s="35" t="s">
        <v>244</v>
      </c>
      <c r="AP980" s="35"/>
      <c r="AQ980" s="35">
        <v>80000</v>
      </c>
      <c r="AR980" s="35" t="s">
        <v>589</v>
      </c>
      <c r="AS980" s="121">
        <v>76.371719999999982</v>
      </c>
      <c r="AU980" s="7" t="str">
        <f>VLOOKUP($AO980,Mapping!$E$11:$I$204,3,0)</f>
        <v>Replacement</v>
      </c>
      <c r="AV980" s="7" t="str">
        <f>IFERROR(VLOOKUP($AQ980,Mapping!$E$208:$K$236,5,0),"Contracts")</f>
        <v>Overhead</v>
      </c>
      <c r="AW980" s="7" t="str">
        <f>IFERROR(VLOOKUP($AQ980,Mapping!$E$208:$K$236,7,0),"ENDirect")</f>
        <v>OH</v>
      </c>
      <c r="AX980" s="7" t="str">
        <f>IFERROR(HLOOKUP(AV980,'Calc|Weightings'!$U$5:$W$5,1,0),"Excl")</f>
        <v>Excl</v>
      </c>
      <c r="AY980" s="7" t="str">
        <f>VLOOKUP(AO980,Mapping!$E$11:$I$204,5,0)</f>
        <v>SCS</v>
      </c>
    </row>
    <row r="981" spans="1:51" x14ac:dyDescent="0.3">
      <c r="A981" s="7"/>
      <c r="B981" s="7"/>
      <c r="C981" s="7"/>
      <c r="D981" s="7"/>
      <c r="E981" s="32" t="s">
        <v>137</v>
      </c>
      <c r="F981" s="32"/>
      <c r="G981" s="32">
        <v>71015</v>
      </c>
      <c r="H981" s="32" t="s">
        <v>463</v>
      </c>
      <c r="I981" s="33">
        <v>0.13200000000000001</v>
      </c>
      <c r="J981" s="170"/>
      <c r="K981" s="7" t="str">
        <f>VLOOKUP($E981,Mapping!$E$11:$I$204,3,0)</f>
        <v>ACS</v>
      </c>
      <c r="L981" s="7" t="str">
        <f>IFERROR(VLOOKUP($G981,Mapping!$E$208:$K$236,5,0),"Contracts")</f>
        <v>Materials</v>
      </c>
      <c r="M981" s="7" t="str">
        <f>IFERROR(VLOOKUP($G981,Mapping!$E$208:$K$236,7,0),"ENDirect")</f>
        <v>ENDirect</v>
      </c>
      <c r="N981" s="7" t="str">
        <f>IFERROR(HLOOKUP(L981,'Calc|Weightings'!$U$5:$W$5,1,0),"Excl")</f>
        <v>Materials</v>
      </c>
      <c r="O981" s="7" t="str">
        <f>VLOOKUP(E981,Mapping!$E$11:$I$204,5,0)</f>
        <v>ACS</v>
      </c>
      <c r="Q981" s="32" t="s">
        <v>210</v>
      </c>
      <c r="R981" s="32"/>
      <c r="S981" s="32">
        <v>70815</v>
      </c>
      <c r="T981" s="32" t="s">
        <v>451</v>
      </c>
      <c r="U981" s="33">
        <v>137.81899999999999</v>
      </c>
      <c r="V981" s="7"/>
      <c r="W981" s="7" t="str">
        <f>VLOOKUP($Q981,Mapping!$E$11:$I$204,3,0)</f>
        <v>Replacement</v>
      </c>
      <c r="X981" s="7" t="str">
        <f>IFERROR(VLOOKUP($S981,Mapping!$E$208:$K$236,5,0),"Contracts")</f>
        <v>Materials</v>
      </c>
      <c r="Y981" s="7" t="str">
        <f>IFERROR(VLOOKUP($S981,Mapping!$E$208:$K$236,7,0),"ENDirect")</f>
        <v>ENDirect</v>
      </c>
      <c r="Z981" s="7" t="str">
        <f>IFERROR(HLOOKUP(X981,'Calc|Weightings'!$U$5:$W$5,1,0),"Excl")</f>
        <v>Materials</v>
      </c>
      <c r="AA981" s="7" t="str">
        <f>VLOOKUP(Q981,Mapping!$E$11:$I$204,5,0)</f>
        <v>SCS</v>
      </c>
      <c r="AC981" s="35" t="s">
        <v>225</v>
      </c>
      <c r="AD981" s="35"/>
      <c r="AE981" s="35">
        <v>80000</v>
      </c>
      <c r="AF981" s="35" t="s">
        <v>453</v>
      </c>
      <c r="AG981" s="36">
        <v>209.21799999999999</v>
      </c>
      <c r="AI981" s="7" t="str">
        <f>VLOOKUP($AC981,Mapping!$E$11:$I$204,3,0)</f>
        <v>Replacement</v>
      </c>
      <c r="AJ981" s="7" t="str">
        <f>IFERROR(VLOOKUP($AE981,Mapping!$E$208:$K$236,5,0),"Contracts")</f>
        <v>Overhead</v>
      </c>
      <c r="AK981" s="7" t="str">
        <f>IFERROR(VLOOKUP($AE981,Mapping!$E$208:$K$236,7,0),"ENDirect")</f>
        <v>OH</v>
      </c>
      <c r="AL981" s="7" t="str">
        <f>IFERROR(HLOOKUP(AJ981,'Calc|Weightings'!$U$5:$W$5,1,0),"Excl")</f>
        <v>Excl</v>
      </c>
      <c r="AM981" s="7" t="str">
        <f>VLOOKUP(AC981,Mapping!$E$11:$I$204,5,0)</f>
        <v>SCS</v>
      </c>
      <c r="AO981" s="35" t="s">
        <v>244</v>
      </c>
      <c r="AP981" s="35"/>
      <c r="AQ981" s="35">
        <v>83010</v>
      </c>
      <c r="AR981" s="35" t="s">
        <v>591</v>
      </c>
      <c r="AS981" s="121">
        <v>336.6</v>
      </c>
      <c r="AU981" s="7" t="str">
        <f>VLOOKUP($AO981,Mapping!$E$11:$I$204,3,0)</f>
        <v>Replacement</v>
      </c>
      <c r="AV981" s="7" t="str">
        <f>IFERROR(VLOOKUP($AQ981,Mapping!$E$208:$K$236,5,0),"Contracts")</f>
        <v>Contracts</v>
      </c>
      <c r="AW981" s="7" t="str">
        <f>IFERROR(VLOOKUP($AQ981,Mapping!$E$208:$K$236,7,0),"ENDirect")</f>
        <v>ENDirect</v>
      </c>
      <c r="AX981" s="7" t="str">
        <f>IFERROR(HLOOKUP(AV981,'Calc|Weightings'!$U$5:$W$5,1,0),"Excl")</f>
        <v>Contracts</v>
      </c>
      <c r="AY981" s="7" t="str">
        <f>VLOOKUP(AO981,Mapping!$E$11:$I$204,5,0)</f>
        <v>SCS</v>
      </c>
    </row>
    <row r="982" spans="1:51" x14ac:dyDescent="0.3">
      <c r="A982" s="7"/>
      <c r="B982" s="7"/>
      <c r="C982" s="7"/>
      <c r="D982" s="7"/>
      <c r="E982" s="32" t="s">
        <v>137</v>
      </c>
      <c r="F982" s="32"/>
      <c r="G982" s="32">
        <v>71055</v>
      </c>
      <c r="H982" s="32" t="s">
        <v>465</v>
      </c>
      <c r="I982" s="33">
        <v>0.158</v>
      </c>
      <c r="J982" s="170"/>
      <c r="K982" s="7" t="str">
        <f>VLOOKUP($E982,Mapping!$E$11:$I$204,3,0)</f>
        <v>ACS</v>
      </c>
      <c r="L982" s="7" t="str">
        <f>IFERROR(VLOOKUP($G982,Mapping!$E$208:$K$236,5,0),"Contracts")</f>
        <v>Contracts</v>
      </c>
      <c r="M982" s="7" t="str">
        <f>IFERROR(VLOOKUP($G982,Mapping!$E$208:$K$236,7,0),"ENDirect")</f>
        <v>ENDirect</v>
      </c>
      <c r="N982" s="7" t="str">
        <f>IFERROR(HLOOKUP(L982,'Calc|Weightings'!$U$5:$W$5,1,0),"Excl")</f>
        <v>Contracts</v>
      </c>
      <c r="O982" s="7" t="str">
        <f>VLOOKUP(E982,Mapping!$E$11:$I$204,5,0)</f>
        <v>ACS</v>
      </c>
      <c r="Q982" s="32" t="s">
        <v>160</v>
      </c>
      <c r="R982" s="32"/>
      <c r="S982" s="32">
        <v>71006</v>
      </c>
      <c r="T982" s="32" t="s">
        <v>468</v>
      </c>
      <c r="U982" s="33">
        <v>-25.34</v>
      </c>
      <c r="V982" s="7"/>
      <c r="W982" s="7" t="str">
        <f>VLOOKUP($Q982,Mapping!$E$11:$I$204,3,0)</f>
        <v>Augmentation</v>
      </c>
      <c r="X982" s="7" t="str">
        <f>IFERROR(VLOOKUP($S982,Mapping!$E$208:$K$236,5,0),"Contracts")</f>
        <v>Materials</v>
      </c>
      <c r="Y982" s="7" t="str">
        <f>IFERROR(VLOOKUP($S982,Mapping!$E$208:$K$236,7,0),"ENDirect")</f>
        <v>ENDirect</v>
      </c>
      <c r="Z982" s="7" t="str">
        <f>IFERROR(HLOOKUP(X982,'Calc|Weightings'!$U$5:$W$5,1,0),"Excl")</f>
        <v>Materials</v>
      </c>
      <c r="AA982" s="7" t="str">
        <f>VLOOKUP(Q982,Mapping!$E$11:$I$204,5,0)</f>
        <v>SCS</v>
      </c>
      <c r="AC982" s="35" t="s">
        <v>111</v>
      </c>
      <c r="AD982" s="35"/>
      <c r="AE982" s="35">
        <v>89999</v>
      </c>
      <c r="AF982" s="35" t="s">
        <v>471</v>
      </c>
      <c r="AG982" s="36">
        <v>0</v>
      </c>
      <c r="AI982" s="7" t="str">
        <f>VLOOKUP($AC982,Mapping!$E$11:$I$204,3,0)</f>
        <v>Connections</v>
      </c>
      <c r="AJ982" s="7" t="str">
        <f>IFERROR(VLOOKUP($AE982,Mapping!$E$208:$K$236,5,0),"Contracts")</f>
        <v>Contracts</v>
      </c>
      <c r="AK982" s="7" t="str">
        <f>IFERROR(VLOOKUP($AE982,Mapping!$E$208:$K$236,7,0),"ENDirect")</f>
        <v>ENDirect</v>
      </c>
      <c r="AL982" s="7" t="str">
        <f>IFERROR(HLOOKUP(AJ982,'Calc|Weightings'!$U$5:$W$5,1,0),"Excl")</f>
        <v>Contracts</v>
      </c>
      <c r="AM982" s="7" t="str">
        <f>VLOOKUP(AC982,Mapping!$E$11:$I$204,5,0)</f>
        <v>SCS</v>
      </c>
      <c r="AO982" s="7"/>
      <c r="AP982" s="7"/>
      <c r="AQ982" s="7"/>
      <c r="AR982" s="7"/>
      <c r="AS982" s="7"/>
    </row>
    <row r="983" spans="1:51" x14ac:dyDescent="0.3">
      <c r="A983" s="7"/>
      <c r="B983" s="7"/>
      <c r="C983" s="7"/>
      <c r="D983" s="7"/>
      <c r="E983" s="32" t="s">
        <v>248</v>
      </c>
      <c r="F983" s="32"/>
      <c r="G983" s="32">
        <v>71005</v>
      </c>
      <c r="H983" s="32" t="s">
        <v>461</v>
      </c>
      <c r="I983" s="33">
        <v>2.5009999999999999</v>
      </c>
      <c r="J983" s="170"/>
      <c r="K983" s="7" t="str">
        <f>VLOOKUP($E983,Mapping!$E$11:$I$204,3,0)</f>
        <v>ACS</v>
      </c>
      <c r="L983" s="7" t="str">
        <f>IFERROR(VLOOKUP($G983,Mapping!$E$208:$K$236,5,0),"Contracts")</f>
        <v>Materials</v>
      </c>
      <c r="M983" s="7" t="str">
        <f>IFERROR(VLOOKUP($G983,Mapping!$E$208:$K$236,7,0),"ENDirect")</f>
        <v>ENDirect</v>
      </c>
      <c r="N983" s="7" t="str">
        <f>IFERROR(HLOOKUP(L983,'Calc|Weightings'!$U$5:$W$5,1,0),"Excl")</f>
        <v>Materials</v>
      </c>
      <c r="O983" s="7" t="str">
        <f>VLOOKUP(E983,Mapping!$E$11:$I$204,5,0)</f>
        <v>ACS</v>
      </c>
      <c r="Q983" s="32" t="s">
        <v>176</v>
      </c>
      <c r="R983" s="32"/>
      <c r="S983" s="32">
        <v>71000</v>
      </c>
      <c r="T983" s="32" t="s">
        <v>457</v>
      </c>
      <c r="U983" s="33">
        <v>199.11099999999999</v>
      </c>
      <c r="V983" s="7"/>
      <c r="W983" s="7" t="str">
        <f>VLOOKUP($Q983,Mapping!$E$11:$I$204,3,0)</f>
        <v>Replacement</v>
      </c>
      <c r="X983" s="7" t="str">
        <f>IFERROR(VLOOKUP($S983,Mapping!$E$208:$K$236,5,0),"Contracts")</f>
        <v>Labour</v>
      </c>
      <c r="Y983" s="7" t="str">
        <f>IFERROR(VLOOKUP($S983,Mapping!$E$208:$K$236,7,0),"ENDirect")</f>
        <v>ENDirect</v>
      </c>
      <c r="Z983" s="7" t="str">
        <f>IFERROR(HLOOKUP(X983,'Calc|Weightings'!$U$5:$W$5,1,0),"Excl")</f>
        <v>Labour</v>
      </c>
      <c r="AA983" s="7" t="str">
        <f>VLOOKUP(Q983,Mapping!$E$11:$I$204,5,0)</f>
        <v>SCS</v>
      </c>
      <c r="AC983" s="35" t="s">
        <v>103</v>
      </c>
      <c r="AD983" s="35"/>
      <c r="AE983" s="35">
        <v>71015</v>
      </c>
      <c r="AF983" s="35" t="s">
        <v>463</v>
      </c>
      <c r="AG983" s="36">
        <v>1.4259999999999999</v>
      </c>
      <c r="AI983" s="7" t="str">
        <f>VLOOKUP($AC983,Mapping!$E$11:$I$204,3,0)</f>
        <v>Public Lighting</v>
      </c>
      <c r="AJ983" s="7" t="str">
        <f>IFERROR(VLOOKUP($AE983,Mapping!$E$208:$K$236,5,0),"Contracts")</f>
        <v>Materials</v>
      </c>
      <c r="AK983" s="7" t="str">
        <f>IFERROR(VLOOKUP($AE983,Mapping!$E$208:$K$236,7,0),"ENDirect")</f>
        <v>ENDirect</v>
      </c>
      <c r="AL983" s="7" t="str">
        <f>IFERROR(HLOOKUP(AJ983,'Calc|Weightings'!$U$5:$W$5,1,0),"Excl")</f>
        <v>Materials</v>
      </c>
      <c r="AM983" s="7" t="str">
        <f>VLOOKUP(AC983,Mapping!$E$11:$I$204,5,0)</f>
        <v>Public Lighting</v>
      </c>
      <c r="AO983" s="7"/>
      <c r="AP983" s="7"/>
      <c r="AQ983" s="7"/>
      <c r="AR983" s="7"/>
      <c r="AS983" s="7"/>
    </row>
    <row r="984" spans="1:51" x14ac:dyDescent="0.3">
      <c r="A984" s="7"/>
      <c r="B984" s="7"/>
      <c r="C984" s="7"/>
      <c r="D984" s="7"/>
      <c r="E984" s="32" t="s">
        <v>248</v>
      </c>
      <c r="F984" s="32"/>
      <c r="G984" s="32">
        <v>71010</v>
      </c>
      <c r="H984" s="32" t="s">
        <v>462</v>
      </c>
      <c r="I984" s="33">
        <v>0.84599999999999997</v>
      </c>
      <c r="J984" s="170"/>
      <c r="K984" s="7" t="str">
        <f>VLOOKUP($E984,Mapping!$E$11:$I$204,3,0)</f>
        <v>ACS</v>
      </c>
      <c r="L984" s="7" t="str">
        <f>IFERROR(VLOOKUP($G984,Mapping!$E$208:$K$236,5,0),"Contracts")</f>
        <v>Labour</v>
      </c>
      <c r="M984" s="7" t="str">
        <f>IFERROR(VLOOKUP($G984,Mapping!$E$208:$K$236,7,0),"ENDirect")</f>
        <v>ENDirect</v>
      </c>
      <c r="N984" s="7" t="str">
        <f>IFERROR(HLOOKUP(L984,'Calc|Weightings'!$U$5:$W$5,1,0),"Excl")</f>
        <v>Labour</v>
      </c>
      <c r="O984" s="7" t="str">
        <f>VLOOKUP(E984,Mapping!$E$11:$I$204,5,0)</f>
        <v>ACS</v>
      </c>
      <c r="Q984" s="32" t="s">
        <v>176</v>
      </c>
      <c r="R984" s="32"/>
      <c r="S984" s="32">
        <v>71005</v>
      </c>
      <c r="T984" s="32" t="s">
        <v>461</v>
      </c>
      <c r="U984" s="33">
        <v>180.928</v>
      </c>
      <c r="V984" s="7"/>
      <c r="W984" s="7" t="str">
        <f>VLOOKUP($Q984,Mapping!$E$11:$I$204,3,0)</f>
        <v>Replacement</v>
      </c>
      <c r="X984" s="7" t="str">
        <f>IFERROR(VLOOKUP($S984,Mapping!$E$208:$K$236,5,0),"Contracts")</f>
        <v>Materials</v>
      </c>
      <c r="Y984" s="7" t="str">
        <f>IFERROR(VLOOKUP($S984,Mapping!$E$208:$K$236,7,0),"ENDirect")</f>
        <v>ENDirect</v>
      </c>
      <c r="Z984" s="7" t="str">
        <f>IFERROR(HLOOKUP(X984,'Calc|Weightings'!$U$5:$W$5,1,0),"Excl")</f>
        <v>Materials</v>
      </c>
      <c r="AA984" s="7" t="str">
        <f>VLOOKUP(Q984,Mapping!$E$11:$I$204,5,0)</f>
        <v>SCS</v>
      </c>
      <c r="AC984" s="35" t="s">
        <v>122</v>
      </c>
      <c r="AD984" s="35"/>
      <c r="AE984" s="35">
        <v>71130</v>
      </c>
      <c r="AF984" s="35" t="s">
        <v>482</v>
      </c>
      <c r="AG984" s="36">
        <v>0.55400000000000005</v>
      </c>
      <c r="AI984" s="7" t="str">
        <f>VLOOKUP($AC984,Mapping!$E$11:$I$204,3,0)</f>
        <v>Augmentation</v>
      </c>
      <c r="AJ984" s="7" t="str">
        <f>IFERROR(VLOOKUP($AE984,Mapping!$E$208:$K$236,5,0),"Contracts")</f>
        <v>Contracts</v>
      </c>
      <c r="AK984" s="7" t="str">
        <f>IFERROR(VLOOKUP($AE984,Mapping!$E$208:$K$236,7,0),"ENDirect")</f>
        <v>ENDirect</v>
      </c>
      <c r="AL984" s="7" t="str">
        <f>IFERROR(HLOOKUP(AJ984,'Calc|Weightings'!$U$5:$W$5,1,0),"Excl")</f>
        <v>Contracts</v>
      </c>
      <c r="AM984" s="7" t="str">
        <f>VLOOKUP(AC984,Mapping!$E$11:$I$204,5,0)</f>
        <v>SCS</v>
      </c>
      <c r="AO984" s="7"/>
      <c r="AP984" s="7"/>
      <c r="AQ984" s="7"/>
      <c r="AR984" s="7"/>
      <c r="AS984" s="7"/>
    </row>
    <row r="985" spans="1:51" x14ac:dyDescent="0.3">
      <c r="A985" s="7"/>
      <c r="B985" s="7"/>
      <c r="C985" s="7"/>
      <c r="D985" s="7"/>
      <c r="E985" s="32" t="s">
        <v>249</v>
      </c>
      <c r="F985" s="32"/>
      <c r="G985" s="32">
        <v>71005</v>
      </c>
      <c r="H985" s="32" t="s">
        <v>461</v>
      </c>
      <c r="I985" s="33">
        <v>4.6509999999999998</v>
      </c>
      <c r="J985" s="170"/>
      <c r="K985" s="7" t="str">
        <f>VLOOKUP($E985,Mapping!$E$11:$I$204,3,0)</f>
        <v>ACS</v>
      </c>
      <c r="L985" s="7" t="str">
        <f>IFERROR(VLOOKUP($G985,Mapping!$E$208:$K$236,5,0),"Contracts")</f>
        <v>Materials</v>
      </c>
      <c r="M985" s="7" t="str">
        <f>IFERROR(VLOOKUP($G985,Mapping!$E$208:$K$236,7,0),"ENDirect")</f>
        <v>ENDirect</v>
      </c>
      <c r="N985" s="7" t="str">
        <f>IFERROR(HLOOKUP(L985,'Calc|Weightings'!$U$5:$W$5,1,0),"Excl")</f>
        <v>Materials</v>
      </c>
      <c r="O985" s="7" t="str">
        <f>VLOOKUP(E985,Mapping!$E$11:$I$204,5,0)</f>
        <v>ACS</v>
      </c>
      <c r="Q985" s="32" t="s">
        <v>176</v>
      </c>
      <c r="R985" s="32"/>
      <c r="S985" s="32">
        <v>71010</v>
      </c>
      <c r="T985" s="32" t="s">
        <v>462</v>
      </c>
      <c r="U985" s="33">
        <v>146.67599999999999</v>
      </c>
      <c r="V985" s="7"/>
      <c r="W985" s="7" t="str">
        <f>VLOOKUP($Q985,Mapping!$E$11:$I$204,3,0)</f>
        <v>Replacement</v>
      </c>
      <c r="X985" s="7" t="str">
        <f>IFERROR(VLOOKUP($S985,Mapping!$E$208:$K$236,5,0),"Contracts")</f>
        <v>Labour</v>
      </c>
      <c r="Y985" s="7" t="str">
        <f>IFERROR(VLOOKUP($S985,Mapping!$E$208:$K$236,7,0),"ENDirect")</f>
        <v>ENDirect</v>
      </c>
      <c r="Z985" s="7" t="str">
        <f>IFERROR(HLOOKUP(X985,'Calc|Weightings'!$U$5:$W$5,1,0),"Excl")</f>
        <v>Labour</v>
      </c>
      <c r="AA985" s="7" t="str">
        <f>VLOOKUP(Q985,Mapping!$E$11:$I$204,5,0)</f>
        <v>SCS</v>
      </c>
      <c r="AC985" s="35" t="s">
        <v>122</v>
      </c>
      <c r="AD985" s="35"/>
      <c r="AE985" s="35">
        <v>71020</v>
      </c>
      <c r="AF985" s="35" t="s">
        <v>459</v>
      </c>
      <c r="AG985" s="36">
        <v>20</v>
      </c>
      <c r="AI985" s="7" t="str">
        <f>VLOOKUP($AC985,Mapping!$E$11:$I$204,3,0)</f>
        <v>Augmentation</v>
      </c>
      <c r="AJ985" s="7" t="str">
        <f>IFERROR(VLOOKUP($AE985,Mapping!$E$208:$K$236,5,0),"Contracts")</f>
        <v>Contracts</v>
      </c>
      <c r="AK985" s="7" t="str">
        <f>IFERROR(VLOOKUP($AE985,Mapping!$E$208:$K$236,7,0),"ENDirect")</f>
        <v>ENDirect</v>
      </c>
      <c r="AL985" s="7" t="str">
        <f>IFERROR(HLOOKUP(AJ985,'Calc|Weightings'!$U$5:$W$5,1,0),"Excl")</f>
        <v>Contracts</v>
      </c>
      <c r="AM985" s="7" t="str">
        <f>VLOOKUP(AC985,Mapping!$E$11:$I$204,5,0)</f>
        <v>SCS</v>
      </c>
      <c r="AO985" s="7"/>
      <c r="AP985" s="7"/>
      <c r="AQ985" s="7"/>
      <c r="AR985" s="7"/>
      <c r="AS985" s="7"/>
    </row>
    <row r="986" spans="1:51" x14ac:dyDescent="0.3">
      <c r="A986" s="7"/>
      <c r="B986" s="7"/>
      <c r="C986" s="7"/>
      <c r="D986" s="7"/>
      <c r="E986" s="32" t="s">
        <v>249</v>
      </c>
      <c r="F986" s="32"/>
      <c r="G986" s="32">
        <v>71010</v>
      </c>
      <c r="H986" s="32" t="s">
        <v>462</v>
      </c>
      <c r="I986" s="33">
        <v>0.46400000000000002</v>
      </c>
      <c r="J986" s="170"/>
      <c r="K986" s="7" t="str">
        <f>VLOOKUP($E986,Mapping!$E$11:$I$204,3,0)</f>
        <v>ACS</v>
      </c>
      <c r="L986" s="7" t="str">
        <f>IFERROR(VLOOKUP($G986,Mapping!$E$208:$K$236,5,0),"Contracts")</f>
        <v>Labour</v>
      </c>
      <c r="M986" s="7" t="str">
        <f>IFERROR(VLOOKUP($G986,Mapping!$E$208:$K$236,7,0),"ENDirect")</f>
        <v>ENDirect</v>
      </c>
      <c r="N986" s="7" t="str">
        <f>IFERROR(HLOOKUP(L986,'Calc|Weightings'!$U$5:$W$5,1,0),"Excl")</f>
        <v>Labour</v>
      </c>
      <c r="O986" s="7" t="str">
        <f>VLOOKUP(E986,Mapping!$E$11:$I$204,5,0)</f>
        <v>ACS</v>
      </c>
      <c r="Q986" s="32" t="s">
        <v>176</v>
      </c>
      <c r="R986" s="32"/>
      <c r="S986" s="32">
        <v>71040</v>
      </c>
      <c r="T986" s="32" t="s">
        <v>460</v>
      </c>
      <c r="U986" s="33">
        <v>-30.702000000000002</v>
      </c>
      <c r="V986" s="7"/>
      <c r="W986" s="7" t="str">
        <f>VLOOKUP($Q986,Mapping!$E$11:$I$204,3,0)</f>
        <v>Replacement</v>
      </c>
      <c r="X986" s="7" t="str">
        <f>IFERROR(VLOOKUP($S986,Mapping!$E$208:$K$236,5,0),"Contracts")</f>
        <v>Contracts</v>
      </c>
      <c r="Y986" s="7" t="str">
        <f>IFERROR(VLOOKUP($S986,Mapping!$E$208:$K$236,7,0),"ENDirect")</f>
        <v>ENDirect</v>
      </c>
      <c r="Z986" s="7" t="str">
        <f>IFERROR(HLOOKUP(X986,'Calc|Weightings'!$U$5:$W$5,1,0),"Excl")</f>
        <v>Contracts</v>
      </c>
      <c r="AA986" s="7" t="str">
        <f>VLOOKUP(Q986,Mapping!$E$11:$I$204,5,0)</f>
        <v>SCS</v>
      </c>
      <c r="AC986" s="35" t="s">
        <v>126</v>
      </c>
      <c r="AD986" s="35"/>
      <c r="AE986" s="35">
        <v>70815</v>
      </c>
      <c r="AF986" s="35" t="s">
        <v>451</v>
      </c>
      <c r="AG986" s="36">
        <v>145.16300000000001</v>
      </c>
      <c r="AI986" s="7" t="str">
        <f>VLOOKUP($AC986,Mapping!$E$11:$I$204,3,0)</f>
        <v>Augmentation</v>
      </c>
      <c r="AJ986" s="7" t="str">
        <f>IFERROR(VLOOKUP($AE986,Mapping!$E$208:$K$236,5,0),"Contracts")</f>
        <v>Materials</v>
      </c>
      <c r="AK986" s="7" t="str">
        <f>IFERROR(VLOOKUP($AE986,Mapping!$E$208:$K$236,7,0),"ENDirect")</f>
        <v>ENDirect</v>
      </c>
      <c r="AL986" s="7" t="str">
        <f>IFERROR(HLOOKUP(AJ986,'Calc|Weightings'!$U$5:$W$5,1,0),"Excl")</f>
        <v>Materials</v>
      </c>
      <c r="AM986" s="7" t="str">
        <f>VLOOKUP(AC986,Mapping!$E$11:$I$204,5,0)</f>
        <v>SCS</v>
      </c>
      <c r="AO986" s="7"/>
      <c r="AP986" s="7"/>
      <c r="AQ986" s="7"/>
      <c r="AR986" s="7"/>
      <c r="AS986" s="7"/>
    </row>
    <row r="987" spans="1:51" x14ac:dyDescent="0.3">
      <c r="A987" s="7"/>
      <c r="B987" s="7"/>
      <c r="C987" s="7"/>
      <c r="D987" s="7"/>
      <c r="E987" s="32" t="s">
        <v>251</v>
      </c>
      <c r="F987" s="32"/>
      <c r="G987" s="32">
        <v>71010</v>
      </c>
      <c r="H987" s="32" t="s">
        <v>462</v>
      </c>
      <c r="I987" s="33">
        <v>0.98</v>
      </c>
      <c r="J987" s="170"/>
      <c r="K987" s="7" t="str">
        <f>VLOOKUP($E987,Mapping!$E$11:$I$204,3,0)</f>
        <v>ACS</v>
      </c>
      <c r="L987" s="7" t="str">
        <f>IFERROR(VLOOKUP($G987,Mapping!$E$208:$K$236,5,0),"Contracts")</f>
        <v>Labour</v>
      </c>
      <c r="M987" s="7" t="str">
        <f>IFERROR(VLOOKUP($G987,Mapping!$E$208:$K$236,7,0),"ENDirect")</f>
        <v>ENDirect</v>
      </c>
      <c r="N987" s="7" t="str">
        <f>IFERROR(HLOOKUP(L987,'Calc|Weightings'!$U$5:$W$5,1,0),"Excl")</f>
        <v>Labour</v>
      </c>
      <c r="O987" s="7" t="str">
        <f>VLOOKUP(E987,Mapping!$E$11:$I$204,5,0)</f>
        <v>ACS</v>
      </c>
      <c r="Q987" s="32" t="s">
        <v>147</v>
      </c>
      <c r="R987" s="32"/>
      <c r="S987" s="32">
        <v>71005</v>
      </c>
      <c r="T987" s="32" t="s">
        <v>461</v>
      </c>
      <c r="U987" s="33">
        <v>32.853000000000002</v>
      </c>
      <c r="V987" s="7"/>
      <c r="W987" s="7" t="str">
        <f>VLOOKUP($Q987,Mapping!$E$11:$I$204,3,0)</f>
        <v>Augmentation</v>
      </c>
      <c r="X987" s="7" t="str">
        <f>IFERROR(VLOOKUP($S987,Mapping!$E$208:$K$236,5,0),"Contracts")</f>
        <v>Materials</v>
      </c>
      <c r="Y987" s="7" t="str">
        <f>IFERROR(VLOOKUP($S987,Mapping!$E$208:$K$236,7,0),"ENDirect")</f>
        <v>ENDirect</v>
      </c>
      <c r="Z987" s="7" t="str">
        <f>IFERROR(HLOOKUP(X987,'Calc|Weightings'!$U$5:$W$5,1,0),"Excl")</f>
        <v>Materials</v>
      </c>
      <c r="AA987" s="7" t="str">
        <f>VLOOKUP(Q987,Mapping!$E$11:$I$204,5,0)</f>
        <v>SCS</v>
      </c>
      <c r="AC987" s="35" t="s">
        <v>126</v>
      </c>
      <c r="AD987" s="35"/>
      <c r="AE987" s="35">
        <v>71045</v>
      </c>
      <c r="AF987" s="35" t="s">
        <v>469</v>
      </c>
      <c r="AG987" s="36">
        <v>1081.3699999999999</v>
      </c>
      <c r="AI987" s="7" t="str">
        <f>VLOOKUP($AC987,Mapping!$E$11:$I$204,3,0)</f>
        <v>Augmentation</v>
      </c>
      <c r="AJ987" s="7" t="str">
        <f>IFERROR(VLOOKUP($AE987,Mapping!$E$208:$K$236,5,0),"Contracts")</f>
        <v>Materials</v>
      </c>
      <c r="AK987" s="7" t="str">
        <f>IFERROR(VLOOKUP($AE987,Mapping!$E$208:$K$236,7,0),"ENDirect")</f>
        <v>ENDirect</v>
      </c>
      <c r="AL987" s="7" t="str">
        <f>IFERROR(HLOOKUP(AJ987,'Calc|Weightings'!$U$5:$W$5,1,0),"Excl")</f>
        <v>Materials</v>
      </c>
      <c r="AM987" s="7" t="str">
        <f>VLOOKUP(AC987,Mapping!$E$11:$I$204,5,0)</f>
        <v>SCS</v>
      </c>
      <c r="AO987" s="7"/>
      <c r="AP987" s="7"/>
      <c r="AQ987" s="7"/>
      <c r="AR987" s="7"/>
      <c r="AS987" s="7"/>
    </row>
    <row r="988" spans="1:51" x14ac:dyDescent="0.3">
      <c r="A988" s="7"/>
      <c r="B988" s="7"/>
      <c r="C988" s="7"/>
      <c r="D988" s="7"/>
      <c r="E988" s="32" t="s">
        <v>252</v>
      </c>
      <c r="F988" s="32"/>
      <c r="G988" s="32">
        <v>71005</v>
      </c>
      <c r="H988" s="32" t="s">
        <v>461</v>
      </c>
      <c r="I988" s="33">
        <v>3.766</v>
      </c>
      <c r="J988" s="170"/>
      <c r="K988" s="7" t="str">
        <f>VLOOKUP($E988,Mapping!$E$11:$I$204,3,0)</f>
        <v>ACS</v>
      </c>
      <c r="L988" s="7" t="str">
        <f>IFERROR(VLOOKUP($G988,Mapping!$E$208:$K$236,5,0),"Contracts")</f>
        <v>Materials</v>
      </c>
      <c r="M988" s="7" t="str">
        <f>IFERROR(VLOOKUP($G988,Mapping!$E$208:$K$236,7,0),"ENDirect")</f>
        <v>ENDirect</v>
      </c>
      <c r="N988" s="7" t="str">
        <f>IFERROR(HLOOKUP(L988,'Calc|Weightings'!$U$5:$W$5,1,0),"Excl")</f>
        <v>Materials</v>
      </c>
      <c r="O988" s="7" t="str">
        <f>VLOOKUP(E988,Mapping!$E$11:$I$204,5,0)</f>
        <v>ACS</v>
      </c>
      <c r="Q988" s="32" t="s">
        <v>112</v>
      </c>
      <c r="R988" s="32"/>
      <c r="S988" s="32">
        <v>71010</v>
      </c>
      <c r="T988" s="32" t="s">
        <v>462</v>
      </c>
      <c r="U988" s="33">
        <v>8.5000000000000006E-2</v>
      </c>
      <c r="V988" s="7"/>
      <c r="W988" s="7" t="str">
        <f>VLOOKUP($Q988,Mapping!$E$11:$I$204,3,0)</f>
        <v>Connections</v>
      </c>
      <c r="X988" s="7" t="str">
        <f>IFERROR(VLOOKUP($S988,Mapping!$E$208:$K$236,5,0),"Contracts")</f>
        <v>Labour</v>
      </c>
      <c r="Y988" s="7" t="str">
        <f>IFERROR(VLOOKUP($S988,Mapping!$E$208:$K$236,7,0),"ENDirect")</f>
        <v>ENDirect</v>
      </c>
      <c r="Z988" s="7" t="str">
        <f>IFERROR(HLOOKUP(X988,'Calc|Weightings'!$U$5:$W$5,1,0),"Excl")</f>
        <v>Labour</v>
      </c>
      <c r="AA988" s="7" t="str">
        <f>VLOOKUP(Q988,Mapping!$E$11:$I$204,5,0)</f>
        <v>SCS</v>
      </c>
      <c r="AC988" s="35" t="s">
        <v>126</v>
      </c>
      <c r="AD988" s="35"/>
      <c r="AE988" s="35">
        <v>71006</v>
      </c>
      <c r="AF988" s="35" t="s">
        <v>468</v>
      </c>
      <c r="AG988" s="36">
        <v>16.163</v>
      </c>
      <c r="AI988" s="7" t="str">
        <f>VLOOKUP($AC988,Mapping!$E$11:$I$204,3,0)</f>
        <v>Augmentation</v>
      </c>
      <c r="AJ988" s="7" t="str">
        <f>IFERROR(VLOOKUP($AE988,Mapping!$E$208:$K$236,5,0),"Contracts")</f>
        <v>Materials</v>
      </c>
      <c r="AK988" s="7" t="str">
        <f>IFERROR(VLOOKUP($AE988,Mapping!$E$208:$K$236,7,0),"ENDirect")</f>
        <v>ENDirect</v>
      </c>
      <c r="AL988" s="7" t="str">
        <f>IFERROR(HLOOKUP(AJ988,'Calc|Weightings'!$U$5:$W$5,1,0),"Excl")</f>
        <v>Materials</v>
      </c>
      <c r="AM988" s="7" t="str">
        <f>VLOOKUP(AC988,Mapping!$E$11:$I$204,5,0)</f>
        <v>SCS</v>
      </c>
      <c r="AO988" s="7"/>
      <c r="AP988" s="7"/>
      <c r="AQ988" s="7"/>
      <c r="AR988" s="7"/>
      <c r="AS988" s="7"/>
    </row>
    <row r="989" spans="1:51" x14ac:dyDescent="0.3">
      <c r="A989" s="7"/>
      <c r="B989" s="7"/>
      <c r="C989" s="7"/>
      <c r="D989" s="7"/>
      <c r="E989" s="32" t="s">
        <v>252</v>
      </c>
      <c r="F989" s="32"/>
      <c r="G989" s="32">
        <v>71010</v>
      </c>
      <c r="H989" s="32" t="s">
        <v>462</v>
      </c>
      <c r="I989" s="33">
        <v>3.7999999999999999E-2</v>
      </c>
      <c r="J989" s="170"/>
      <c r="K989" s="7" t="str">
        <f>VLOOKUP($E989,Mapping!$E$11:$I$204,3,0)</f>
        <v>ACS</v>
      </c>
      <c r="L989" s="7" t="str">
        <f>IFERROR(VLOOKUP($G989,Mapping!$E$208:$K$236,5,0),"Contracts")</f>
        <v>Labour</v>
      </c>
      <c r="M989" s="7" t="str">
        <f>IFERROR(VLOOKUP($G989,Mapping!$E$208:$K$236,7,0),"ENDirect")</f>
        <v>ENDirect</v>
      </c>
      <c r="N989" s="7" t="str">
        <f>IFERROR(HLOOKUP(L989,'Calc|Weightings'!$U$5:$W$5,1,0),"Excl")</f>
        <v>Labour</v>
      </c>
      <c r="O989" s="7" t="str">
        <f>VLOOKUP(E989,Mapping!$E$11:$I$204,5,0)</f>
        <v>ACS</v>
      </c>
      <c r="Q989" s="32" t="s">
        <v>267</v>
      </c>
      <c r="R989" s="32"/>
      <c r="S989" s="32">
        <v>71000</v>
      </c>
      <c r="T989" s="32" t="s">
        <v>457</v>
      </c>
      <c r="U989" s="33">
        <v>-54.68</v>
      </c>
      <c r="V989" s="7"/>
      <c r="W989" s="7" t="str">
        <f>VLOOKUP($Q989,Mapping!$E$11:$I$204,3,0)</f>
        <v>Replacement</v>
      </c>
      <c r="X989" s="7" t="str">
        <f>IFERROR(VLOOKUP($S989,Mapping!$E$208:$K$236,5,0),"Contracts")</f>
        <v>Labour</v>
      </c>
      <c r="Y989" s="7" t="str">
        <f>IFERROR(VLOOKUP($S989,Mapping!$E$208:$K$236,7,0),"ENDirect")</f>
        <v>ENDirect</v>
      </c>
      <c r="Z989" s="7" t="str">
        <f>IFERROR(HLOOKUP(X989,'Calc|Weightings'!$U$5:$W$5,1,0),"Excl")</f>
        <v>Labour</v>
      </c>
      <c r="AA989" s="7" t="str">
        <f>VLOOKUP(Q989,Mapping!$E$11:$I$204,5,0)</f>
        <v>SCS</v>
      </c>
      <c r="AC989" s="35" t="s">
        <v>126</v>
      </c>
      <c r="AD989" s="35"/>
      <c r="AE989" s="35">
        <v>71005</v>
      </c>
      <c r="AF989" s="35" t="s">
        <v>461</v>
      </c>
      <c r="AG989" s="36">
        <v>1270.431</v>
      </c>
      <c r="AI989" s="7" t="str">
        <f>VLOOKUP($AC989,Mapping!$E$11:$I$204,3,0)</f>
        <v>Augmentation</v>
      </c>
      <c r="AJ989" s="7" t="str">
        <f>IFERROR(VLOOKUP($AE989,Mapping!$E$208:$K$236,5,0),"Contracts")</f>
        <v>Materials</v>
      </c>
      <c r="AK989" s="7" t="str">
        <f>IFERROR(VLOOKUP($AE989,Mapping!$E$208:$K$236,7,0),"ENDirect")</f>
        <v>ENDirect</v>
      </c>
      <c r="AL989" s="7" t="str">
        <f>IFERROR(HLOOKUP(AJ989,'Calc|Weightings'!$U$5:$W$5,1,0),"Excl")</f>
        <v>Materials</v>
      </c>
      <c r="AM989" s="7" t="str">
        <f>VLOOKUP(AC989,Mapping!$E$11:$I$204,5,0)</f>
        <v>SCS</v>
      </c>
      <c r="AO989" s="7"/>
      <c r="AP989" s="7"/>
      <c r="AQ989" s="7"/>
      <c r="AR989" s="7"/>
      <c r="AS989" s="7"/>
    </row>
    <row r="990" spans="1:51" x14ac:dyDescent="0.3">
      <c r="A990" s="7"/>
      <c r="B990" s="7"/>
      <c r="C990" s="7"/>
      <c r="D990" s="7"/>
      <c r="E990" s="32" t="s">
        <v>255</v>
      </c>
      <c r="F990" s="32"/>
      <c r="G990" s="32">
        <v>71010</v>
      </c>
      <c r="H990" s="32" t="s">
        <v>462</v>
      </c>
      <c r="I990" s="33">
        <v>0.28000000000000003</v>
      </c>
      <c r="J990" s="170"/>
      <c r="K990" s="7" t="str">
        <f>VLOOKUP($E990,Mapping!$E$11:$I$204,3,0)</f>
        <v>ACS</v>
      </c>
      <c r="L990" s="7" t="str">
        <f>IFERROR(VLOOKUP($G990,Mapping!$E$208:$K$236,5,0),"Contracts")</f>
        <v>Labour</v>
      </c>
      <c r="M990" s="7" t="str">
        <f>IFERROR(VLOOKUP($G990,Mapping!$E$208:$K$236,7,0),"ENDirect")</f>
        <v>ENDirect</v>
      </c>
      <c r="N990" s="7" t="str">
        <f>IFERROR(HLOOKUP(L990,'Calc|Weightings'!$U$5:$W$5,1,0),"Excl")</f>
        <v>Labour</v>
      </c>
      <c r="O990" s="7" t="str">
        <f>VLOOKUP(E990,Mapping!$E$11:$I$204,5,0)</f>
        <v>ACS</v>
      </c>
      <c r="Q990" s="32" t="s">
        <v>267</v>
      </c>
      <c r="R990" s="32"/>
      <c r="S990" s="32">
        <v>71020</v>
      </c>
      <c r="T990" s="32" t="s">
        <v>459</v>
      </c>
      <c r="U990" s="33">
        <v>-274.28800000000001</v>
      </c>
      <c r="V990" s="7"/>
      <c r="W990" s="7" t="str">
        <f>VLOOKUP($Q990,Mapping!$E$11:$I$204,3,0)</f>
        <v>Replacement</v>
      </c>
      <c r="X990" s="7" t="str">
        <f>IFERROR(VLOOKUP($S990,Mapping!$E$208:$K$236,5,0),"Contracts")</f>
        <v>Contracts</v>
      </c>
      <c r="Y990" s="7" t="str">
        <f>IFERROR(VLOOKUP($S990,Mapping!$E$208:$K$236,7,0),"ENDirect")</f>
        <v>ENDirect</v>
      </c>
      <c r="Z990" s="7" t="str">
        <f>IFERROR(HLOOKUP(X990,'Calc|Weightings'!$U$5:$W$5,1,0),"Excl")</f>
        <v>Contracts</v>
      </c>
      <c r="AA990" s="7" t="str">
        <f>VLOOKUP(Q990,Mapping!$E$11:$I$204,5,0)</f>
        <v>SCS</v>
      </c>
      <c r="AC990" s="35" t="s">
        <v>126</v>
      </c>
      <c r="AD990" s="35"/>
      <c r="AE990" s="35">
        <v>71010</v>
      </c>
      <c r="AF990" s="35" t="s">
        <v>462</v>
      </c>
      <c r="AG990" s="36">
        <v>723.851</v>
      </c>
      <c r="AI990" s="7" t="str">
        <f>VLOOKUP($AC990,Mapping!$E$11:$I$204,3,0)</f>
        <v>Augmentation</v>
      </c>
      <c r="AJ990" s="7" t="str">
        <f>IFERROR(VLOOKUP($AE990,Mapping!$E$208:$K$236,5,0),"Contracts")</f>
        <v>Labour</v>
      </c>
      <c r="AK990" s="7" t="str">
        <f>IFERROR(VLOOKUP($AE990,Mapping!$E$208:$K$236,7,0),"ENDirect")</f>
        <v>ENDirect</v>
      </c>
      <c r="AL990" s="7" t="str">
        <f>IFERROR(HLOOKUP(AJ990,'Calc|Weightings'!$U$5:$W$5,1,0),"Excl")</f>
        <v>Labour</v>
      </c>
      <c r="AM990" s="7" t="str">
        <f>VLOOKUP(AC990,Mapping!$E$11:$I$204,5,0)</f>
        <v>SCS</v>
      </c>
      <c r="AO990" s="7"/>
      <c r="AP990" s="7"/>
      <c r="AQ990" s="7"/>
      <c r="AR990" s="7"/>
      <c r="AS990" s="7"/>
    </row>
    <row r="991" spans="1:51" x14ac:dyDescent="0.3">
      <c r="A991" s="7"/>
      <c r="B991" s="7"/>
      <c r="C991" s="7"/>
      <c r="D991" s="7"/>
      <c r="E991" s="32" t="s">
        <v>139</v>
      </c>
      <c r="F991" s="32"/>
      <c r="G991" s="32">
        <v>71005</v>
      </c>
      <c r="H991" s="32" t="s">
        <v>461</v>
      </c>
      <c r="I991" s="33">
        <v>7.4999999999999997E-2</v>
      </c>
      <c r="J991" s="170"/>
      <c r="K991" s="7" t="str">
        <f>VLOOKUP($E991,Mapping!$E$11:$I$204,3,0)</f>
        <v>ACS</v>
      </c>
      <c r="L991" s="7" t="str">
        <f>IFERROR(VLOOKUP($G991,Mapping!$E$208:$K$236,5,0),"Contracts")</f>
        <v>Materials</v>
      </c>
      <c r="M991" s="7" t="str">
        <f>IFERROR(VLOOKUP($G991,Mapping!$E$208:$K$236,7,0),"ENDirect")</f>
        <v>ENDirect</v>
      </c>
      <c r="N991" s="7" t="str">
        <f>IFERROR(HLOOKUP(L991,'Calc|Weightings'!$U$5:$W$5,1,0),"Excl")</f>
        <v>Materials</v>
      </c>
      <c r="O991" s="7" t="str">
        <f>VLOOKUP(E991,Mapping!$E$11:$I$204,5,0)</f>
        <v>ACS</v>
      </c>
      <c r="Q991" s="32" t="s">
        <v>267</v>
      </c>
      <c r="R991" s="32"/>
      <c r="S991" s="32">
        <v>71030</v>
      </c>
      <c r="T991" s="32" t="s">
        <v>464</v>
      </c>
      <c r="U991" s="33">
        <v>-24.718</v>
      </c>
      <c r="V991" s="7"/>
      <c r="W991" s="7" t="str">
        <f>VLOOKUP($Q991,Mapping!$E$11:$I$204,3,0)</f>
        <v>Replacement</v>
      </c>
      <c r="X991" s="7" t="str">
        <f>IFERROR(VLOOKUP($S991,Mapping!$E$208:$K$236,5,0),"Contracts")</f>
        <v>Contracts</v>
      </c>
      <c r="Y991" s="7" t="str">
        <f>IFERROR(VLOOKUP($S991,Mapping!$E$208:$K$236,7,0),"ENDirect")</f>
        <v>ENDirect</v>
      </c>
      <c r="Z991" s="7" t="str">
        <f>IFERROR(HLOOKUP(X991,'Calc|Weightings'!$U$5:$W$5,1,0),"Excl")</f>
        <v>Contracts</v>
      </c>
      <c r="AA991" s="7" t="str">
        <f>VLOOKUP(Q991,Mapping!$E$11:$I$204,5,0)</f>
        <v>SCS</v>
      </c>
      <c r="AC991" s="35" t="s">
        <v>126</v>
      </c>
      <c r="AD991" s="35"/>
      <c r="AE991" s="35">
        <v>71020</v>
      </c>
      <c r="AF991" s="35" t="s">
        <v>459</v>
      </c>
      <c r="AG991" s="36">
        <v>53.609000000000002</v>
      </c>
      <c r="AI991" s="7" t="str">
        <f>VLOOKUP($AC991,Mapping!$E$11:$I$204,3,0)</f>
        <v>Augmentation</v>
      </c>
      <c r="AJ991" s="7" t="str">
        <f>IFERROR(VLOOKUP($AE991,Mapping!$E$208:$K$236,5,0),"Contracts")</f>
        <v>Contracts</v>
      </c>
      <c r="AK991" s="7" t="str">
        <f>IFERROR(VLOOKUP($AE991,Mapping!$E$208:$K$236,7,0),"ENDirect")</f>
        <v>ENDirect</v>
      </c>
      <c r="AL991" s="7" t="str">
        <f>IFERROR(HLOOKUP(AJ991,'Calc|Weightings'!$U$5:$W$5,1,0),"Excl")</f>
        <v>Contracts</v>
      </c>
      <c r="AM991" s="7" t="str">
        <f>VLOOKUP(AC991,Mapping!$E$11:$I$204,5,0)</f>
        <v>SCS</v>
      </c>
      <c r="AO991" s="7"/>
      <c r="AP991" s="7"/>
      <c r="AQ991" s="7"/>
      <c r="AR991" s="7"/>
      <c r="AS991" s="7"/>
    </row>
    <row r="992" spans="1:51" x14ac:dyDescent="0.3">
      <c r="A992" s="7"/>
      <c r="B992" s="7"/>
      <c r="C992" s="7"/>
      <c r="D992" s="7"/>
      <c r="E992" s="32" t="s">
        <v>139</v>
      </c>
      <c r="F992" s="32"/>
      <c r="G992" s="32">
        <v>71015</v>
      </c>
      <c r="H992" s="32" t="s">
        <v>463</v>
      </c>
      <c r="I992" s="33">
        <v>7.6999999999999999E-2</v>
      </c>
      <c r="J992" s="170"/>
      <c r="K992" s="7" t="str">
        <f>VLOOKUP($E992,Mapping!$E$11:$I$204,3,0)</f>
        <v>ACS</v>
      </c>
      <c r="L992" s="7" t="str">
        <f>IFERROR(VLOOKUP($G992,Mapping!$E$208:$K$236,5,0),"Contracts")</f>
        <v>Materials</v>
      </c>
      <c r="M992" s="7" t="str">
        <f>IFERROR(VLOOKUP($G992,Mapping!$E$208:$K$236,7,0),"ENDirect")</f>
        <v>ENDirect</v>
      </c>
      <c r="N992" s="7" t="str">
        <f>IFERROR(HLOOKUP(L992,'Calc|Weightings'!$U$5:$W$5,1,0),"Excl")</f>
        <v>Materials</v>
      </c>
      <c r="O992" s="7" t="str">
        <f>VLOOKUP(E992,Mapping!$E$11:$I$204,5,0)</f>
        <v>ACS</v>
      </c>
      <c r="Q992" s="32" t="s">
        <v>267</v>
      </c>
      <c r="R992" s="32"/>
      <c r="S992" s="32">
        <v>80000</v>
      </c>
      <c r="T992" s="32" t="s">
        <v>453</v>
      </c>
      <c r="U992" s="33">
        <v>-36.753</v>
      </c>
      <c r="V992" s="7"/>
      <c r="W992" s="7" t="str">
        <f>VLOOKUP($Q992,Mapping!$E$11:$I$204,3,0)</f>
        <v>Replacement</v>
      </c>
      <c r="X992" s="7" t="str">
        <f>IFERROR(VLOOKUP($S992,Mapping!$E$208:$K$236,5,0),"Contracts")</f>
        <v>Overhead</v>
      </c>
      <c r="Y992" s="7" t="str">
        <f>IFERROR(VLOOKUP($S992,Mapping!$E$208:$K$236,7,0),"ENDirect")</f>
        <v>OH</v>
      </c>
      <c r="Z992" s="7" t="str">
        <f>IFERROR(HLOOKUP(X992,'Calc|Weightings'!$U$5:$W$5,1,0),"Excl")</f>
        <v>Excl</v>
      </c>
      <c r="AA992" s="7" t="str">
        <f>VLOOKUP(Q992,Mapping!$E$11:$I$204,5,0)</f>
        <v>SCS</v>
      </c>
      <c r="AC992" s="35" t="s">
        <v>161</v>
      </c>
      <c r="AD992" s="35"/>
      <c r="AE992" s="35">
        <v>71020</v>
      </c>
      <c r="AF992" s="35" t="s">
        <v>459</v>
      </c>
      <c r="AG992" s="36">
        <v>3.7829999999999999</v>
      </c>
      <c r="AI992" s="7" t="str">
        <f>VLOOKUP($AC992,Mapping!$E$11:$I$204,3,0)</f>
        <v>Augmentation</v>
      </c>
      <c r="AJ992" s="7" t="str">
        <f>IFERROR(VLOOKUP($AE992,Mapping!$E$208:$K$236,5,0),"Contracts")</f>
        <v>Contracts</v>
      </c>
      <c r="AK992" s="7" t="str">
        <f>IFERROR(VLOOKUP($AE992,Mapping!$E$208:$K$236,7,0),"ENDirect")</f>
        <v>ENDirect</v>
      </c>
      <c r="AL992" s="7" t="str">
        <f>IFERROR(HLOOKUP(AJ992,'Calc|Weightings'!$U$5:$W$5,1,0),"Excl")</f>
        <v>Contracts</v>
      </c>
      <c r="AM992" s="7" t="str">
        <f>VLOOKUP(AC992,Mapping!$E$11:$I$204,5,0)</f>
        <v>SCS</v>
      </c>
      <c r="AO992" s="7"/>
      <c r="AP992" s="7"/>
      <c r="AQ992" s="7"/>
      <c r="AR992" s="7"/>
      <c r="AS992" s="7"/>
    </row>
    <row r="993" spans="1:45" x14ac:dyDescent="0.3">
      <c r="A993" s="7"/>
      <c r="B993" s="7"/>
      <c r="C993" s="7"/>
      <c r="D993" s="7"/>
      <c r="E993" s="32" t="s">
        <v>139</v>
      </c>
      <c r="F993" s="32"/>
      <c r="G993" s="32">
        <v>71055</v>
      </c>
      <c r="H993" s="32" t="s">
        <v>465</v>
      </c>
      <c r="I993" s="33">
        <v>0.19500000000000001</v>
      </c>
      <c r="J993" s="170"/>
      <c r="K993" s="7" t="str">
        <f>VLOOKUP($E993,Mapping!$E$11:$I$204,3,0)</f>
        <v>ACS</v>
      </c>
      <c r="L993" s="7" t="str">
        <f>IFERROR(VLOOKUP($G993,Mapping!$E$208:$K$236,5,0),"Contracts")</f>
        <v>Contracts</v>
      </c>
      <c r="M993" s="7" t="str">
        <f>IFERROR(VLOOKUP($G993,Mapping!$E$208:$K$236,7,0),"ENDirect")</f>
        <v>ENDirect</v>
      </c>
      <c r="N993" s="7" t="str">
        <f>IFERROR(HLOOKUP(L993,'Calc|Weightings'!$U$5:$W$5,1,0),"Excl")</f>
        <v>Contracts</v>
      </c>
      <c r="O993" s="7" t="str">
        <f>VLOOKUP(E993,Mapping!$E$11:$I$204,5,0)</f>
        <v>ACS</v>
      </c>
      <c r="Q993" s="32" t="s">
        <v>186</v>
      </c>
      <c r="R993" s="32"/>
      <c r="S993" s="32">
        <v>89999</v>
      </c>
      <c r="T993" s="32" t="s">
        <v>471</v>
      </c>
      <c r="U993" s="33">
        <v>0</v>
      </c>
      <c r="V993" s="7"/>
      <c r="W993" s="7" t="str">
        <f>VLOOKUP($Q993,Mapping!$E$11:$I$204,3,0)</f>
        <v>Replacement</v>
      </c>
      <c r="X993" s="7" t="str">
        <f>IFERROR(VLOOKUP($S993,Mapping!$E$208:$K$236,5,0),"Contracts")</f>
        <v>Contracts</v>
      </c>
      <c r="Y993" s="7" t="str">
        <f>IFERROR(VLOOKUP($S993,Mapping!$E$208:$K$236,7,0),"ENDirect")</f>
        <v>ENDirect</v>
      </c>
      <c r="Z993" s="7" t="str">
        <f>IFERROR(HLOOKUP(X993,'Calc|Weightings'!$U$5:$W$5,1,0),"Excl")</f>
        <v>Contracts</v>
      </c>
      <c r="AA993" s="7" t="str">
        <f>VLOOKUP(Q993,Mapping!$E$11:$I$204,5,0)</f>
        <v>SCS</v>
      </c>
      <c r="AC993" s="35" t="s">
        <v>160</v>
      </c>
      <c r="AD993" s="35"/>
      <c r="AE993" s="35">
        <v>71045</v>
      </c>
      <c r="AF993" s="35" t="s">
        <v>469</v>
      </c>
      <c r="AG993" s="36">
        <v>68.504999999999995</v>
      </c>
      <c r="AI993" s="7" t="str">
        <f>VLOOKUP($AC993,Mapping!$E$11:$I$204,3,0)</f>
        <v>Augmentation</v>
      </c>
      <c r="AJ993" s="7" t="str">
        <f>IFERROR(VLOOKUP($AE993,Mapping!$E$208:$K$236,5,0),"Contracts")</f>
        <v>Materials</v>
      </c>
      <c r="AK993" s="7" t="str">
        <f>IFERROR(VLOOKUP($AE993,Mapping!$E$208:$K$236,7,0),"ENDirect")</f>
        <v>ENDirect</v>
      </c>
      <c r="AL993" s="7" t="str">
        <f>IFERROR(HLOOKUP(AJ993,'Calc|Weightings'!$U$5:$W$5,1,0),"Excl")</f>
        <v>Materials</v>
      </c>
      <c r="AM993" s="7" t="str">
        <f>VLOOKUP(AC993,Mapping!$E$11:$I$204,5,0)</f>
        <v>SCS</v>
      </c>
      <c r="AO993" s="7"/>
      <c r="AP993" s="7"/>
      <c r="AQ993" s="7"/>
      <c r="AR993" s="7"/>
      <c r="AS993" s="7"/>
    </row>
    <row r="994" spans="1:45" x14ac:dyDescent="0.3">
      <c r="A994" s="7"/>
      <c r="B994" s="7"/>
      <c r="C994" s="7"/>
      <c r="D994" s="7"/>
      <c r="E994" s="32" t="s">
        <v>156</v>
      </c>
      <c r="F994" s="32"/>
      <c r="G994" s="32">
        <v>71005</v>
      </c>
      <c r="H994" s="32" t="s">
        <v>461</v>
      </c>
      <c r="I994" s="33">
        <v>42.408000000000001</v>
      </c>
      <c r="J994" s="170"/>
      <c r="K994" s="7" t="str">
        <f>VLOOKUP($E994,Mapping!$E$11:$I$204,3,0)</f>
        <v>VBRC</v>
      </c>
      <c r="L994" s="7" t="str">
        <f>IFERROR(VLOOKUP($G994,Mapping!$E$208:$K$236,5,0),"Contracts")</f>
        <v>Materials</v>
      </c>
      <c r="M994" s="7" t="str">
        <f>IFERROR(VLOOKUP($G994,Mapping!$E$208:$K$236,7,0),"ENDirect")</f>
        <v>ENDirect</v>
      </c>
      <c r="N994" s="7" t="str">
        <f>IFERROR(HLOOKUP(L994,'Calc|Weightings'!$U$5:$W$5,1,0),"Excl")</f>
        <v>Materials</v>
      </c>
      <c r="O994" s="7" t="str">
        <f>VLOOKUP(E994,Mapping!$E$11:$I$204,5,0)</f>
        <v>SCS</v>
      </c>
      <c r="Q994" s="32" t="s">
        <v>128</v>
      </c>
      <c r="R994" s="32"/>
      <c r="S994" s="32">
        <v>70815</v>
      </c>
      <c r="T994" s="32" t="s">
        <v>451</v>
      </c>
      <c r="U994" s="33">
        <v>91.798000000000002</v>
      </c>
      <c r="V994" s="7"/>
      <c r="W994" s="7" t="str">
        <f>VLOOKUP($Q994,Mapping!$E$11:$I$204,3,0)</f>
        <v>Non-network general assets - Other</v>
      </c>
      <c r="X994" s="7" t="str">
        <f>IFERROR(VLOOKUP($S994,Mapping!$E$208:$K$236,5,0),"Contracts")</f>
        <v>Materials</v>
      </c>
      <c r="Y994" s="7" t="str">
        <f>IFERROR(VLOOKUP($S994,Mapping!$E$208:$K$236,7,0),"ENDirect")</f>
        <v>ENDirect</v>
      </c>
      <c r="Z994" s="7" t="str">
        <f>IFERROR(HLOOKUP(X994,'Calc|Weightings'!$U$5:$W$5,1,0),"Excl")</f>
        <v>Materials</v>
      </c>
      <c r="AA994" s="7" t="str">
        <f>VLOOKUP(Q994,Mapping!$E$11:$I$204,5,0)</f>
        <v>SCS</v>
      </c>
      <c r="AC994" s="35" t="s">
        <v>247</v>
      </c>
      <c r="AD994" s="35"/>
      <c r="AE994" s="35">
        <v>71000</v>
      </c>
      <c r="AF994" s="35" t="s">
        <v>457</v>
      </c>
      <c r="AG994" s="36">
        <v>218.71600000000001</v>
      </c>
      <c r="AI994" s="7" t="str">
        <f>VLOOKUP($AC994,Mapping!$E$11:$I$204,3,0)</f>
        <v>ACS</v>
      </c>
      <c r="AJ994" s="7" t="str">
        <f>IFERROR(VLOOKUP($AE994,Mapping!$E$208:$K$236,5,0),"Contracts")</f>
        <v>Labour</v>
      </c>
      <c r="AK994" s="7" t="str">
        <f>IFERROR(VLOOKUP($AE994,Mapping!$E$208:$K$236,7,0),"ENDirect")</f>
        <v>ENDirect</v>
      </c>
      <c r="AL994" s="7" t="str">
        <f>IFERROR(HLOOKUP(AJ994,'Calc|Weightings'!$U$5:$W$5,1,0),"Excl")</f>
        <v>Labour</v>
      </c>
      <c r="AM994" s="7" t="str">
        <f>VLOOKUP(AC994,Mapping!$E$11:$I$204,5,0)</f>
        <v>ACS</v>
      </c>
      <c r="AO994" s="7"/>
      <c r="AP994" s="7"/>
      <c r="AQ994" s="7"/>
      <c r="AR994" s="7"/>
      <c r="AS994" s="7"/>
    </row>
    <row r="995" spans="1:45" x14ac:dyDescent="0.3">
      <c r="A995" s="7"/>
      <c r="B995" s="7"/>
      <c r="C995" s="7"/>
      <c r="D995" s="7"/>
      <c r="E995" s="32" t="s">
        <v>156</v>
      </c>
      <c r="F995" s="32"/>
      <c r="G995" s="32">
        <v>71010</v>
      </c>
      <c r="H995" s="32" t="s">
        <v>462</v>
      </c>
      <c r="I995" s="33">
        <v>52.686999999999998</v>
      </c>
      <c r="J995" s="170"/>
      <c r="K995" s="7" t="str">
        <f>VLOOKUP($E995,Mapping!$E$11:$I$204,3,0)</f>
        <v>VBRC</v>
      </c>
      <c r="L995" s="7" t="str">
        <f>IFERROR(VLOOKUP($G995,Mapping!$E$208:$K$236,5,0),"Contracts")</f>
        <v>Labour</v>
      </c>
      <c r="M995" s="7" t="str">
        <f>IFERROR(VLOOKUP($G995,Mapping!$E$208:$K$236,7,0),"ENDirect")</f>
        <v>ENDirect</v>
      </c>
      <c r="N995" s="7" t="str">
        <f>IFERROR(HLOOKUP(L995,'Calc|Weightings'!$U$5:$W$5,1,0),"Excl")</f>
        <v>Labour</v>
      </c>
      <c r="O995" s="7" t="str">
        <f>VLOOKUP(E995,Mapping!$E$11:$I$204,5,0)</f>
        <v>SCS</v>
      </c>
      <c r="Q995" s="32" t="s">
        <v>159</v>
      </c>
      <c r="R995" s="32"/>
      <c r="S995" s="32">
        <v>71000</v>
      </c>
      <c r="T995" s="32" t="s">
        <v>457</v>
      </c>
      <c r="U995" s="33">
        <v>20.161999999999999</v>
      </c>
      <c r="V995" s="7"/>
      <c r="W995" s="7" t="str">
        <f>VLOOKUP($Q995,Mapping!$E$11:$I$204,3,0)</f>
        <v>Replacement</v>
      </c>
      <c r="X995" s="7" t="str">
        <f>IFERROR(VLOOKUP($S995,Mapping!$E$208:$K$236,5,0),"Contracts")</f>
        <v>Labour</v>
      </c>
      <c r="Y995" s="7" t="str">
        <f>IFERROR(VLOOKUP($S995,Mapping!$E$208:$K$236,7,0),"ENDirect")</f>
        <v>ENDirect</v>
      </c>
      <c r="Z995" s="7" t="str">
        <f>IFERROR(HLOOKUP(X995,'Calc|Weightings'!$U$5:$W$5,1,0),"Excl")</f>
        <v>Labour</v>
      </c>
      <c r="AA995" s="7" t="str">
        <f>VLOOKUP(Q995,Mapping!$E$11:$I$204,5,0)</f>
        <v>SCS</v>
      </c>
      <c r="AC995" s="35" t="s">
        <v>247</v>
      </c>
      <c r="AD995" s="35"/>
      <c r="AE995" s="35">
        <v>71015</v>
      </c>
      <c r="AF995" s="35" t="s">
        <v>463</v>
      </c>
      <c r="AG995" s="36">
        <v>68.897999999999996</v>
      </c>
      <c r="AI995" s="7" t="str">
        <f>VLOOKUP($AC995,Mapping!$E$11:$I$204,3,0)</f>
        <v>ACS</v>
      </c>
      <c r="AJ995" s="7" t="str">
        <f>IFERROR(VLOOKUP($AE995,Mapping!$E$208:$K$236,5,0),"Contracts")</f>
        <v>Materials</v>
      </c>
      <c r="AK995" s="7" t="str">
        <f>IFERROR(VLOOKUP($AE995,Mapping!$E$208:$K$236,7,0),"ENDirect")</f>
        <v>ENDirect</v>
      </c>
      <c r="AL995" s="7" t="str">
        <f>IFERROR(HLOOKUP(AJ995,'Calc|Weightings'!$U$5:$W$5,1,0),"Excl")</f>
        <v>Materials</v>
      </c>
      <c r="AM995" s="7" t="str">
        <f>VLOOKUP(AC995,Mapping!$E$11:$I$204,5,0)</f>
        <v>ACS</v>
      </c>
      <c r="AO995" s="7"/>
      <c r="AP995" s="7"/>
      <c r="AQ995" s="7"/>
      <c r="AR995" s="7"/>
      <c r="AS995" s="7"/>
    </row>
    <row r="996" spans="1:45" x14ac:dyDescent="0.3">
      <c r="A996" s="7"/>
      <c r="B996" s="7"/>
      <c r="C996" s="7"/>
      <c r="D996" s="7"/>
      <c r="E996" s="32" t="s">
        <v>156</v>
      </c>
      <c r="F996" s="32"/>
      <c r="G996" s="32">
        <v>71040</v>
      </c>
      <c r="H996" s="32" t="s">
        <v>460</v>
      </c>
      <c r="I996" s="33">
        <v>-4.7039999999999997</v>
      </c>
      <c r="J996" s="170"/>
      <c r="K996" s="7" t="str">
        <f>VLOOKUP($E996,Mapping!$E$11:$I$204,3,0)</f>
        <v>VBRC</v>
      </c>
      <c r="L996" s="7" t="str">
        <f>IFERROR(VLOOKUP($G996,Mapping!$E$208:$K$236,5,0),"Contracts")</f>
        <v>Contracts</v>
      </c>
      <c r="M996" s="7" t="str">
        <f>IFERROR(VLOOKUP($G996,Mapping!$E$208:$K$236,7,0),"ENDirect")</f>
        <v>ENDirect</v>
      </c>
      <c r="N996" s="7" t="str">
        <f>IFERROR(HLOOKUP(L996,'Calc|Weightings'!$U$5:$W$5,1,0),"Excl")</f>
        <v>Contracts</v>
      </c>
      <c r="O996" s="7" t="str">
        <f>VLOOKUP(E996,Mapping!$E$11:$I$204,5,0)</f>
        <v>SCS</v>
      </c>
      <c r="Q996" s="32" t="s">
        <v>159</v>
      </c>
      <c r="R996" s="32"/>
      <c r="S996" s="32">
        <v>71005</v>
      </c>
      <c r="T996" s="32" t="s">
        <v>461</v>
      </c>
      <c r="U996" s="33">
        <v>2.468</v>
      </c>
      <c r="V996" s="7"/>
      <c r="W996" s="7" t="str">
        <f>VLOOKUP($Q996,Mapping!$E$11:$I$204,3,0)</f>
        <v>Replacement</v>
      </c>
      <c r="X996" s="7" t="str">
        <f>IFERROR(VLOOKUP($S996,Mapping!$E$208:$K$236,5,0),"Contracts")</f>
        <v>Materials</v>
      </c>
      <c r="Y996" s="7" t="str">
        <f>IFERROR(VLOOKUP($S996,Mapping!$E$208:$K$236,7,0),"ENDirect")</f>
        <v>ENDirect</v>
      </c>
      <c r="Z996" s="7" t="str">
        <f>IFERROR(HLOOKUP(X996,'Calc|Weightings'!$U$5:$W$5,1,0),"Excl")</f>
        <v>Materials</v>
      </c>
      <c r="AA996" s="7" t="str">
        <f>VLOOKUP(Q996,Mapping!$E$11:$I$204,5,0)</f>
        <v>SCS</v>
      </c>
      <c r="AC996" s="35" t="s">
        <v>247</v>
      </c>
      <c r="AD996" s="35"/>
      <c r="AE996" s="35">
        <v>71030</v>
      </c>
      <c r="AF996" s="35" t="s">
        <v>464</v>
      </c>
      <c r="AG996" s="36">
        <v>30.765000000000001</v>
      </c>
      <c r="AI996" s="7" t="str">
        <f>VLOOKUP($AC996,Mapping!$E$11:$I$204,3,0)</f>
        <v>ACS</v>
      </c>
      <c r="AJ996" s="7" t="str">
        <f>IFERROR(VLOOKUP($AE996,Mapping!$E$208:$K$236,5,0),"Contracts")</f>
        <v>Contracts</v>
      </c>
      <c r="AK996" s="7" t="str">
        <f>IFERROR(VLOOKUP($AE996,Mapping!$E$208:$K$236,7,0),"ENDirect")</f>
        <v>ENDirect</v>
      </c>
      <c r="AL996" s="7" t="str">
        <f>IFERROR(HLOOKUP(AJ996,'Calc|Weightings'!$U$5:$W$5,1,0),"Excl")</f>
        <v>Contracts</v>
      </c>
      <c r="AM996" s="7" t="str">
        <f>VLOOKUP(AC996,Mapping!$E$11:$I$204,5,0)</f>
        <v>ACS</v>
      </c>
      <c r="AO996" s="7"/>
      <c r="AP996" s="7"/>
      <c r="AQ996" s="7"/>
      <c r="AR996" s="7"/>
      <c r="AS996" s="7"/>
    </row>
    <row r="997" spans="1:45" x14ac:dyDescent="0.3">
      <c r="A997" s="7"/>
      <c r="B997" s="7"/>
      <c r="C997" s="7"/>
      <c r="D997" s="7"/>
      <c r="E997" s="32" t="s">
        <v>244</v>
      </c>
      <c r="F997" s="32"/>
      <c r="G997" s="32">
        <v>71040</v>
      </c>
      <c r="H997" s="32" t="s">
        <v>460</v>
      </c>
      <c r="I997" s="33">
        <v>-1.0349999999999999</v>
      </c>
      <c r="J997" s="170"/>
      <c r="K997" s="7" t="str">
        <f>VLOOKUP($E997,Mapping!$E$11:$I$204,3,0)</f>
        <v>Replacement</v>
      </c>
      <c r="L997" s="7" t="str">
        <f>IFERROR(VLOOKUP($G997,Mapping!$E$208:$K$236,5,0),"Contracts")</f>
        <v>Contracts</v>
      </c>
      <c r="M997" s="7" t="str">
        <f>IFERROR(VLOOKUP($G997,Mapping!$E$208:$K$236,7,0),"ENDirect")</f>
        <v>ENDirect</v>
      </c>
      <c r="N997" s="7" t="str">
        <f>IFERROR(HLOOKUP(L997,'Calc|Weightings'!$U$5:$W$5,1,0),"Excl")</f>
        <v>Contracts</v>
      </c>
      <c r="O997" s="7" t="str">
        <f>VLOOKUP(E997,Mapping!$E$11:$I$204,5,0)</f>
        <v>SCS</v>
      </c>
      <c r="Q997" s="32" t="s">
        <v>159</v>
      </c>
      <c r="R997" s="32"/>
      <c r="S997" s="32">
        <v>71010</v>
      </c>
      <c r="T997" s="32" t="s">
        <v>462</v>
      </c>
      <c r="U997" s="33">
        <v>3.677</v>
      </c>
      <c r="V997" s="7"/>
      <c r="W997" s="7" t="str">
        <f>VLOOKUP($Q997,Mapping!$E$11:$I$204,3,0)</f>
        <v>Replacement</v>
      </c>
      <c r="X997" s="7" t="str">
        <f>IFERROR(VLOOKUP($S997,Mapping!$E$208:$K$236,5,0),"Contracts")</f>
        <v>Labour</v>
      </c>
      <c r="Y997" s="7" t="str">
        <f>IFERROR(VLOOKUP($S997,Mapping!$E$208:$K$236,7,0),"ENDirect")</f>
        <v>ENDirect</v>
      </c>
      <c r="Z997" s="7" t="str">
        <f>IFERROR(HLOOKUP(X997,'Calc|Weightings'!$U$5:$W$5,1,0),"Excl")</f>
        <v>Labour</v>
      </c>
      <c r="AA997" s="7" t="str">
        <f>VLOOKUP(Q997,Mapping!$E$11:$I$204,5,0)</f>
        <v>SCS</v>
      </c>
      <c r="AC997" s="35" t="s">
        <v>247</v>
      </c>
      <c r="AD997" s="35"/>
      <c r="AE997" s="35">
        <v>71055</v>
      </c>
      <c r="AF997" s="35" t="s">
        <v>465</v>
      </c>
      <c r="AG997" s="36">
        <v>53.786999999999999</v>
      </c>
      <c r="AI997" s="7" t="str">
        <f>VLOOKUP($AC997,Mapping!$E$11:$I$204,3,0)</f>
        <v>ACS</v>
      </c>
      <c r="AJ997" s="7" t="str">
        <f>IFERROR(VLOOKUP($AE997,Mapping!$E$208:$K$236,5,0),"Contracts")</f>
        <v>Contracts</v>
      </c>
      <c r="AK997" s="7" t="str">
        <f>IFERROR(VLOOKUP($AE997,Mapping!$E$208:$K$236,7,0),"ENDirect")</f>
        <v>ENDirect</v>
      </c>
      <c r="AL997" s="7" t="str">
        <f>IFERROR(HLOOKUP(AJ997,'Calc|Weightings'!$U$5:$W$5,1,0),"Excl")</f>
        <v>Contracts</v>
      </c>
      <c r="AM997" s="7" t="str">
        <f>VLOOKUP(AC997,Mapping!$E$11:$I$204,5,0)</f>
        <v>ACS</v>
      </c>
      <c r="AO997" s="7"/>
      <c r="AP997" s="7"/>
      <c r="AQ997" s="7"/>
      <c r="AR997" s="7"/>
      <c r="AS997" s="7"/>
    </row>
    <row r="998" spans="1:45" x14ac:dyDescent="0.3">
      <c r="A998" s="7"/>
      <c r="B998" s="7"/>
      <c r="C998" s="7"/>
      <c r="D998" s="7"/>
      <c r="E998" s="32" t="s">
        <v>118</v>
      </c>
      <c r="F998" s="32"/>
      <c r="G998" s="32">
        <v>71006</v>
      </c>
      <c r="H998" s="32" t="s">
        <v>468</v>
      </c>
      <c r="I998" s="33">
        <v>46.106000000000002</v>
      </c>
      <c r="J998" s="170"/>
      <c r="K998" s="7" t="str">
        <f>VLOOKUP($E998,Mapping!$E$11:$I$204,3,0)</f>
        <v>Connections</v>
      </c>
      <c r="L998" s="7" t="str">
        <f>IFERROR(VLOOKUP($G998,Mapping!$E$208:$K$236,5,0),"Contracts")</f>
        <v>Materials</v>
      </c>
      <c r="M998" s="7" t="str">
        <f>IFERROR(VLOOKUP($G998,Mapping!$E$208:$K$236,7,0),"ENDirect")</f>
        <v>ENDirect</v>
      </c>
      <c r="N998" s="7" t="str">
        <f>IFERROR(HLOOKUP(L998,'Calc|Weightings'!$U$5:$W$5,1,0),"Excl")</f>
        <v>Materials</v>
      </c>
      <c r="O998" s="7" t="str">
        <f>VLOOKUP(E998,Mapping!$E$11:$I$204,5,0)</f>
        <v>SCS</v>
      </c>
      <c r="Q998" s="32" t="s">
        <v>159</v>
      </c>
      <c r="R998" s="32"/>
      <c r="S998" s="32">
        <v>71015</v>
      </c>
      <c r="T998" s="32" t="s">
        <v>463</v>
      </c>
      <c r="U998" s="33">
        <v>5.1210000000000004</v>
      </c>
      <c r="V998" s="7"/>
      <c r="W998" s="7" t="str">
        <f>VLOOKUP($Q998,Mapping!$E$11:$I$204,3,0)</f>
        <v>Replacement</v>
      </c>
      <c r="X998" s="7" t="str">
        <f>IFERROR(VLOOKUP($S998,Mapping!$E$208:$K$236,5,0),"Contracts")</f>
        <v>Materials</v>
      </c>
      <c r="Y998" s="7" t="str">
        <f>IFERROR(VLOOKUP($S998,Mapping!$E$208:$K$236,7,0),"ENDirect")</f>
        <v>ENDirect</v>
      </c>
      <c r="Z998" s="7" t="str">
        <f>IFERROR(HLOOKUP(X998,'Calc|Weightings'!$U$5:$W$5,1,0),"Excl")</f>
        <v>Materials</v>
      </c>
      <c r="AA998" s="7" t="str">
        <f>VLOOKUP(Q998,Mapping!$E$11:$I$204,5,0)</f>
        <v>SCS</v>
      </c>
      <c r="AC998" s="35" t="s">
        <v>192</v>
      </c>
      <c r="AD998" s="35"/>
      <c r="AE998" s="35">
        <v>71006</v>
      </c>
      <c r="AF998" s="35" t="s">
        <v>468</v>
      </c>
      <c r="AG998" s="36">
        <v>11.632999999999999</v>
      </c>
      <c r="AI998" s="7" t="str">
        <f>VLOOKUP($AC998,Mapping!$E$11:$I$204,3,0)</f>
        <v>VBRC</v>
      </c>
      <c r="AJ998" s="7" t="str">
        <f>IFERROR(VLOOKUP($AE998,Mapping!$E$208:$K$236,5,0),"Contracts")</f>
        <v>Materials</v>
      </c>
      <c r="AK998" s="7" t="str">
        <f>IFERROR(VLOOKUP($AE998,Mapping!$E$208:$K$236,7,0),"ENDirect")</f>
        <v>ENDirect</v>
      </c>
      <c r="AL998" s="7" t="str">
        <f>IFERROR(HLOOKUP(AJ998,'Calc|Weightings'!$U$5:$W$5,1,0),"Excl")</f>
        <v>Materials</v>
      </c>
      <c r="AM998" s="7" t="str">
        <f>VLOOKUP(AC998,Mapping!$E$11:$I$204,5,0)</f>
        <v>SCS</v>
      </c>
      <c r="AO998" s="7"/>
      <c r="AP998" s="7"/>
      <c r="AQ998" s="7"/>
      <c r="AR998" s="7"/>
      <c r="AS998" s="7"/>
    </row>
    <row r="999" spans="1:45" x14ac:dyDescent="0.3">
      <c r="A999" s="7"/>
      <c r="B999" s="7"/>
      <c r="C999" s="7"/>
      <c r="D999" s="7"/>
      <c r="E999" s="32" t="s">
        <v>118</v>
      </c>
      <c r="F999" s="32"/>
      <c r="G999" s="32">
        <v>71015</v>
      </c>
      <c r="H999" s="32" t="s">
        <v>463</v>
      </c>
      <c r="I999" s="33">
        <v>25.678000000000001</v>
      </c>
      <c r="J999" s="170"/>
      <c r="K999" s="7" t="str">
        <f>VLOOKUP($E999,Mapping!$E$11:$I$204,3,0)</f>
        <v>Connections</v>
      </c>
      <c r="L999" s="7" t="str">
        <f>IFERROR(VLOOKUP($G999,Mapping!$E$208:$K$236,5,0),"Contracts")</f>
        <v>Materials</v>
      </c>
      <c r="M999" s="7" t="str">
        <f>IFERROR(VLOOKUP($G999,Mapping!$E$208:$K$236,7,0),"ENDirect")</f>
        <v>ENDirect</v>
      </c>
      <c r="N999" s="7" t="str">
        <f>IFERROR(HLOOKUP(L999,'Calc|Weightings'!$U$5:$W$5,1,0),"Excl")</f>
        <v>Materials</v>
      </c>
      <c r="O999" s="7" t="str">
        <f>VLOOKUP(E999,Mapping!$E$11:$I$204,5,0)</f>
        <v>SCS</v>
      </c>
      <c r="Q999" s="32" t="s">
        <v>159</v>
      </c>
      <c r="R999" s="32"/>
      <c r="S999" s="32">
        <v>71030</v>
      </c>
      <c r="T999" s="32" t="s">
        <v>464</v>
      </c>
      <c r="U999" s="33">
        <v>2.6680000000000001</v>
      </c>
      <c r="V999" s="7"/>
      <c r="W999" s="7" t="str">
        <f>VLOOKUP($Q999,Mapping!$E$11:$I$204,3,0)</f>
        <v>Replacement</v>
      </c>
      <c r="X999" s="7" t="str">
        <f>IFERROR(VLOOKUP($S999,Mapping!$E$208:$K$236,5,0),"Contracts")</f>
        <v>Contracts</v>
      </c>
      <c r="Y999" s="7" t="str">
        <f>IFERROR(VLOOKUP($S999,Mapping!$E$208:$K$236,7,0),"ENDirect")</f>
        <v>ENDirect</v>
      </c>
      <c r="Z999" s="7" t="str">
        <f>IFERROR(HLOOKUP(X999,'Calc|Weightings'!$U$5:$W$5,1,0),"Excl")</f>
        <v>Contracts</v>
      </c>
      <c r="AA999" s="7" t="str">
        <f>VLOOKUP(Q999,Mapping!$E$11:$I$204,5,0)</f>
        <v>SCS</v>
      </c>
      <c r="AC999" s="35" t="s">
        <v>147</v>
      </c>
      <c r="AD999" s="35"/>
      <c r="AE999" s="35">
        <v>71015</v>
      </c>
      <c r="AF999" s="35" t="s">
        <v>463</v>
      </c>
      <c r="AG999" s="36">
        <v>130.239</v>
      </c>
      <c r="AI999" s="7" t="str">
        <f>VLOOKUP($AC999,Mapping!$E$11:$I$204,3,0)</f>
        <v>Augmentation</v>
      </c>
      <c r="AJ999" s="7" t="str">
        <f>IFERROR(VLOOKUP($AE999,Mapping!$E$208:$K$236,5,0),"Contracts")</f>
        <v>Materials</v>
      </c>
      <c r="AK999" s="7" t="str">
        <f>IFERROR(VLOOKUP($AE999,Mapping!$E$208:$K$236,7,0),"ENDirect")</f>
        <v>ENDirect</v>
      </c>
      <c r="AL999" s="7" t="str">
        <f>IFERROR(HLOOKUP(AJ999,'Calc|Weightings'!$U$5:$W$5,1,0),"Excl")</f>
        <v>Materials</v>
      </c>
      <c r="AM999" s="7" t="str">
        <f>VLOOKUP(AC999,Mapping!$E$11:$I$204,5,0)</f>
        <v>SCS</v>
      </c>
      <c r="AO999" s="7"/>
      <c r="AP999" s="7"/>
      <c r="AQ999" s="7"/>
      <c r="AR999" s="7"/>
      <c r="AS999" s="7"/>
    </row>
    <row r="1000" spans="1:45" x14ac:dyDescent="0.3">
      <c r="A1000" s="7"/>
      <c r="B1000" s="7"/>
      <c r="C1000" s="7"/>
      <c r="D1000" s="7"/>
      <c r="E1000" s="32" t="s">
        <v>115</v>
      </c>
      <c r="F1000" s="32"/>
      <c r="G1000" s="32">
        <v>72345</v>
      </c>
      <c r="H1000" s="32" t="s">
        <v>467</v>
      </c>
      <c r="I1000" s="33">
        <v>1.33</v>
      </c>
      <c r="J1000" s="170"/>
      <c r="K1000" s="7" t="str">
        <f>VLOOKUP($E1000,Mapping!$E$11:$I$204,3,0)</f>
        <v>Connections</v>
      </c>
      <c r="L1000" s="7" t="str">
        <f>IFERROR(VLOOKUP($G1000,Mapping!$E$208:$K$236,5,0),"Contracts")</f>
        <v>Contracts</v>
      </c>
      <c r="M1000" s="7" t="str">
        <f>IFERROR(VLOOKUP($G1000,Mapping!$E$208:$K$236,7,0),"ENDirect")</f>
        <v>ENDirect</v>
      </c>
      <c r="N1000" s="7" t="str">
        <f>IFERROR(HLOOKUP(L1000,'Calc|Weightings'!$U$5:$W$5,1,0),"Excl")</f>
        <v>Contracts</v>
      </c>
      <c r="O1000" s="7" t="str">
        <f>VLOOKUP(E1000,Mapping!$E$11:$I$204,5,0)</f>
        <v>SCS</v>
      </c>
      <c r="Q1000" s="32" t="s">
        <v>159</v>
      </c>
      <c r="R1000" s="32"/>
      <c r="S1000" s="32">
        <v>71040</v>
      </c>
      <c r="T1000" s="32" t="s">
        <v>460</v>
      </c>
      <c r="U1000" s="33">
        <v>-19.876999999999999</v>
      </c>
      <c r="V1000" s="7"/>
      <c r="W1000" s="7" t="str">
        <f>VLOOKUP($Q1000,Mapping!$E$11:$I$204,3,0)</f>
        <v>Replacement</v>
      </c>
      <c r="X1000" s="7" t="str">
        <f>IFERROR(VLOOKUP($S1000,Mapping!$E$208:$K$236,5,0),"Contracts")</f>
        <v>Contracts</v>
      </c>
      <c r="Y1000" s="7" t="str">
        <f>IFERROR(VLOOKUP($S1000,Mapping!$E$208:$K$236,7,0),"ENDirect")</f>
        <v>ENDirect</v>
      </c>
      <c r="Z1000" s="7" t="str">
        <f>IFERROR(HLOOKUP(X1000,'Calc|Weightings'!$U$5:$W$5,1,0),"Excl")</f>
        <v>Contracts</v>
      </c>
      <c r="AA1000" s="7" t="str">
        <f>VLOOKUP(Q1000,Mapping!$E$11:$I$204,5,0)</f>
        <v>SCS</v>
      </c>
      <c r="AC1000" s="35" t="s">
        <v>551</v>
      </c>
      <c r="AD1000" s="35"/>
      <c r="AE1000" s="35">
        <v>89999</v>
      </c>
      <c r="AF1000" s="35" t="s">
        <v>471</v>
      </c>
      <c r="AG1000" s="36">
        <v>0</v>
      </c>
      <c r="AI1000" s="7" t="str">
        <f>VLOOKUP($AC1000,Mapping!$E$11:$I$204,3,0)</f>
        <v>Connections</v>
      </c>
      <c r="AJ1000" s="7" t="str">
        <f>IFERROR(VLOOKUP($AE1000,Mapping!$E$208:$K$236,5,0),"Contracts")</f>
        <v>Contracts</v>
      </c>
      <c r="AK1000" s="7" t="str">
        <f>IFERROR(VLOOKUP($AE1000,Mapping!$E$208:$K$236,7,0),"ENDirect")</f>
        <v>ENDirect</v>
      </c>
      <c r="AL1000" s="7" t="str">
        <f>IFERROR(HLOOKUP(AJ1000,'Calc|Weightings'!$U$5:$W$5,1,0),"Excl")</f>
        <v>Contracts</v>
      </c>
      <c r="AM1000" s="7" t="str">
        <f>VLOOKUP(AC1000,Mapping!$E$11:$I$204,5,0)</f>
        <v>SCS</v>
      </c>
      <c r="AO1000" s="7"/>
      <c r="AP1000" s="7"/>
      <c r="AQ1000" s="7"/>
      <c r="AR1000" s="7"/>
      <c r="AS1000" s="7"/>
    </row>
    <row r="1001" spans="1:45" x14ac:dyDescent="0.3">
      <c r="A1001" s="7"/>
      <c r="B1001" s="7"/>
      <c r="C1001" s="7"/>
      <c r="D1001" s="7"/>
      <c r="E1001" s="32" t="s">
        <v>103</v>
      </c>
      <c r="F1001" s="32"/>
      <c r="G1001" s="32">
        <v>71020</v>
      </c>
      <c r="H1001" s="32" t="s">
        <v>459</v>
      </c>
      <c r="I1001" s="33">
        <v>-0.254</v>
      </c>
      <c r="J1001" s="170"/>
      <c r="K1001" s="7" t="str">
        <f>VLOOKUP($E1001,Mapping!$E$11:$I$204,3,0)</f>
        <v>Public Lighting</v>
      </c>
      <c r="L1001" s="7" t="str">
        <f>IFERROR(VLOOKUP($G1001,Mapping!$E$208:$K$236,5,0),"Contracts")</f>
        <v>Contracts</v>
      </c>
      <c r="M1001" s="7" t="str">
        <f>IFERROR(VLOOKUP($G1001,Mapping!$E$208:$K$236,7,0),"ENDirect")</f>
        <v>ENDirect</v>
      </c>
      <c r="N1001" s="7" t="str">
        <f>IFERROR(HLOOKUP(L1001,'Calc|Weightings'!$U$5:$W$5,1,0),"Excl")</f>
        <v>Contracts</v>
      </c>
      <c r="O1001" s="7" t="str">
        <f>VLOOKUP(E1001,Mapping!$E$11:$I$204,5,0)</f>
        <v>Public Lighting</v>
      </c>
      <c r="Q1001" s="32" t="s">
        <v>159</v>
      </c>
      <c r="R1001" s="32"/>
      <c r="S1001" s="32">
        <v>71055</v>
      </c>
      <c r="T1001" s="32" t="s">
        <v>465</v>
      </c>
      <c r="U1001" s="33">
        <v>6.6870000000000003</v>
      </c>
      <c r="V1001" s="7"/>
      <c r="W1001" s="7" t="str">
        <f>VLOOKUP($Q1001,Mapping!$E$11:$I$204,3,0)</f>
        <v>Replacement</v>
      </c>
      <c r="X1001" s="7" t="str">
        <f>IFERROR(VLOOKUP($S1001,Mapping!$E$208:$K$236,5,0),"Contracts")</f>
        <v>Contracts</v>
      </c>
      <c r="Y1001" s="7" t="str">
        <f>IFERROR(VLOOKUP($S1001,Mapping!$E$208:$K$236,7,0),"ENDirect")</f>
        <v>ENDirect</v>
      </c>
      <c r="Z1001" s="7" t="str">
        <f>IFERROR(HLOOKUP(X1001,'Calc|Weightings'!$U$5:$W$5,1,0),"Excl")</f>
        <v>Contracts</v>
      </c>
      <c r="AA1001" s="7" t="str">
        <f>VLOOKUP(Q1001,Mapping!$E$11:$I$204,5,0)</f>
        <v>SCS</v>
      </c>
      <c r="AC1001" s="35" t="s">
        <v>142</v>
      </c>
      <c r="AD1001" s="35"/>
      <c r="AE1001" s="35">
        <v>71000</v>
      </c>
      <c r="AF1001" s="35" t="s">
        <v>457</v>
      </c>
      <c r="AG1001" s="36">
        <v>-1.1890000000000001</v>
      </c>
      <c r="AI1001" s="7" t="str">
        <f>VLOOKUP($AC1001,Mapping!$E$11:$I$204,3,0)</f>
        <v>ACS</v>
      </c>
      <c r="AJ1001" s="7" t="str">
        <f>IFERROR(VLOOKUP($AE1001,Mapping!$E$208:$K$236,5,0),"Contracts")</f>
        <v>Labour</v>
      </c>
      <c r="AK1001" s="7" t="str">
        <f>IFERROR(VLOOKUP($AE1001,Mapping!$E$208:$K$236,7,0),"ENDirect")</f>
        <v>ENDirect</v>
      </c>
      <c r="AL1001" s="7" t="str">
        <f>IFERROR(HLOOKUP(AJ1001,'Calc|Weightings'!$U$5:$W$5,1,0),"Excl")</f>
        <v>Labour</v>
      </c>
      <c r="AM1001" s="7" t="str">
        <f>VLOOKUP(AC1001,Mapping!$E$11:$I$204,5,0)</f>
        <v>ACS</v>
      </c>
      <c r="AO1001" s="7"/>
      <c r="AP1001" s="7"/>
      <c r="AQ1001" s="7"/>
      <c r="AR1001" s="7"/>
      <c r="AS1001" s="7"/>
    </row>
    <row r="1002" spans="1:45" x14ac:dyDescent="0.3">
      <c r="A1002" s="7"/>
      <c r="B1002" s="7"/>
      <c r="C1002" s="7"/>
      <c r="D1002" s="7"/>
      <c r="E1002" s="32" t="s">
        <v>225</v>
      </c>
      <c r="F1002" s="32"/>
      <c r="G1002" s="32">
        <v>71015</v>
      </c>
      <c r="H1002" s="32" t="s">
        <v>463</v>
      </c>
      <c r="I1002" s="33">
        <v>101.372</v>
      </c>
      <c r="J1002" s="170"/>
      <c r="K1002" s="7" t="str">
        <f>VLOOKUP($E1002,Mapping!$E$11:$I$204,3,0)</f>
        <v>Replacement</v>
      </c>
      <c r="L1002" s="7" t="str">
        <f>IFERROR(VLOOKUP($G1002,Mapping!$E$208:$K$236,5,0),"Contracts")</f>
        <v>Materials</v>
      </c>
      <c r="M1002" s="7" t="str">
        <f>IFERROR(VLOOKUP($G1002,Mapping!$E$208:$K$236,7,0),"ENDirect")</f>
        <v>ENDirect</v>
      </c>
      <c r="N1002" s="7" t="str">
        <f>IFERROR(HLOOKUP(L1002,'Calc|Weightings'!$U$5:$W$5,1,0),"Excl")</f>
        <v>Materials</v>
      </c>
      <c r="O1002" s="7" t="str">
        <f>VLOOKUP(E1002,Mapping!$E$11:$I$204,5,0)</f>
        <v>SCS</v>
      </c>
      <c r="Q1002" s="32" t="s">
        <v>159</v>
      </c>
      <c r="R1002" s="32"/>
      <c r="S1002" s="32">
        <v>80000</v>
      </c>
      <c r="T1002" s="32" t="s">
        <v>453</v>
      </c>
      <c r="U1002" s="33">
        <v>5.6539999999999999</v>
      </c>
      <c r="V1002" s="7"/>
      <c r="W1002" s="7" t="str">
        <f>VLOOKUP($Q1002,Mapping!$E$11:$I$204,3,0)</f>
        <v>Replacement</v>
      </c>
      <c r="X1002" s="7" t="str">
        <f>IFERROR(VLOOKUP($S1002,Mapping!$E$208:$K$236,5,0),"Contracts")</f>
        <v>Overhead</v>
      </c>
      <c r="Y1002" s="7" t="str">
        <f>IFERROR(VLOOKUP($S1002,Mapping!$E$208:$K$236,7,0),"ENDirect")</f>
        <v>OH</v>
      </c>
      <c r="Z1002" s="7" t="str">
        <f>IFERROR(HLOOKUP(X1002,'Calc|Weightings'!$U$5:$W$5,1,0),"Excl")</f>
        <v>Excl</v>
      </c>
      <c r="AA1002" s="7" t="str">
        <f>VLOOKUP(Q1002,Mapping!$E$11:$I$204,5,0)</f>
        <v>SCS</v>
      </c>
      <c r="AC1002" s="35" t="s">
        <v>142</v>
      </c>
      <c r="AD1002" s="35"/>
      <c r="AE1002" s="35">
        <v>71010</v>
      </c>
      <c r="AF1002" s="35" t="s">
        <v>462</v>
      </c>
      <c r="AG1002" s="36">
        <v>-11.79</v>
      </c>
      <c r="AI1002" s="7" t="str">
        <f>VLOOKUP($AC1002,Mapping!$E$11:$I$204,3,0)</f>
        <v>ACS</v>
      </c>
      <c r="AJ1002" s="7" t="str">
        <f>IFERROR(VLOOKUP($AE1002,Mapping!$E$208:$K$236,5,0),"Contracts")</f>
        <v>Labour</v>
      </c>
      <c r="AK1002" s="7" t="str">
        <f>IFERROR(VLOOKUP($AE1002,Mapping!$E$208:$K$236,7,0),"ENDirect")</f>
        <v>ENDirect</v>
      </c>
      <c r="AL1002" s="7" t="str">
        <f>IFERROR(HLOOKUP(AJ1002,'Calc|Weightings'!$U$5:$W$5,1,0),"Excl")</f>
        <v>Labour</v>
      </c>
      <c r="AM1002" s="7" t="str">
        <f>VLOOKUP(AC1002,Mapping!$E$11:$I$204,5,0)</f>
        <v>ACS</v>
      </c>
      <c r="AO1002" s="7"/>
      <c r="AP1002" s="7"/>
      <c r="AQ1002" s="7"/>
      <c r="AR1002" s="7"/>
      <c r="AS1002" s="7"/>
    </row>
    <row r="1003" spans="1:45" x14ac:dyDescent="0.3">
      <c r="A1003" s="7"/>
      <c r="B1003" s="7"/>
      <c r="C1003" s="7"/>
      <c r="D1003" s="7"/>
      <c r="E1003" s="32" t="s">
        <v>130</v>
      </c>
      <c r="F1003" s="32"/>
      <c r="G1003" s="32">
        <v>70815</v>
      </c>
      <c r="H1003" s="32" t="s">
        <v>451</v>
      </c>
      <c r="I1003" s="33">
        <v>930.40700000000004</v>
      </c>
      <c r="J1003" s="170"/>
      <c r="K1003" s="7" t="str">
        <f>VLOOKUP($E1003,Mapping!$E$11:$I$204,3,0)</f>
        <v>Non-network general assets - Other</v>
      </c>
      <c r="L1003" s="7" t="str">
        <f>IFERROR(VLOOKUP($G1003,Mapping!$E$208:$K$236,5,0),"Contracts")</f>
        <v>Materials</v>
      </c>
      <c r="M1003" s="7" t="str">
        <f>IFERROR(VLOOKUP($G1003,Mapping!$E$208:$K$236,7,0),"ENDirect")</f>
        <v>ENDirect</v>
      </c>
      <c r="N1003" s="7" t="str">
        <f>IFERROR(HLOOKUP(L1003,'Calc|Weightings'!$U$5:$W$5,1,0),"Excl")</f>
        <v>Materials</v>
      </c>
      <c r="O1003" s="7" t="str">
        <f>VLOOKUP(E1003,Mapping!$E$11:$I$204,5,0)</f>
        <v>SCS</v>
      </c>
      <c r="Q1003" s="32" t="s">
        <v>547</v>
      </c>
      <c r="R1003" s="32"/>
      <c r="S1003" s="32">
        <v>71005</v>
      </c>
      <c r="T1003" s="32" t="s">
        <v>461</v>
      </c>
      <c r="U1003" s="33">
        <v>24.329000000000001</v>
      </c>
      <c r="V1003" s="7"/>
      <c r="W1003" s="7" t="str">
        <f>VLOOKUP($Q1003,Mapping!$E$11:$I$204,3,0)</f>
        <v>Connections</v>
      </c>
      <c r="X1003" s="7" t="str">
        <f>IFERROR(VLOOKUP($S1003,Mapping!$E$208:$K$236,5,0),"Contracts")</f>
        <v>Materials</v>
      </c>
      <c r="Y1003" s="7" t="str">
        <f>IFERROR(VLOOKUP($S1003,Mapping!$E$208:$K$236,7,0),"ENDirect")</f>
        <v>ENDirect</v>
      </c>
      <c r="Z1003" s="7" t="str">
        <f>IFERROR(HLOOKUP(X1003,'Calc|Weightings'!$U$5:$W$5,1,0),"Excl")</f>
        <v>Materials</v>
      </c>
      <c r="AA1003" s="7" t="str">
        <f>VLOOKUP(Q1003,Mapping!$E$11:$I$204,5,0)</f>
        <v>SCS</v>
      </c>
      <c r="AC1003" s="35" t="s">
        <v>142</v>
      </c>
      <c r="AD1003" s="35"/>
      <c r="AE1003" s="35">
        <v>71015</v>
      </c>
      <c r="AF1003" s="35" t="s">
        <v>463</v>
      </c>
      <c r="AG1003" s="36">
        <v>-0.16700000000000001</v>
      </c>
      <c r="AI1003" s="7" t="str">
        <f>VLOOKUP($AC1003,Mapping!$E$11:$I$204,3,0)</f>
        <v>ACS</v>
      </c>
      <c r="AJ1003" s="7" t="str">
        <f>IFERROR(VLOOKUP($AE1003,Mapping!$E$208:$K$236,5,0),"Contracts")</f>
        <v>Materials</v>
      </c>
      <c r="AK1003" s="7" t="str">
        <f>IFERROR(VLOOKUP($AE1003,Mapping!$E$208:$K$236,7,0),"ENDirect")</f>
        <v>ENDirect</v>
      </c>
      <c r="AL1003" s="7" t="str">
        <f>IFERROR(HLOOKUP(AJ1003,'Calc|Weightings'!$U$5:$W$5,1,0),"Excl")</f>
        <v>Materials</v>
      </c>
      <c r="AM1003" s="7" t="str">
        <f>VLOOKUP(AC1003,Mapping!$E$11:$I$204,5,0)</f>
        <v>ACS</v>
      </c>
      <c r="AO1003" s="7"/>
      <c r="AP1003" s="7"/>
      <c r="AQ1003" s="7"/>
      <c r="AR1003" s="7"/>
      <c r="AS1003" s="7"/>
    </row>
    <row r="1004" spans="1:45" x14ac:dyDescent="0.3">
      <c r="A1004" s="7"/>
      <c r="B1004" s="7"/>
      <c r="C1004" s="7"/>
      <c r="D1004" s="7"/>
      <c r="E1004" s="32" t="s">
        <v>131</v>
      </c>
      <c r="F1004" s="32"/>
      <c r="G1004" s="32">
        <v>70815</v>
      </c>
      <c r="H1004" s="32" t="s">
        <v>451</v>
      </c>
      <c r="I1004" s="33">
        <v>258.94600000000003</v>
      </c>
      <c r="J1004" s="170"/>
      <c r="K1004" s="7" t="str">
        <f>VLOOKUP($E1004,Mapping!$E$11:$I$204,3,0)</f>
        <v>Non-network general assets - Other</v>
      </c>
      <c r="L1004" s="7" t="str">
        <f>IFERROR(VLOOKUP($G1004,Mapping!$E$208:$K$236,5,0),"Contracts")</f>
        <v>Materials</v>
      </c>
      <c r="M1004" s="7" t="str">
        <f>IFERROR(VLOOKUP($G1004,Mapping!$E$208:$K$236,7,0),"ENDirect")</f>
        <v>ENDirect</v>
      </c>
      <c r="N1004" s="7" t="str">
        <f>IFERROR(HLOOKUP(L1004,'Calc|Weightings'!$U$5:$W$5,1,0),"Excl")</f>
        <v>Materials</v>
      </c>
      <c r="O1004" s="7" t="str">
        <f>VLOOKUP(E1004,Mapping!$E$11:$I$204,5,0)</f>
        <v>SCS</v>
      </c>
      <c r="Q1004" s="32" t="s">
        <v>547</v>
      </c>
      <c r="R1004" s="32"/>
      <c r="S1004" s="32">
        <v>71006</v>
      </c>
      <c r="T1004" s="32" t="s">
        <v>468</v>
      </c>
      <c r="U1004" s="33">
        <v>44.482999999999997</v>
      </c>
      <c r="V1004" s="7"/>
      <c r="W1004" s="7" t="str">
        <f>VLOOKUP($Q1004,Mapping!$E$11:$I$204,3,0)</f>
        <v>Connections</v>
      </c>
      <c r="X1004" s="7" t="str">
        <f>IFERROR(VLOOKUP($S1004,Mapping!$E$208:$K$236,5,0),"Contracts")</f>
        <v>Materials</v>
      </c>
      <c r="Y1004" s="7" t="str">
        <f>IFERROR(VLOOKUP($S1004,Mapping!$E$208:$K$236,7,0),"ENDirect")</f>
        <v>ENDirect</v>
      </c>
      <c r="Z1004" s="7" t="str">
        <f>IFERROR(HLOOKUP(X1004,'Calc|Weightings'!$U$5:$W$5,1,0),"Excl")</f>
        <v>Materials</v>
      </c>
      <c r="AA1004" s="7" t="str">
        <f>VLOOKUP(Q1004,Mapping!$E$11:$I$204,5,0)</f>
        <v>SCS</v>
      </c>
      <c r="AC1004" s="35" t="s">
        <v>142</v>
      </c>
      <c r="AD1004" s="35"/>
      <c r="AE1004" s="35">
        <v>71030</v>
      </c>
      <c r="AF1004" s="35" t="s">
        <v>464</v>
      </c>
      <c r="AG1004" s="36">
        <v>-1.157</v>
      </c>
      <c r="AI1004" s="7" t="str">
        <f>VLOOKUP($AC1004,Mapping!$E$11:$I$204,3,0)</f>
        <v>ACS</v>
      </c>
      <c r="AJ1004" s="7" t="str">
        <f>IFERROR(VLOOKUP($AE1004,Mapping!$E$208:$K$236,5,0),"Contracts")</f>
        <v>Contracts</v>
      </c>
      <c r="AK1004" s="7" t="str">
        <f>IFERROR(VLOOKUP($AE1004,Mapping!$E$208:$K$236,7,0),"ENDirect")</f>
        <v>ENDirect</v>
      </c>
      <c r="AL1004" s="7" t="str">
        <f>IFERROR(HLOOKUP(AJ1004,'Calc|Weightings'!$U$5:$W$5,1,0),"Excl")</f>
        <v>Contracts</v>
      </c>
      <c r="AM1004" s="7" t="str">
        <f>VLOOKUP(AC1004,Mapping!$E$11:$I$204,5,0)</f>
        <v>ACS</v>
      </c>
      <c r="AO1004" s="7"/>
      <c r="AP1004" s="7"/>
      <c r="AQ1004" s="7"/>
      <c r="AR1004" s="7"/>
      <c r="AS1004" s="7"/>
    </row>
    <row r="1005" spans="1:45" x14ac:dyDescent="0.3">
      <c r="A1005" s="7"/>
      <c r="B1005" s="7"/>
      <c r="C1005" s="7"/>
      <c r="D1005" s="7"/>
      <c r="E1005" s="32" t="s">
        <v>268</v>
      </c>
      <c r="F1005" s="32"/>
      <c r="G1005" s="32">
        <v>71040</v>
      </c>
      <c r="H1005" s="32" t="s">
        <v>460</v>
      </c>
      <c r="I1005" s="33">
        <v>-33.064</v>
      </c>
      <c r="J1005" s="170"/>
      <c r="K1005" s="7" t="str">
        <f>VLOOKUP($E1005,Mapping!$E$11:$I$204,3,0)</f>
        <v>Replacement</v>
      </c>
      <c r="L1005" s="7" t="str">
        <f>IFERROR(VLOOKUP($G1005,Mapping!$E$208:$K$236,5,0),"Contracts")</f>
        <v>Contracts</v>
      </c>
      <c r="M1005" s="7" t="str">
        <f>IFERROR(VLOOKUP($G1005,Mapping!$E$208:$K$236,7,0),"ENDirect")</f>
        <v>ENDirect</v>
      </c>
      <c r="N1005" s="7" t="str">
        <f>IFERROR(HLOOKUP(L1005,'Calc|Weightings'!$U$5:$W$5,1,0),"Excl")</f>
        <v>Contracts</v>
      </c>
      <c r="O1005" s="7" t="str">
        <f>VLOOKUP(E1005,Mapping!$E$11:$I$204,5,0)</f>
        <v>SCS</v>
      </c>
      <c r="Q1005" s="32" t="s">
        <v>127</v>
      </c>
      <c r="R1005" s="32"/>
      <c r="S1005" s="32">
        <v>71010</v>
      </c>
      <c r="T1005" s="32" t="s">
        <v>462</v>
      </c>
      <c r="U1005" s="33">
        <v>26.751999999999999</v>
      </c>
      <c r="V1005" s="7"/>
      <c r="W1005" s="7" t="str">
        <f>VLOOKUP($Q1005,Mapping!$E$11:$I$204,3,0)</f>
        <v>Non-network general assets - Other</v>
      </c>
      <c r="X1005" s="7" t="str">
        <f>IFERROR(VLOOKUP($S1005,Mapping!$E$208:$K$236,5,0),"Contracts")</f>
        <v>Labour</v>
      </c>
      <c r="Y1005" s="7" t="str">
        <f>IFERROR(VLOOKUP($S1005,Mapping!$E$208:$K$236,7,0),"ENDirect")</f>
        <v>ENDirect</v>
      </c>
      <c r="Z1005" s="7" t="str">
        <f>IFERROR(HLOOKUP(X1005,'Calc|Weightings'!$U$5:$W$5,1,0),"Excl")</f>
        <v>Labour</v>
      </c>
      <c r="AA1005" s="7" t="str">
        <f>VLOOKUP(Q1005,Mapping!$E$11:$I$204,5,0)</f>
        <v>SCS</v>
      </c>
      <c r="AC1005" s="35" t="s">
        <v>142</v>
      </c>
      <c r="AD1005" s="35"/>
      <c r="AE1005" s="35">
        <v>71055</v>
      </c>
      <c r="AF1005" s="35" t="s">
        <v>465</v>
      </c>
      <c r="AG1005" s="36">
        <v>-3.38</v>
      </c>
      <c r="AI1005" s="7" t="str">
        <f>VLOOKUP($AC1005,Mapping!$E$11:$I$204,3,0)</f>
        <v>ACS</v>
      </c>
      <c r="AJ1005" s="7" t="str">
        <f>IFERROR(VLOOKUP($AE1005,Mapping!$E$208:$K$236,5,0),"Contracts")</f>
        <v>Contracts</v>
      </c>
      <c r="AK1005" s="7" t="str">
        <f>IFERROR(VLOOKUP($AE1005,Mapping!$E$208:$K$236,7,0),"ENDirect")</f>
        <v>ENDirect</v>
      </c>
      <c r="AL1005" s="7" t="str">
        <f>IFERROR(HLOOKUP(AJ1005,'Calc|Weightings'!$U$5:$W$5,1,0),"Excl")</f>
        <v>Contracts</v>
      </c>
      <c r="AM1005" s="7" t="str">
        <f>VLOOKUP(AC1005,Mapping!$E$11:$I$204,5,0)</f>
        <v>ACS</v>
      </c>
      <c r="AO1005" s="7"/>
      <c r="AP1005" s="7"/>
      <c r="AQ1005" s="7"/>
      <c r="AR1005" s="7"/>
      <c r="AS1005" s="7"/>
    </row>
    <row r="1006" spans="1:45" x14ac:dyDescent="0.3">
      <c r="A1006" s="7"/>
      <c r="B1006" s="7"/>
      <c r="C1006" s="7"/>
      <c r="D1006" s="7"/>
      <c r="E1006" s="32" t="s">
        <v>162</v>
      </c>
      <c r="F1006" s="32"/>
      <c r="G1006" s="32">
        <v>71006</v>
      </c>
      <c r="H1006" s="32" t="s">
        <v>468</v>
      </c>
      <c r="I1006" s="33">
        <v>0</v>
      </c>
      <c r="J1006" s="170"/>
      <c r="K1006" s="7" t="str">
        <f>VLOOKUP($E1006,Mapping!$E$11:$I$204,3,0)</f>
        <v>Replacement</v>
      </c>
      <c r="L1006" s="7" t="str">
        <f>IFERROR(VLOOKUP($G1006,Mapping!$E$208:$K$236,5,0),"Contracts")</f>
        <v>Materials</v>
      </c>
      <c r="M1006" s="7" t="str">
        <f>IFERROR(VLOOKUP($G1006,Mapping!$E$208:$K$236,7,0),"ENDirect")</f>
        <v>ENDirect</v>
      </c>
      <c r="N1006" s="7" t="str">
        <f>IFERROR(HLOOKUP(L1006,'Calc|Weightings'!$U$5:$W$5,1,0),"Excl")</f>
        <v>Materials</v>
      </c>
      <c r="O1006" s="7" t="str">
        <f>VLOOKUP(E1006,Mapping!$E$11:$I$204,5,0)</f>
        <v>SCS</v>
      </c>
      <c r="Q1006" s="32" t="s">
        <v>127</v>
      </c>
      <c r="R1006" s="32"/>
      <c r="S1006" s="32">
        <v>80000</v>
      </c>
      <c r="T1006" s="32" t="s">
        <v>453</v>
      </c>
      <c r="U1006" s="33">
        <v>11.162000000000001</v>
      </c>
      <c r="V1006" s="7"/>
      <c r="W1006" s="7" t="str">
        <f>VLOOKUP($Q1006,Mapping!$E$11:$I$204,3,0)</f>
        <v>Non-network general assets - Other</v>
      </c>
      <c r="X1006" s="7" t="str">
        <f>IFERROR(VLOOKUP($S1006,Mapping!$E$208:$K$236,5,0),"Contracts")</f>
        <v>Overhead</v>
      </c>
      <c r="Y1006" s="7" t="str">
        <f>IFERROR(VLOOKUP($S1006,Mapping!$E$208:$K$236,7,0),"ENDirect")</f>
        <v>OH</v>
      </c>
      <c r="Z1006" s="7" t="str">
        <f>IFERROR(HLOOKUP(X1006,'Calc|Weightings'!$U$5:$W$5,1,0),"Excl")</f>
        <v>Excl</v>
      </c>
      <c r="AA1006" s="7" t="str">
        <f>VLOOKUP(Q1006,Mapping!$E$11:$I$204,5,0)</f>
        <v>SCS</v>
      </c>
      <c r="AC1006" s="35" t="s">
        <v>142</v>
      </c>
      <c r="AD1006" s="35"/>
      <c r="AE1006" s="35">
        <v>80000</v>
      </c>
      <c r="AF1006" s="35" t="s">
        <v>453</v>
      </c>
      <c r="AG1006" s="36">
        <v>-1.8779999999999999</v>
      </c>
      <c r="AI1006" s="7" t="str">
        <f>VLOOKUP($AC1006,Mapping!$E$11:$I$204,3,0)</f>
        <v>ACS</v>
      </c>
      <c r="AJ1006" s="7" t="str">
        <f>IFERROR(VLOOKUP($AE1006,Mapping!$E$208:$K$236,5,0),"Contracts")</f>
        <v>Overhead</v>
      </c>
      <c r="AK1006" s="7" t="str">
        <f>IFERROR(VLOOKUP($AE1006,Mapping!$E$208:$K$236,7,0),"ENDirect")</f>
        <v>OH</v>
      </c>
      <c r="AL1006" s="7" t="str">
        <f>IFERROR(HLOOKUP(AJ1006,'Calc|Weightings'!$U$5:$W$5,1,0),"Excl")</f>
        <v>Excl</v>
      </c>
      <c r="AM1006" s="7" t="str">
        <f>VLOOKUP(AC1006,Mapping!$E$11:$I$204,5,0)</f>
        <v>ACS</v>
      </c>
      <c r="AO1006" s="7"/>
      <c r="AP1006" s="7"/>
      <c r="AQ1006" s="7"/>
      <c r="AR1006" s="7"/>
      <c r="AS1006" s="7"/>
    </row>
    <row r="1007" spans="1:45" x14ac:dyDescent="0.3">
      <c r="A1007" s="7"/>
      <c r="B1007" s="7"/>
      <c r="C1007" s="7"/>
      <c r="D1007" s="7"/>
      <c r="E1007" s="32" t="s">
        <v>161</v>
      </c>
      <c r="F1007" s="32"/>
      <c r="G1007" s="32">
        <v>71006</v>
      </c>
      <c r="H1007" s="32" t="s">
        <v>468</v>
      </c>
      <c r="I1007" s="33">
        <v>3.5019999999999998</v>
      </c>
      <c r="J1007" s="170"/>
      <c r="K1007" s="7" t="str">
        <f>VLOOKUP($E1007,Mapping!$E$11:$I$204,3,0)</f>
        <v>Augmentation</v>
      </c>
      <c r="L1007" s="7" t="str">
        <f>IFERROR(VLOOKUP($G1007,Mapping!$E$208:$K$236,5,0),"Contracts")</f>
        <v>Materials</v>
      </c>
      <c r="M1007" s="7" t="str">
        <f>IFERROR(VLOOKUP($G1007,Mapping!$E$208:$K$236,7,0),"ENDirect")</f>
        <v>ENDirect</v>
      </c>
      <c r="N1007" s="7" t="str">
        <f>IFERROR(HLOOKUP(L1007,'Calc|Weightings'!$U$5:$W$5,1,0),"Excl")</f>
        <v>Materials</v>
      </c>
      <c r="O1007" s="7" t="str">
        <f>VLOOKUP(E1007,Mapping!$E$11:$I$204,5,0)</f>
        <v>SCS</v>
      </c>
      <c r="Q1007" s="32" t="s">
        <v>119</v>
      </c>
      <c r="R1007" s="32"/>
      <c r="S1007" s="32">
        <v>71006</v>
      </c>
      <c r="T1007" s="32" t="s">
        <v>468</v>
      </c>
      <c r="U1007" s="33">
        <v>9.4120000000000008</v>
      </c>
      <c r="V1007" s="7"/>
      <c r="W1007" s="7" t="str">
        <f>VLOOKUP($Q1007,Mapping!$E$11:$I$204,3,0)</f>
        <v>Connections</v>
      </c>
      <c r="X1007" s="7" t="str">
        <f>IFERROR(VLOOKUP($S1007,Mapping!$E$208:$K$236,5,0),"Contracts")</f>
        <v>Materials</v>
      </c>
      <c r="Y1007" s="7" t="str">
        <f>IFERROR(VLOOKUP($S1007,Mapping!$E$208:$K$236,7,0),"ENDirect")</f>
        <v>ENDirect</v>
      </c>
      <c r="Z1007" s="7" t="str">
        <f>IFERROR(HLOOKUP(X1007,'Calc|Weightings'!$U$5:$W$5,1,0),"Excl")</f>
        <v>Materials</v>
      </c>
      <c r="AA1007" s="7" t="str">
        <f>VLOOKUP(Q1007,Mapping!$E$11:$I$204,5,0)</f>
        <v>SCS</v>
      </c>
      <c r="AC1007" s="35" t="s">
        <v>176</v>
      </c>
      <c r="AD1007" s="35"/>
      <c r="AE1007" s="35">
        <v>70815</v>
      </c>
      <c r="AF1007" s="35" t="s">
        <v>451</v>
      </c>
      <c r="AG1007" s="36">
        <v>21.89</v>
      </c>
      <c r="AI1007" s="7" t="str">
        <f>VLOOKUP($AC1007,Mapping!$E$11:$I$204,3,0)</f>
        <v>Replacement</v>
      </c>
      <c r="AJ1007" s="7" t="str">
        <f>IFERROR(VLOOKUP($AE1007,Mapping!$E$208:$K$236,5,0),"Contracts")</f>
        <v>Materials</v>
      </c>
      <c r="AK1007" s="7" t="str">
        <f>IFERROR(VLOOKUP($AE1007,Mapping!$E$208:$K$236,7,0),"ENDirect")</f>
        <v>ENDirect</v>
      </c>
      <c r="AL1007" s="7" t="str">
        <f>IFERROR(HLOOKUP(AJ1007,'Calc|Weightings'!$U$5:$W$5,1,0),"Excl")</f>
        <v>Materials</v>
      </c>
      <c r="AM1007" s="7" t="str">
        <f>VLOOKUP(AC1007,Mapping!$E$11:$I$204,5,0)</f>
        <v>SCS</v>
      </c>
      <c r="AO1007" s="7"/>
      <c r="AP1007" s="7"/>
      <c r="AQ1007" s="7"/>
      <c r="AR1007" s="7"/>
      <c r="AS1007" s="7"/>
    </row>
    <row r="1008" spans="1:45" x14ac:dyDescent="0.3">
      <c r="A1008" s="7"/>
      <c r="B1008" s="7"/>
      <c r="C1008" s="7"/>
      <c r="D1008" s="7"/>
      <c r="E1008" s="32" t="s">
        <v>159</v>
      </c>
      <c r="F1008" s="32"/>
      <c r="G1008" s="32">
        <v>71040</v>
      </c>
      <c r="H1008" s="32" t="s">
        <v>460</v>
      </c>
      <c r="I1008" s="33">
        <v>-1.794</v>
      </c>
      <c r="J1008" s="170"/>
      <c r="K1008" s="7" t="str">
        <f>VLOOKUP($E1008,Mapping!$E$11:$I$204,3,0)</f>
        <v>Replacement</v>
      </c>
      <c r="L1008" s="7" t="str">
        <f>IFERROR(VLOOKUP($G1008,Mapping!$E$208:$K$236,5,0),"Contracts")</f>
        <v>Contracts</v>
      </c>
      <c r="M1008" s="7" t="str">
        <f>IFERROR(VLOOKUP($G1008,Mapping!$E$208:$K$236,7,0),"ENDirect")</f>
        <v>ENDirect</v>
      </c>
      <c r="N1008" s="7" t="str">
        <f>IFERROR(HLOOKUP(L1008,'Calc|Weightings'!$U$5:$W$5,1,0),"Excl")</f>
        <v>Contracts</v>
      </c>
      <c r="O1008" s="7" t="str">
        <f>VLOOKUP(E1008,Mapping!$E$11:$I$204,5,0)</f>
        <v>SCS</v>
      </c>
      <c r="Q1008" s="32" t="s">
        <v>551</v>
      </c>
      <c r="R1008" s="32"/>
      <c r="S1008" s="32">
        <v>71020</v>
      </c>
      <c r="T1008" s="32" t="s">
        <v>459</v>
      </c>
      <c r="U1008" s="33">
        <v>1.966</v>
      </c>
      <c r="V1008" s="7"/>
      <c r="W1008" s="7" t="str">
        <f>VLOOKUP($Q1008,Mapping!$E$11:$I$204,3,0)</f>
        <v>Connections</v>
      </c>
      <c r="X1008" s="7" t="str">
        <f>IFERROR(VLOOKUP($S1008,Mapping!$E$208:$K$236,5,0),"Contracts")</f>
        <v>Contracts</v>
      </c>
      <c r="Y1008" s="7" t="str">
        <f>IFERROR(VLOOKUP($S1008,Mapping!$E$208:$K$236,7,0),"ENDirect")</f>
        <v>ENDirect</v>
      </c>
      <c r="Z1008" s="7" t="str">
        <f>IFERROR(HLOOKUP(X1008,'Calc|Weightings'!$U$5:$W$5,1,0),"Excl")</f>
        <v>Contracts</v>
      </c>
      <c r="AA1008" s="7" t="str">
        <f>VLOOKUP(Q1008,Mapping!$E$11:$I$204,5,0)</f>
        <v>SCS</v>
      </c>
      <c r="AC1008" s="35" t="s">
        <v>160</v>
      </c>
      <c r="AD1008" s="35"/>
      <c r="AE1008" s="35">
        <v>70815</v>
      </c>
      <c r="AF1008" s="35" t="s">
        <v>451</v>
      </c>
      <c r="AG1008" s="36">
        <v>8.1</v>
      </c>
      <c r="AI1008" s="7" t="str">
        <f>VLOOKUP($AC1008,Mapping!$E$11:$I$204,3,0)</f>
        <v>Augmentation</v>
      </c>
      <c r="AJ1008" s="7" t="str">
        <f>IFERROR(VLOOKUP($AE1008,Mapping!$E$208:$K$236,5,0),"Contracts")</f>
        <v>Materials</v>
      </c>
      <c r="AK1008" s="7" t="str">
        <f>IFERROR(VLOOKUP($AE1008,Mapping!$E$208:$K$236,7,0),"ENDirect")</f>
        <v>ENDirect</v>
      </c>
      <c r="AL1008" s="7" t="str">
        <f>IFERROR(HLOOKUP(AJ1008,'Calc|Weightings'!$U$5:$W$5,1,0),"Excl")</f>
        <v>Materials</v>
      </c>
      <c r="AM1008" s="7" t="str">
        <f>VLOOKUP(AC1008,Mapping!$E$11:$I$204,5,0)</f>
        <v>SCS</v>
      </c>
      <c r="AO1008" s="7"/>
      <c r="AP1008" s="7"/>
      <c r="AQ1008" s="7"/>
      <c r="AR1008" s="7"/>
      <c r="AS1008" s="7"/>
    </row>
    <row r="1009" spans="1:45" x14ac:dyDescent="0.3">
      <c r="A1009" s="7"/>
      <c r="B1009" s="7"/>
      <c r="C1009" s="7"/>
      <c r="D1009" s="7"/>
      <c r="E1009" s="32" t="s">
        <v>128</v>
      </c>
      <c r="F1009" s="32"/>
      <c r="G1009" s="32">
        <v>70815</v>
      </c>
      <c r="H1009" s="32" t="s">
        <v>451</v>
      </c>
      <c r="I1009" s="33">
        <v>174.18</v>
      </c>
      <c r="J1009" s="170"/>
      <c r="K1009" s="7" t="str">
        <f>VLOOKUP($E1009,Mapping!$E$11:$I$204,3,0)</f>
        <v>Non-network general assets - Other</v>
      </c>
      <c r="L1009" s="7" t="str">
        <f>IFERROR(VLOOKUP($G1009,Mapping!$E$208:$K$236,5,0),"Contracts")</f>
        <v>Materials</v>
      </c>
      <c r="M1009" s="7" t="str">
        <f>IFERROR(VLOOKUP($G1009,Mapping!$E$208:$K$236,7,0),"ENDirect")</f>
        <v>ENDirect</v>
      </c>
      <c r="N1009" s="7" t="str">
        <f>IFERROR(HLOOKUP(L1009,'Calc|Weightings'!$U$5:$W$5,1,0),"Excl")</f>
        <v>Materials</v>
      </c>
      <c r="O1009" s="7" t="str">
        <f>VLOOKUP(E1009,Mapping!$E$11:$I$204,5,0)</f>
        <v>SCS</v>
      </c>
      <c r="Q1009" s="32" t="s">
        <v>160</v>
      </c>
      <c r="R1009" s="32"/>
      <c r="S1009" s="32">
        <v>70815</v>
      </c>
      <c r="T1009" s="32" t="s">
        <v>451</v>
      </c>
      <c r="U1009" s="33">
        <v>16.872</v>
      </c>
      <c r="V1009" s="7"/>
      <c r="W1009" s="7" t="str">
        <f>VLOOKUP($Q1009,Mapping!$E$11:$I$204,3,0)</f>
        <v>Augmentation</v>
      </c>
      <c r="X1009" s="7" t="str">
        <f>IFERROR(VLOOKUP($S1009,Mapping!$E$208:$K$236,5,0),"Contracts")</f>
        <v>Materials</v>
      </c>
      <c r="Y1009" s="7" t="str">
        <f>IFERROR(VLOOKUP($S1009,Mapping!$E$208:$K$236,7,0),"ENDirect")</f>
        <v>ENDirect</v>
      </c>
      <c r="Z1009" s="7" t="str">
        <f>IFERROR(HLOOKUP(X1009,'Calc|Weightings'!$U$5:$W$5,1,0),"Excl")</f>
        <v>Materials</v>
      </c>
      <c r="AA1009" s="7" t="str">
        <f>VLOOKUP(Q1009,Mapping!$E$11:$I$204,5,0)</f>
        <v>SCS</v>
      </c>
      <c r="AC1009" s="35" t="s">
        <v>112</v>
      </c>
      <c r="AD1009" s="35"/>
      <c r="AE1009" s="35">
        <v>71015</v>
      </c>
      <c r="AF1009" s="35" t="s">
        <v>463</v>
      </c>
      <c r="AG1009" s="36">
        <v>0.14799999999999999</v>
      </c>
      <c r="AI1009" s="7" t="str">
        <f>VLOOKUP($AC1009,Mapping!$E$11:$I$204,3,0)</f>
        <v>Connections</v>
      </c>
      <c r="AJ1009" s="7" t="str">
        <f>IFERROR(VLOOKUP($AE1009,Mapping!$E$208:$K$236,5,0),"Contracts")</f>
        <v>Materials</v>
      </c>
      <c r="AK1009" s="7" t="str">
        <f>IFERROR(VLOOKUP($AE1009,Mapping!$E$208:$K$236,7,0),"ENDirect")</f>
        <v>ENDirect</v>
      </c>
      <c r="AL1009" s="7" t="str">
        <f>IFERROR(HLOOKUP(AJ1009,'Calc|Weightings'!$U$5:$W$5,1,0),"Excl")</f>
        <v>Materials</v>
      </c>
      <c r="AM1009" s="7" t="str">
        <f>VLOOKUP(AC1009,Mapping!$E$11:$I$204,5,0)</f>
        <v>SCS</v>
      </c>
      <c r="AO1009" s="7"/>
      <c r="AP1009" s="7"/>
      <c r="AQ1009" s="7"/>
      <c r="AR1009" s="7"/>
      <c r="AS1009" s="7"/>
    </row>
    <row r="1010" spans="1:45" x14ac:dyDescent="0.3">
      <c r="A1010" s="7"/>
      <c r="B1010" s="7"/>
      <c r="C1010" s="7"/>
      <c r="D1010" s="7"/>
      <c r="E1010" s="32" t="s">
        <v>128</v>
      </c>
      <c r="F1010" s="32"/>
      <c r="G1010" s="32">
        <v>72305</v>
      </c>
      <c r="H1010" s="32" t="s">
        <v>466</v>
      </c>
      <c r="I1010" s="33">
        <v>0</v>
      </c>
      <c r="J1010" s="170"/>
      <c r="K1010" s="7" t="str">
        <f>VLOOKUP($E1010,Mapping!$E$11:$I$204,3,0)</f>
        <v>Non-network general assets - Other</v>
      </c>
      <c r="L1010" s="7" t="str">
        <f>IFERROR(VLOOKUP($G1010,Mapping!$E$208:$K$236,5,0),"Contracts")</f>
        <v>Contracts</v>
      </c>
      <c r="M1010" s="7" t="str">
        <f>IFERROR(VLOOKUP($G1010,Mapping!$E$208:$K$236,7,0),"ENDirect")</f>
        <v>ENDirect</v>
      </c>
      <c r="N1010" s="7" t="str">
        <f>IFERROR(HLOOKUP(L1010,'Calc|Weightings'!$U$5:$W$5,1,0),"Excl")</f>
        <v>Contracts</v>
      </c>
      <c r="O1010" s="7" t="str">
        <f>VLOOKUP(E1010,Mapping!$E$11:$I$204,5,0)</f>
        <v>SCS</v>
      </c>
      <c r="Q1010" s="32" t="s">
        <v>210</v>
      </c>
      <c r="R1010" s="32"/>
      <c r="S1010" s="32">
        <v>71130</v>
      </c>
      <c r="T1010" s="32" t="s">
        <v>482</v>
      </c>
      <c r="U1010" s="33">
        <v>93.762</v>
      </c>
      <c r="V1010" s="7"/>
      <c r="W1010" s="7" t="str">
        <f>VLOOKUP($Q1010,Mapping!$E$11:$I$204,3,0)</f>
        <v>Replacement</v>
      </c>
      <c r="X1010" s="7" t="str">
        <f>IFERROR(VLOOKUP($S1010,Mapping!$E$208:$K$236,5,0),"Contracts")</f>
        <v>Contracts</v>
      </c>
      <c r="Y1010" s="7" t="str">
        <f>IFERROR(VLOOKUP($S1010,Mapping!$E$208:$K$236,7,0),"ENDirect")</f>
        <v>ENDirect</v>
      </c>
      <c r="Z1010" s="7" t="str">
        <f>IFERROR(HLOOKUP(X1010,'Calc|Weightings'!$U$5:$W$5,1,0),"Excl")</f>
        <v>Contracts</v>
      </c>
      <c r="AA1010" s="7" t="str">
        <f>VLOOKUP(Q1010,Mapping!$E$11:$I$204,5,0)</f>
        <v>SCS</v>
      </c>
      <c r="AC1010" s="35" t="s">
        <v>112</v>
      </c>
      <c r="AD1010" s="35"/>
      <c r="AE1010" s="35">
        <v>72345</v>
      </c>
      <c r="AF1010" s="35" t="s">
        <v>467</v>
      </c>
      <c r="AG1010" s="36">
        <v>52.82</v>
      </c>
      <c r="AI1010" s="7" t="str">
        <f>VLOOKUP($AC1010,Mapping!$E$11:$I$204,3,0)</f>
        <v>Connections</v>
      </c>
      <c r="AJ1010" s="7" t="str">
        <f>IFERROR(VLOOKUP($AE1010,Mapping!$E$208:$K$236,5,0),"Contracts")</f>
        <v>Contracts</v>
      </c>
      <c r="AK1010" s="7" t="str">
        <f>IFERROR(VLOOKUP($AE1010,Mapping!$E$208:$K$236,7,0),"ENDirect")</f>
        <v>ENDirect</v>
      </c>
      <c r="AL1010" s="7" t="str">
        <f>IFERROR(HLOOKUP(AJ1010,'Calc|Weightings'!$U$5:$W$5,1,0),"Excl")</f>
        <v>Contracts</v>
      </c>
      <c r="AM1010" s="7" t="str">
        <f>VLOOKUP(AC1010,Mapping!$E$11:$I$204,5,0)</f>
        <v>SCS</v>
      </c>
      <c r="AO1010" s="7"/>
      <c r="AP1010" s="7"/>
      <c r="AQ1010" s="7"/>
      <c r="AR1010" s="7"/>
      <c r="AS1010" s="7"/>
    </row>
    <row r="1011" spans="1:45" x14ac:dyDescent="0.3">
      <c r="A1011" s="7"/>
      <c r="B1011" s="7"/>
      <c r="C1011" s="7"/>
      <c r="D1011" s="7"/>
      <c r="E1011" s="32" t="s">
        <v>104</v>
      </c>
      <c r="F1011" s="32"/>
      <c r="G1011" s="32">
        <v>71015</v>
      </c>
      <c r="H1011" s="32" t="s">
        <v>463</v>
      </c>
      <c r="I1011" s="33">
        <v>6.6970000000000001</v>
      </c>
      <c r="J1011" s="170"/>
      <c r="K1011" s="7" t="str">
        <f>VLOOKUP($E1011,Mapping!$E$11:$I$204,3,0)</f>
        <v>Public Lighting</v>
      </c>
      <c r="L1011" s="7" t="str">
        <f>IFERROR(VLOOKUP($G1011,Mapping!$E$208:$K$236,5,0),"Contracts")</f>
        <v>Materials</v>
      </c>
      <c r="M1011" s="7" t="str">
        <f>IFERROR(VLOOKUP($G1011,Mapping!$E$208:$K$236,7,0),"ENDirect")</f>
        <v>ENDirect</v>
      </c>
      <c r="N1011" s="7" t="str">
        <f>IFERROR(HLOOKUP(L1011,'Calc|Weightings'!$U$5:$W$5,1,0),"Excl")</f>
        <v>Materials</v>
      </c>
      <c r="O1011" s="7" t="str">
        <f>VLOOKUP(E1011,Mapping!$E$11:$I$204,5,0)</f>
        <v>Public Lighting</v>
      </c>
      <c r="Q1011" s="32" t="s">
        <v>210</v>
      </c>
      <c r="R1011" s="32"/>
      <c r="S1011" s="32">
        <v>72300</v>
      </c>
      <c r="T1011" s="32" t="s">
        <v>450</v>
      </c>
      <c r="U1011" s="33">
        <v>3.04</v>
      </c>
      <c r="V1011" s="7"/>
      <c r="W1011" s="7" t="str">
        <f>VLOOKUP($Q1011,Mapping!$E$11:$I$204,3,0)</f>
        <v>Replacement</v>
      </c>
      <c r="X1011" s="7" t="str">
        <f>IFERROR(VLOOKUP($S1011,Mapping!$E$208:$K$236,5,0),"Contracts")</f>
        <v>Contracts</v>
      </c>
      <c r="Y1011" s="7" t="str">
        <f>IFERROR(VLOOKUP($S1011,Mapping!$E$208:$K$236,7,0),"ENDirect")</f>
        <v>ENDirect</v>
      </c>
      <c r="Z1011" s="7" t="str">
        <f>IFERROR(HLOOKUP(X1011,'Calc|Weightings'!$U$5:$W$5,1,0),"Excl")</f>
        <v>Contracts</v>
      </c>
      <c r="AA1011" s="7" t="str">
        <f>VLOOKUP(Q1011,Mapping!$E$11:$I$204,5,0)</f>
        <v>SCS</v>
      </c>
      <c r="AC1011" s="35" t="s">
        <v>210</v>
      </c>
      <c r="AD1011" s="35"/>
      <c r="AE1011" s="35">
        <v>71006</v>
      </c>
      <c r="AF1011" s="35" t="s">
        <v>468</v>
      </c>
      <c r="AG1011" s="36">
        <v>354.99200000000002</v>
      </c>
      <c r="AI1011" s="7" t="str">
        <f>VLOOKUP($AC1011,Mapping!$E$11:$I$204,3,0)</f>
        <v>Replacement</v>
      </c>
      <c r="AJ1011" s="7" t="str">
        <f>IFERROR(VLOOKUP($AE1011,Mapping!$E$208:$K$236,5,0),"Contracts")</f>
        <v>Materials</v>
      </c>
      <c r="AK1011" s="7" t="str">
        <f>IFERROR(VLOOKUP($AE1011,Mapping!$E$208:$K$236,7,0),"ENDirect")</f>
        <v>ENDirect</v>
      </c>
      <c r="AL1011" s="7" t="str">
        <f>IFERROR(HLOOKUP(AJ1011,'Calc|Weightings'!$U$5:$W$5,1,0),"Excl")</f>
        <v>Materials</v>
      </c>
      <c r="AM1011" s="7" t="str">
        <f>VLOOKUP(AC1011,Mapping!$E$11:$I$204,5,0)</f>
        <v>SCS</v>
      </c>
      <c r="AO1011" s="7"/>
      <c r="AP1011" s="7"/>
      <c r="AQ1011" s="7"/>
      <c r="AR1011" s="7"/>
      <c r="AS1011" s="7"/>
    </row>
    <row r="1012" spans="1:45" x14ac:dyDescent="0.3">
      <c r="A1012" s="7"/>
      <c r="B1012" s="7"/>
      <c r="C1012" s="7"/>
      <c r="D1012" s="7"/>
      <c r="E1012" s="32" t="s">
        <v>103</v>
      </c>
      <c r="F1012" s="32"/>
      <c r="G1012" s="32">
        <v>71005</v>
      </c>
      <c r="H1012" s="32" t="s">
        <v>461</v>
      </c>
      <c r="I1012" s="33">
        <v>5.5270000000000001</v>
      </c>
      <c r="J1012" s="170"/>
      <c r="K1012" s="7" t="str">
        <f>VLOOKUP($E1012,Mapping!$E$11:$I$204,3,0)</f>
        <v>Public Lighting</v>
      </c>
      <c r="L1012" s="7" t="str">
        <f>IFERROR(VLOOKUP($G1012,Mapping!$E$208:$K$236,5,0),"Contracts")</f>
        <v>Materials</v>
      </c>
      <c r="M1012" s="7" t="str">
        <f>IFERROR(VLOOKUP($G1012,Mapping!$E$208:$K$236,7,0),"ENDirect")</f>
        <v>ENDirect</v>
      </c>
      <c r="N1012" s="7" t="str">
        <f>IFERROR(HLOOKUP(L1012,'Calc|Weightings'!$U$5:$W$5,1,0),"Excl")</f>
        <v>Materials</v>
      </c>
      <c r="O1012" s="7" t="str">
        <f>VLOOKUP(E1012,Mapping!$E$11:$I$204,5,0)</f>
        <v>Public Lighting</v>
      </c>
      <c r="Q1012" s="32" t="s">
        <v>192</v>
      </c>
      <c r="R1012" s="32"/>
      <c r="S1012" s="32">
        <v>71130</v>
      </c>
      <c r="T1012" s="32" t="s">
        <v>482</v>
      </c>
      <c r="U1012" s="33">
        <v>167.405</v>
      </c>
      <c r="V1012" s="7"/>
      <c r="W1012" s="7" t="str">
        <f>VLOOKUP($Q1012,Mapping!$E$11:$I$204,3,0)</f>
        <v>VBRC</v>
      </c>
      <c r="X1012" s="7" t="str">
        <f>IFERROR(VLOOKUP($S1012,Mapping!$E$208:$K$236,5,0),"Contracts")</f>
        <v>Contracts</v>
      </c>
      <c r="Y1012" s="7" t="str">
        <f>IFERROR(VLOOKUP($S1012,Mapping!$E$208:$K$236,7,0),"ENDirect")</f>
        <v>ENDirect</v>
      </c>
      <c r="Z1012" s="7" t="str">
        <f>IFERROR(HLOOKUP(X1012,'Calc|Weightings'!$U$5:$W$5,1,0),"Excl")</f>
        <v>Contracts</v>
      </c>
      <c r="AA1012" s="7" t="str">
        <f>VLOOKUP(Q1012,Mapping!$E$11:$I$204,5,0)</f>
        <v>SCS</v>
      </c>
      <c r="AC1012" s="35" t="s">
        <v>192</v>
      </c>
      <c r="AD1012" s="35"/>
      <c r="AE1012" s="35">
        <v>71130</v>
      </c>
      <c r="AF1012" s="35" t="s">
        <v>482</v>
      </c>
      <c r="AG1012" s="36">
        <v>62.637999999999998</v>
      </c>
      <c r="AI1012" s="7" t="str">
        <f>VLOOKUP($AC1012,Mapping!$E$11:$I$204,3,0)</f>
        <v>VBRC</v>
      </c>
      <c r="AJ1012" s="7" t="str">
        <f>IFERROR(VLOOKUP($AE1012,Mapping!$E$208:$K$236,5,0),"Contracts")</f>
        <v>Contracts</v>
      </c>
      <c r="AK1012" s="7" t="str">
        <f>IFERROR(VLOOKUP($AE1012,Mapping!$E$208:$K$236,7,0),"ENDirect")</f>
        <v>ENDirect</v>
      </c>
      <c r="AL1012" s="7" t="str">
        <f>IFERROR(HLOOKUP(AJ1012,'Calc|Weightings'!$U$5:$W$5,1,0),"Excl")</f>
        <v>Contracts</v>
      </c>
      <c r="AM1012" s="7" t="str">
        <f>VLOOKUP(AC1012,Mapping!$E$11:$I$204,5,0)</f>
        <v>SCS</v>
      </c>
      <c r="AO1012" s="7"/>
      <c r="AP1012" s="7"/>
      <c r="AQ1012" s="7"/>
      <c r="AR1012" s="7"/>
      <c r="AS1012" s="7"/>
    </row>
    <row r="1013" spans="1:45" x14ac:dyDescent="0.3">
      <c r="A1013" s="7"/>
      <c r="B1013" s="7"/>
      <c r="C1013" s="7"/>
      <c r="D1013" s="7"/>
      <c r="E1013" s="32" t="s">
        <v>103</v>
      </c>
      <c r="F1013" s="32"/>
      <c r="G1013" s="32">
        <v>71015</v>
      </c>
      <c r="H1013" s="32" t="s">
        <v>463</v>
      </c>
      <c r="I1013" s="33">
        <v>0.72699999999999998</v>
      </c>
      <c r="J1013" s="170"/>
      <c r="K1013" s="7" t="str">
        <f>VLOOKUP($E1013,Mapping!$E$11:$I$204,3,0)</f>
        <v>Public Lighting</v>
      </c>
      <c r="L1013" s="7" t="str">
        <f>IFERROR(VLOOKUP($G1013,Mapping!$E$208:$K$236,5,0),"Contracts")</f>
        <v>Materials</v>
      </c>
      <c r="M1013" s="7" t="str">
        <f>IFERROR(VLOOKUP($G1013,Mapping!$E$208:$K$236,7,0),"ENDirect")</f>
        <v>ENDirect</v>
      </c>
      <c r="N1013" s="7" t="str">
        <f>IFERROR(HLOOKUP(L1013,'Calc|Weightings'!$U$5:$W$5,1,0),"Excl")</f>
        <v>Materials</v>
      </c>
      <c r="O1013" s="7" t="str">
        <f>VLOOKUP(E1013,Mapping!$E$11:$I$204,5,0)</f>
        <v>Public Lighting</v>
      </c>
      <c r="Q1013" s="32" t="s">
        <v>192</v>
      </c>
      <c r="R1013" s="32"/>
      <c r="S1013" s="32">
        <v>70815</v>
      </c>
      <c r="T1013" s="32" t="s">
        <v>451</v>
      </c>
      <c r="U1013" s="33">
        <v>88.555000000000007</v>
      </c>
      <c r="V1013" s="7"/>
      <c r="W1013" s="7" t="str">
        <f>VLOOKUP($Q1013,Mapping!$E$11:$I$204,3,0)</f>
        <v>VBRC</v>
      </c>
      <c r="X1013" s="7" t="str">
        <f>IFERROR(VLOOKUP($S1013,Mapping!$E$208:$K$236,5,0),"Contracts")</f>
        <v>Materials</v>
      </c>
      <c r="Y1013" s="7" t="str">
        <f>IFERROR(VLOOKUP($S1013,Mapping!$E$208:$K$236,7,0),"ENDirect")</f>
        <v>ENDirect</v>
      </c>
      <c r="Z1013" s="7" t="str">
        <f>IFERROR(HLOOKUP(X1013,'Calc|Weightings'!$U$5:$W$5,1,0),"Excl")</f>
        <v>Materials</v>
      </c>
      <c r="AA1013" s="7" t="str">
        <f>VLOOKUP(Q1013,Mapping!$E$11:$I$204,5,0)</f>
        <v>SCS</v>
      </c>
      <c r="AC1013" s="35" t="s">
        <v>145</v>
      </c>
      <c r="AD1013" s="35"/>
      <c r="AE1013" s="35">
        <v>72300</v>
      </c>
      <c r="AF1013" s="35" t="s">
        <v>450</v>
      </c>
      <c r="AG1013" s="36">
        <v>88.456000000000003</v>
      </c>
      <c r="AI1013" s="7" t="str">
        <f>VLOOKUP($AC1013,Mapping!$E$11:$I$204,3,0)</f>
        <v>Augmentation</v>
      </c>
      <c r="AJ1013" s="7" t="str">
        <f>IFERROR(VLOOKUP($AE1013,Mapping!$E$208:$K$236,5,0),"Contracts")</f>
        <v>Contracts</v>
      </c>
      <c r="AK1013" s="7" t="str">
        <f>IFERROR(VLOOKUP($AE1013,Mapping!$E$208:$K$236,7,0),"ENDirect")</f>
        <v>ENDirect</v>
      </c>
      <c r="AL1013" s="7" t="str">
        <f>IFERROR(HLOOKUP(AJ1013,'Calc|Weightings'!$U$5:$W$5,1,0),"Excl")</f>
        <v>Contracts</v>
      </c>
      <c r="AM1013" s="7" t="str">
        <f>VLOOKUP(AC1013,Mapping!$E$11:$I$204,5,0)</f>
        <v>SCS</v>
      </c>
      <c r="AO1013" s="7"/>
      <c r="AP1013" s="7"/>
      <c r="AQ1013" s="7"/>
      <c r="AR1013" s="7"/>
      <c r="AS1013" s="7"/>
    </row>
    <row r="1014" spans="1:45" x14ac:dyDescent="0.3">
      <c r="A1014" s="7"/>
      <c r="B1014" s="7"/>
      <c r="C1014" s="7"/>
      <c r="D1014" s="7"/>
      <c r="E1014" s="32" t="s">
        <v>210</v>
      </c>
      <c r="F1014" s="32"/>
      <c r="G1014" s="32">
        <v>71006</v>
      </c>
      <c r="H1014" s="32" t="s">
        <v>468</v>
      </c>
      <c r="I1014" s="33">
        <v>45.558</v>
      </c>
      <c r="J1014" s="170"/>
      <c r="K1014" s="7" t="str">
        <f>VLOOKUP($E1014,Mapping!$E$11:$I$204,3,0)</f>
        <v>Replacement</v>
      </c>
      <c r="L1014" s="7" t="str">
        <f>IFERROR(VLOOKUP($G1014,Mapping!$E$208:$K$236,5,0),"Contracts")</f>
        <v>Materials</v>
      </c>
      <c r="M1014" s="7" t="str">
        <f>IFERROR(VLOOKUP($G1014,Mapping!$E$208:$K$236,7,0),"ENDirect")</f>
        <v>ENDirect</v>
      </c>
      <c r="N1014" s="7" t="str">
        <f>IFERROR(HLOOKUP(L1014,'Calc|Weightings'!$U$5:$W$5,1,0),"Excl")</f>
        <v>Materials</v>
      </c>
      <c r="O1014" s="7" t="str">
        <f>VLOOKUP(E1014,Mapping!$E$11:$I$204,5,0)</f>
        <v>SCS</v>
      </c>
      <c r="Q1014" s="32" t="s">
        <v>192</v>
      </c>
      <c r="R1014" s="32"/>
      <c r="S1014" s="32">
        <v>72260</v>
      </c>
      <c r="T1014" s="32" t="s">
        <v>483</v>
      </c>
      <c r="U1014" s="33">
        <v>0</v>
      </c>
      <c r="V1014" s="7"/>
      <c r="W1014" s="7" t="str">
        <f>VLOOKUP($Q1014,Mapping!$E$11:$I$204,3,0)</f>
        <v>VBRC</v>
      </c>
      <c r="X1014" s="7" t="str">
        <f>IFERROR(VLOOKUP($S1014,Mapping!$E$208:$K$236,5,0),"Contracts")</f>
        <v>Contracts</v>
      </c>
      <c r="Y1014" s="7" t="str">
        <f>IFERROR(VLOOKUP($S1014,Mapping!$E$208:$K$236,7,0),"ENDirect")</f>
        <v>ENDirect</v>
      </c>
      <c r="Z1014" s="7" t="str">
        <f>IFERROR(HLOOKUP(X1014,'Calc|Weightings'!$U$5:$W$5,1,0),"Excl")</f>
        <v>Contracts</v>
      </c>
      <c r="AA1014" s="7" t="str">
        <f>VLOOKUP(Q1014,Mapping!$E$11:$I$204,5,0)</f>
        <v>SCS</v>
      </c>
      <c r="AC1014" s="35" t="s">
        <v>161</v>
      </c>
      <c r="AD1014" s="35"/>
      <c r="AE1014" s="35">
        <v>72300</v>
      </c>
      <c r="AF1014" s="35" t="s">
        <v>450</v>
      </c>
      <c r="AG1014" s="36">
        <v>51.63</v>
      </c>
      <c r="AI1014" s="7" t="str">
        <f>VLOOKUP($AC1014,Mapping!$E$11:$I$204,3,0)</f>
        <v>Augmentation</v>
      </c>
      <c r="AJ1014" s="7" t="str">
        <f>IFERROR(VLOOKUP($AE1014,Mapping!$E$208:$K$236,5,0),"Contracts")</f>
        <v>Contracts</v>
      </c>
      <c r="AK1014" s="7" t="str">
        <f>IFERROR(VLOOKUP($AE1014,Mapping!$E$208:$K$236,7,0),"ENDirect")</f>
        <v>ENDirect</v>
      </c>
      <c r="AL1014" s="7" t="str">
        <f>IFERROR(HLOOKUP(AJ1014,'Calc|Weightings'!$U$5:$W$5,1,0),"Excl")</f>
        <v>Contracts</v>
      </c>
      <c r="AM1014" s="7" t="str">
        <f>VLOOKUP(AC1014,Mapping!$E$11:$I$204,5,0)</f>
        <v>SCS</v>
      </c>
      <c r="AO1014" s="7"/>
      <c r="AP1014" s="7"/>
      <c r="AQ1014" s="7"/>
      <c r="AR1014" s="7"/>
      <c r="AS1014" s="7"/>
    </row>
    <row r="1015" spans="1:45" x14ac:dyDescent="0.3">
      <c r="A1015" s="7"/>
      <c r="B1015" s="7"/>
      <c r="C1015" s="7"/>
      <c r="D1015" s="7"/>
      <c r="E1015" s="32" t="s">
        <v>547</v>
      </c>
      <c r="F1015" s="32"/>
      <c r="G1015" s="32">
        <v>71006</v>
      </c>
      <c r="H1015" s="32" t="s">
        <v>468</v>
      </c>
      <c r="I1015" s="33">
        <v>22.251999999999999</v>
      </c>
      <c r="J1015" s="170"/>
      <c r="K1015" s="7" t="str">
        <f>VLOOKUP($E1015,Mapping!$E$11:$I$204,3,0)</f>
        <v>Connections</v>
      </c>
      <c r="L1015" s="7" t="str">
        <f>IFERROR(VLOOKUP($G1015,Mapping!$E$208:$K$236,5,0),"Contracts")</f>
        <v>Materials</v>
      </c>
      <c r="M1015" s="7" t="str">
        <f>IFERROR(VLOOKUP($G1015,Mapping!$E$208:$K$236,7,0),"ENDirect")</f>
        <v>ENDirect</v>
      </c>
      <c r="N1015" s="7" t="str">
        <f>IFERROR(HLOOKUP(L1015,'Calc|Weightings'!$U$5:$W$5,1,0),"Excl")</f>
        <v>Materials</v>
      </c>
      <c r="O1015" s="7" t="str">
        <f>VLOOKUP(E1015,Mapping!$E$11:$I$204,5,0)</f>
        <v>SCS</v>
      </c>
      <c r="Q1015" s="32" t="s">
        <v>192</v>
      </c>
      <c r="R1015" s="32"/>
      <c r="S1015" s="32">
        <v>72345</v>
      </c>
      <c r="T1015" s="32" t="s">
        <v>467</v>
      </c>
      <c r="U1015" s="33">
        <v>0</v>
      </c>
      <c r="V1015" s="7"/>
      <c r="W1015" s="7" t="str">
        <f>VLOOKUP($Q1015,Mapping!$E$11:$I$204,3,0)</f>
        <v>VBRC</v>
      </c>
      <c r="X1015" s="7" t="str">
        <f>IFERROR(VLOOKUP($S1015,Mapping!$E$208:$K$236,5,0),"Contracts")</f>
        <v>Contracts</v>
      </c>
      <c r="Y1015" s="7" t="str">
        <f>IFERROR(VLOOKUP($S1015,Mapping!$E$208:$K$236,7,0),"ENDirect")</f>
        <v>ENDirect</v>
      </c>
      <c r="Z1015" s="7" t="str">
        <f>IFERROR(HLOOKUP(X1015,'Calc|Weightings'!$U$5:$W$5,1,0),"Excl")</f>
        <v>Contracts</v>
      </c>
      <c r="AA1015" s="7" t="str">
        <f>VLOOKUP(Q1015,Mapping!$E$11:$I$204,5,0)</f>
        <v>SCS</v>
      </c>
      <c r="AC1015" s="35" t="s">
        <v>119</v>
      </c>
      <c r="AD1015" s="35"/>
      <c r="AE1015" s="35">
        <v>71020</v>
      </c>
      <c r="AF1015" s="35" t="s">
        <v>459</v>
      </c>
      <c r="AG1015" s="36">
        <v>0</v>
      </c>
      <c r="AI1015" s="7" t="str">
        <f>VLOOKUP($AC1015,Mapping!$E$11:$I$204,3,0)</f>
        <v>Connections</v>
      </c>
      <c r="AJ1015" s="7" t="str">
        <f>IFERROR(VLOOKUP($AE1015,Mapping!$E$208:$K$236,5,0),"Contracts")</f>
        <v>Contracts</v>
      </c>
      <c r="AK1015" s="7" t="str">
        <f>IFERROR(VLOOKUP($AE1015,Mapping!$E$208:$K$236,7,0),"ENDirect")</f>
        <v>ENDirect</v>
      </c>
      <c r="AL1015" s="7" t="str">
        <f>IFERROR(HLOOKUP(AJ1015,'Calc|Weightings'!$U$5:$W$5,1,0),"Excl")</f>
        <v>Contracts</v>
      </c>
      <c r="AM1015" s="7" t="str">
        <f>VLOOKUP(AC1015,Mapping!$E$11:$I$204,5,0)</f>
        <v>SCS</v>
      </c>
      <c r="AO1015" s="7"/>
      <c r="AP1015" s="7"/>
      <c r="AQ1015" s="7"/>
      <c r="AR1015" s="7"/>
      <c r="AS1015" s="7"/>
    </row>
    <row r="1016" spans="1:45" x14ac:dyDescent="0.3">
      <c r="A1016" s="7"/>
      <c r="B1016" s="7"/>
      <c r="C1016" s="7"/>
      <c r="D1016" s="7"/>
      <c r="E1016" s="32" t="s">
        <v>547</v>
      </c>
      <c r="F1016" s="32"/>
      <c r="G1016" s="32">
        <v>71020</v>
      </c>
      <c r="H1016" s="32" t="s">
        <v>459</v>
      </c>
      <c r="I1016" s="33">
        <v>0.79800000000000004</v>
      </c>
      <c r="J1016" s="170"/>
      <c r="K1016" s="7" t="str">
        <f>VLOOKUP($E1016,Mapping!$E$11:$I$204,3,0)</f>
        <v>Connections</v>
      </c>
      <c r="L1016" s="7" t="str">
        <f>IFERROR(VLOOKUP($G1016,Mapping!$E$208:$K$236,5,0),"Contracts")</f>
        <v>Contracts</v>
      </c>
      <c r="M1016" s="7" t="str">
        <f>IFERROR(VLOOKUP($G1016,Mapping!$E$208:$K$236,7,0),"ENDirect")</f>
        <v>ENDirect</v>
      </c>
      <c r="N1016" s="7" t="str">
        <f>IFERROR(HLOOKUP(L1016,'Calc|Weightings'!$U$5:$W$5,1,0),"Excl")</f>
        <v>Contracts</v>
      </c>
      <c r="O1016" s="7" t="str">
        <f>VLOOKUP(E1016,Mapping!$E$11:$I$204,5,0)</f>
        <v>SCS</v>
      </c>
      <c r="Q1016" s="32" t="s">
        <v>192</v>
      </c>
      <c r="R1016" s="32"/>
      <c r="S1016" s="32">
        <v>72200</v>
      </c>
      <c r="T1016" s="32" t="s">
        <v>455</v>
      </c>
      <c r="U1016" s="33">
        <v>0</v>
      </c>
      <c r="V1016" s="7"/>
      <c r="W1016" s="7" t="str">
        <f>VLOOKUP($Q1016,Mapping!$E$11:$I$204,3,0)</f>
        <v>VBRC</v>
      </c>
      <c r="X1016" s="7" t="str">
        <f>IFERROR(VLOOKUP($S1016,Mapping!$E$208:$K$236,5,0),"Contracts")</f>
        <v>Labour</v>
      </c>
      <c r="Y1016" s="7" t="str">
        <f>IFERROR(VLOOKUP($S1016,Mapping!$E$208:$K$236,7,0),"ENDirect")</f>
        <v>ENDirect</v>
      </c>
      <c r="Z1016" s="7" t="str">
        <f>IFERROR(HLOOKUP(X1016,'Calc|Weightings'!$U$5:$W$5,1,0),"Excl")</f>
        <v>Labour</v>
      </c>
      <c r="AA1016" s="7" t="str">
        <f>VLOOKUP(Q1016,Mapping!$E$11:$I$204,5,0)</f>
        <v>SCS</v>
      </c>
      <c r="AC1016" s="35" t="s">
        <v>145</v>
      </c>
      <c r="AD1016" s="35"/>
      <c r="AE1016" s="35">
        <v>71045</v>
      </c>
      <c r="AF1016" s="35" t="s">
        <v>469</v>
      </c>
      <c r="AG1016" s="36">
        <v>455.63799999999998</v>
      </c>
      <c r="AI1016" s="7" t="str">
        <f>VLOOKUP($AC1016,Mapping!$E$11:$I$204,3,0)</f>
        <v>Augmentation</v>
      </c>
      <c r="AJ1016" s="7" t="str">
        <f>IFERROR(VLOOKUP($AE1016,Mapping!$E$208:$K$236,5,0),"Contracts")</f>
        <v>Materials</v>
      </c>
      <c r="AK1016" s="7" t="str">
        <f>IFERROR(VLOOKUP($AE1016,Mapping!$E$208:$K$236,7,0),"ENDirect")</f>
        <v>ENDirect</v>
      </c>
      <c r="AL1016" s="7" t="str">
        <f>IFERROR(HLOOKUP(AJ1016,'Calc|Weightings'!$U$5:$W$5,1,0),"Excl")</f>
        <v>Materials</v>
      </c>
      <c r="AM1016" s="7" t="str">
        <f>VLOOKUP(AC1016,Mapping!$E$11:$I$204,5,0)</f>
        <v>SCS</v>
      </c>
      <c r="AO1016" s="7"/>
      <c r="AP1016" s="7"/>
      <c r="AQ1016" s="7"/>
      <c r="AR1016" s="7"/>
      <c r="AS1016" s="7"/>
    </row>
    <row r="1017" spans="1:45" x14ac:dyDescent="0.3">
      <c r="A1017" s="7"/>
      <c r="B1017" s="7"/>
      <c r="C1017" s="7"/>
      <c r="D1017" s="7"/>
      <c r="E1017" s="32" t="s">
        <v>268</v>
      </c>
      <c r="F1017" s="32"/>
      <c r="G1017" s="32">
        <v>71045</v>
      </c>
      <c r="H1017" s="32" t="s">
        <v>469</v>
      </c>
      <c r="I1017" s="33">
        <v>176.96700000000001</v>
      </c>
      <c r="J1017" s="170"/>
      <c r="K1017" s="7" t="str">
        <f>VLOOKUP($E1017,Mapping!$E$11:$I$204,3,0)</f>
        <v>Replacement</v>
      </c>
      <c r="L1017" s="7" t="str">
        <f>IFERROR(VLOOKUP($G1017,Mapping!$E$208:$K$236,5,0),"Contracts")</f>
        <v>Materials</v>
      </c>
      <c r="M1017" s="7" t="str">
        <f>IFERROR(VLOOKUP($G1017,Mapping!$E$208:$K$236,7,0),"ENDirect")</f>
        <v>ENDirect</v>
      </c>
      <c r="N1017" s="7" t="str">
        <f>IFERROR(HLOOKUP(L1017,'Calc|Weightings'!$U$5:$W$5,1,0),"Excl")</f>
        <v>Materials</v>
      </c>
      <c r="O1017" s="7" t="str">
        <f>VLOOKUP(E1017,Mapping!$E$11:$I$204,5,0)</f>
        <v>SCS</v>
      </c>
      <c r="Q1017" s="32" t="s">
        <v>123</v>
      </c>
      <c r="R1017" s="32"/>
      <c r="S1017" s="32">
        <v>89999</v>
      </c>
      <c r="T1017" s="32" t="s">
        <v>471</v>
      </c>
      <c r="U1017" s="33">
        <v>0</v>
      </c>
      <c r="V1017" s="7"/>
      <c r="W1017" s="7" t="str">
        <f>VLOOKUP($Q1017,Mapping!$E$11:$I$204,3,0)</f>
        <v>Augmentation</v>
      </c>
      <c r="X1017" s="7" t="str">
        <f>IFERROR(VLOOKUP($S1017,Mapping!$E$208:$K$236,5,0),"Contracts")</f>
        <v>Contracts</v>
      </c>
      <c r="Y1017" s="7" t="str">
        <f>IFERROR(VLOOKUP($S1017,Mapping!$E$208:$K$236,7,0),"ENDirect")</f>
        <v>ENDirect</v>
      </c>
      <c r="Z1017" s="7" t="str">
        <f>IFERROR(HLOOKUP(X1017,'Calc|Weightings'!$U$5:$W$5,1,0),"Excl")</f>
        <v>Contracts</v>
      </c>
      <c r="AA1017" s="7" t="str">
        <f>VLOOKUP(Q1017,Mapping!$E$11:$I$204,5,0)</f>
        <v>SCS</v>
      </c>
      <c r="AC1017" s="35" t="s">
        <v>145</v>
      </c>
      <c r="AD1017" s="35"/>
      <c r="AE1017" s="35">
        <v>71130</v>
      </c>
      <c r="AF1017" s="35" t="s">
        <v>482</v>
      </c>
      <c r="AG1017" s="36">
        <v>15.981999999999999</v>
      </c>
      <c r="AI1017" s="7" t="str">
        <f>VLOOKUP($AC1017,Mapping!$E$11:$I$204,3,0)</f>
        <v>Augmentation</v>
      </c>
      <c r="AJ1017" s="7" t="str">
        <f>IFERROR(VLOOKUP($AE1017,Mapping!$E$208:$K$236,5,0),"Contracts")</f>
        <v>Contracts</v>
      </c>
      <c r="AK1017" s="7" t="str">
        <f>IFERROR(VLOOKUP($AE1017,Mapping!$E$208:$K$236,7,0),"ENDirect")</f>
        <v>ENDirect</v>
      </c>
      <c r="AL1017" s="7" t="str">
        <f>IFERROR(HLOOKUP(AJ1017,'Calc|Weightings'!$U$5:$W$5,1,0),"Excl")</f>
        <v>Contracts</v>
      </c>
      <c r="AM1017" s="7" t="str">
        <f>VLOOKUP(AC1017,Mapping!$E$11:$I$204,5,0)</f>
        <v>SCS</v>
      </c>
      <c r="AO1017" s="7"/>
      <c r="AP1017" s="7"/>
      <c r="AQ1017" s="7"/>
      <c r="AR1017" s="7"/>
      <c r="AS1017" s="7"/>
    </row>
    <row r="1018" spans="1:45" x14ac:dyDescent="0.3">
      <c r="A1018" s="7"/>
      <c r="B1018" s="7"/>
      <c r="C1018" s="7"/>
      <c r="D1018" s="7"/>
      <c r="E1018" s="32" t="s">
        <v>114</v>
      </c>
      <c r="F1018" s="32"/>
      <c r="G1018" s="32">
        <v>71005</v>
      </c>
      <c r="H1018" s="32" t="s">
        <v>461</v>
      </c>
      <c r="I1018" s="33">
        <v>9.8000000000000004E-2</v>
      </c>
      <c r="J1018" s="170"/>
      <c r="K1018" s="7" t="str">
        <f>VLOOKUP($E1018,Mapping!$E$11:$I$204,3,0)</f>
        <v>Connections</v>
      </c>
      <c r="L1018" s="7" t="str">
        <f>IFERROR(VLOOKUP($G1018,Mapping!$E$208:$K$236,5,0),"Contracts")</f>
        <v>Materials</v>
      </c>
      <c r="M1018" s="7" t="str">
        <f>IFERROR(VLOOKUP($G1018,Mapping!$E$208:$K$236,7,0),"ENDirect")</f>
        <v>ENDirect</v>
      </c>
      <c r="N1018" s="7" t="str">
        <f>IFERROR(HLOOKUP(L1018,'Calc|Weightings'!$U$5:$W$5,1,0),"Excl")</f>
        <v>Materials</v>
      </c>
      <c r="O1018" s="7" t="str">
        <f>VLOOKUP(E1018,Mapping!$E$11:$I$204,5,0)</f>
        <v>SCS</v>
      </c>
      <c r="Q1018" s="32" t="s">
        <v>146</v>
      </c>
      <c r="R1018" s="32"/>
      <c r="S1018" s="32">
        <v>71005</v>
      </c>
      <c r="T1018" s="32" t="s">
        <v>461</v>
      </c>
      <c r="U1018" s="33">
        <v>0.20699999999999999</v>
      </c>
      <c r="V1018" s="7"/>
      <c r="W1018" s="7" t="str">
        <f>VLOOKUP($Q1018,Mapping!$E$11:$I$204,3,0)</f>
        <v>VBRC</v>
      </c>
      <c r="X1018" s="7" t="str">
        <f>IFERROR(VLOOKUP($S1018,Mapping!$E$208:$K$236,5,0),"Contracts")</f>
        <v>Materials</v>
      </c>
      <c r="Y1018" s="7" t="str">
        <f>IFERROR(VLOOKUP($S1018,Mapping!$E$208:$K$236,7,0),"ENDirect")</f>
        <v>ENDirect</v>
      </c>
      <c r="Z1018" s="7" t="str">
        <f>IFERROR(HLOOKUP(X1018,'Calc|Weightings'!$U$5:$W$5,1,0),"Excl")</f>
        <v>Materials</v>
      </c>
      <c r="AA1018" s="7" t="str">
        <f>VLOOKUP(Q1018,Mapping!$E$11:$I$204,5,0)</f>
        <v>SCS</v>
      </c>
      <c r="AC1018" s="35" t="s">
        <v>116</v>
      </c>
      <c r="AD1018" s="35"/>
      <c r="AE1018" s="35">
        <v>71000</v>
      </c>
      <c r="AF1018" s="35" t="s">
        <v>457</v>
      </c>
      <c r="AG1018" s="36">
        <v>3.766</v>
      </c>
      <c r="AI1018" s="7" t="str">
        <f>VLOOKUP($AC1018,Mapping!$E$11:$I$204,3,0)</f>
        <v>Connections</v>
      </c>
      <c r="AJ1018" s="7" t="str">
        <f>IFERROR(VLOOKUP($AE1018,Mapping!$E$208:$K$236,5,0),"Contracts")</f>
        <v>Labour</v>
      </c>
      <c r="AK1018" s="7" t="str">
        <f>IFERROR(VLOOKUP($AE1018,Mapping!$E$208:$K$236,7,0),"ENDirect")</f>
        <v>ENDirect</v>
      </c>
      <c r="AL1018" s="7" t="str">
        <f>IFERROR(HLOOKUP(AJ1018,'Calc|Weightings'!$U$5:$W$5,1,0),"Excl")</f>
        <v>Labour</v>
      </c>
      <c r="AM1018" s="7" t="str">
        <f>VLOOKUP(AC1018,Mapping!$E$11:$I$204,5,0)</f>
        <v>SCS</v>
      </c>
      <c r="AO1018" s="7"/>
      <c r="AP1018" s="7"/>
      <c r="AQ1018" s="7"/>
      <c r="AR1018" s="7"/>
      <c r="AS1018" s="7"/>
    </row>
    <row r="1019" spans="1:45" x14ac:dyDescent="0.3">
      <c r="A1019" s="7"/>
      <c r="B1019" s="7"/>
      <c r="C1019" s="7"/>
      <c r="D1019" s="7"/>
      <c r="E1019" s="32" t="s">
        <v>114</v>
      </c>
      <c r="F1019" s="32"/>
      <c r="G1019" s="32">
        <v>71006</v>
      </c>
      <c r="H1019" s="32" t="s">
        <v>468</v>
      </c>
      <c r="I1019" s="33">
        <v>42.396000000000001</v>
      </c>
      <c r="J1019" s="170"/>
      <c r="K1019" s="7" t="str">
        <f>VLOOKUP($E1019,Mapping!$E$11:$I$204,3,0)</f>
        <v>Connections</v>
      </c>
      <c r="L1019" s="7" t="str">
        <f>IFERROR(VLOOKUP($G1019,Mapping!$E$208:$K$236,5,0),"Contracts")</f>
        <v>Materials</v>
      </c>
      <c r="M1019" s="7" t="str">
        <f>IFERROR(VLOOKUP($G1019,Mapping!$E$208:$K$236,7,0),"ENDirect")</f>
        <v>ENDirect</v>
      </c>
      <c r="N1019" s="7" t="str">
        <f>IFERROR(HLOOKUP(L1019,'Calc|Weightings'!$U$5:$W$5,1,0),"Excl")</f>
        <v>Materials</v>
      </c>
      <c r="O1019" s="7" t="str">
        <f>VLOOKUP(E1019,Mapping!$E$11:$I$204,5,0)</f>
        <v>SCS</v>
      </c>
      <c r="Q1019" s="32" t="s">
        <v>146</v>
      </c>
      <c r="R1019" s="32"/>
      <c r="S1019" s="32">
        <v>80000</v>
      </c>
      <c r="T1019" s="32" t="s">
        <v>453</v>
      </c>
      <c r="U1019" s="33">
        <v>0.72</v>
      </c>
      <c r="V1019" s="7"/>
      <c r="W1019" s="7" t="str">
        <f>VLOOKUP($Q1019,Mapping!$E$11:$I$204,3,0)</f>
        <v>VBRC</v>
      </c>
      <c r="X1019" s="7" t="str">
        <f>IFERROR(VLOOKUP($S1019,Mapping!$E$208:$K$236,5,0),"Contracts")</f>
        <v>Overhead</v>
      </c>
      <c r="Y1019" s="7" t="str">
        <f>IFERROR(VLOOKUP($S1019,Mapping!$E$208:$K$236,7,0),"ENDirect")</f>
        <v>OH</v>
      </c>
      <c r="Z1019" s="7" t="str">
        <f>IFERROR(HLOOKUP(X1019,'Calc|Weightings'!$U$5:$W$5,1,0),"Excl")</f>
        <v>Excl</v>
      </c>
      <c r="AA1019" s="7" t="str">
        <f>VLOOKUP(Q1019,Mapping!$E$11:$I$204,5,0)</f>
        <v>SCS</v>
      </c>
      <c r="AC1019" s="35" t="s">
        <v>116</v>
      </c>
      <c r="AD1019" s="35"/>
      <c r="AE1019" s="35">
        <v>71010</v>
      </c>
      <c r="AF1019" s="35" t="s">
        <v>462</v>
      </c>
      <c r="AG1019" s="36">
        <v>0.125</v>
      </c>
      <c r="AI1019" s="7" t="str">
        <f>VLOOKUP($AC1019,Mapping!$E$11:$I$204,3,0)</f>
        <v>Connections</v>
      </c>
      <c r="AJ1019" s="7" t="str">
        <f>IFERROR(VLOOKUP($AE1019,Mapping!$E$208:$K$236,5,0),"Contracts")</f>
        <v>Labour</v>
      </c>
      <c r="AK1019" s="7" t="str">
        <f>IFERROR(VLOOKUP($AE1019,Mapping!$E$208:$K$236,7,0),"ENDirect")</f>
        <v>ENDirect</v>
      </c>
      <c r="AL1019" s="7" t="str">
        <f>IFERROR(HLOOKUP(AJ1019,'Calc|Weightings'!$U$5:$W$5,1,0),"Excl")</f>
        <v>Labour</v>
      </c>
      <c r="AM1019" s="7" t="str">
        <f>VLOOKUP(AC1019,Mapping!$E$11:$I$204,5,0)</f>
        <v>SCS</v>
      </c>
      <c r="AO1019" s="7"/>
      <c r="AP1019" s="7"/>
      <c r="AQ1019" s="7"/>
      <c r="AR1019" s="7"/>
      <c r="AS1019" s="7"/>
    </row>
    <row r="1020" spans="1:45" x14ac:dyDescent="0.3">
      <c r="A1020" s="7"/>
      <c r="B1020" s="7"/>
      <c r="C1020" s="7"/>
      <c r="D1020" s="7"/>
      <c r="E1020" s="32" t="s">
        <v>548</v>
      </c>
      <c r="F1020" s="32"/>
      <c r="G1020" s="32">
        <v>71006</v>
      </c>
      <c r="H1020" s="32" t="s">
        <v>468</v>
      </c>
      <c r="I1020" s="33">
        <v>53.576000000000001</v>
      </c>
      <c r="J1020" s="170"/>
      <c r="K1020" s="7" t="str">
        <f>VLOOKUP($E1020,Mapping!$E$11:$I$204,3,0)</f>
        <v>Connections</v>
      </c>
      <c r="L1020" s="7" t="str">
        <f>IFERROR(VLOOKUP($G1020,Mapping!$E$208:$K$236,5,0),"Contracts")</f>
        <v>Materials</v>
      </c>
      <c r="M1020" s="7" t="str">
        <f>IFERROR(VLOOKUP($G1020,Mapping!$E$208:$K$236,7,0),"ENDirect")</f>
        <v>ENDirect</v>
      </c>
      <c r="N1020" s="7" t="str">
        <f>IFERROR(HLOOKUP(L1020,'Calc|Weightings'!$U$5:$W$5,1,0),"Excl")</f>
        <v>Materials</v>
      </c>
      <c r="O1020" s="7" t="str">
        <f>VLOOKUP(E1020,Mapping!$E$11:$I$204,5,0)</f>
        <v>SCS</v>
      </c>
      <c r="Q1020" s="32" t="s">
        <v>146</v>
      </c>
      <c r="R1020" s="32"/>
      <c r="S1020" s="32">
        <v>89999</v>
      </c>
      <c r="T1020" s="32" t="s">
        <v>471</v>
      </c>
      <c r="U1020" s="33">
        <v>0</v>
      </c>
      <c r="V1020" s="7"/>
      <c r="W1020" s="7" t="str">
        <f>VLOOKUP($Q1020,Mapping!$E$11:$I$204,3,0)</f>
        <v>VBRC</v>
      </c>
      <c r="X1020" s="7" t="str">
        <f>IFERROR(VLOOKUP($S1020,Mapping!$E$208:$K$236,5,0),"Contracts")</f>
        <v>Contracts</v>
      </c>
      <c r="Y1020" s="7" t="str">
        <f>IFERROR(VLOOKUP($S1020,Mapping!$E$208:$K$236,7,0),"ENDirect")</f>
        <v>ENDirect</v>
      </c>
      <c r="Z1020" s="7" t="str">
        <f>IFERROR(HLOOKUP(X1020,'Calc|Weightings'!$U$5:$W$5,1,0),"Excl")</f>
        <v>Contracts</v>
      </c>
      <c r="AA1020" s="7" t="str">
        <f>VLOOKUP(Q1020,Mapping!$E$11:$I$204,5,0)</f>
        <v>SCS</v>
      </c>
      <c r="AC1020" s="35" t="s">
        <v>116</v>
      </c>
      <c r="AD1020" s="35"/>
      <c r="AE1020" s="35">
        <v>71015</v>
      </c>
      <c r="AF1020" s="35" t="s">
        <v>463</v>
      </c>
      <c r="AG1020" s="36">
        <v>1.7999999999999999E-2</v>
      </c>
      <c r="AI1020" s="7" t="str">
        <f>VLOOKUP($AC1020,Mapping!$E$11:$I$204,3,0)</f>
        <v>Connections</v>
      </c>
      <c r="AJ1020" s="7" t="str">
        <f>IFERROR(VLOOKUP($AE1020,Mapping!$E$208:$K$236,5,0),"Contracts")</f>
        <v>Materials</v>
      </c>
      <c r="AK1020" s="7" t="str">
        <f>IFERROR(VLOOKUP($AE1020,Mapping!$E$208:$K$236,7,0),"ENDirect")</f>
        <v>ENDirect</v>
      </c>
      <c r="AL1020" s="7" t="str">
        <f>IFERROR(HLOOKUP(AJ1020,'Calc|Weightings'!$U$5:$W$5,1,0),"Excl")</f>
        <v>Materials</v>
      </c>
      <c r="AM1020" s="7" t="str">
        <f>VLOOKUP(AC1020,Mapping!$E$11:$I$204,5,0)</f>
        <v>SCS</v>
      </c>
      <c r="AO1020" s="7"/>
      <c r="AP1020" s="7"/>
      <c r="AQ1020" s="7"/>
      <c r="AR1020" s="7"/>
      <c r="AS1020" s="7"/>
    </row>
    <row r="1021" spans="1:45" x14ac:dyDescent="0.3">
      <c r="A1021" s="7"/>
      <c r="B1021" s="7"/>
      <c r="C1021" s="7"/>
      <c r="D1021" s="7"/>
      <c r="E1021" s="32" t="s">
        <v>138</v>
      </c>
      <c r="F1021" s="32"/>
      <c r="G1021" s="32">
        <v>71000</v>
      </c>
      <c r="H1021" s="32" t="s">
        <v>457</v>
      </c>
      <c r="I1021" s="33">
        <v>0.92400000000000004</v>
      </c>
      <c r="J1021" s="170"/>
      <c r="K1021" s="7" t="str">
        <f>VLOOKUP($E1021,Mapping!$E$11:$I$204,3,0)</f>
        <v>ACS</v>
      </c>
      <c r="L1021" s="7" t="str">
        <f>IFERROR(VLOOKUP($G1021,Mapping!$E$208:$K$236,5,0),"Contracts")</f>
        <v>Labour</v>
      </c>
      <c r="M1021" s="7" t="str">
        <f>IFERROR(VLOOKUP($G1021,Mapping!$E$208:$K$236,7,0),"ENDirect")</f>
        <v>ENDirect</v>
      </c>
      <c r="N1021" s="7" t="str">
        <f>IFERROR(HLOOKUP(L1021,'Calc|Weightings'!$U$5:$W$5,1,0),"Excl")</f>
        <v>Labour</v>
      </c>
      <c r="O1021" s="7" t="str">
        <f>VLOOKUP(E1021,Mapping!$E$11:$I$204,5,0)</f>
        <v>ACS</v>
      </c>
      <c r="Q1021" s="32" t="s">
        <v>151</v>
      </c>
      <c r="R1021" s="32"/>
      <c r="S1021" s="32">
        <v>89999</v>
      </c>
      <c r="T1021" s="32" t="s">
        <v>471</v>
      </c>
      <c r="U1021" s="33">
        <v>0</v>
      </c>
      <c r="V1021" s="7"/>
      <c r="W1021" s="7" t="str">
        <f>VLOOKUP($Q1021,Mapping!$E$11:$I$204,3,0)</f>
        <v>Replacement</v>
      </c>
      <c r="X1021" s="7" t="str">
        <f>IFERROR(VLOOKUP($S1021,Mapping!$E$208:$K$236,5,0),"Contracts")</f>
        <v>Contracts</v>
      </c>
      <c r="Y1021" s="7" t="str">
        <f>IFERROR(VLOOKUP($S1021,Mapping!$E$208:$K$236,7,0),"ENDirect")</f>
        <v>ENDirect</v>
      </c>
      <c r="Z1021" s="7" t="str">
        <f>IFERROR(HLOOKUP(X1021,'Calc|Weightings'!$U$5:$W$5,1,0),"Excl")</f>
        <v>Contracts</v>
      </c>
      <c r="AA1021" s="7" t="str">
        <f>VLOOKUP(Q1021,Mapping!$E$11:$I$204,5,0)</f>
        <v>SCS</v>
      </c>
      <c r="AC1021" s="35" t="s">
        <v>116</v>
      </c>
      <c r="AD1021" s="35"/>
      <c r="AE1021" s="35">
        <v>71030</v>
      </c>
      <c r="AF1021" s="35" t="s">
        <v>464</v>
      </c>
      <c r="AG1021" s="36">
        <v>0.315</v>
      </c>
      <c r="AI1021" s="7" t="str">
        <f>VLOOKUP($AC1021,Mapping!$E$11:$I$204,3,0)</f>
        <v>Connections</v>
      </c>
      <c r="AJ1021" s="7" t="str">
        <f>IFERROR(VLOOKUP($AE1021,Mapping!$E$208:$K$236,5,0),"Contracts")</f>
        <v>Contracts</v>
      </c>
      <c r="AK1021" s="7" t="str">
        <f>IFERROR(VLOOKUP($AE1021,Mapping!$E$208:$K$236,7,0),"ENDirect")</f>
        <v>ENDirect</v>
      </c>
      <c r="AL1021" s="7" t="str">
        <f>IFERROR(HLOOKUP(AJ1021,'Calc|Weightings'!$U$5:$W$5,1,0),"Excl")</f>
        <v>Contracts</v>
      </c>
      <c r="AM1021" s="7" t="str">
        <f>VLOOKUP(AC1021,Mapping!$E$11:$I$204,5,0)</f>
        <v>SCS</v>
      </c>
      <c r="AO1021" s="7"/>
      <c r="AP1021" s="7"/>
      <c r="AQ1021" s="7"/>
      <c r="AR1021" s="7"/>
      <c r="AS1021" s="7"/>
    </row>
    <row r="1022" spans="1:45" x14ac:dyDescent="0.3">
      <c r="A1022" s="7"/>
      <c r="B1022" s="7"/>
      <c r="C1022" s="7"/>
      <c r="D1022" s="7"/>
      <c r="E1022" s="32" t="s">
        <v>138</v>
      </c>
      <c r="F1022" s="32"/>
      <c r="G1022" s="32">
        <v>71005</v>
      </c>
      <c r="H1022" s="32" t="s">
        <v>461</v>
      </c>
      <c r="I1022" s="33">
        <v>5.8000000000000003E-2</v>
      </c>
      <c r="J1022" s="170"/>
      <c r="K1022" s="7" t="str">
        <f>VLOOKUP($E1022,Mapping!$E$11:$I$204,3,0)</f>
        <v>ACS</v>
      </c>
      <c r="L1022" s="7" t="str">
        <f>IFERROR(VLOOKUP($G1022,Mapping!$E$208:$K$236,5,0),"Contracts")</f>
        <v>Materials</v>
      </c>
      <c r="M1022" s="7" t="str">
        <f>IFERROR(VLOOKUP($G1022,Mapping!$E$208:$K$236,7,0),"ENDirect")</f>
        <v>ENDirect</v>
      </c>
      <c r="N1022" s="7" t="str">
        <f>IFERROR(HLOOKUP(L1022,'Calc|Weightings'!$U$5:$W$5,1,0),"Excl")</f>
        <v>Materials</v>
      </c>
      <c r="O1022" s="7" t="str">
        <f>VLOOKUP(E1022,Mapping!$E$11:$I$204,5,0)</f>
        <v>ACS</v>
      </c>
      <c r="Q1022" s="32" t="s">
        <v>165</v>
      </c>
      <c r="R1022" s="32"/>
      <c r="S1022" s="32">
        <v>89999</v>
      </c>
      <c r="T1022" s="32" t="s">
        <v>471</v>
      </c>
      <c r="U1022" s="33">
        <v>0</v>
      </c>
      <c r="V1022" s="7"/>
      <c r="W1022" s="7" t="str">
        <f>VLOOKUP($Q1022,Mapping!$E$11:$I$204,3,0)</f>
        <v>Replacement</v>
      </c>
      <c r="X1022" s="7" t="str">
        <f>IFERROR(VLOOKUP($S1022,Mapping!$E$208:$K$236,5,0),"Contracts")</f>
        <v>Contracts</v>
      </c>
      <c r="Y1022" s="7" t="str">
        <f>IFERROR(VLOOKUP($S1022,Mapping!$E$208:$K$236,7,0),"ENDirect")</f>
        <v>ENDirect</v>
      </c>
      <c r="Z1022" s="7" t="str">
        <f>IFERROR(HLOOKUP(X1022,'Calc|Weightings'!$U$5:$W$5,1,0),"Excl")</f>
        <v>Contracts</v>
      </c>
      <c r="AA1022" s="7" t="str">
        <f>VLOOKUP(Q1022,Mapping!$E$11:$I$204,5,0)</f>
        <v>SCS</v>
      </c>
      <c r="AC1022" s="35" t="s">
        <v>116</v>
      </c>
      <c r="AD1022" s="35"/>
      <c r="AE1022" s="35">
        <v>71055</v>
      </c>
      <c r="AF1022" s="35" t="s">
        <v>465</v>
      </c>
      <c r="AG1022" s="36">
        <v>0.59199999999999997</v>
      </c>
      <c r="AI1022" s="7" t="str">
        <f>VLOOKUP($AC1022,Mapping!$E$11:$I$204,3,0)</f>
        <v>Connections</v>
      </c>
      <c r="AJ1022" s="7" t="str">
        <f>IFERROR(VLOOKUP($AE1022,Mapping!$E$208:$K$236,5,0),"Contracts")</f>
        <v>Contracts</v>
      </c>
      <c r="AK1022" s="7" t="str">
        <f>IFERROR(VLOOKUP($AE1022,Mapping!$E$208:$K$236,7,0),"ENDirect")</f>
        <v>ENDirect</v>
      </c>
      <c r="AL1022" s="7" t="str">
        <f>IFERROR(HLOOKUP(AJ1022,'Calc|Weightings'!$U$5:$W$5,1,0),"Excl")</f>
        <v>Contracts</v>
      </c>
      <c r="AM1022" s="7" t="str">
        <f>VLOOKUP(AC1022,Mapping!$E$11:$I$204,5,0)</f>
        <v>SCS</v>
      </c>
      <c r="AO1022" s="7"/>
      <c r="AP1022" s="7"/>
      <c r="AQ1022" s="7"/>
      <c r="AR1022" s="7"/>
      <c r="AS1022" s="7"/>
    </row>
    <row r="1023" spans="1:45" x14ac:dyDescent="0.3">
      <c r="A1023" s="7"/>
      <c r="B1023" s="7"/>
      <c r="C1023" s="7"/>
      <c r="D1023" s="7"/>
      <c r="E1023" s="32" t="s">
        <v>138</v>
      </c>
      <c r="F1023" s="32"/>
      <c r="G1023" s="32">
        <v>71015</v>
      </c>
      <c r="H1023" s="32" t="s">
        <v>463</v>
      </c>
      <c r="I1023" s="33">
        <v>0.106</v>
      </c>
      <c r="J1023" s="170"/>
      <c r="K1023" s="7" t="str">
        <f>VLOOKUP($E1023,Mapping!$E$11:$I$204,3,0)</f>
        <v>ACS</v>
      </c>
      <c r="L1023" s="7" t="str">
        <f>IFERROR(VLOOKUP($G1023,Mapping!$E$208:$K$236,5,0),"Contracts")</f>
        <v>Materials</v>
      </c>
      <c r="M1023" s="7" t="str">
        <f>IFERROR(VLOOKUP($G1023,Mapping!$E$208:$K$236,7,0),"ENDirect")</f>
        <v>ENDirect</v>
      </c>
      <c r="N1023" s="7" t="str">
        <f>IFERROR(HLOOKUP(L1023,'Calc|Weightings'!$U$5:$W$5,1,0),"Excl")</f>
        <v>Materials</v>
      </c>
      <c r="O1023" s="7" t="str">
        <f>VLOOKUP(E1023,Mapping!$E$11:$I$204,5,0)</f>
        <v>ACS</v>
      </c>
      <c r="Q1023" s="32" t="s">
        <v>166</v>
      </c>
      <c r="R1023" s="32"/>
      <c r="S1023" s="32">
        <v>89999</v>
      </c>
      <c r="T1023" s="32" t="s">
        <v>471</v>
      </c>
      <c r="U1023" s="33">
        <v>0</v>
      </c>
      <c r="V1023" s="7"/>
      <c r="W1023" s="7" t="str">
        <f>VLOOKUP($Q1023,Mapping!$E$11:$I$204,3,0)</f>
        <v>Replacement</v>
      </c>
      <c r="X1023" s="7" t="str">
        <f>IFERROR(VLOOKUP($S1023,Mapping!$E$208:$K$236,5,0),"Contracts")</f>
        <v>Contracts</v>
      </c>
      <c r="Y1023" s="7" t="str">
        <f>IFERROR(VLOOKUP($S1023,Mapping!$E$208:$K$236,7,0),"ENDirect")</f>
        <v>ENDirect</v>
      </c>
      <c r="Z1023" s="7" t="str">
        <f>IFERROR(HLOOKUP(X1023,'Calc|Weightings'!$U$5:$W$5,1,0),"Excl")</f>
        <v>Contracts</v>
      </c>
      <c r="AA1023" s="7" t="str">
        <f>VLOOKUP(Q1023,Mapping!$E$11:$I$204,5,0)</f>
        <v>SCS</v>
      </c>
      <c r="AC1023" s="35" t="s">
        <v>116</v>
      </c>
      <c r="AD1023" s="35"/>
      <c r="AE1023" s="35">
        <v>80000</v>
      </c>
      <c r="AF1023" s="35" t="s">
        <v>453</v>
      </c>
      <c r="AG1023" s="36">
        <v>0.59399999999999997</v>
      </c>
      <c r="AI1023" s="7" t="str">
        <f>VLOOKUP($AC1023,Mapping!$E$11:$I$204,3,0)</f>
        <v>Connections</v>
      </c>
      <c r="AJ1023" s="7" t="str">
        <f>IFERROR(VLOOKUP($AE1023,Mapping!$E$208:$K$236,5,0),"Contracts")</f>
        <v>Overhead</v>
      </c>
      <c r="AK1023" s="7" t="str">
        <f>IFERROR(VLOOKUP($AE1023,Mapping!$E$208:$K$236,7,0),"ENDirect")</f>
        <v>OH</v>
      </c>
      <c r="AL1023" s="7" t="str">
        <f>IFERROR(HLOOKUP(AJ1023,'Calc|Weightings'!$U$5:$W$5,1,0),"Excl")</f>
        <v>Excl</v>
      </c>
      <c r="AM1023" s="7" t="str">
        <f>VLOOKUP(AC1023,Mapping!$E$11:$I$204,5,0)</f>
        <v>SCS</v>
      </c>
      <c r="AO1023" s="7"/>
      <c r="AP1023" s="7"/>
      <c r="AQ1023" s="7"/>
      <c r="AR1023" s="7"/>
      <c r="AS1023" s="7"/>
    </row>
    <row r="1024" spans="1:45" x14ac:dyDescent="0.3">
      <c r="A1024" s="7"/>
      <c r="B1024" s="7"/>
      <c r="C1024" s="7"/>
      <c r="D1024" s="7"/>
      <c r="E1024" s="32" t="s">
        <v>138</v>
      </c>
      <c r="F1024" s="32"/>
      <c r="G1024" s="32">
        <v>71030</v>
      </c>
      <c r="H1024" s="32" t="s">
        <v>464</v>
      </c>
      <c r="I1024" s="33">
        <v>3.7999999999999999E-2</v>
      </c>
      <c r="J1024" s="170"/>
      <c r="K1024" s="7" t="str">
        <f>VLOOKUP($E1024,Mapping!$E$11:$I$204,3,0)</f>
        <v>ACS</v>
      </c>
      <c r="L1024" s="7" t="str">
        <f>IFERROR(VLOOKUP($G1024,Mapping!$E$208:$K$236,5,0),"Contracts")</f>
        <v>Contracts</v>
      </c>
      <c r="M1024" s="7" t="str">
        <f>IFERROR(VLOOKUP($G1024,Mapping!$E$208:$K$236,7,0),"ENDirect")</f>
        <v>ENDirect</v>
      </c>
      <c r="N1024" s="7" t="str">
        <f>IFERROR(HLOOKUP(L1024,'Calc|Weightings'!$U$5:$W$5,1,0),"Excl")</f>
        <v>Contracts</v>
      </c>
      <c r="O1024" s="7" t="str">
        <f>VLOOKUP(E1024,Mapping!$E$11:$I$204,5,0)</f>
        <v>ACS</v>
      </c>
      <c r="Q1024" s="32" t="s">
        <v>167</v>
      </c>
      <c r="R1024" s="32"/>
      <c r="S1024" s="32">
        <v>89999</v>
      </c>
      <c r="T1024" s="32" t="s">
        <v>471</v>
      </c>
      <c r="U1024" s="33">
        <v>0</v>
      </c>
      <c r="V1024" s="7"/>
      <c r="W1024" s="7" t="str">
        <f>VLOOKUP($Q1024,Mapping!$E$11:$I$204,3,0)</f>
        <v>Replacement</v>
      </c>
      <c r="X1024" s="7" t="str">
        <f>IFERROR(VLOOKUP($S1024,Mapping!$E$208:$K$236,5,0),"Contracts")</f>
        <v>Contracts</v>
      </c>
      <c r="Y1024" s="7" t="str">
        <f>IFERROR(VLOOKUP($S1024,Mapping!$E$208:$K$236,7,0),"ENDirect")</f>
        <v>ENDirect</v>
      </c>
      <c r="Z1024" s="7" t="str">
        <f>IFERROR(HLOOKUP(X1024,'Calc|Weightings'!$U$5:$W$5,1,0),"Excl")</f>
        <v>Contracts</v>
      </c>
      <c r="AA1024" s="7" t="str">
        <f>VLOOKUP(Q1024,Mapping!$E$11:$I$204,5,0)</f>
        <v>SCS</v>
      </c>
      <c r="AC1024" s="35" t="s">
        <v>204</v>
      </c>
      <c r="AD1024" s="35"/>
      <c r="AE1024" s="35">
        <v>71000</v>
      </c>
      <c r="AF1024" s="35" t="s">
        <v>457</v>
      </c>
      <c r="AG1024" s="36">
        <v>1.4319999999999999</v>
      </c>
      <c r="AI1024" s="7" t="str">
        <f>VLOOKUP($AC1024,Mapping!$E$11:$I$204,3,0)</f>
        <v>Replacement</v>
      </c>
      <c r="AJ1024" s="7" t="str">
        <f>IFERROR(VLOOKUP($AE1024,Mapping!$E$208:$K$236,5,0),"Contracts")</f>
        <v>Labour</v>
      </c>
      <c r="AK1024" s="7" t="str">
        <f>IFERROR(VLOOKUP($AE1024,Mapping!$E$208:$K$236,7,0),"ENDirect")</f>
        <v>ENDirect</v>
      </c>
      <c r="AL1024" s="7" t="str">
        <f>IFERROR(HLOOKUP(AJ1024,'Calc|Weightings'!$U$5:$W$5,1,0),"Excl")</f>
        <v>Labour</v>
      </c>
      <c r="AM1024" s="7" t="str">
        <f>VLOOKUP(AC1024,Mapping!$E$11:$I$204,5,0)</f>
        <v>SCS</v>
      </c>
      <c r="AO1024" s="7"/>
      <c r="AP1024" s="7"/>
      <c r="AQ1024" s="7"/>
      <c r="AR1024" s="7"/>
      <c r="AS1024" s="7"/>
    </row>
    <row r="1025" spans="1:45" x14ac:dyDescent="0.3">
      <c r="A1025" s="7"/>
      <c r="B1025" s="7"/>
      <c r="C1025" s="7"/>
      <c r="D1025" s="7"/>
      <c r="E1025" s="32" t="s">
        <v>138</v>
      </c>
      <c r="F1025" s="32"/>
      <c r="G1025" s="32">
        <v>71055</v>
      </c>
      <c r="H1025" s="32" t="s">
        <v>465</v>
      </c>
      <c r="I1025" s="33">
        <v>6.8000000000000005E-2</v>
      </c>
      <c r="J1025" s="170"/>
      <c r="K1025" s="7" t="str">
        <f>VLOOKUP($E1025,Mapping!$E$11:$I$204,3,0)</f>
        <v>ACS</v>
      </c>
      <c r="L1025" s="7" t="str">
        <f>IFERROR(VLOOKUP($G1025,Mapping!$E$208:$K$236,5,0),"Contracts")</f>
        <v>Contracts</v>
      </c>
      <c r="M1025" s="7" t="str">
        <f>IFERROR(VLOOKUP($G1025,Mapping!$E$208:$K$236,7,0),"ENDirect")</f>
        <v>ENDirect</v>
      </c>
      <c r="N1025" s="7" t="str">
        <f>IFERROR(HLOOKUP(L1025,'Calc|Weightings'!$U$5:$W$5,1,0),"Excl")</f>
        <v>Contracts</v>
      </c>
      <c r="O1025" s="7" t="str">
        <f>VLOOKUP(E1025,Mapping!$E$11:$I$204,5,0)</f>
        <v>ACS</v>
      </c>
      <c r="Q1025" s="32" t="s">
        <v>171</v>
      </c>
      <c r="R1025" s="32"/>
      <c r="S1025" s="32">
        <v>89999</v>
      </c>
      <c r="T1025" s="32" t="s">
        <v>471</v>
      </c>
      <c r="U1025" s="33">
        <v>0</v>
      </c>
      <c r="V1025" s="7"/>
      <c r="W1025" s="7" t="str">
        <f>VLOOKUP($Q1025,Mapping!$E$11:$I$204,3,0)</f>
        <v>Replacement</v>
      </c>
      <c r="X1025" s="7" t="str">
        <f>IFERROR(VLOOKUP($S1025,Mapping!$E$208:$K$236,5,0),"Contracts")</f>
        <v>Contracts</v>
      </c>
      <c r="Y1025" s="7" t="str">
        <f>IFERROR(VLOOKUP($S1025,Mapping!$E$208:$K$236,7,0),"ENDirect")</f>
        <v>ENDirect</v>
      </c>
      <c r="Z1025" s="7" t="str">
        <f>IFERROR(HLOOKUP(X1025,'Calc|Weightings'!$U$5:$W$5,1,0),"Excl")</f>
        <v>Contracts</v>
      </c>
      <c r="AA1025" s="7" t="str">
        <f>VLOOKUP(Q1025,Mapping!$E$11:$I$204,5,0)</f>
        <v>SCS</v>
      </c>
      <c r="AC1025" s="35" t="s">
        <v>204</v>
      </c>
      <c r="AD1025" s="35"/>
      <c r="AE1025" s="35">
        <v>71010</v>
      </c>
      <c r="AF1025" s="35" t="s">
        <v>462</v>
      </c>
      <c r="AG1025" s="36">
        <v>26.954999999999998</v>
      </c>
      <c r="AI1025" s="7" t="str">
        <f>VLOOKUP($AC1025,Mapping!$E$11:$I$204,3,0)</f>
        <v>Replacement</v>
      </c>
      <c r="AJ1025" s="7" t="str">
        <f>IFERROR(VLOOKUP($AE1025,Mapping!$E$208:$K$236,5,0),"Contracts")</f>
        <v>Labour</v>
      </c>
      <c r="AK1025" s="7" t="str">
        <f>IFERROR(VLOOKUP($AE1025,Mapping!$E$208:$K$236,7,0),"ENDirect")</f>
        <v>ENDirect</v>
      </c>
      <c r="AL1025" s="7" t="str">
        <f>IFERROR(HLOOKUP(AJ1025,'Calc|Weightings'!$U$5:$W$5,1,0),"Excl")</f>
        <v>Labour</v>
      </c>
      <c r="AM1025" s="7" t="str">
        <f>VLOOKUP(AC1025,Mapping!$E$11:$I$204,5,0)</f>
        <v>SCS</v>
      </c>
      <c r="AO1025" s="7"/>
      <c r="AP1025" s="7"/>
      <c r="AQ1025" s="7"/>
      <c r="AR1025" s="7"/>
      <c r="AS1025" s="7"/>
    </row>
    <row r="1026" spans="1:45" x14ac:dyDescent="0.3">
      <c r="A1026" s="7"/>
      <c r="B1026" s="7"/>
      <c r="C1026" s="7"/>
      <c r="D1026" s="7"/>
      <c r="E1026" s="32" t="s">
        <v>138</v>
      </c>
      <c r="F1026" s="32"/>
      <c r="G1026" s="32">
        <v>80000</v>
      </c>
      <c r="H1026" s="32" t="s">
        <v>453</v>
      </c>
      <c r="I1026" s="33">
        <v>5.8000000000000003E-2</v>
      </c>
      <c r="J1026" s="170"/>
      <c r="K1026" s="7" t="str">
        <f>VLOOKUP($E1026,Mapping!$E$11:$I$204,3,0)</f>
        <v>ACS</v>
      </c>
      <c r="L1026" s="7" t="str">
        <f>IFERROR(VLOOKUP($G1026,Mapping!$E$208:$K$236,5,0),"Contracts")</f>
        <v>Overhead</v>
      </c>
      <c r="M1026" s="7" t="str">
        <f>IFERROR(VLOOKUP($G1026,Mapping!$E$208:$K$236,7,0),"ENDirect")</f>
        <v>OH</v>
      </c>
      <c r="N1026" s="7" t="str">
        <f>IFERROR(HLOOKUP(L1026,'Calc|Weightings'!$U$5:$W$5,1,0),"Excl")</f>
        <v>Excl</v>
      </c>
      <c r="O1026" s="7" t="str">
        <f>VLOOKUP(E1026,Mapping!$E$11:$I$204,5,0)</f>
        <v>ACS</v>
      </c>
      <c r="Q1026" s="32" t="s">
        <v>186</v>
      </c>
      <c r="R1026" s="32"/>
      <c r="S1026" s="32">
        <v>71020</v>
      </c>
      <c r="T1026" s="32" t="s">
        <v>459</v>
      </c>
      <c r="U1026" s="33">
        <v>-2.758</v>
      </c>
      <c r="V1026" s="7"/>
      <c r="W1026" s="7" t="str">
        <f>VLOOKUP($Q1026,Mapping!$E$11:$I$204,3,0)</f>
        <v>Replacement</v>
      </c>
      <c r="X1026" s="7" t="str">
        <f>IFERROR(VLOOKUP($S1026,Mapping!$E$208:$K$236,5,0),"Contracts")</f>
        <v>Contracts</v>
      </c>
      <c r="Y1026" s="7" t="str">
        <f>IFERROR(VLOOKUP($S1026,Mapping!$E$208:$K$236,7,0),"ENDirect")</f>
        <v>ENDirect</v>
      </c>
      <c r="Z1026" s="7" t="str">
        <f>IFERROR(HLOOKUP(X1026,'Calc|Weightings'!$U$5:$W$5,1,0),"Excl")</f>
        <v>Contracts</v>
      </c>
      <c r="AA1026" s="7" t="str">
        <f>VLOOKUP(Q1026,Mapping!$E$11:$I$204,5,0)</f>
        <v>SCS</v>
      </c>
      <c r="AC1026" s="35" t="s">
        <v>204</v>
      </c>
      <c r="AD1026" s="35"/>
      <c r="AE1026" s="35">
        <v>71030</v>
      </c>
      <c r="AF1026" s="35" t="s">
        <v>464</v>
      </c>
      <c r="AG1026" s="36">
        <v>2.3340000000000001</v>
      </c>
      <c r="AI1026" s="7" t="str">
        <f>VLOOKUP($AC1026,Mapping!$E$11:$I$204,3,0)</f>
        <v>Replacement</v>
      </c>
      <c r="AJ1026" s="7" t="str">
        <f>IFERROR(VLOOKUP($AE1026,Mapping!$E$208:$K$236,5,0),"Contracts")</f>
        <v>Contracts</v>
      </c>
      <c r="AK1026" s="7" t="str">
        <f>IFERROR(VLOOKUP($AE1026,Mapping!$E$208:$K$236,7,0),"ENDirect")</f>
        <v>ENDirect</v>
      </c>
      <c r="AL1026" s="7" t="str">
        <f>IFERROR(HLOOKUP(AJ1026,'Calc|Weightings'!$U$5:$W$5,1,0),"Excl")</f>
        <v>Contracts</v>
      </c>
      <c r="AM1026" s="7" t="str">
        <f>VLOOKUP(AC1026,Mapping!$E$11:$I$204,5,0)</f>
        <v>SCS</v>
      </c>
      <c r="AO1026" s="7"/>
      <c r="AP1026" s="7"/>
      <c r="AQ1026" s="7"/>
      <c r="AR1026" s="7"/>
      <c r="AS1026" s="7"/>
    </row>
    <row r="1027" spans="1:45" x14ac:dyDescent="0.3">
      <c r="A1027" s="7"/>
      <c r="B1027" s="7"/>
      <c r="C1027" s="7"/>
      <c r="D1027" s="7"/>
      <c r="E1027" s="32" t="s">
        <v>145</v>
      </c>
      <c r="F1027" s="32"/>
      <c r="G1027" s="32">
        <v>71045</v>
      </c>
      <c r="H1027" s="32" t="s">
        <v>469</v>
      </c>
      <c r="I1027" s="33">
        <v>50.854999999999997</v>
      </c>
      <c r="J1027" s="170"/>
      <c r="K1027" s="7" t="str">
        <f>VLOOKUP($E1027,Mapping!$E$11:$I$204,3,0)</f>
        <v>Augmentation</v>
      </c>
      <c r="L1027" s="7" t="str">
        <f>IFERROR(VLOOKUP($G1027,Mapping!$E$208:$K$236,5,0),"Contracts")</f>
        <v>Materials</v>
      </c>
      <c r="M1027" s="7" t="str">
        <f>IFERROR(VLOOKUP($G1027,Mapping!$E$208:$K$236,7,0),"ENDirect")</f>
        <v>ENDirect</v>
      </c>
      <c r="N1027" s="7" t="str">
        <f>IFERROR(HLOOKUP(L1027,'Calc|Weightings'!$U$5:$W$5,1,0),"Excl")</f>
        <v>Materials</v>
      </c>
      <c r="O1027" s="7" t="str">
        <f>VLOOKUP(E1027,Mapping!$E$11:$I$204,5,0)</f>
        <v>SCS</v>
      </c>
      <c r="Q1027" s="32" t="s">
        <v>199</v>
      </c>
      <c r="R1027" s="32"/>
      <c r="S1027" s="32">
        <v>89999</v>
      </c>
      <c r="T1027" s="32" t="s">
        <v>471</v>
      </c>
      <c r="U1027" s="33">
        <v>0</v>
      </c>
      <c r="V1027" s="7"/>
      <c r="W1027" s="7" t="str">
        <f>VLOOKUP($Q1027,Mapping!$E$11:$I$204,3,0)</f>
        <v>Public Lighting</v>
      </c>
      <c r="X1027" s="7" t="str">
        <f>IFERROR(VLOOKUP($S1027,Mapping!$E$208:$K$236,5,0),"Contracts")</f>
        <v>Contracts</v>
      </c>
      <c r="Y1027" s="7" t="str">
        <f>IFERROR(VLOOKUP($S1027,Mapping!$E$208:$K$236,7,0),"ENDirect")</f>
        <v>ENDirect</v>
      </c>
      <c r="Z1027" s="7" t="str">
        <f>IFERROR(HLOOKUP(X1027,'Calc|Weightings'!$U$5:$W$5,1,0),"Excl")</f>
        <v>Contracts</v>
      </c>
      <c r="AA1027" s="7" t="str">
        <f>VLOOKUP(Q1027,Mapping!$E$11:$I$204,5,0)</f>
        <v>Public Lighting</v>
      </c>
      <c r="AC1027" s="35" t="s">
        <v>204</v>
      </c>
      <c r="AD1027" s="35"/>
      <c r="AE1027" s="35">
        <v>71055</v>
      </c>
      <c r="AF1027" s="35" t="s">
        <v>465</v>
      </c>
      <c r="AG1027" s="36">
        <v>5.3479999999999999</v>
      </c>
      <c r="AI1027" s="7" t="str">
        <f>VLOOKUP($AC1027,Mapping!$E$11:$I$204,3,0)</f>
        <v>Replacement</v>
      </c>
      <c r="AJ1027" s="7" t="str">
        <f>IFERROR(VLOOKUP($AE1027,Mapping!$E$208:$K$236,5,0),"Contracts")</f>
        <v>Contracts</v>
      </c>
      <c r="AK1027" s="7" t="str">
        <f>IFERROR(VLOOKUP($AE1027,Mapping!$E$208:$K$236,7,0),"ENDirect")</f>
        <v>ENDirect</v>
      </c>
      <c r="AL1027" s="7" t="str">
        <f>IFERROR(HLOOKUP(AJ1027,'Calc|Weightings'!$U$5:$W$5,1,0),"Excl")</f>
        <v>Contracts</v>
      </c>
      <c r="AM1027" s="7" t="str">
        <f>VLOOKUP(AC1027,Mapping!$E$11:$I$204,5,0)</f>
        <v>SCS</v>
      </c>
      <c r="AO1027" s="7"/>
      <c r="AP1027" s="7"/>
      <c r="AQ1027" s="7"/>
      <c r="AR1027" s="7"/>
      <c r="AS1027" s="7"/>
    </row>
    <row r="1028" spans="1:45" x14ac:dyDescent="0.3">
      <c r="A1028" s="7"/>
      <c r="B1028" s="7"/>
      <c r="C1028" s="7"/>
      <c r="D1028" s="7"/>
      <c r="E1028" s="32" t="s">
        <v>107</v>
      </c>
      <c r="F1028" s="32"/>
      <c r="G1028" s="32">
        <v>71000</v>
      </c>
      <c r="H1028" s="32" t="s">
        <v>457</v>
      </c>
      <c r="I1028" s="33">
        <v>5.7480000000000002</v>
      </c>
      <c r="J1028" s="170"/>
      <c r="K1028" s="7" t="str">
        <f>VLOOKUP($E1028,Mapping!$E$11:$I$204,3,0)</f>
        <v>Public Lighting</v>
      </c>
      <c r="L1028" s="7" t="str">
        <f>IFERROR(VLOOKUP($G1028,Mapping!$E$208:$K$236,5,0),"Contracts")</f>
        <v>Labour</v>
      </c>
      <c r="M1028" s="7" t="str">
        <f>IFERROR(VLOOKUP($G1028,Mapping!$E$208:$K$236,7,0),"ENDirect")</f>
        <v>ENDirect</v>
      </c>
      <c r="N1028" s="7" t="str">
        <f>IFERROR(HLOOKUP(L1028,'Calc|Weightings'!$U$5:$W$5,1,0),"Excl")</f>
        <v>Labour</v>
      </c>
      <c r="O1028" s="7" t="str">
        <f>VLOOKUP(E1028,Mapping!$E$11:$I$204,5,0)</f>
        <v>Public Lighting</v>
      </c>
      <c r="Q1028" s="32" t="s">
        <v>200</v>
      </c>
      <c r="R1028" s="32"/>
      <c r="S1028" s="32">
        <v>89999</v>
      </c>
      <c r="T1028" s="32" t="s">
        <v>471</v>
      </c>
      <c r="U1028" s="33">
        <v>0</v>
      </c>
      <c r="V1028" s="7"/>
      <c r="W1028" s="7" t="str">
        <f>VLOOKUP($Q1028,Mapping!$E$11:$I$204,3,0)</f>
        <v>Public Lighting</v>
      </c>
      <c r="X1028" s="7" t="str">
        <f>IFERROR(VLOOKUP($S1028,Mapping!$E$208:$K$236,5,0),"Contracts")</f>
        <v>Contracts</v>
      </c>
      <c r="Y1028" s="7" t="str">
        <f>IFERROR(VLOOKUP($S1028,Mapping!$E$208:$K$236,7,0),"ENDirect")</f>
        <v>ENDirect</v>
      </c>
      <c r="Z1028" s="7" t="str">
        <f>IFERROR(HLOOKUP(X1028,'Calc|Weightings'!$U$5:$W$5,1,0),"Excl")</f>
        <v>Contracts</v>
      </c>
      <c r="AA1028" s="7" t="str">
        <f>VLOOKUP(Q1028,Mapping!$E$11:$I$204,5,0)</f>
        <v>Public Lighting</v>
      </c>
      <c r="AC1028" s="35" t="s">
        <v>204</v>
      </c>
      <c r="AD1028" s="35"/>
      <c r="AE1028" s="35">
        <v>80000</v>
      </c>
      <c r="AF1028" s="35" t="s">
        <v>453</v>
      </c>
      <c r="AG1028" s="36">
        <v>4.1420000000000003</v>
      </c>
      <c r="AI1028" s="7" t="str">
        <f>VLOOKUP($AC1028,Mapping!$E$11:$I$204,3,0)</f>
        <v>Replacement</v>
      </c>
      <c r="AJ1028" s="7" t="str">
        <f>IFERROR(VLOOKUP($AE1028,Mapping!$E$208:$K$236,5,0),"Contracts")</f>
        <v>Overhead</v>
      </c>
      <c r="AK1028" s="7" t="str">
        <f>IFERROR(VLOOKUP($AE1028,Mapping!$E$208:$K$236,7,0),"ENDirect")</f>
        <v>OH</v>
      </c>
      <c r="AL1028" s="7" t="str">
        <f>IFERROR(HLOOKUP(AJ1028,'Calc|Weightings'!$U$5:$W$5,1,0),"Excl")</f>
        <v>Excl</v>
      </c>
      <c r="AM1028" s="7" t="str">
        <f>VLOOKUP(AC1028,Mapping!$E$11:$I$204,5,0)</f>
        <v>SCS</v>
      </c>
      <c r="AO1028" s="7"/>
      <c r="AP1028" s="7"/>
      <c r="AQ1028" s="7"/>
      <c r="AR1028" s="7"/>
      <c r="AS1028" s="7"/>
    </row>
    <row r="1029" spans="1:45" x14ac:dyDescent="0.3">
      <c r="A1029" s="7"/>
      <c r="B1029" s="7"/>
      <c r="C1029" s="7"/>
      <c r="D1029" s="7"/>
      <c r="E1029" s="32" t="s">
        <v>134</v>
      </c>
      <c r="F1029" s="32"/>
      <c r="G1029" s="32">
        <v>71000</v>
      </c>
      <c r="H1029" s="32" t="s">
        <v>457</v>
      </c>
      <c r="I1029" s="33">
        <v>0.14299999999999999</v>
      </c>
      <c r="J1029" s="170"/>
      <c r="K1029" s="7" t="str">
        <f>VLOOKUP($E1029,Mapping!$E$11:$I$204,3,0)</f>
        <v>ACS</v>
      </c>
      <c r="L1029" s="7" t="str">
        <f>IFERROR(VLOOKUP($G1029,Mapping!$E$208:$K$236,5,0),"Contracts")</f>
        <v>Labour</v>
      </c>
      <c r="M1029" s="7" t="str">
        <f>IFERROR(VLOOKUP($G1029,Mapping!$E$208:$K$236,7,0),"ENDirect")</f>
        <v>ENDirect</v>
      </c>
      <c r="N1029" s="7" t="str">
        <f>IFERROR(HLOOKUP(L1029,'Calc|Weightings'!$U$5:$W$5,1,0),"Excl")</f>
        <v>Labour</v>
      </c>
      <c r="O1029" s="7" t="str">
        <f>VLOOKUP(E1029,Mapping!$E$11:$I$204,5,0)</f>
        <v>ACS</v>
      </c>
      <c r="Q1029" s="32" t="s">
        <v>203</v>
      </c>
      <c r="R1029" s="32"/>
      <c r="S1029" s="32">
        <v>89999</v>
      </c>
      <c r="T1029" s="32" t="s">
        <v>471</v>
      </c>
      <c r="U1029" s="33">
        <v>0</v>
      </c>
      <c r="V1029" s="7"/>
      <c r="W1029" s="7" t="str">
        <f>VLOOKUP($Q1029,Mapping!$E$11:$I$204,3,0)</f>
        <v>Replacement</v>
      </c>
      <c r="X1029" s="7" t="str">
        <f>IFERROR(VLOOKUP($S1029,Mapping!$E$208:$K$236,5,0),"Contracts")</f>
        <v>Contracts</v>
      </c>
      <c r="Y1029" s="7" t="str">
        <f>IFERROR(VLOOKUP($S1029,Mapping!$E$208:$K$236,7,0),"ENDirect")</f>
        <v>ENDirect</v>
      </c>
      <c r="Z1029" s="7" t="str">
        <f>IFERROR(HLOOKUP(X1029,'Calc|Weightings'!$U$5:$W$5,1,0),"Excl")</f>
        <v>Contracts</v>
      </c>
      <c r="AA1029" s="7" t="str">
        <f>VLOOKUP(Q1029,Mapping!$E$11:$I$204,5,0)</f>
        <v>SCS</v>
      </c>
      <c r="AC1029" s="35" t="s">
        <v>204</v>
      </c>
      <c r="AD1029" s="35"/>
      <c r="AE1029" s="35">
        <v>89999</v>
      </c>
      <c r="AF1029" s="35" t="s">
        <v>471</v>
      </c>
      <c r="AG1029" s="36">
        <v>4.0000000000000001E-3</v>
      </c>
      <c r="AI1029" s="7" t="str">
        <f>VLOOKUP($AC1029,Mapping!$E$11:$I$204,3,0)</f>
        <v>Replacement</v>
      </c>
      <c r="AJ1029" s="7" t="str">
        <f>IFERROR(VLOOKUP($AE1029,Mapping!$E$208:$K$236,5,0),"Contracts")</f>
        <v>Contracts</v>
      </c>
      <c r="AK1029" s="7" t="str">
        <f>IFERROR(VLOOKUP($AE1029,Mapping!$E$208:$K$236,7,0),"ENDirect")</f>
        <v>ENDirect</v>
      </c>
      <c r="AL1029" s="7" t="str">
        <f>IFERROR(HLOOKUP(AJ1029,'Calc|Weightings'!$U$5:$W$5,1,0),"Excl")</f>
        <v>Contracts</v>
      </c>
      <c r="AM1029" s="7" t="str">
        <f>VLOOKUP(AC1029,Mapping!$E$11:$I$204,5,0)</f>
        <v>SCS</v>
      </c>
      <c r="AO1029" s="7"/>
      <c r="AP1029" s="7"/>
      <c r="AQ1029" s="7"/>
      <c r="AR1029" s="7"/>
      <c r="AS1029" s="7"/>
    </row>
    <row r="1030" spans="1:45" x14ac:dyDescent="0.3">
      <c r="A1030" s="7"/>
      <c r="B1030" s="7"/>
      <c r="C1030" s="7"/>
      <c r="D1030" s="7"/>
      <c r="E1030" s="32" t="s">
        <v>134</v>
      </c>
      <c r="F1030" s="32"/>
      <c r="G1030" s="32">
        <v>71030</v>
      </c>
      <c r="H1030" s="32" t="s">
        <v>464</v>
      </c>
      <c r="I1030" s="33">
        <v>6.0000000000000001E-3</v>
      </c>
      <c r="J1030" s="170"/>
      <c r="K1030" s="7" t="str">
        <f>VLOOKUP($E1030,Mapping!$E$11:$I$204,3,0)</f>
        <v>ACS</v>
      </c>
      <c r="L1030" s="7" t="str">
        <f>IFERROR(VLOOKUP($G1030,Mapping!$E$208:$K$236,5,0),"Contracts")</f>
        <v>Contracts</v>
      </c>
      <c r="M1030" s="7" t="str">
        <f>IFERROR(VLOOKUP($G1030,Mapping!$E$208:$K$236,7,0),"ENDirect")</f>
        <v>ENDirect</v>
      </c>
      <c r="N1030" s="7" t="str">
        <f>IFERROR(HLOOKUP(L1030,'Calc|Weightings'!$U$5:$W$5,1,0),"Excl")</f>
        <v>Contracts</v>
      </c>
      <c r="O1030" s="7" t="str">
        <f>VLOOKUP(E1030,Mapping!$E$11:$I$204,5,0)</f>
        <v>ACS</v>
      </c>
      <c r="Q1030" s="32" t="s">
        <v>205</v>
      </c>
      <c r="R1030" s="32"/>
      <c r="S1030" s="32">
        <v>89999</v>
      </c>
      <c r="T1030" s="32" t="s">
        <v>471</v>
      </c>
      <c r="U1030" s="33">
        <v>0</v>
      </c>
      <c r="V1030" s="7"/>
      <c r="W1030" s="7" t="str">
        <f>VLOOKUP($Q1030,Mapping!$E$11:$I$204,3,0)</f>
        <v>Replacement</v>
      </c>
      <c r="X1030" s="7" t="str">
        <f>IFERROR(VLOOKUP($S1030,Mapping!$E$208:$K$236,5,0),"Contracts")</f>
        <v>Contracts</v>
      </c>
      <c r="Y1030" s="7" t="str">
        <f>IFERROR(VLOOKUP($S1030,Mapping!$E$208:$K$236,7,0),"ENDirect")</f>
        <v>ENDirect</v>
      </c>
      <c r="Z1030" s="7" t="str">
        <f>IFERROR(HLOOKUP(X1030,'Calc|Weightings'!$U$5:$W$5,1,0),"Excl")</f>
        <v>Contracts</v>
      </c>
      <c r="AA1030" s="7" t="str">
        <f>VLOOKUP(Q1030,Mapping!$E$11:$I$204,5,0)</f>
        <v>SCS</v>
      </c>
      <c r="AC1030" s="35" t="s">
        <v>204</v>
      </c>
      <c r="AD1030" s="35"/>
      <c r="AE1030" s="35">
        <v>71015</v>
      </c>
      <c r="AF1030" s="35" t="s">
        <v>463</v>
      </c>
      <c r="AG1030" s="36">
        <v>0.153</v>
      </c>
      <c r="AI1030" s="7" t="str">
        <f>VLOOKUP($AC1030,Mapping!$E$11:$I$204,3,0)</f>
        <v>Replacement</v>
      </c>
      <c r="AJ1030" s="7" t="str">
        <f>IFERROR(VLOOKUP($AE1030,Mapping!$E$208:$K$236,5,0),"Contracts")</f>
        <v>Materials</v>
      </c>
      <c r="AK1030" s="7" t="str">
        <f>IFERROR(VLOOKUP($AE1030,Mapping!$E$208:$K$236,7,0),"ENDirect")</f>
        <v>ENDirect</v>
      </c>
      <c r="AL1030" s="7" t="str">
        <f>IFERROR(HLOOKUP(AJ1030,'Calc|Weightings'!$U$5:$W$5,1,0),"Excl")</f>
        <v>Materials</v>
      </c>
      <c r="AM1030" s="7" t="str">
        <f>VLOOKUP(AC1030,Mapping!$E$11:$I$204,5,0)</f>
        <v>SCS</v>
      </c>
      <c r="AO1030" s="7"/>
      <c r="AP1030" s="7"/>
      <c r="AQ1030" s="7"/>
      <c r="AR1030" s="7"/>
      <c r="AS1030" s="7"/>
    </row>
    <row r="1031" spans="1:45" x14ac:dyDescent="0.3">
      <c r="A1031" s="7"/>
      <c r="B1031" s="7"/>
      <c r="C1031" s="7"/>
      <c r="D1031" s="7"/>
      <c r="E1031" s="32" t="s">
        <v>134</v>
      </c>
      <c r="F1031" s="32"/>
      <c r="G1031" s="32">
        <v>71055</v>
      </c>
      <c r="H1031" s="32" t="s">
        <v>465</v>
      </c>
      <c r="I1031" s="33">
        <v>1.6E-2</v>
      </c>
      <c r="J1031" s="170"/>
      <c r="K1031" s="7" t="str">
        <f>VLOOKUP($E1031,Mapping!$E$11:$I$204,3,0)</f>
        <v>ACS</v>
      </c>
      <c r="L1031" s="7" t="str">
        <f>IFERROR(VLOOKUP($G1031,Mapping!$E$208:$K$236,5,0),"Contracts")</f>
        <v>Contracts</v>
      </c>
      <c r="M1031" s="7" t="str">
        <f>IFERROR(VLOOKUP($G1031,Mapping!$E$208:$K$236,7,0),"ENDirect")</f>
        <v>ENDirect</v>
      </c>
      <c r="N1031" s="7" t="str">
        <f>IFERROR(HLOOKUP(L1031,'Calc|Weightings'!$U$5:$W$5,1,0),"Excl")</f>
        <v>Contracts</v>
      </c>
      <c r="O1031" s="7" t="str">
        <f>VLOOKUP(E1031,Mapping!$E$11:$I$204,5,0)</f>
        <v>ACS</v>
      </c>
      <c r="Q1031" s="32" t="s">
        <v>206</v>
      </c>
      <c r="R1031" s="32"/>
      <c r="S1031" s="32">
        <v>89999</v>
      </c>
      <c r="T1031" s="32" t="s">
        <v>471</v>
      </c>
      <c r="U1031" s="33">
        <v>0</v>
      </c>
      <c r="V1031" s="7"/>
      <c r="W1031" s="7" t="str">
        <f>VLOOKUP($Q1031,Mapping!$E$11:$I$204,3,0)</f>
        <v>Replacement</v>
      </c>
      <c r="X1031" s="7" t="str">
        <f>IFERROR(VLOOKUP($S1031,Mapping!$E$208:$K$236,5,0),"Contracts")</f>
        <v>Contracts</v>
      </c>
      <c r="Y1031" s="7" t="str">
        <f>IFERROR(VLOOKUP($S1031,Mapping!$E$208:$K$236,7,0),"ENDirect")</f>
        <v>ENDirect</v>
      </c>
      <c r="Z1031" s="7" t="str">
        <f>IFERROR(HLOOKUP(X1031,'Calc|Weightings'!$U$5:$W$5,1,0),"Excl")</f>
        <v>Contracts</v>
      </c>
      <c r="AA1031" s="7" t="str">
        <f>VLOOKUP(Q1031,Mapping!$E$11:$I$204,5,0)</f>
        <v>SCS</v>
      </c>
      <c r="AC1031" s="35" t="s">
        <v>147</v>
      </c>
      <c r="AD1031" s="35"/>
      <c r="AE1031" s="35">
        <v>71045</v>
      </c>
      <c r="AF1031" s="35" t="s">
        <v>469</v>
      </c>
      <c r="AG1031" s="36">
        <v>23.222000000000001</v>
      </c>
      <c r="AI1031" s="7" t="str">
        <f>VLOOKUP($AC1031,Mapping!$E$11:$I$204,3,0)</f>
        <v>Augmentation</v>
      </c>
      <c r="AJ1031" s="7" t="str">
        <f>IFERROR(VLOOKUP($AE1031,Mapping!$E$208:$K$236,5,0),"Contracts")</f>
        <v>Materials</v>
      </c>
      <c r="AK1031" s="7" t="str">
        <f>IFERROR(VLOOKUP($AE1031,Mapping!$E$208:$K$236,7,0),"ENDirect")</f>
        <v>ENDirect</v>
      </c>
      <c r="AL1031" s="7" t="str">
        <f>IFERROR(HLOOKUP(AJ1031,'Calc|Weightings'!$U$5:$W$5,1,0),"Excl")</f>
        <v>Materials</v>
      </c>
      <c r="AM1031" s="7" t="str">
        <f>VLOOKUP(AC1031,Mapping!$E$11:$I$204,5,0)</f>
        <v>SCS</v>
      </c>
      <c r="AO1031" s="7"/>
      <c r="AP1031" s="7"/>
      <c r="AQ1031" s="7"/>
      <c r="AR1031" s="7"/>
      <c r="AS1031" s="7"/>
    </row>
    <row r="1032" spans="1:45" x14ac:dyDescent="0.3">
      <c r="A1032" s="7"/>
      <c r="B1032" s="7"/>
      <c r="C1032" s="7"/>
      <c r="D1032" s="7"/>
      <c r="E1032" s="32" t="s">
        <v>134</v>
      </c>
      <c r="F1032" s="32"/>
      <c r="G1032" s="32">
        <v>80000</v>
      </c>
      <c r="H1032" s="32" t="s">
        <v>453</v>
      </c>
      <c r="I1032" s="33">
        <v>1.0999999999999999E-2</v>
      </c>
      <c r="J1032" s="170"/>
      <c r="K1032" s="7" t="str">
        <f>VLOOKUP($E1032,Mapping!$E$11:$I$204,3,0)</f>
        <v>ACS</v>
      </c>
      <c r="L1032" s="7" t="str">
        <f>IFERROR(VLOOKUP($G1032,Mapping!$E$208:$K$236,5,0),"Contracts")</f>
        <v>Overhead</v>
      </c>
      <c r="M1032" s="7" t="str">
        <f>IFERROR(VLOOKUP($G1032,Mapping!$E$208:$K$236,7,0),"ENDirect")</f>
        <v>OH</v>
      </c>
      <c r="N1032" s="7" t="str">
        <f>IFERROR(HLOOKUP(L1032,'Calc|Weightings'!$U$5:$W$5,1,0),"Excl")</f>
        <v>Excl</v>
      </c>
      <c r="O1032" s="7" t="str">
        <f>VLOOKUP(E1032,Mapping!$E$11:$I$204,5,0)</f>
        <v>ACS</v>
      </c>
      <c r="Q1032" s="32" t="s">
        <v>209</v>
      </c>
      <c r="R1032" s="32"/>
      <c r="S1032" s="32">
        <v>89999</v>
      </c>
      <c r="T1032" s="32" t="s">
        <v>471</v>
      </c>
      <c r="U1032" s="33">
        <v>0</v>
      </c>
      <c r="V1032" s="7"/>
      <c r="W1032" s="7" t="str">
        <f>VLOOKUP($Q1032,Mapping!$E$11:$I$204,3,0)</f>
        <v>Replacement</v>
      </c>
      <c r="X1032" s="7" t="str">
        <f>IFERROR(VLOOKUP($S1032,Mapping!$E$208:$K$236,5,0),"Contracts")</f>
        <v>Contracts</v>
      </c>
      <c r="Y1032" s="7" t="str">
        <f>IFERROR(VLOOKUP($S1032,Mapping!$E$208:$K$236,7,0),"ENDirect")</f>
        <v>ENDirect</v>
      </c>
      <c r="Z1032" s="7" t="str">
        <f>IFERROR(HLOOKUP(X1032,'Calc|Weightings'!$U$5:$W$5,1,0),"Excl")</f>
        <v>Contracts</v>
      </c>
      <c r="AA1032" s="7" t="str">
        <f>VLOOKUP(Q1032,Mapping!$E$11:$I$204,5,0)</f>
        <v>SCS</v>
      </c>
      <c r="AC1032" s="35" t="s">
        <v>145</v>
      </c>
      <c r="AD1032" s="35"/>
      <c r="AE1032" s="35">
        <v>71006</v>
      </c>
      <c r="AF1032" s="35" t="s">
        <v>468</v>
      </c>
      <c r="AG1032" s="36">
        <v>0</v>
      </c>
      <c r="AI1032" s="7" t="str">
        <f>VLOOKUP($AC1032,Mapping!$E$11:$I$204,3,0)</f>
        <v>Augmentation</v>
      </c>
      <c r="AJ1032" s="7" t="str">
        <f>IFERROR(VLOOKUP($AE1032,Mapping!$E$208:$K$236,5,0),"Contracts")</f>
        <v>Materials</v>
      </c>
      <c r="AK1032" s="7" t="str">
        <f>IFERROR(VLOOKUP($AE1032,Mapping!$E$208:$K$236,7,0),"ENDirect")</f>
        <v>ENDirect</v>
      </c>
      <c r="AL1032" s="7" t="str">
        <f>IFERROR(HLOOKUP(AJ1032,'Calc|Weightings'!$U$5:$W$5,1,0),"Excl")</f>
        <v>Materials</v>
      </c>
      <c r="AM1032" s="7" t="str">
        <f>VLOOKUP(AC1032,Mapping!$E$11:$I$204,5,0)</f>
        <v>SCS</v>
      </c>
      <c r="AO1032" s="7"/>
      <c r="AP1032" s="7"/>
      <c r="AQ1032" s="7"/>
      <c r="AR1032" s="7"/>
      <c r="AS1032" s="7"/>
    </row>
    <row r="1033" spans="1:45" x14ac:dyDescent="0.3">
      <c r="A1033" s="7"/>
      <c r="B1033" s="7"/>
      <c r="C1033" s="7"/>
      <c r="D1033" s="7"/>
      <c r="E1033" s="32" t="s">
        <v>151</v>
      </c>
      <c r="F1033" s="32"/>
      <c r="G1033" s="32">
        <v>71000</v>
      </c>
      <c r="H1033" s="32" t="s">
        <v>457</v>
      </c>
      <c r="I1033" s="33">
        <v>4.2699999999999996</v>
      </c>
      <c r="J1033" s="170"/>
      <c r="K1033" s="7" t="str">
        <f>VLOOKUP($E1033,Mapping!$E$11:$I$204,3,0)</f>
        <v>Replacement</v>
      </c>
      <c r="L1033" s="7" t="str">
        <f>IFERROR(VLOOKUP($G1033,Mapping!$E$208:$K$236,5,0),"Contracts")</f>
        <v>Labour</v>
      </c>
      <c r="M1033" s="7" t="str">
        <f>IFERROR(VLOOKUP($G1033,Mapping!$E$208:$K$236,7,0),"ENDirect")</f>
        <v>ENDirect</v>
      </c>
      <c r="N1033" s="7" t="str">
        <f>IFERROR(HLOOKUP(L1033,'Calc|Weightings'!$U$5:$W$5,1,0),"Excl")</f>
        <v>Labour</v>
      </c>
      <c r="O1033" s="7" t="str">
        <f>VLOOKUP(E1033,Mapping!$E$11:$I$204,5,0)</f>
        <v>SCS</v>
      </c>
      <c r="Q1033" s="32" t="s">
        <v>219</v>
      </c>
      <c r="R1033" s="32"/>
      <c r="S1033" s="32">
        <v>89999</v>
      </c>
      <c r="T1033" s="32" t="s">
        <v>471</v>
      </c>
      <c r="U1033" s="33">
        <v>0</v>
      </c>
      <c r="V1033" s="7"/>
      <c r="W1033" s="7" t="str">
        <f>VLOOKUP($Q1033,Mapping!$E$11:$I$204,3,0)</f>
        <v>Replacement</v>
      </c>
      <c r="X1033" s="7" t="str">
        <f>IFERROR(VLOOKUP($S1033,Mapping!$E$208:$K$236,5,0),"Contracts")</f>
        <v>Contracts</v>
      </c>
      <c r="Y1033" s="7" t="str">
        <f>IFERROR(VLOOKUP($S1033,Mapping!$E$208:$K$236,7,0),"ENDirect")</f>
        <v>ENDirect</v>
      </c>
      <c r="Z1033" s="7" t="str">
        <f>IFERROR(HLOOKUP(X1033,'Calc|Weightings'!$U$5:$W$5,1,0),"Excl")</f>
        <v>Contracts</v>
      </c>
      <c r="AA1033" s="7" t="str">
        <f>VLOOKUP(Q1033,Mapping!$E$11:$I$204,5,0)</f>
        <v>SCS</v>
      </c>
      <c r="AC1033" s="35" t="s">
        <v>147</v>
      </c>
      <c r="AD1033" s="35"/>
      <c r="AE1033" s="35">
        <v>71130</v>
      </c>
      <c r="AF1033" s="35" t="s">
        <v>482</v>
      </c>
      <c r="AG1033" s="36">
        <v>5.0069999999999997</v>
      </c>
      <c r="AI1033" s="7" t="str">
        <f>VLOOKUP($AC1033,Mapping!$E$11:$I$204,3,0)</f>
        <v>Augmentation</v>
      </c>
      <c r="AJ1033" s="7" t="str">
        <f>IFERROR(VLOOKUP($AE1033,Mapping!$E$208:$K$236,5,0),"Contracts")</f>
        <v>Contracts</v>
      </c>
      <c r="AK1033" s="7" t="str">
        <f>IFERROR(VLOOKUP($AE1033,Mapping!$E$208:$K$236,7,0),"ENDirect")</f>
        <v>ENDirect</v>
      </c>
      <c r="AL1033" s="7" t="str">
        <f>IFERROR(HLOOKUP(AJ1033,'Calc|Weightings'!$U$5:$W$5,1,0),"Excl")</f>
        <v>Contracts</v>
      </c>
      <c r="AM1033" s="7" t="str">
        <f>VLOOKUP(AC1033,Mapping!$E$11:$I$204,5,0)</f>
        <v>SCS</v>
      </c>
      <c r="AO1033" s="7"/>
      <c r="AP1033" s="7"/>
      <c r="AQ1033" s="7"/>
      <c r="AR1033" s="7"/>
      <c r="AS1033" s="7"/>
    </row>
    <row r="1034" spans="1:45" x14ac:dyDescent="0.3">
      <c r="A1034" s="7"/>
      <c r="B1034" s="7"/>
      <c r="C1034" s="7"/>
      <c r="D1034" s="7"/>
      <c r="E1034" s="32" t="s">
        <v>151</v>
      </c>
      <c r="F1034" s="32"/>
      <c r="G1034" s="32">
        <v>71010</v>
      </c>
      <c r="H1034" s="32" t="s">
        <v>462</v>
      </c>
      <c r="I1034" s="33">
        <v>10.009</v>
      </c>
      <c r="J1034" s="170"/>
      <c r="K1034" s="7" t="str">
        <f>VLOOKUP($E1034,Mapping!$E$11:$I$204,3,0)</f>
        <v>Replacement</v>
      </c>
      <c r="L1034" s="7" t="str">
        <f>IFERROR(VLOOKUP($G1034,Mapping!$E$208:$K$236,5,0),"Contracts")</f>
        <v>Labour</v>
      </c>
      <c r="M1034" s="7" t="str">
        <f>IFERROR(VLOOKUP($G1034,Mapping!$E$208:$K$236,7,0),"ENDirect")</f>
        <v>ENDirect</v>
      </c>
      <c r="N1034" s="7" t="str">
        <f>IFERROR(HLOOKUP(L1034,'Calc|Weightings'!$U$5:$W$5,1,0),"Excl")</f>
        <v>Labour</v>
      </c>
      <c r="O1034" s="7" t="str">
        <f>VLOOKUP(E1034,Mapping!$E$11:$I$204,5,0)</f>
        <v>SCS</v>
      </c>
      <c r="Q1034" s="32" t="s">
        <v>220</v>
      </c>
      <c r="R1034" s="32"/>
      <c r="S1034" s="32">
        <v>71055</v>
      </c>
      <c r="T1034" s="32" t="s">
        <v>465</v>
      </c>
      <c r="U1034" s="33">
        <v>1.954</v>
      </c>
      <c r="V1034" s="7"/>
      <c r="W1034" s="7" t="str">
        <f>VLOOKUP($Q1034,Mapping!$E$11:$I$204,3,0)</f>
        <v>Replacement</v>
      </c>
      <c r="X1034" s="7" t="str">
        <f>IFERROR(VLOOKUP($S1034,Mapping!$E$208:$K$236,5,0),"Contracts")</f>
        <v>Contracts</v>
      </c>
      <c r="Y1034" s="7" t="str">
        <f>IFERROR(VLOOKUP($S1034,Mapping!$E$208:$K$236,7,0),"ENDirect")</f>
        <v>ENDirect</v>
      </c>
      <c r="Z1034" s="7" t="str">
        <f>IFERROR(HLOOKUP(X1034,'Calc|Weightings'!$U$5:$W$5,1,0),"Excl")</f>
        <v>Contracts</v>
      </c>
      <c r="AA1034" s="7" t="str">
        <f>VLOOKUP(Q1034,Mapping!$E$11:$I$204,5,0)</f>
        <v>SCS</v>
      </c>
      <c r="AC1034" s="35" t="s">
        <v>157</v>
      </c>
      <c r="AD1034" s="35"/>
      <c r="AE1034" s="35">
        <v>71000</v>
      </c>
      <c r="AF1034" s="35" t="s">
        <v>457</v>
      </c>
      <c r="AG1034" s="36">
        <v>51.542000000000002</v>
      </c>
      <c r="AI1034" s="7" t="str">
        <f>VLOOKUP($AC1034,Mapping!$E$11:$I$204,3,0)</f>
        <v>Replacement</v>
      </c>
      <c r="AJ1034" s="7" t="str">
        <f>IFERROR(VLOOKUP($AE1034,Mapping!$E$208:$K$236,5,0),"Contracts")</f>
        <v>Labour</v>
      </c>
      <c r="AK1034" s="7" t="str">
        <f>IFERROR(VLOOKUP($AE1034,Mapping!$E$208:$K$236,7,0),"ENDirect")</f>
        <v>ENDirect</v>
      </c>
      <c r="AL1034" s="7" t="str">
        <f>IFERROR(HLOOKUP(AJ1034,'Calc|Weightings'!$U$5:$W$5,1,0),"Excl")</f>
        <v>Labour</v>
      </c>
      <c r="AM1034" s="7" t="str">
        <f>VLOOKUP(AC1034,Mapping!$E$11:$I$204,5,0)</f>
        <v>SCS</v>
      </c>
      <c r="AO1034" s="7"/>
      <c r="AP1034" s="7"/>
      <c r="AQ1034" s="7"/>
      <c r="AR1034" s="7"/>
      <c r="AS1034" s="7"/>
    </row>
    <row r="1035" spans="1:45" x14ac:dyDescent="0.3">
      <c r="A1035" s="7"/>
      <c r="B1035" s="7"/>
      <c r="C1035" s="7"/>
      <c r="D1035" s="7"/>
      <c r="E1035" s="32" t="s">
        <v>151</v>
      </c>
      <c r="F1035" s="32"/>
      <c r="G1035" s="32">
        <v>71015</v>
      </c>
      <c r="H1035" s="32" t="s">
        <v>463</v>
      </c>
      <c r="I1035" s="33">
        <v>1.6419999999999999</v>
      </c>
      <c r="J1035" s="170"/>
      <c r="K1035" s="7" t="str">
        <f>VLOOKUP($E1035,Mapping!$E$11:$I$204,3,0)</f>
        <v>Replacement</v>
      </c>
      <c r="L1035" s="7" t="str">
        <f>IFERROR(VLOOKUP($G1035,Mapping!$E$208:$K$236,5,0),"Contracts")</f>
        <v>Materials</v>
      </c>
      <c r="M1035" s="7" t="str">
        <f>IFERROR(VLOOKUP($G1035,Mapping!$E$208:$K$236,7,0),"ENDirect")</f>
        <v>ENDirect</v>
      </c>
      <c r="N1035" s="7" t="str">
        <f>IFERROR(HLOOKUP(L1035,'Calc|Weightings'!$U$5:$W$5,1,0),"Excl")</f>
        <v>Materials</v>
      </c>
      <c r="O1035" s="7" t="str">
        <f>VLOOKUP(E1035,Mapping!$E$11:$I$204,5,0)</f>
        <v>SCS</v>
      </c>
      <c r="Q1035" s="32" t="s">
        <v>124</v>
      </c>
      <c r="R1035" s="32"/>
      <c r="S1035" s="32">
        <v>89999</v>
      </c>
      <c r="T1035" s="32" t="s">
        <v>471</v>
      </c>
      <c r="U1035" s="33">
        <v>0</v>
      </c>
      <c r="V1035" s="7"/>
      <c r="W1035" s="7" t="str">
        <f>VLOOKUP($Q1035,Mapping!$E$11:$I$204,3,0)</f>
        <v>Augmentation</v>
      </c>
      <c r="X1035" s="7" t="str">
        <f>IFERROR(VLOOKUP($S1035,Mapping!$E$208:$K$236,5,0),"Contracts")</f>
        <v>Contracts</v>
      </c>
      <c r="Y1035" s="7" t="str">
        <f>IFERROR(VLOOKUP($S1035,Mapping!$E$208:$K$236,7,0),"ENDirect")</f>
        <v>ENDirect</v>
      </c>
      <c r="Z1035" s="7" t="str">
        <f>IFERROR(HLOOKUP(X1035,'Calc|Weightings'!$U$5:$W$5,1,0),"Excl")</f>
        <v>Contracts</v>
      </c>
      <c r="AA1035" s="7" t="str">
        <f>VLOOKUP(Q1035,Mapping!$E$11:$I$204,5,0)</f>
        <v>SCS</v>
      </c>
      <c r="AC1035" s="35" t="s">
        <v>157</v>
      </c>
      <c r="AD1035" s="35"/>
      <c r="AE1035" s="35">
        <v>71010</v>
      </c>
      <c r="AF1035" s="35" t="s">
        <v>462</v>
      </c>
      <c r="AG1035" s="36">
        <v>0.72099999999999997</v>
      </c>
      <c r="AI1035" s="7" t="str">
        <f>VLOOKUP($AC1035,Mapping!$E$11:$I$204,3,0)</f>
        <v>Replacement</v>
      </c>
      <c r="AJ1035" s="7" t="str">
        <f>IFERROR(VLOOKUP($AE1035,Mapping!$E$208:$K$236,5,0),"Contracts")</f>
        <v>Labour</v>
      </c>
      <c r="AK1035" s="7" t="str">
        <f>IFERROR(VLOOKUP($AE1035,Mapping!$E$208:$K$236,7,0),"ENDirect")</f>
        <v>ENDirect</v>
      </c>
      <c r="AL1035" s="7" t="str">
        <f>IFERROR(HLOOKUP(AJ1035,'Calc|Weightings'!$U$5:$W$5,1,0),"Excl")</f>
        <v>Labour</v>
      </c>
      <c r="AM1035" s="7" t="str">
        <f>VLOOKUP(AC1035,Mapping!$E$11:$I$204,5,0)</f>
        <v>SCS</v>
      </c>
      <c r="AO1035" s="7"/>
      <c r="AP1035" s="7"/>
      <c r="AQ1035" s="7"/>
      <c r="AR1035" s="7"/>
      <c r="AS1035" s="7"/>
    </row>
    <row r="1036" spans="1:45" x14ac:dyDescent="0.3">
      <c r="A1036" s="7"/>
      <c r="B1036" s="7"/>
      <c r="C1036" s="7"/>
      <c r="D1036" s="7"/>
      <c r="E1036" s="32" t="s">
        <v>165</v>
      </c>
      <c r="F1036" s="32"/>
      <c r="G1036" s="32">
        <v>71020</v>
      </c>
      <c r="H1036" s="32" t="s">
        <v>459</v>
      </c>
      <c r="I1036" s="33">
        <v>3.5049999999999999</v>
      </c>
      <c r="J1036" s="170"/>
      <c r="K1036" s="7" t="str">
        <f>VLOOKUP($E1036,Mapping!$E$11:$I$204,3,0)</f>
        <v>Replacement</v>
      </c>
      <c r="L1036" s="7" t="str">
        <f>IFERROR(VLOOKUP($G1036,Mapping!$E$208:$K$236,5,0),"Contracts")</f>
        <v>Contracts</v>
      </c>
      <c r="M1036" s="7" t="str">
        <f>IFERROR(VLOOKUP($G1036,Mapping!$E$208:$K$236,7,0),"ENDirect")</f>
        <v>ENDirect</v>
      </c>
      <c r="N1036" s="7" t="str">
        <f>IFERROR(HLOOKUP(L1036,'Calc|Weightings'!$U$5:$W$5,1,0),"Excl")</f>
        <v>Contracts</v>
      </c>
      <c r="O1036" s="7" t="str">
        <f>VLOOKUP(E1036,Mapping!$E$11:$I$204,5,0)</f>
        <v>SCS</v>
      </c>
      <c r="Q1036" s="32" t="s">
        <v>153</v>
      </c>
      <c r="R1036" s="32"/>
      <c r="S1036" s="32">
        <v>89999</v>
      </c>
      <c r="T1036" s="32" t="s">
        <v>471</v>
      </c>
      <c r="U1036" s="33">
        <v>0</v>
      </c>
      <c r="V1036" s="7"/>
      <c r="W1036" s="7" t="str">
        <f>VLOOKUP($Q1036,Mapping!$E$11:$I$204,3,0)</f>
        <v>Augmentation</v>
      </c>
      <c r="X1036" s="7" t="str">
        <f>IFERROR(VLOOKUP($S1036,Mapping!$E$208:$K$236,5,0),"Contracts")</f>
        <v>Contracts</v>
      </c>
      <c r="Y1036" s="7" t="str">
        <f>IFERROR(VLOOKUP($S1036,Mapping!$E$208:$K$236,7,0),"ENDirect")</f>
        <v>ENDirect</v>
      </c>
      <c r="Z1036" s="7" t="str">
        <f>IFERROR(HLOOKUP(X1036,'Calc|Weightings'!$U$5:$W$5,1,0),"Excl")</f>
        <v>Contracts</v>
      </c>
      <c r="AA1036" s="7" t="str">
        <f>VLOOKUP(Q1036,Mapping!$E$11:$I$204,5,0)</f>
        <v>SCS</v>
      </c>
      <c r="AC1036" s="35" t="s">
        <v>157</v>
      </c>
      <c r="AD1036" s="35"/>
      <c r="AE1036" s="35">
        <v>71015</v>
      </c>
      <c r="AF1036" s="35" t="s">
        <v>463</v>
      </c>
      <c r="AG1036" s="36">
        <v>3.9020000000000001</v>
      </c>
      <c r="AI1036" s="7" t="str">
        <f>VLOOKUP($AC1036,Mapping!$E$11:$I$204,3,0)</f>
        <v>Replacement</v>
      </c>
      <c r="AJ1036" s="7" t="str">
        <f>IFERROR(VLOOKUP($AE1036,Mapping!$E$208:$K$236,5,0),"Contracts")</f>
        <v>Materials</v>
      </c>
      <c r="AK1036" s="7" t="str">
        <f>IFERROR(VLOOKUP($AE1036,Mapping!$E$208:$K$236,7,0),"ENDirect")</f>
        <v>ENDirect</v>
      </c>
      <c r="AL1036" s="7" t="str">
        <f>IFERROR(HLOOKUP(AJ1036,'Calc|Weightings'!$U$5:$W$5,1,0),"Excl")</f>
        <v>Materials</v>
      </c>
      <c r="AM1036" s="7" t="str">
        <f>VLOOKUP(AC1036,Mapping!$E$11:$I$204,5,0)</f>
        <v>SCS</v>
      </c>
      <c r="AO1036" s="7"/>
      <c r="AP1036" s="7"/>
      <c r="AQ1036" s="7"/>
      <c r="AR1036" s="7"/>
      <c r="AS1036" s="7"/>
    </row>
    <row r="1037" spans="1:45" x14ac:dyDescent="0.3">
      <c r="A1037" s="7"/>
      <c r="B1037" s="7"/>
      <c r="C1037" s="7"/>
      <c r="D1037" s="7"/>
      <c r="E1037" s="32" t="s">
        <v>183</v>
      </c>
      <c r="F1037" s="32"/>
      <c r="G1037" s="32">
        <v>71005</v>
      </c>
      <c r="H1037" s="32" t="s">
        <v>461</v>
      </c>
      <c r="I1037" s="33">
        <v>6.6529999999999996</v>
      </c>
      <c r="J1037" s="170"/>
      <c r="K1037" s="7" t="str">
        <f>VLOOKUP($E1037,Mapping!$E$11:$I$204,3,0)</f>
        <v>Public Lighting</v>
      </c>
      <c r="L1037" s="7" t="str">
        <f>IFERROR(VLOOKUP($G1037,Mapping!$E$208:$K$236,5,0),"Contracts")</f>
        <v>Materials</v>
      </c>
      <c r="M1037" s="7" t="str">
        <f>IFERROR(VLOOKUP($G1037,Mapping!$E$208:$K$236,7,0),"ENDirect")</f>
        <v>ENDirect</v>
      </c>
      <c r="N1037" s="7" t="str">
        <f>IFERROR(HLOOKUP(L1037,'Calc|Weightings'!$U$5:$W$5,1,0),"Excl")</f>
        <v>Materials</v>
      </c>
      <c r="O1037" s="7" t="str">
        <f>VLOOKUP(E1037,Mapping!$E$11:$I$204,5,0)</f>
        <v>Public Lighting</v>
      </c>
      <c r="Q1037" s="32" t="s">
        <v>155</v>
      </c>
      <c r="R1037" s="32"/>
      <c r="S1037" s="32">
        <v>71006</v>
      </c>
      <c r="T1037" s="32" t="s">
        <v>468</v>
      </c>
      <c r="U1037" s="33">
        <v>4.0819999999999999</v>
      </c>
      <c r="V1037" s="7"/>
      <c r="W1037" s="7" t="str">
        <f>VLOOKUP($Q1037,Mapping!$E$11:$I$204,3,0)</f>
        <v>Replacement</v>
      </c>
      <c r="X1037" s="7" t="str">
        <f>IFERROR(VLOOKUP($S1037,Mapping!$E$208:$K$236,5,0),"Contracts")</f>
        <v>Materials</v>
      </c>
      <c r="Y1037" s="7" t="str">
        <f>IFERROR(VLOOKUP($S1037,Mapping!$E$208:$K$236,7,0),"ENDirect")</f>
        <v>ENDirect</v>
      </c>
      <c r="Z1037" s="7" t="str">
        <f>IFERROR(HLOOKUP(X1037,'Calc|Weightings'!$U$5:$W$5,1,0),"Excl")</f>
        <v>Materials</v>
      </c>
      <c r="AA1037" s="7" t="str">
        <f>VLOOKUP(Q1037,Mapping!$E$11:$I$204,5,0)</f>
        <v>SCS</v>
      </c>
      <c r="AC1037" s="35" t="s">
        <v>157</v>
      </c>
      <c r="AD1037" s="35"/>
      <c r="AE1037" s="35">
        <v>71020</v>
      </c>
      <c r="AF1037" s="35" t="s">
        <v>459</v>
      </c>
      <c r="AG1037" s="36">
        <v>44.405000000000001</v>
      </c>
      <c r="AI1037" s="7" t="str">
        <f>VLOOKUP($AC1037,Mapping!$E$11:$I$204,3,0)</f>
        <v>Replacement</v>
      </c>
      <c r="AJ1037" s="7" t="str">
        <f>IFERROR(VLOOKUP($AE1037,Mapping!$E$208:$K$236,5,0),"Contracts")</f>
        <v>Contracts</v>
      </c>
      <c r="AK1037" s="7" t="str">
        <f>IFERROR(VLOOKUP($AE1037,Mapping!$E$208:$K$236,7,0),"ENDirect")</f>
        <v>ENDirect</v>
      </c>
      <c r="AL1037" s="7" t="str">
        <f>IFERROR(HLOOKUP(AJ1037,'Calc|Weightings'!$U$5:$W$5,1,0),"Excl")</f>
        <v>Contracts</v>
      </c>
      <c r="AM1037" s="7" t="str">
        <f>VLOOKUP(AC1037,Mapping!$E$11:$I$204,5,0)</f>
        <v>SCS</v>
      </c>
      <c r="AO1037" s="7"/>
      <c r="AP1037" s="7"/>
      <c r="AQ1037" s="7"/>
      <c r="AR1037" s="7"/>
      <c r="AS1037" s="7"/>
    </row>
    <row r="1038" spans="1:45" x14ac:dyDescent="0.3">
      <c r="A1038" s="7"/>
      <c r="B1038" s="7"/>
      <c r="C1038" s="7"/>
      <c r="D1038" s="7"/>
      <c r="E1038" s="32" t="s">
        <v>191</v>
      </c>
      <c r="F1038" s="32"/>
      <c r="G1038" s="32">
        <v>71000</v>
      </c>
      <c r="H1038" s="32" t="s">
        <v>457</v>
      </c>
      <c r="I1038" s="33">
        <v>3.6070000000000002</v>
      </c>
      <c r="J1038" s="170"/>
      <c r="K1038" s="7" t="str">
        <f>VLOOKUP($E1038,Mapping!$E$11:$I$204,3,0)</f>
        <v>Replacement</v>
      </c>
      <c r="L1038" s="7" t="str">
        <f>IFERROR(VLOOKUP($G1038,Mapping!$E$208:$K$236,5,0),"Contracts")</f>
        <v>Labour</v>
      </c>
      <c r="M1038" s="7" t="str">
        <f>IFERROR(VLOOKUP($G1038,Mapping!$E$208:$K$236,7,0),"ENDirect")</f>
        <v>ENDirect</v>
      </c>
      <c r="N1038" s="7" t="str">
        <f>IFERROR(HLOOKUP(L1038,'Calc|Weightings'!$U$5:$W$5,1,0),"Excl")</f>
        <v>Labour</v>
      </c>
      <c r="O1038" s="7" t="str">
        <f>VLOOKUP(E1038,Mapping!$E$11:$I$204,5,0)</f>
        <v>SCS</v>
      </c>
      <c r="Q1038" s="32" t="s">
        <v>164</v>
      </c>
      <c r="R1038" s="32"/>
      <c r="S1038" s="32">
        <v>89999</v>
      </c>
      <c r="T1038" s="32" t="s">
        <v>471</v>
      </c>
      <c r="U1038" s="33">
        <v>0</v>
      </c>
      <c r="V1038" s="7"/>
      <c r="W1038" s="7" t="str">
        <f>VLOOKUP($Q1038,Mapping!$E$11:$I$204,3,0)</f>
        <v>Replacement</v>
      </c>
      <c r="X1038" s="7" t="str">
        <f>IFERROR(VLOOKUP($S1038,Mapping!$E$208:$K$236,5,0),"Contracts")</f>
        <v>Contracts</v>
      </c>
      <c r="Y1038" s="7" t="str">
        <f>IFERROR(VLOOKUP($S1038,Mapping!$E$208:$K$236,7,0),"ENDirect")</f>
        <v>ENDirect</v>
      </c>
      <c r="Z1038" s="7" t="str">
        <f>IFERROR(HLOOKUP(X1038,'Calc|Weightings'!$U$5:$W$5,1,0),"Excl")</f>
        <v>Contracts</v>
      </c>
      <c r="AA1038" s="7" t="str">
        <f>VLOOKUP(Q1038,Mapping!$E$11:$I$204,5,0)</f>
        <v>SCS</v>
      </c>
      <c r="AC1038" s="35" t="s">
        <v>157</v>
      </c>
      <c r="AD1038" s="35"/>
      <c r="AE1038" s="35">
        <v>71030</v>
      </c>
      <c r="AF1038" s="35" t="s">
        <v>464</v>
      </c>
      <c r="AG1038" s="36">
        <v>8.7590000000000003</v>
      </c>
      <c r="AI1038" s="7" t="str">
        <f>VLOOKUP($AC1038,Mapping!$E$11:$I$204,3,0)</f>
        <v>Replacement</v>
      </c>
      <c r="AJ1038" s="7" t="str">
        <f>IFERROR(VLOOKUP($AE1038,Mapping!$E$208:$K$236,5,0),"Contracts")</f>
        <v>Contracts</v>
      </c>
      <c r="AK1038" s="7" t="str">
        <f>IFERROR(VLOOKUP($AE1038,Mapping!$E$208:$K$236,7,0),"ENDirect")</f>
        <v>ENDirect</v>
      </c>
      <c r="AL1038" s="7" t="str">
        <f>IFERROR(HLOOKUP(AJ1038,'Calc|Weightings'!$U$5:$W$5,1,0),"Excl")</f>
        <v>Contracts</v>
      </c>
      <c r="AM1038" s="7" t="str">
        <f>VLOOKUP(AC1038,Mapping!$E$11:$I$204,5,0)</f>
        <v>SCS</v>
      </c>
      <c r="AO1038" s="7"/>
      <c r="AP1038" s="7"/>
      <c r="AQ1038" s="7"/>
      <c r="AR1038" s="7"/>
      <c r="AS1038" s="7"/>
    </row>
    <row r="1039" spans="1:45" x14ac:dyDescent="0.3">
      <c r="A1039" s="7"/>
      <c r="B1039" s="7"/>
      <c r="C1039" s="7"/>
      <c r="D1039" s="7"/>
      <c r="E1039" s="32" t="s">
        <v>191</v>
      </c>
      <c r="F1039" s="32"/>
      <c r="G1039" s="32">
        <v>71005</v>
      </c>
      <c r="H1039" s="32" t="s">
        <v>461</v>
      </c>
      <c r="I1039" s="33">
        <v>2.6760000000000002</v>
      </c>
      <c r="J1039" s="170"/>
      <c r="K1039" s="7" t="str">
        <f>VLOOKUP($E1039,Mapping!$E$11:$I$204,3,0)</f>
        <v>Replacement</v>
      </c>
      <c r="L1039" s="7" t="str">
        <f>IFERROR(VLOOKUP($G1039,Mapping!$E$208:$K$236,5,0),"Contracts")</f>
        <v>Materials</v>
      </c>
      <c r="M1039" s="7" t="str">
        <f>IFERROR(VLOOKUP($G1039,Mapping!$E$208:$K$236,7,0),"ENDirect")</f>
        <v>ENDirect</v>
      </c>
      <c r="N1039" s="7" t="str">
        <f>IFERROR(HLOOKUP(L1039,'Calc|Weightings'!$U$5:$W$5,1,0),"Excl")</f>
        <v>Materials</v>
      </c>
      <c r="O1039" s="7" t="str">
        <f>VLOOKUP(E1039,Mapping!$E$11:$I$204,5,0)</f>
        <v>SCS</v>
      </c>
      <c r="Q1039" s="32" t="s">
        <v>173</v>
      </c>
      <c r="R1039" s="32"/>
      <c r="S1039" s="32">
        <v>71000</v>
      </c>
      <c r="T1039" s="32" t="s">
        <v>457</v>
      </c>
      <c r="U1039" s="33">
        <v>3.117</v>
      </c>
      <c r="V1039" s="7"/>
      <c r="W1039" s="7" t="str">
        <f>VLOOKUP($Q1039,Mapping!$E$11:$I$204,3,0)</f>
        <v>Replacement</v>
      </c>
      <c r="X1039" s="7" t="str">
        <f>IFERROR(VLOOKUP($S1039,Mapping!$E$208:$K$236,5,0),"Contracts")</f>
        <v>Labour</v>
      </c>
      <c r="Y1039" s="7" t="str">
        <f>IFERROR(VLOOKUP($S1039,Mapping!$E$208:$K$236,7,0),"ENDirect")</f>
        <v>ENDirect</v>
      </c>
      <c r="Z1039" s="7" t="str">
        <f>IFERROR(HLOOKUP(X1039,'Calc|Weightings'!$U$5:$W$5,1,0),"Excl")</f>
        <v>Labour</v>
      </c>
      <c r="AA1039" s="7" t="str">
        <f>VLOOKUP(Q1039,Mapping!$E$11:$I$204,5,0)</f>
        <v>SCS</v>
      </c>
      <c r="AC1039" s="35" t="s">
        <v>157</v>
      </c>
      <c r="AD1039" s="35"/>
      <c r="AE1039" s="35">
        <v>71055</v>
      </c>
      <c r="AF1039" s="35" t="s">
        <v>465</v>
      </c>
      <c r="AG1039" s="36">
        <v>24.186</v>
      </c>
      <c r="AI1039" s="7" t="str">
        <f>VLOOKUP($AC1039,Mapping!$E$11:$I$204,3,0)</f>
        <v>Replacement</v>
      </c>
      <c r="AJ1039" s="7" t="str">
        <f>IFERROR(VLOOKUP($AE1039,Mapping!$E$208:$K$236,5,0),"Contracts")</f>
        <v>Contracts</v>
      </c>
      <c r="AK1039" s="7" t="str">
        <f>IFERROR(VLOOKUP($AE1039,Mapping!$E$208:$K$236,7,0),"ENDirect")</f>
        <v>ENDirect</v>
      </c>
      <c r="AL1039" s="7" t="str">
        <f>IFERROR(HLOOKUP(AJ1039,'Calc|Weightings'!$U$5:$W$5,1,0),"Excl")</f>
        <v>Contracts</v>
      </c>
      <c r="AM1039" s="7" t="str">
        <f>VLOOKUP(AC1039,Mapping!$E$11:$I$204,5,0)</f>
        <v>SCS</v>
      </c>
      <c r="AO1039" s="7"/>
      <c r="AP1039" s="7"/>
      <c r="AQ1039" s="7"/>
      <c r="AR1039" s="7"/>
      <c r="AS1039" s="7"/>
    </row>
    <row r="1040" spans="1:45" x14ac:dyDescent="0.3">
      <c r="A1040" s="7"/>
      <c r="B1040" s="7"/>
      <c r="C1040" s="7"/>
      <c r="D1040" s="7"/>
      <c r="E1040" s="32" t="s">
        <v>191</v>
      </c>
      <c r="F1040" s="32"/>
      <c r="G1040" s="32">
        <v>71015</v>
      </c>
      <c r="H1040" s="32" t="s">
        <v>463</v>
      </c>
      <c r="I1040" s="33">
        <v>0.80700000000000005</v>
      </c>
      <c r="J1040" s="170"/>
      <c r="K1040" s="7" t="str">
        <f>VLOOKUP($E1040,Mapping!$E$11:$I$204,3,0)</f>
        <v>Replacement</v>
      </c>
      <c r="L1040" s="7" t="str">
        <f>IFERROR(VLOOKUP($G1040,Mapping!$E$208:$K$236,5,0),"Contracts")</f>
        <v>Materials</v>
      </c>
      <c r="M1040" s="7" t="str">
        <f>IFERROR(VLOOKUP($G1040,Mapping!$E$208:$K$236,7,0),"ENDirect")</f>
        <v>ENDirect</v>
      </c>
      <c r="N1040" s="7" t="str">
        <f>IFERROR(HLOOKUP(L1040,'Calc|Weightings'!$U$5:$W$5,1,0),"Excl")</f>
        <v>Materials</v>
      </c>
      <c r="O1040" s="7" t="str">
        <f>VLOOKUP(E1040,Mapping!$E$11:$I$204,5,0)</f>
        <v>SCS</v>
      </c>
      <c r="Q1040" s="32" t="s">
        <v>173</v>
      </c>
      <c r="R1040" s="32"/>
      <c r="S1040" s="32">
        <v>71005</v>
      </c>
      <c r="T1040" s="32" t="s">
        <v>461</v>
      </c>
      <c r="U1040" s="33">
        <v>0.622</v>
      </c>
      <c r="V1040" s="7"/>
      <c r="W1040" s="7" t="str">
        <f>VLOOKUP($Q1040,Mapping!$E$11:$I$204,3,0)</f>
        <v>Replacement</v>
      </c>
      <c r="X1040" s="7" t="str">
        <f>IFERROR(VLOOKUP($S1040,Mapping!$E$208:$K$236,5,0),"Contracts")</f>
        <v>Materials</v>
      </c>
      <c r="Y1040" s="7" t="str">
        <f>IFERROR(VLOOKUP($S1040,Mapping!$E$208:$K$236,7,0),"ENDirect")</f>
        <v>ENDirect</v>
      </c>
      <c r="Z1040" s="7" t="str">
        <f>IFERROR(HLOOKUP(X1040,'Calc|Weightings'!$U$5:$W$5,1,0),"Excl")</f>
        <v>Materials</v>
      </c>
      <c r="AA1040" s="7" t="str">
        <f>VLOOKUP(Q1040,Mapping!$E$11:$I$204,5,0)</f>
        <v>SCS</v>
      </c>
      <c r="AC1040" s="35" t="s">
        <v>157</v>
      </c>
      <c r="AD1040" s="35"/>
      <c r="AE1040" s="35">
        <v>80000</v>
      </c>
      <c r="AF1040" s="35" t="s">
        <v>453</v>
      </c>
      <c r="AG1040" s="36">
        <v>20.204999999999998</v>
      </c>
      <c r="AI1040" s="7" t="str">
        <f>VLOOKUP($AC1040,Mapping!$E$11:$I$204,3,0)</f>
        <v>Replacement</v>
      </c>
      <c r="AJ1040" s="7" t="str">
        <f>IFERROR(VLOOKUP($AE1040,Mapping!$E$208:$K$236,5,0),"Contracts")</f>
        <v>Overhead</v>
      </c>
      <c r="AK1040" s="7" t="str">
        <f>IFERROR(VLOOKUP($AE1040,Mapping!$E$208:$K$236,7,0),"ENDirect")</f>
        <v>OH</v>
      </c>
      <c r="AL1040" s="7" t="str">
        <f>IFERROR(HLOOKUP(AJ1040,'Calc|Weightings'!$U$5:$W$5,1,0),"Excl")</f>
        <v>Excl</v>
      </c>
      <c r="AM1040" s="7" t="str">
        <f>VLOOKUP(AC1040,Mapping!$E$11:$I$204,5,0)</f>
        <v>SCS</v>
      </c>
      <c r="AO1040" s="7"/>
      <c r="AP1040" s="7"/>
      <c r="AQ1040" s="7"/>
      <c r="AR1040" s="7"/>
      <c r="AS1040" s="7"/>
    </row>
    <row r="1041" spans="1:45" x14ac:dyDescent="0.3">
      <c r="A1041" s="7"/>
      <c r="B1041" s="7"/>
      <c r="C1041" s="7"/>
      <c r="D1041" s="7"/>
      <c r="E1041" s="32" t="s">
        <v>200</v>
      </c>
      <c r="F1041" s="32"/>
      <c r="G1041" s="32">
        <v>71015</v>
      </c>
      <c r="H1041" s="32" t="s">
        <v>463</v>
      </c>
      <c r="I1041" s="33">
        <v>5.3949999999999996</v>
      </c>
      <c r="J1041" s="170"/>
      <c r="K1041" s="7" t="str">
        <f>VLOOKUP($E1041,Mapping!$E$11:$I$204,3,0)</f>
        <v>Public Lighting</v>
      </c>
      <c r="L1041" s="7" t="str">
        <f>IFERROR(VLOOKUP($G1041,Mapping!$E$208:$K$236,5,0),"Contracts")</f>
        <v>Materials</v>
      </c>
      <c r="M1041" s="7" t="str">
        <f>IFERROR(VLOOKUP($G1041,Mapping!$E$208:$K$236,7,0),"ENDirect")</f>
        <v>ENDirect</v>
      </c>
      <c r="N1041" s="7" t="str">
        <f>IFERROR(HLOOKUP(L1041,'Calc|Weightings'!$U$5:$W$5,1,0),"Excl")</f>
        <v>Materials</v>
      </c>
      <c r="O1041" s="7" t="str">
        <f>VLOOKUP(E1041,Mapping!$E$11:$I$204,5,0)</f>
        <v>Public Lighting</v>
      </c>
      <c r="Q1041" s="32" t="s">
        <v>173</v>
      </c>
      <c r="R1041" s="32"/>
      <c r="S1041" s="32">
        <v>71010</v>
      </c>
      <c r="T1041" s="32" t="s">
        <v>462</v>
      </c>
      <c r="U1041" s="33">
        <v>1.331</v>
      </c>
      <c r="V1041" s="7"/>
      <c r="W1041" s="7" t="str">
        <f>VLOOKUP($Q1041,Mapping!$E$11:$I$204,3,0)</f>
        <v>Replacement</v>
      </c>
      <c r="X1041" s="7" t="str">
        <f>IFERROR(VLOOKUP($S1041,Mapping!$E$208:$K$236,5,0),"Contracts")</f>
        <v>Labour</v>
      </c>
      <c r="Y1041" s="7" t="str">
        <f>IFERROR(VLOOKUP($S1041,Mapping!$E$208:$K$236,7,0),"ENDirect")</f>
        <v>ENDirect</v>
      </c>
      <c r="Z1041" s="7" t="str">
        <f>IFERROR(HLOOKUP(X1041,'Calc|Weightings'!$U$5:$W$5,1,0),"Excl")</f>
        <v>Labour</v>
      </c>
      <c r="AA1041" s="7" t="str">
        <f>VLOOKUP(Q1041,Mapping!$E$11:$I$204,5,0)</f>
        <v>SCS</v>
      </c>
      <c r="AC1041" s="35" t="s">
        <v>176</v>
      </c>
      <c r="AD1041" s="35"/>
      <c r="AE1041" s="35">
        <v>71045</v>
      </c>
      <c r="AF1041" s="35" t="s">
        <v>469</v>
      </c>
      <c r="AG1041" s="36">
        <v>11.611000000000001</v>
      </c>
      <c r="AI1041" s="7" t="str">
        <f>VLOOKUP($AC1041,Mapping!$E$11:$I$204,3,0)</f>
        <v>Replacement</v>
      </c>
      <c r="AJ1041" s="7" t="str">
        <f>IFERROR(VLOOKUP($AE1041,Mapping!$E$208:$K$236,5,0),"Contracts")</f>
        <v>Materials</v>
      </c>
      <c r="AK1041" s="7" t="str">
        <f>IFERROR(VLOOKUP($AE1041,Mapping!$E$208:$K$236,7,0),"ENDirect")</f>
        <v>ENDirect</v>
      </c>
      <c r="AL1041" s="7" t="str">
        <f>IFERROR(HLOOKUP(AJ1041,'Calc|Weightings'!$U$5:$W$5,1,0),"Excl")</f>
        <v>Materials</v>
      </c>
      <c r="AM1041" s="7" t="str">
        <f>VLOOKUP(AC1041,Mapping!$E$11:$I$204,5,0)</f>
        <v>SCS</v>
      </c>
      <c r="AO1041" s="7"/>
      <c r="AP1041" s="7"/>
      <c r="AQ1041" s="7"/>
      <c r="AR1041" s="7"/>
      <c r="AS1041" s="7"/>
    </row>
    <row r="1042" spans="1:45" x14ac:dyDescent="0.3">
      <c r="A1042" s="7"/>
      <c r="B1042" s="7"/>
      <c r="C1042" s="7"/>
      <c r="D1042" s="7"/>
      <c r="E1042" s="32" t="s">
        <v>219</v>
      </c>
      <c r="F1042" s="32"/>
      <c r="G1042" s="32">
        <v>71000</v>
      </c>
      <c r="H1042" s="32" t="s">
        <v>457</v>
      </c>
      <c r="I1042" s="33">
        <v>13.595000000000001</v>
      </c>
      <c r="J1042" s="170"/>
      <c r="K1042" s="7" t="str">
        <f>VLOOKUP($E1042,Mapping!$E$11:$I$204,3,0)</f>
        <v>Replacement</v>
      </c>
      <c r="L1042" s="7" t="str">
        <f>IFERROR(VLOOKUP($G1042,Mapping!$E$208:$K$236,5,0),"Contracts")</f>
        <v>Labour</v>
      </c>
      <c r="M1042" s="7" t="str">
        <f>IFERROR(VLOOKUP($G1042,Mapping!$E$208:$K$236,7,0),"ENDirect")</f>
        <v>ENDirect</v>
      </c>
      <c r="N1042" s="7" t="str">
        <f>IFERROR(HLOOKUP(L1042,'Calc|Weightings'!$U$5:$W$5,1,0),"Excl")</f>
        <v>Labour</v>
      </c>
      <c r="O1042" s="7" t="str">
        <f>VLOOKUP(E1042,Mapping!$E$11:$I$204,5,0)</f>
        <v>SCS</v>
      </c>
      <c r="Q1042" s="32" t="s">
        <v>173</v>
      </c>
      <c r="R1042" s="32"/>
      <c r="S1042" s="32">
        <v>71015</v>
      </c>
      <c r="T1042" s="32" t="s">
        <v>463</v>
      </c>
      <c r="U1042" s="33">
        <v>0.85299999999999998</v>
      </c>
      <c r="V1042" s="7"/>
      <c r="W1042" s="7" t="str">
        <f>VLOOKUP($Q1042,Mapping!$E$11:$I$204,3,0)</f>
        <v>Replacement</v>
      </c>
      <c r="X1042" s="7" t="str">
        <f>IFERROR(VLOOKUP($S1042,Mapping!$E$208:$K$236,5,0),"Contracts")</f>
        <v>Materials</v>
      </c>
      <c r="Y1042" s="7" t="str">
        <f>IFERROR(VLOOKUP($S1042,Mapping!$E$208:$K$236,7,0),"ENDirect")</f>
        <v>ENDirect</v>
      </c>
      <c r="Z1042" s="7" t="str">
        <f>IFERROR(HLOOKUP(X1042,'Calc|Weightings'!$U$5:$W$5,1,0),"Excl")</f>
        <v>Materials</v>
      </c>
      <c r="AA1042" s="7" t="str">
        <f>VLOOKUP(Q1042,Mapping!$E$11:$I$204,5,0)</f>
        <v>SCS</v>
      </c>
      <c r="AC1042" s="35" t="s">
        <v>114</v>
      </c>
      <c r="AD1042" s="35"/>
      <c r="AE1042" s="35">
        <v>71020</v>
      </c>
      <c r="AF1042" s="35" t="s">
        <v>459</v>
      </c>
      <c r="AG1042" s="36">
        <v>0</v>
      </c>
      <c r="AI1042" s="7" t="str">
        <f>VLOOKUP($AC1042,Mapping!$E$11:$I$204,3,0)</f>
        <v>Connections</v>
      </c>
      <c r="AJ1042" s="7" t="str">
        <f>IFERROR(VLOOKUP($AE1042,Mapping!$E$208:$K$236,5,0),"Contracts")</f>
        <v>Contracts</v>
      </c>
      <c r="AK1042" s="7" t="str">
        <f>IFERROR(VLOOKUP($AE1042,Mapping!$E$208:$K$236,7,0),"ENDirect")</f>
        <v>ENDirect</v>
      </c>
      <c r="AL1042" s="7" t="str">
        <f>IFERROR(HLOOKUP(AJ1042,'Calc|Weightings'!$U$5:$W$5,1,0),"Excl")</f>
        <v>Contracts</v>
      </c>
      <c r="AM1042" s="7" t="str">
        <f>VLOOKUP(AC1042,Mapping!$E$11:$I$204,5,0)</f>
        <v>SCS</v>
      </c>
      <c r="AO1042" s="7"/>
      <c r="AP1042" s="7"/>
      <c r="AQ1042" s="7"/>
      <c r="AR1042" s="7"/>
      <c r="AS1042" s="7"/>
    </row>
    <row r="1043" spans="1:45" x14ac:dyDescent="0.3">
      <c r="A1043" s="7"/>
      <c r="B1043" s="7"/>
      <c r="C1043" s="7"/>
      <c r="D1043" s="7"/>
      <c r="E1043" s="32" t="s">
        <v>219</v>
      </c>
      <c r="F1043" s="32"/>
      <c r="G1043" s="32">
        <v>71005</v>
      </c>
      <c r="H1043" s="32" t="s">
        <v>461</v>
      </c>
      <c r="I1043" s="33">
        <v>3.5680000000000001</v>
      </c>
      <c r="J1043" s="170"/>
      <c r="K1043" s="7" t="str">
        <f>VLOOKUP($E1043,Mapping!$E$11:$I$204,3,0)</f>
        <v>Replacement</v>
      </c>
      <c r="L1043" s="7" t="str">
        <f>IFERROR(VLOOKUP($G1043,Mapping!$E$208:$K$236,5,0),"Contracts")</f>
        <v>Materials</v>
      </c>
      <c r="M1043" s="7" t="str">
        <f>IFERROR(VLOOKUP($G1043,Mapping!$E$208:$K$236,7,0),"ENDirect")</f>
        <v>ENDirect</v>
      </c>
      <c r="N1043" s="7" t="str">
        <f>IFERROR(HLOOKUP(L1043,'Calc|Weightings'!$U$5:$W$5,1,0),"Excl")</f>
        <v>Materials</v>
      </c>
      <c r="O1043" s="7" t="str">
        <f>VLOOKUP(E1043,Mapping!$E$11:$I$204,5,0)</f>
        <v>SCS</v>
      </c>
      <c r="Q1043" s="32" t="s">
        <v>173</v>
      </c>
      <c r="R1043" s="32"/>
      <c r="S1043" s="32">
        <v>71030</v>
      </c>
      <c r="T1043" s="32" t="s">
        <v>464</v>
      </c>
      <c r="U1043" s="33">
        <v>0.47699999999999998</v>
      </c>
      <c r="V1043" s="7"/>
      <c r="W1043" s="7" t="str">
        <f>VLOOKUP($Q1043,Mapping!$E$11:$I$204,3,0)</f>
        <v>Replacement</v>
      </c>
      <c r="X1043" s="7" t="str">
        <f>IFERROR(VLOOKUP($S1043,Mapping!$E$208:$K$236,5,0),"Contracts")</f>
        <v>Contracts</v>
      </c>
      <c r="Y1043" s="7" t="str">
        <f>IFERROR(VLOOKUP($S1043,Mapping!$E$208:$K$236,7,0),"ENDirect")</f>
        <v>ENDirect</v>
      </c>
      <c r="Z1043" s="7" t="str">
        <f>IFERROR(HLOOKUP(X1043,'Calc|Weightings'!$U$5:$W$5,1,0),"Excl")</f>
        <v>Contracts</v>
      </c>
      <c r="AA1043" s="7" t="str">
        <f>VLOOKUP(Q1043,Mapping!$E$11:$I$204,5,0)</f>
        <v>SCS</v>
      </c>
      <c r="AC1043" s="35" t="s">
        <v>115</v>
      </c>
      <c r="AD1043" s="35"/>
      <c r="AE1043" s="35">
        <v>71006</v>
      </c>
      <c r="AF1043" s="35" t="s">
        <v>468</v>
      </c>
      <c r="AG1043" s="36">
        <v>8.5050000000000008</v>
      </c>
      <c r="AI1043" s="7" t="str">
        <f>VLOOKUP($AC1043,Mapping!$E$11:$I$204,3,0)</f>
        <v>Connections</v>
      </c>
      <c r="AJ1043" s="7" t="str">
        <f>IFERROR(VLOOKUP($AE1043,Mapping!$E$208:$K$236,5,0),"Contracts")</f>
        <v>Materials</v>
      </c>
      <c r="AK1043" s="7" t="str">
        <f>IFERROR(VLOOKUP($AE1043,Mapping!$E$208:$K$236,7,0),"ENDirect")</f>
        <v>ENDirect</v>
      </c>
      <c r="AL1043" s="7" t="str">
        <f>IFERROR(HLOOKUP(AJ1043,'Calc|Weightings'!$U$5:$W$5,1,0),"Excl")</f>
        <v>Materials</v>
      </c>
      <c r="AM1043" s="7" t="str">
        <f>VLOOKUP(AC1043,Mapping!$E$11:$I$204,5,0)</f>
        <v>SCS</v>
      </c>
      <c r="AO1043" s="7"/>
      <c r="AP1043" s="7"/>
      <c r="AQ1043" s="7"/>
      <c r="AR1043" s="7"/>
      <c r="AS1043" s="7"/>
    </row>
    <row r="1044" spans="1:45" x14ac:dyDescent="0.3">
      <c r="A1044" s="7"/>
      <c r="B1044" s="7"/>
      <c r="C1044" s="7"/>
      <c r="D1044" s="7"/>
      <c r="E1044" s="32" t="s">
        <v>219</v>
      </c>
      <c r="F1044" s="32"/>
      <c r="G1044" s="32">
        <v>71010</v>
      </c>
      <c r="H1044" s="32" t="s">
        <v>462</v>
      </c>
      <c r="I1044" s="33">
        <v>28.207999999999998</v>
      </c>
      <c r="J1044" s="170"/>
      <c r="K1044" s="7" t="str">
        <f>VLOOKUP($E1044,Mapping!$E$11:$I$204,3,0)</f>
        <v>Replacement</v>
      </c>
      <c r="L1044" s="7" t="str">
        <f>IFERROR(VLOOKUP($G1044,Mapping!$E$208:$K$236,5,0),"Contracts")</f>
        <v>Labour</v>
      </c>
      <c r="M1044" s="7" t="str">
        <f>IFERROR(VLOOKUP($G1044,Mapping!$E$208:$K$236,7,0),"ENDirect")</f>
        <v>ENDirect</v>
      </c>
      <c r="N1044" s="7" t="str">
        <f>IFERROR(HLOOKUP(L1044,'Calc|Weightings'!$U$5:$W$5,1,0),"Excl")</f>
        <v>Labour</v>
      </c>
      <c r="O1044" s="7" t="str">
        <f>VLOOKUP(E1044,Mapping!$E$11:$I$204,5,0)</f>
        <v>SCS</v>
      </c>
      <c r="Q1044" s="32" t="s">
        <v>173</v>
      </c>
      <c r="R1044" s="32"/>
      <c r="S1044" s="32">
        <v>71055</v>
      </c>
      <c r="T1044" s="32" t="s">
        <v>465</v>
      </c>
      <c r="U1044" s="33">
        <v>0.89300000000000002</v>
      </c>
      <c r="V1044" s="7"/>
      <c r="W1044" s="7" t="str">
        <f>VLOOKUP($Q1044,Mapping!$E$11:$I$204,3,0)</f>
        <v>Replacement</v>
      </c>
      <c r="X1044" s="7" t="str">
        <f>IFERROR(VLOOKUP($S1044,Mapping!$E$208:$K$236,5,0),"Contracts")</f>
        <v>Contracts</v>
      </c>
      <c r="Y1044" s="7" t="str">
        <f>IFERROR(VLOOKUP($S1044,Mapping!$E$208:$K$236,7,0),"ENDirect")</f>
        <v>ENDirect</v>
      </c>
      <c r="Z1044" s="7" t="str">
        <f>IFERROR(HLOOKUP(X1044,'Calc|Weightings'!$U$5:$W$5,1,0),"Excl")</f>
        <v>Contracts</v>
      </c>
      <c r="AA1044" s="7" t="str">
        <f>VLOOKUP(Q1044,Mapping!$E$11:$I$204,5,0)</f>
        <v>SCS</v>
      </c>
      <c r="AC1044" s="35" t="s">
        <v>113</v>
      </c>
      <c r="AD1044" s="35"/>
      <c r="AE1044" s="35">
        <v>71006</v>
      </c>
      <c r="AF1044" s="35" t="s">
        <v>468</v>
      </c>
      <c r="AG1044" s="36">
        <v>7.516</v>
      </c>
      <c r="AI1044" s="7" t="str">
        <f>VLOOKUP($AC1044,Mapping!$E$11:$I$204,3,0)</f>
        <v>Connections</v>
      </c>
      <c r="AJ1044" s="7" t="str">
        <f>IFERROR(VLOOKUP($AE1044,Mapping!$E$208:$K$236,5,0),"Contracts")</f>
        <v>Materials</v>
      </c>
      <c r="AK1044" s="7" t="str">
        <f>IFERROR(VLOOKUP($AE1044,Mapping!$E$208:$K$236,7,0),"ENDirect")</f>
        <v>ENDirect</v>
      </c>
      <c r="AL1044" s="7" t="str">
        <f>IFERROR(HLOOKUP(AJ1044,'Calc|Weightings'!$U$5:$W$5,1,0),"Excl")</f>
        <v>Materials</v>
      </c>
      <c r="AM1044" s="7" t="str">
        <f>VLOOKUP(AC1044,Mapping!$E$11:$I$204,5,0)</f>
        <v>SCS</v>
      </c>
      <c r="AO1044" s="7"/>
      <c r="AP1044" s="7"/>
      <c r="AQ1044" s="7"/>
      <c r="AR1044" s="7"/>
      <c r="AS1044" s="7"/>
    </row>
    <row r="1045" spans="1:45" x14ac:dyDescent="0.3">
      <c r="A1045" s="7"/>
      <c r="B1045" s="7"/>
      <c r="C1045" s="7"/>
      <c r="D1045" s="7"/>
      <c r="E1045" s="32" t="s">
        <v>219</v>
      </c>
      <c r="F1045" s="32"/>
      <c r="G1045" s="32">
        <v>71015</v>
      </c>
      <c r="H1045" s="32" t="s">
        <v>463</v>
      </c>
      <c r="I1045" s="33">
        <v>3.653</v>
      </c>
      <c r="J1045" s="170"/>
      <c r="K1045" s="7" t="str">
        <f>VLOOKUP($E1045,Mapping!$E$11:$I$204,3,0)</f>
        <v>Replacement</v>
      </c>
      <c r="L1045" s="7" t="str">
        <f>IFERROR(VLOOKUP($G1045,Mapping!$E$208:$K$236,5,0),"Contracts")</f>
        <v>Materials</v>
      </c>
      <c r="M1045" s="7" t="str">
        <f>IFERROR(VLOOKUP($G1045,Mapping!$E$208:$K$236,7,0),"ENDirect")</f>
        <v>ENDirect</v>
      </c>
      <c r="N1045" s="7" t="str">
        <f>IFERROR(HLOOKUP(L1045,'Calc|Weightings'!$U$5:$W$5,1,0),"Excl")</f>
        <v>Materials</v>
      </c>
      <c r="O1045" s="7" t="str">
        <f>VLOOKUP(E1045,Mapping!$E$11:$I$204,5,0)</f>
        <v>SCS</v>
      </c>
      <c r="Q1045" s="32" t="s">
        <v>173</v>
      </c>
      <c r="R1045" s="32"/>
      <c r="S1045" s="32">
        <v>80000</v>
      </c>
      <c r="T1045" s="32" t="s">
        <v>453</v>
      </c>
      <c r="U1045" s="33">
        <v>0.73799999999999999</v>
      </c>
      <c r="V1045" s="7"/>
      <c r="W1045" s="7" t="str">
        <f>VLOOKUP($Q1045,Mapping!$E$11:$I$204,3,0)</f>
        <v>Replacement</v>
      </c>
      <c r="X1045" s="7" t="str">
        <f>IFERROR(VLOOKUP($S1045,Mapping!$E$208:$K$236,5,0),"Contracts")</f>
        <v>Overhead</v>
      </c>
      <c r="Y1045" s="7" t="str">
        <f>IFERROR(VLOOKUP($S1045,Mapping!$E$208:$K$236,7,0),"ENDirect")</f>
        <v>OH</v>
      </c>
      <c r="Z1045" s="7" t="str">
        <f>IFERROR(HLOOKUP(X1045,'Calc|Weightings'!$U$5:$W$5,1,0),"Excl")</f>
        <v>Excl</v>
      </c>
      <c r="AA1045" s="7" t="str">
        <f>VLOOKUP(Q1045,Mapping!$E$11:$I$204,5,0)</f>
        <v>SCS</v>
      </c>
      <c r="AC1045" s="35" t="s">
        <v>125</v>
      </c>
      <c r="AD1045" s="35"/>
      <c r="AE1045" s="35">
        <v>71006</v>
      </c>
      <c r="AF1045" s="35" t="s">
        <v>468</v>
      </c>
      <c r="AG1045" s="36">
        <v>239.97900000000001</v>
      </c>
      <c r="AI1045" s="7" t="str">
        <f>VLOOKUP($AC1045,Mapping!$E$11:$I$204,3,0)</f>
        <v>Augmentation</v>
      </c>
      <c r="AJ1045" s="7" t="str">
        <f>IFERROR(VLOOKUP($AE1045,Mapping!$E$208:$K$236,5,0),"Contracts")</f>
        <v>Materials</v>
      </c>
      <c r="AK1045" s="7" t="str">
        <f>IFERROR(VLOOKUP($AE1045,Mapping!$E$208:$K$236,7,0),"ENDirect")</f>
        <v>ENDirect</v>
      </c>
      <c r="AL1045" s="7" t="str">
        <f>IFERROR(HLOOKUP(AJ1045,'Calc|Weightings'!$U$5:$W$5,1,0),"Excl")</f>
        <v>Materials</v>
      </c>
      <c r="AM1045" s="7" t="str">
        <f>VLOOKUP(AC1045,Mapping!$E$11:$I$204,5,0)</f>
        <v>SCS</v>
      </c>
      <c r="AO1045" s="7"/>
      <c r="AP1045" s="7"/>
      <c r="AQ1045" s="7"/>
      <c r="AR1045" s="7"/>
      <c r="AS1045" s="7"/>
    </row>
    <row r="1046" spans="1:45" x14ac:dyDescent="0.3">
      <c r="A1046" s="7"/>
      <c r="B1046" s="7"/>
      <c r="C1046" s="7"/>
      <c r="D1046" s="7"/>
      <c r="E1046" s="32" t="s">
        <v>219</v>
      </c>
      <c r="F1046" s="32"/>
      <c r="G1046" s="32">
        <v>71030</v>
      </c>
      <c r="H1046" s="32" t="s">
        <v>464</v>
      </c>
      <c r="I1046" s="33">
        <v>3.8039999999999998</v>
      </c>
      <c r="J1046" s="170"/>
      <c r="K1046" s="7" t="str">
        <f>VLOOKUP($E1046,Mapping!$E$11:$I$204,3,0)</f>
        <v>Replacement</v>
      </c>
      <c r="L1046" s="7" t="str">
        <f>IFERROR(VLOOKUP($G1046,Mapping!$E$208:$K$236,5,0),"Contracts")</f>
        <v>Contracts</v>
      </c>
      <c r="M1046" s="7" t="str">
        <f>IFERROR(VLOOKUP($G1046,Mapping!$E$208:$K$236,7,0),"ENDirect")</f>
        <v>ENDirect</v>
      </c>
      <c r="N1046" s="7" t="str">
        <f>IFERROR(HLOOKUP(L1046,'Calc|Weightings'!$U$5:$W$5,1,0),"Excl")</f>
        <v>Contracts</v>
      </c>
      <c r="O1046" s="7" t="str">
        <f>VLOOKUP(E1046,Mapping!$E$11:$I$204,5,0)</f>
        <v>SCS</v>
      </c>
      <c r="Q1046" s="32" t="s">
        <v>173</v>
      </c>
      <c r="R1046" s="32"/>
      <c r="S1046" s="32">
        <v>89999</v>
      </c>
      <c r="T1046" s="32" t="s">
        <v>471</v>
      </c>
      <c r="U1046" s="33">
        <v>0</v>
      </c>
      <c r="V1046" s="7"/>
      <c r="W1046" s="7" t="str">
        <f>VLOOKUP($Q1046,Mapping!$E$11:$I$204,3,0)</f>
        <v>Replacement</v>
      </c>
      <c r="X1046" s="7" t="str">
        <f>IFERROR(VLOOKUP($S1046,Mapping!$E$208:$K$236,5,0),"Contracts")</f>
        <v>Contracts</v>
      </c>
      <c r="Y1046" s="7" t="str">
        <f>IFERROR(VLOOKUP($S1046,Mapping!$E$208:$K$236,7,0),"ENDirect")</f>
        <v>ENDirect</v>
      </c>
      <c r="Z1046" s="7" t="str">
        <f>IFERROR(HLOOKUP(X1046,'Calc|Weightings'!$U$5:$W$5,1,0),"Excl")</f>
        <v>Contracts</v>
      </c>
      <c r="AA1046" s="7" t="str">
        <f>VLOOKUP(Q1046,Mapping!$E$11:$I$204,5,0)</f>
        <v>SCS</v>
      </c>
      <c r="AC1046" s="35" t="s">
        <v>125</v>
      </c>
      <c r="AD1046" s="35"/>
      <c r="AE1046" s="35">
        <v>71130</v>
      </c>
      <c r="AF1046" s="35" t="s">
        <v>482</v>
      </c>
      <c r="AG1046" s="36">
        <v>101.55500000000001</v>
      </c>
      <c r="AI1046" s="7" t="str">
        <f>VLOOKUP($AC1046,Mapping!$E$11:$I$204,3,0)</f>
        <v>Augmentation</v>
      </c>
      <c r="AJ1046" s="7" t="str">
        <f>IFERROR(VLOOKUP($AE1046,Mapping!$E$208:$K$236,5,0),"Contracts")</f>
        <v>Contracts</v>
      </c>
      <c r="AK1046" s="7" t="str">
        <f>IFERROR(VLOOKUP($AE1046,Mapping!$E$208:$K$236,7,0),"ENDirect")</f>
        <v>ENDirect</v>
      </c>
      <c r="AL1046" s="7" t="str">
        <f>IFERROR(HLOOKUP(AJ1046,'Calc|Weightings'!$U$5:$W$5,1,0),"Excl")</f>
        <v>Contracts</v>
      </c>
      <c r="AM1046" s="7" t="str">
        <f>VLOOKUP(AC1046,Mapping!$E$11:$I$204,5,0)</f>
        <v>SCS</v>
      </c>
      <c r="AO1046" s="7"/>
      <c r="AP1046" s="7"/>
      <c r="AQ1046" s="7"/>
      <c r="AR1046" s="7"/>
      <c r="AS1046" s="7"/>
    </row>
    <row r="1047" spans="1:45" x14ac:dyDescent="0.3">
      <c r="A1047" s="7"/>
      <c r="B1047" s="7"/>
      <c r="C1047" s="7"/>
      <c r="D1047" s="7"/>
      <c r="E1047" s="32" t="s">
        <v>219</v>
      </c>
      <c r="F1047" s="32"/>
      <c r="G1047" s="32">
        <v>71055</v>
      </c>
      <c r="H1047" s="32" t="s">
        <v>465</v>
      </c>
      <c r="I1047" s="33">
        <v>5.3120000000000003</v>
      </c>
      <c r="J1047" s="170"/>
      <c r="K1047" s="7" t="str">
        <f>VLOOKUP($E1047,Mapping!$E$11:$I$204,3,0)</f>
        <v>Replacement</v>
      </c>
      <c r="L1047" s="7" t="str">
        <f>IFERROR(VLOOKUP($G1047,Mapping!$E$208:$K$236,5,0),"Contracts")</f>
        <v>Contracts</v>
      </c>
      <c r="M1047" s="7" t="str">
        <f>IFERROR(VLOOKUP($G1047,Mapping!$E$208:$K$236,7,0),"ENDirect")</f>
        <v>ENDirect</v>
      </c>
      <c r="N1047" s="7" t="str">
        <f>IFERROR(HLOOKUP(L1047,'Calc|Weightings'!$U$5:$W$5,1,0),"Excl")</f>
        <v>Contracts</v>
      </c>
      <c r="O1047" s="7" t="str">
        <f>VLOOKUP(E1047,Mapping!$E$11:$I$204,5,0)</f>
        <v>SCS</v>
      </c>
      <c r="Q1047" s="32" t="s">
        <v>191</v>
      </c>
      <c r="R1047" s="32"/>
      <c r="S1047" s="32">
        <v>89999</v>
      </c>
      <c r="T1047" s="32" t="s">
        <v>471</v>
      </c>
      <c r="U1047" s="33">
        <v>0</v>
      </c>
      <c r="V1047" s="7"/>
      <c r="W1047" s="7" t="str">
        <f>VLOOKUP($Q1047,Mapping!$E$11:$I$204,3,0)</f>
        <v>Replacement</v>
      </c>
      <c r="X1047" s="7" t="str">
        <f>IFERROR(VLOOKUP($S1047,Mapping!$E$208:$K$236,5,0),"Contracts")</f>
        <v>Contracts</v>
      </c>
      <c r="Y1047" s="7" t="str">
        <f>IFERROR(VLOOKUP($S1047,Mapping!$E$208:$K$236,7,0),"ENDirect")</f>
        <v>ENDirect</v>
      </c>
      <c r="Z1047" s="7" t="str">
        <f>IFERROR(HLOOKUP(X1047,'Calc|Weightings'!$U$5:$W$5,1,0),"Excl")</f>
        <v>Contracts</v>
      </c>
      <c r="AA1047" s="7" t="str">
        <f>VLOOKUP(Q1047,Mapping!$E$11:$I$204,5,0)</f>
        <v>SCS</v>
      </c>
      <c r="AC1047" s="35" t="s">
        <v>104</v>
      </c>
      <c r="AD1047" s="35"/>
      <c r="AE1047" s="35">
        <v>71020</v>
      </c>
      <c r="AF1047" s="35" t="s">
        <v>459</v>
      </c>
      <c r="AG1047" s="36">
        <v>0</v>
      </c>
      <c r="AI1047" s="7" t="str">
        <f>VLOOKUP($AC1047,Mapping!$E$11:$I$204,3,0)</f>
        <v>Public Lighting</v>
      </c>
      <c r="AJ1047" s="7" t="str">
        <f>IFERROR(VLOOKUP($AE1047,Mapping!$E$208:$K$236,5,0),"Contracts")</f>
        <v>Contracts</v>
      </c>
      <c r="AK1047" s="7" t="str">
        <f>IFERROR(VLOOKUP($AE1047,Mapping!$E$208:$K$236,7,0),"ENDirect")</f>
        <v>ENDirect</v>
      </c>
      <c r="AL1047" s="7" t="str">
        <f>IFERROR(HLOOKUP(AJ1047,'Calc|Weightings'!$U$5:$W$5,1,0),"Excl")</f>
        <v>Contracts</v>
      </c>
      <c r="AM1047" s="7" t="str">
        <f>VLOOKUP(AC1047,Mapping!$E$11:$I$204,5,0)</f>
        <v>Public Lighting</v>
      </c>
      <c r="AO1047" s="7"/>
      <c r="AP1047" s="7"/>
      <c r="AQ1047" s="7"/>
      <c r="AR1047" s="7"/>
      <c r="AS1047" s="7"/>
    </row>
    <row r="1048" spans="1:45" x14ac:dyDescent="0.3">
      <c r="A1048" s="7"/>
      <c r="B1048" s="7"/>
      <c r="C1048" s="7"/>
      <c r="D1048" s="7"/>
      <c r="E1048" s="32" t="s">
        <v>219</v>
      </c>
      <c r="F1048" s="32"/>
      <c r="G1048" s="32">
        <v>80000</v>
      </c>
      <c r="H1048" s="32" t="s">
        <v>453</v>
      </c>
      <c r="I1048" s="33">
        <v>6.0709999999999997</v>
      </c>
      <c r="J1048" s="170"/>
      <c r="K1048" s="7" t="str">
        <f>VLOOKUP($E1048,Mapping!$E$11:$I$204,3,0)</f>
        <v>Replacement</v>
      </c>
      <c r="L1048" s="7" t="str">
        <f>IFERROR(VLOOKUP($G1048,Mapping!$E$208:$K$236,5,0),"Contracts")</f>
        <v>Overhead</v>
      </c>
      <c r="M1048" s="7" t="str">
        <f>IFERROR(VLOOKUP($G1048,Mapping!$E$208:$K$236,7,0),"ENDirect")</f>
        <v>OH</v>
      </c>
      <c r="N1048" s="7" t="str">
        <f>IFERROR(HLOOKUP(L1048,'Calc|Weightings'!$U$5:$W$5,1,0),"Excl")</f>
        <v>Excl</v>
      </c>
      <c r="O1048" s="7" t="str">
        <f>VLOOKUP(E1048,Mapping!$E$11:$I$204,5,0)</f>
        <v>SCS</v>
      </c>
      <c r="Q1048" s="32" t="s">
        <v>193</v>
      </c>
      <c r="R1048" s="32"/>
      <c r="S1048" s="32">
        <v>71010</v>
      </c>
      <c r="T1048" s="32" t="s">
        <v>462</v>
      </c>
      <c r="U1048" s="33">
        <v>0.23100000000000001</v>
      </c>
      <c r="V1048" s="7"/>
      <c r="W1048" s="7" t="str">
        <f>VLOOKUP($Q1048,Mapping!$E$11:$I$204,3,0)</f>
        <v>VBRC</v>
      </c>
      <c r="X1048" s="7" t="str">
        <f>IFERROR(VLOOKUP($S1048,Mapping!$E$208:$K$236,5,0),"Contracts")</f>
        <v>Labour</v>
      </c>
      <c r="Y1048" s="7" t="str">
        <f>IFERROR(VLOOKUP($S1048,Mapping!$E$208:$K$236,7,0),"ENDirect")</f>
        <v>ENDirect</v>
      </c>
      <c r="Z1048" s="7" t="str">
        <f>IFERROR(HLOOKUP(X1048,'Calc|Weightings'!$U$5:$W$5,1,0),"Excl")</f>
        <v>Labour</v>
      </c>
      <c r="AA1048" s="7" t="str">
        <f>VLOOKUP(Q1048,Mapping!$E$11:$I$204,5,0)</f>
        <v>SCS</v>
      </c>
      <c r="AC1048" s="35" t="s">
        <v>157</v>
      </c>
      <c r="AD1048" s="35"/>
      <c r="AE1048" s="35">
        <v>70815</v>
      </c>
      <c r="AF1048" s="35" t="s">
        <v>451</v>
      </c>
      <c r="AG1048" s="36">
        <v>18.248999999999999</v>
      </c>
      <c r="AI1048" s="7" t="str">
        <f>VLOOKUP($AC1048,Mapping!$E$11:$I$204,3,0)</f>
        <v>Replacement</v>
      </c>
      <c r="AJ1048" s="7" t="str">
        <f>IFERROR(VLOOKUP($AE1048,Mapping!$E$208:$K$236,5,0),"Contracts")</f>
        <v>Materials</v>
      </c>
      <c r="AK1048" s="7" t="str">
        <f>IFERROR(VLOOKUP($AE1048,Mapping!$E$208:$K$236,7,0),"ENDirect")</f>
        <v>ENDirect</v>
      </c>
      <c r="AL1048" s="7" t="str">
        <f>IFERROR(HLOOKUP(AJ1048,'Calc|Weightings'!$U$5:$W$5,1,0),"Excl")</f>
        <v>Materials</v>
      </c>
      <c r="AM1048" s="7" t="str">
        <f>VLOOKUP(AC1048,Mapping!$E$11:$I$204,5,0)</f>
        <v>SCS</v>
      </c>
      <c r="AO1048" s="7"/>
      <c r="AP1048" s="7"/>
      <c r="AQ1048" s="7"/>
      <c r="AR1048" s="7"/>
      <c r="AS1048" s="7"/>
    </row>
    <row r="1049" spans="1:45" x14ac:dyDescent="0.3">
      <c r="A1049" s="7"/>
      <c r="B1049" s="7"/>
      <c r="C1049" s="7"/>
      <c r="D1049" s="7"/>
      <c r="E1049" s="32" t="s">
        <v>107</v>
      </c>
      <c r="F1049" s="32"/>
      <c r="G1049" s="32">
        <v>71015</v>
      </c>
      <c r="H1049" s="32" t="s">
        <v>463</v>
      </c>
      <c r="I1049" s="33">
        <v>0.372</v>
      </c>
      <c r="J1049" s="170"/>
      <c r="K1049" s="7" t="str">
        <f>VLOOKUP($E1049,Mapping!$E$11:$I$204,3,0)</f>
        <v>Public Lighting</v>
      </c>
      <c r="L1049" s="7" t="str">
        <f>IFERROR(VLOOKUP($G1049,Mapping!$E$208:$K$236,5,0),"Contracts")</f>
        <v>Materials</v>
      </c>
      <c r="M1049" s="7" t="str">
        <f>IFERROR(VLOOKUP($G1049,Mapping!$E$208:$K$236,7,0),"ENDirect")</f>
        <v>ENDirect</v>
      </c>
      <c r="N1049" s="7" t="str">
        <f>IFERROR(HLOOKUP(L1049,'Calc|Weightings'!$U$5:$W$5,1,0),"Excl")</f>
        <v>Materials</v>
      </c>
      <c r="O1049" s="7" t="str">
        <f>VLOOKUP(E1049,Mapping!$E$11:$I$204,5,0)</f>
        <v>Public Lighting</v>
      </c>
      <c r="Q1049" s="32" t="s">
        <v>217</v>
      </c>
      <c r="R1049" s="32"/>
      <c r="S1049" s="32">
        <v>89999</v>
      </c>
      <c r="T1049" s="32" t="s">
        <v>471</v>
      </c>
      <c r="U1049" s="33">
        <v>0</v>
      </c>
      <c r="V1049" s="7"/>
      <c r="W1049" s="7" t="str">
        <f>VLOOKUP($Q1049,Mapping!$E$11:$I$204,3,0)</f>
        <v>Replacement</v>
      </c>
      <c r="X1049" s="7" t="str">
        <f>IFERROR(VLOOKUP($S1049,Mapping!$E$208:$K$236,5,0),"Contracts")</f>
        <v>Contracts</v>
      </c>
      <c r="Y1049" s="7" t="str">
        <f>IFERROR(VLOOKUP($S1049,Mapping!$E$208:$K$236,7,0),"ENDirect")</f>
        <v>ENDirect</v>
      </c>
      <c r="Z1049" s="7" t="str">
        <f>IFERROR(HLOOKUP(X1049,'Calc|Weightings'!$U$5:$W$5,1,0),"Excl")</f>
        <v>Contracts</v>
      </c>
      <c r="AA1049" s="7" t="str">
        <f>VLOOKUP(Q1049,Mapping!$E$11:$I$204,5,0)</f>
        <v>SCS</v>
      </c>
      <c r="AC1049" s="35" t="s">
        <v>157</v>
      </c>
      <c r="AD1049" s="35"/>
      <c r="AE1049" s="35">
        <v>71005</v>
      </c>
      <c r="AF1049" s="35" t="s">
        <v>461</v>
      </c>
      <c r="AG1049" s="36">
        <v>0.376</v>
      </c>
      <c r="AI1049" s="7" t="str">
        <f>VLOOKUP($AC1049,Mapping!$E$11:$I$204,3,0)</f>
        <v>Replacement</v>
      </c>
      <c r="AJ1049" s="7" t="str">
        <f>IFERROR(VLOOKUP($AE1049,Mapping!$E$208:$K$236,5,0),"Contracts")</f>
        <v>Materials</v>
      </c>
      <c r="AK1049" s="7" t="str">
        <f>IFERROR(VLOOKUP($AE1049,Mapping!$E$208:$K$236,7,0),"ENDirect")</f>
        <v>ENDirect</v>
      </c>
      <c r="AL1049" s="7" t="str">
        <f>IFERROR(HLOOKUP(AJ1049,'Calc|Weightings'!$U$5:$W$5,1,0),"Excl")</f>
        <v>Materials</v>
      </c>
      <c r="AM1049" s="7" t="str">
        <f>VLOOKUP(AC1049,Mapping!$E$11:$I$204,5,0)</f>
        <v>SCS</v>
      </c>
      <c r="AO1049" s="7"/>
      <c r="AP1049" s="7"/>
      <c r="AQ1049" s="7"/>
      <c r="AR1049" s="7"/>
      <c r="AS1049" s="7"/>
    </row>
    <row r="1050" spans="1:45" x14ac:dyDescent="0.3">
      <c r="A1050" s="7"/>
      <c r="B1050" s="7"/>
      <c r="C1050" s="7"/>
      <c r="D1050" s="7"/>
      <c r="E1050" s="32" t="s">
        <v>153</v>
      </c>
      <c r="F1050" s="32"/>
      <c r="G1050" s="32">
        <v>71005</v>
      </c>
      <c r="H1050" s="32" t="s">
        <v>461</v>
      </c>
      <c r="I1050" s="33">
        <v>0.214</v>
      </c>
      <c r="J1050" s="170"/>
      <c r="K1050" s="7" t="str">
        <f>VLOOKUP($E1050,Mapping!$E$11:$I$204,3,0)</f>
        <v>Augmentation</v>
      </c>
      <c r="L1050" s="7" t="str">
        <f>IFERROR(VLOOKUP($G1050,Mapping!$E$208:$K$236,5,0),"Contracts")</f>
        <v>Materials</v>
      </c>
      <c r="M1050" s="7" t="str">
        <f>IFERROR(VLOOKUP($G1050,Mapping!$E$208:$K$236,7,0),"ENDirect")</f>
        <v>ENDirect</v>
      </c>
      <c r="N1050" s="7" t="str">
        <f>IFERROR(HLOOKUP(L1050,'Calc|Weightings'!$U$5:$W$5,1,0),"Excl")</f>
        <v>Materials</v>
      </c>
      <c r="O1050" s="7" t="str">
        <f>VLOOKUP(E1050,Mapping!$E$11:$I$204,5,0)</f>
        <v>SCS</v>
      </c>
      <c r="Q1050" s="32" t="s">
        <v>111</v>
      </c>
      <c r="R1050" s="32"/>
      <c r="S1050" s="32">
        <v>89999</v>
      </c>
      <c r="T1050" s="32" t="s">
        <v>471</v>
      </c>
      <c r="U1050" s="33">
        <v>0</v>
      </c>
      <c r="V1050" s="7"/>
      <c r="W1050" s="7" t="str">
        <f>VLOOKUP($Q1050,Mapping!$E$11:$I$204,3,0)</f>
        <v>Connections</v>
      </c>
      <c r="X1050" s="7" t="str">
        <f>IFERROR(VLOOKUP($S1050,Mapping!$E$208:$K$236,5,0),"Contracts")</f>
        <v>Contracts</v>
      </c>
      <c r="Y1050" s="7" t="str">
        <f>IFERROR(VLOOKUP($S1050,Mapping!$E$208:$K$236,7,0),"ENDirect")</f>
        <v>ENDirect</v>
      </c>
      <c r="Z1050" s="7" t="str">
        <f>IFERROR(HLOOKUP(X1050,'Calc|Weightings'!$U$5:$W$5,1,0),"Excl")</f>
        <v>Contracts</v>
      </c>
      <c r="AA1050" s="7" t="str">
        <f>VLOOKUP(Q1050,Mapping!$E$11:$I$204,5,0)</f>
        <v>SCS</v>
      </c>
      <c r="AC1050" s="35" t="s">
        <v>157</v>
      </c>
      <c r="AD1050" s="35"/>
      <c r="AE1050" s="35">
        <v>72200</v>
      </c>
      <c r="AF1050" s="35" t="s">
        <v>455</v>
      </c>
      <c r="AG1050" s="36">
        <v>0</v>
      </c>
      <c r="AI1050" s="7" t="str">
        <f>VLOOKUP($AC1050,Mapping!$E$11:$I$204,3,0)</f>
        <v>Replacement</v>
      </c>
      <c r="AJ1050" s="7" t="str">
        <f>IFERROR(VLOOKUP($AE1050,Mapping!$E$208:$K$236,5,0),"Contracts")</f>
        <v>Labour</v>
      </c>
      <c r="AK1050" s="7" t="str">
        <f>IFERROR(VLOOKUP($AE1050,Mapping!$E$208:$K$236,7,0),"ENDirect")</f>
        <v>ENDirect</v>
      </c>
      <c r="AL1050" s="7" t="str">
        <f>IFERROR(HLOOKUP(AJ1050,'Calc|Weightings'!$U$5:$W$5,1,0),"Excl")</f>
        <v>Labour</v>
      </c>
      <c r="AM1050" s="7" t="str">
        <f>VLOOKUP(AC1050,Mapping!$E$11:$I$204,5,0)</f>
        <v>SCS</v>
      </c>
      <c r="AO1050" s="7"/>
      <c r="AP1050" s="7"/>
      <c r="AQ1050" s="7"/>
      <c r="AR1050" s="7"/>
      <c r="AS1050" s="7"/>
    </row>
    <row r="1051" spans="1:45" x14ac:dyDescent="0.3">
      <c r="A1051" s="7"/>
      <c r="B1051" s="7"/>
      <c r="C1051" s="7"/>
      <c r="D1051" s="7"/>
      <c r="E1051" s="32" t="s">
        <v>183</v>
      </c>
      <c r="F1051" s="32"/>
      <c r="G1051" s="32">
        <v>71000</v>
      </c>
      <c r="H1051" s="32" t="s">
        <v>457</v>
      </c>
      <c r="I1051" s="33">
        <v>1.728</v>
      </c>
      <c r="J1051" s="170"/>
      <c r="K1051" s="7" t="str">
        <f>VLOOKUP($E1051,Mapping!$E$11:$I$204,3,0)</f>
        <v>Public Lighting</v>
      </c>
      <c r="L1051" s="7" t="str">
        <f>IFERROR(VLOOKUP($G1051,Mapping!$E$208:$K$236,5,0),"Contracts")</f>
        <v>Labour</v>
      </c>
      <c r="M1051" s="7" t="str">
        <f>IFERROR(VLOOKUP($G1051,Mapping!$E$208:$K$236,7,0),"ENDirect")</f>
        <v>ENDirect</v>
      </c>
      <c r="N1051" s="7" t="str">
        <f>IFERROR(HLOOKUP(L1051,'Calc|Weightings'!$U$5:$W$5,1,0),"Excl")</f>
        <v>Labour</v>
      </c>
      <c r="O1051" s="7" t="str">
        <f>VLOOKUP(E1051,Mapping!$E$11:$I$204,5,0)</f>
        <v>Public Lighting</v>
      </c>
      <c r="Q1051" s="32" t="s">
        <v>121</v>
      </c>
      <c r="R1051" s="32"/>
      <c r="S1051" s="32">
        <v>72300</v>
      </c>
      <c r="T1051" s="32" t="s">
        <v>450</v>
      </c>
      <c r="U1051" s="33">
        <v>19.285</v>
      </c>
      <c r="V1051" s="7"/>
      <c r="W1051" s="7" t="str">
        <f>VLOOKUP($Q1051,Mapping!$E$11:$I$204,3,0)</f>
        <v>Augmentation</v>
      </c>
      <c r="X1051" s="7" t="str">
        <f>IFERROR(VLOOKUP($S1051,Mapping!$E$208:$K$236,5,0),"Contracts")</f>
        <v>Contracts</v>
      </c>
      <c r="Y1051" s="7" t="str">
        <f>IFERROR(VLOOKUP($S1051,Mapping!$E$208:$K$236,7,0),"ENDirect")</f>
        <v>ENDirect</v>
      </c>
      <c r="Z1051" s="7" t="str">
        <f>IFERROR(HLOOKUP(X1051,'Calc|Weightings'!$U$5:$W$5,1,0),"Excl")</f>
        <v>Contracts</v>
      </c>
      <c r="AA1051" s="7" t="str">
        <f>VLOOKUP(Q1051,Mapping!$E$11:$I$204,5,0)</f>
        <v>SCS</v>
      </c>
      <c r="AC1051" s="35" t="s">
        <v>162</v>
      </c>
      <c r="AD1051" s="35"/>
      <c r="AE1051" s="35">
        <v>72200</v>
      </c>
      <c r="AF1051" s="35" t="s">
        <v>455</v>
      </c>
      <c r="AG1051" s="36">
        <v>0</v>
      </c>
      <c r="AI1051" s="7" t="str">
        <f>VLOOKUP($AC1051,Mapping!$E$11:$I$204,3,0)</f>
        <v>Replacement</v>
      </c>
      <c r="AJ1051" s="7" t="str">
        <f>IFERROR(VLOOKUP($AE1051,Mapping!$E$208:$K$236,5,0),"Contracts")</f>
        <v>Labour</v>
      </c>
      <c r="AK1051" s="7" t="str">
        <f>IFERROR(VLOOKUP($AE1051,Mapping!$E$208:$K$236,7,0),"ENDirect")</f>
        <v>ENDirect</v>
      </c>
      <c r="AL1051" s="7" t="str">
        <f>IFERROR(HLOOKUP(AJ1051,'Calc|Weightings'!$U$5:$W$5,1,0),"Excl")</f>
        <v>Labour</v>
      </c>
      <c r="AM1051" s="7" t="str">
        <f>VLOOKUP(AC1051,Mapping!$E$11:$I$204,5,0)</f>
        <v>SCS</v>
      </c>
      <c r="AO1051" s="7"/>
      <c r="AP1051" s="7"/>
      <c r="AQ1051" s="7"/>
      <c r="AR1051" s="7"/>
      <c r="AS1051" s="7"/>
    </row>
    <row r="1052" spans="1:45" x14ac:dyDescent="0.3">
      <c r="A1052" s="7"/>
      <c r="B1052" s="7"/>
      <c r="C1052" s="7"/>
      <c r="D1052" s="7"/>
      <c r="E1052" s="32" t="s">
        <v>183</v>
      </c>
      <c r="F1052" s="32"/>
      <c r="G1052" s="32">
        <v>71015</v>
      </c>
      <c r="H1052" s="32" t="s">
        <v>463</v>
      </c>
      <c r="I1052" s="33">
        <v>0.497</v>
      </c>
      <c r="J1052" s="170"/>
      <c r="K1052" s="7" t="str">
        <f>VLOOKUP($E1052,Mapping!$E$11:$I$204,3,0)</f>
        <v>Public Lighting</v>
      </c>
      <c r="L1052" s="7" t="str">
        <f>IFERROR(VLOOKUP($G1052,Mapping!$E$208:$K$236,5,0),"Contracts")</f>
        <v>Materials</v>
      </c>
      <c r="M1052" s="7" t="str">
        <f>IFERROR(VLOOKUP($G1052,Mapping!$E$208:$K$236,7,0),"ENDirect")</f>
        <v>ENDirect</v>
      </c>
      <c r="N1052" s="7" t="str">
        <f>IFERROR(HLOOKUP(L1052,'Calc|Weightings'!$U$5:$W$5,1,0),"Excl")</f>
        <v>Materials</v>
      </c>
      <c r="O1052" s="7" t="str">
        <f>VLOOKUP(E1052,Mapping!$E$11:$I$204,5,0)</f>
        <v>Public Lighting</v>
      </c>
      <c r="Q1052" s="32" t="s">
        <v>210</v>
      </c>
      <c r="R1052" s="32"/>
      <c r="S1052" s="32">
        <v>72200</v>
      </c>
      <c r="T1052" s="32" t="s">
        <v>455</v>
      </c>
      <c r="U1052" s="33">
        <v>0</v>
      </c>
      <c r="V1052" s="7"/>
      <c r="W1052" s="7" t="str">
        <f>VLOOKUP($Q1052,Mapping!$E$11:$I$204,3,0)</f>
        <v>Replacement</v>
      </c>
      <c r="X1052" s="7" t="str">
        <f>IFERROR(VLOOKUP($S1052,Mapping!$E$208:$K$236,5,0),"Contracts")</f>
        <v>Labour</v>
      </c>
      <c r="Y1052" s="7" t="str">
        <f>IFERROR(VLOOKUP($S1052,Mapping!$E$208:$K$236,7,0),"ENDirect")</f>
        <v>ENDirect</v>
      </c>
      <c r="Z1052" s="7" t="str">
        <f>IFERROR(HLOOKUP(X1052,'Calc|Weightings'!$U$5:$W$5,1,0),"Excl")</f>
        <v>Labour</v>
      </c>
      <c r="AA1052" s="7" t="str">
        <f>VLOOKUP(Q1052,Mapping!$E$11:$I$204,5,0)</f>
        <v>SCS</v>
      </c>
      <c r="AC1052" s="35" t="s">
        <v>121</v>
      </c>
      <c r="AD1052" s="35"/>
      <c r="AE1052" s="35">
        <v>71130</v>
      </c>
      <c r="AF1052" s="35" t="s">
        <v>482</v>
      </c>
      <c r="AG1052" s="36">
        <v>13.775</v>
      </c>
      <c r="AI1052" s="7" t="str">
        <f>VLOOKUP($AC1052,Mapping!$E$11:$I$204,3,0)</f>
        <v>Augmentation</v>
      </c>
      <c r="AJ1052" s="7" t="str">
        <f>IFERROR(VLOOKUP($AE1052,Mapping!$E$208:$K$236,5,0),"Contracts")</f>
        <v>Contracts</v>
      </c>
      <c r="AK1052" s="7" t="str">
        <f>IFERROR(VLOOKUP($AE1052,Mapping!$E$208:$K$236,7,0),"ENDirect")</f>
        <v>ENDirect</v>
      </c>
      <c r="AL1052" s="7" t="str">
        <f>IFERROR(HLOOKUP(AJ1052,'Calc|Weightings'!$U$5:$W$5,1,0),"Excl")</f>
        <v>Contracts</v>
      </c>
      <c r="AM1052" s="7" t="str">
        <f>VLOOKUP(AC1052,Mapping!$E$11:$I$204,5,0)</f>
        <v>SCS</v>
      </c>
      <c r="AO1052" s="7"/>
      <c r="AP1052" s="7"/>
      <c r="AQ1052" s="7"/>
      <c r="AR1052" s="7"/>
      <c r="AS1052" s="7"/>
    </row>
    <row r="1053" spans="1:45" x14ac:dyDescent="0.3">
      <c r="A1053" s="7"/>
      <c r="B1053" s="7"/>
      <c r="C1053" s="7"/>
      <c r="D1053" s="7"/>
      <c r="E1053" s="32" t="s">
        <v>206</v>
      </c>
      <c r="F1053" s="32"/>
      <c r="G1053" s="32">
        <v>71005</v>
      </c>
      <c r="H1053" s="32" t="s">
        <v>461</v>
      </c>
      <c r="I1053" s="33">
        <v>9.4E-2</v>
      </c>
      <c r="J1053" s="170"/>
      <c r="K1053" s="7" t="str">
        <f>VLOOKUP($E1053,Mapping!$E$11:$I$204,3,0)</f>
        <v>Replacement</v>
      </c>
      <c r="L1053" s="7" t="str">
        <f>IFERROR(VLOOKUP($G1053,Mapping!$E$208:$K$236,5,0),"Contracts")</f>
        <v>Materials</v>
      </c>
      <c r="M1053" s="7" t="str">
        <f>IFERROR(VLOOKUP($G1053,Mapping!$E$208:$K$236,7,0),"ENDirect")</f>
        <v>ENDirect</v>
      </c>
      <c r="N1053" s="7" t="str">
        <f>IFERROR(HLOOKUP(L1053,'Calc|Weightings'!$U$5:$W$5,1,0),"Excl")</f>
        <v>Materials</v>
      </c>
      <c r="O1053" s="7" t="str">
        <f>VLOOKUP(E1053,Mapping!$E$11:$I$204,5,0)</f>
        <v>SCS</v>
      </c>
      <c r="Q1053" s="32" t="s">
        <v>116</v>
      </c>
      <c r="R1053" s="32"/>
      <c r="S1053" s="32">
        <v>71000</v>
      </c>
      <c r="T1053" s="32" t="s">
        <v>457</v>
      </c>
      <c r="U1053" s="33">
        <v>2.73</v>
      </c>
      <c r="V1053" s="7"/>
      <c r="W1053" s="7" t="str">
        <f>VLOOKUP($Q1053,Mapping!$E$11:$I$204,3,0)</f>
        <v>Connections</v>
      </c>
      <c r="X1053" s="7" t="str">
        <f>IFERROR(VLOOKUP($S1053,Mapping!$E$208:$K$236,5,0),"Contracts")</f>
        <v>Labour</v>
      </c>
      <c r="Y1053" s="7" t="str">
        <f>IFERROR(VLOOKUP($S1053,Mapping!$E$208:$K$236,7,0),"ENDirect")</f>
        <v>ENDirect</v>
      </c>
      <c r="Z1053" s="7" t="str">
        <f>IFERROR(HLOOKUP(X1053,'Calc|Weightings'!$U$5:$W$5,1,0),"Excl")</f>
        <v>Labour</v>
      </c>
      <c r="AA1053" s="7" t="str">
        <f>VLOOKUP(Q1053,Mapping!$E$11:$I$204,5,0)</f>
        <v>SCS</v>
      </c>
      <c r="AC1053" s="35" t="s">
        <v>176</v>
      </c>
      <c r="AD1053" s="35"/>
      <c r="AE1053" s="35">
        <v>71006</v>
      </c>
      <c r="AF1053" s="35" t="s">
        <v>468</v>
      </c>
      <c r="AG1053" s="36">
        <v>33.06</v>
      </c>
      <c r="AI1053" s="7" t="str">
        <f>VLOOKUP($AC1053,Mapping!$E$11:$I$204,3,0)</f>
        <v>Replacement</v>
      </c>
      <c r="AJ1053" s="7" t="str">
        <f>IFERROR(VLOOKUP($AE1053,Mapping!$E$208:$K$236,5,0),"Contracts")</f>
        <v>Materials</v>
      </c>
      <c r="AK1053" s="7" t="str">
        <f>IFERROR(VLOOKUP($AE1053,Mapping!$E$208:$K$236,7,0),"ENDirect")</f>
        <v>ENDirect</v>
      </c>
      <c r="AL1053" s="7" t="str">
        <f>IFERROR(HLOOKUP(AJ1053,'Calc|Weightings'!$U$5:$W$5,1,0),"Excl")</f>
        <v>Materials</v>
      </c>
      <c r="AM1053" s="7" t="str">
        <f>VLOOKUP(AC1053,Mapping!$E$11:$I$204,5,0)</f>
        <v>SCS</v>
      </c>
      <c r="AO1053" s="7"/>
      <c r="AP1053" s="7"/>
      <c r="AQ1053" s="7"/>
      <c r="AR1053" s="7"/>
      <c r="AS1053" s="7"/>
    </row>
    <row r="1054" spans="1:45" x14ac:dyDescent="0.3">
      <c r="A1054" s="7"/>
      <c r="B1054" s="7"/>
      <c r="C1054" s="7"/>
      <c r="D1054" s="7"/>
      <c r="E1054" s="32" t="s">
        <v>228</v>
      </c>
      <c r="F1054" s="32"/>
      <c r="G1054" s="32">
        <v>72345</v>
      </c>
      <c r="H1054" s="32" t="s">
        <v>467</v>
      </c>
      <c r="I1054" s="33">
        <v>11.33</v>
      </c>
      <c r="J1054" s="170"/>
      <c r="K1054" s="7" t="str">
        <f>VLOOKUP($E1054,Mapping!$E$11:$I$204,3,0)</f>
        <v>Replacement</v>
      </c>
      <c r="L1054" s="7" t="str">
        <f>IFERROR(VLOOKUP($G1054,Mapping!$E$208:$K$236,5,0),"Contracts")</f>
        <v>Contracts</v>
      </c>
      <c r="M1054" s="7" t="str">
        <f>IFERROR(VLOOKUP($G1054,Mapping!$E$208:$K$236,7,0),"ENDirect")</f>
        <v>ENDirect</v>
      </c>
      <c r="N1054" s="7" t="str">
        <f>IFERROR(HLOOKUP(L1054,'Calc|Weightings'!$U$5:$W$5,1,0),"Excl")</f>
        <v>Contracts</v>
      </c>
      <c r="O1054" s="7" t="str">
        <f>VLOOKUP(E1054,Mapping!$E$11:$I$204,5,0)</f>
        <v>SCS</v>
      </c>
      <c r="Q1054" s="32" t="s">
        <v>116</v>
      </c>
      <c r="R1054" s="32"/>
      <c r="S1054" s="32">
        <v>71010</v>
      </c>
      <c r="T1054" s="32" t="s">
        <v>462</v>
      </c>
      <c r="U1054" s="33">
        <v>1.4E-2</v>
      </c>
      <c r="V1054" s="7"/>
      <c r="W1054" s="7" t="str">
        <f>VLOOKUP($Q1054,Mapping!$E$11:$I$204,3,0)</f>
        <v>Connections</v>
      </c>
      <c r="X1054" s="7" t="str">
        <f>IFERROR(VLOOKUP($S1054,Mapping!$E$208:$K$236,5,0),"Contracts")</f>
        <v>Labour</v>
      </c>
      <c r="Y1054" s="7" t="str">
        <f>IFERROR(VLOOKUP($S1054,Mapping!$E$208:$K$236,7,0),"ENDirect")</f>
        <v>ENDirect</v>
      </c>
      <c r="Z1054" s="7" t="str">
        <f>IFERROR(HLOOKUP(X1054,'Calc|Weightings'!$U$5:$W$5,1,0),"Excl")</f>
        <v>Labour</v>
      </c>
      <c r="AA1054" s="7" t="str">
        <f>VLOOKUP(Q1054,Mapping!$E$11:$I$204,5,0)</f>
        <v>SCS</v>
      </c>
      <c r="AC1054" s="35" t="s">
        <v>176</v>
      </c>
      <c r="AD1054" s="35"/>
      <c r="AE1054" s="35">
        <v>71130</v>
      </c>
      <c r="AF1054" s="35" t="s">
        <v>482</v>
      </c>
      <c r="AG1054" s="36">
        <v>39.030999999999999</v>
      </c>
      <c r="AI1054" s="7" t="str">
        <f>VLOOKUP($AC1054,Mapping!$E$11:$I$204,3,0)</f>
        <v>Replacement</v>
      </c>
      <c r="AJ1054" s="7" t="str">
        <f>IFERROR(VLOOKUP($AE1054,Mapping!$E$208:$K$236,5,0),"Contracts")</f>
        <v>Contracts</v>
      </c>
      <c r="AK1054" s="7" t="str">
        <f>IFERROR(VLOOKUP($AE1054,Mapping!$E$208:$K$236,7,0),"ENDirect")</f>
        <v>ENDirect</v>
      </c>
      <c r="AL1054" s="7" t="str">
        <f>IFERROR(HLOOKUP(AJ1054,'Calc|Weightings'!$U$5:$W$5,1,0),"Excl")</f>
        <v>Contracts</v>
      </c>
      <c r="AM1054" s="7" t="str">
        <f>VLOOKUP(AC1054,Mapping!$E$11:$I$204,5,0)</f>
        <v>SCS</v>
      </c>
      <c r="AO1054" s="7"/>
      <c r="AP1054" s="7"/>
      <c r="AQ1054" s="7"/>
      <c r="AR1054" s="7"/>
      <c r="AS1054" s="7"/>
    </row>
    <row r="1055" spans="1:45" x14ac:dyDescent="0.3">
      <c r="A1055" s="7"/>
      <c r="B1055" s="7"/>
      <c r="C1055" s="7"/>
      <c r="D1055" s="7"/>
      <c r="E1055" s="32" t="s">
        <v>244</v>
      </c>
      <c r="F1055" s="32"/>
      <c r="G1055" s="32">
        <v>71006</v>
      </c>
      <c r="H1055" s="32" t="s">
        <v>468</v>
      </c>
      <c r="I1055" s="33">
        <v>1.653</v>
      </c>
      <c r="J1055" s="170"/>
      <c r="K1055" s="7" t="str">
        <f>VLOOKUP($E1055,Mapping!$E$11:$I$204,3,0)</f>
        <v>Replacement</v>
      </c>
      <c r="L1055" s="7" t="str">
        <f>IFERROR(VLOOKUP($G1055,Mapping!$E$208:$K$236,5,0),"Contracts")</f>
        <v>Materials</v>
      </c>
      <c r="M1055" s="7" t="str">
        <f>IFERROR(VLOOKUP($G1055,Mapping!$E$208:$K$236,7,0),"ENDirect")</f>
        <v>ENDirect</v>
      </c>
      <c r="N1055" s="7" t="str">
        <f>IFERROR(HLOOKUP(L1055,'Calc|Weightings'!$U$5:$W$5,1,0),"Excl")</f>
        <v>Materials</v>
      </c>
      <c r="O1055" s="7" t="str">
        <f>VLOOKUP(E1055,Mapping!$E$11:$I$204,5,0)</f>
        <v>SCS</v>
      </c>
      <c r="Q1055" s="32" t="s">
        <v>116</v>
      </c>
      <c r="R1055" s="32"/>
      <c r="S1055" s="32">
        <v>71030</v>
      </c>
      <c r="T1055" s="32" t="s">
        <v>464</v>
      </c>
      <c r="U1055" s="33">
        <v>0.221</v>
      </c>
      <c r="V1055" s="7"/>
      <c r="W1055" s="7" t="str">
        <f>VLOOKUP($Q1055,Mapping!$E$11:$I$204,3,0)</f>
        <v>Connections</v>
      </c>
      <c r="X1055" s="7" t="str">
        <f>IFERROR(VLOOKUP($S1055,Mapping!$E$208:$K$236,5,0),"Contracts")</f>
        <v>Contracts</v>
      </c>
      <c r="Y1055" s="7" t="str">
        <f>IFERROR(VLOOKUP($S1055,Mapping!$E$208:$K$236,7,0),"ENDirect")</f>
        <v>ENDirect</v>
      </c>
      <c r="Z1055" s="7" t="str">
        <f>IFERROR(HLOOKUP(X1055,'Calc|Weightings'!$U$5:$W$5,1,0),"Excl")</f>
        <v>Contracts</v>
      </c>
      <c r="AA1055" s="7" t="str">
        <f>VLOOKUP(Q1055,Mapping!$E$11:$I$204,5,0)</f>
        <v>SCS</v>
      </c>
      <c r="AC1055" s="35" t="s">
        <v>162</v>
      </c>
      <c r="AD1055" s="35"/>
      <c r="AE1055" s="35">
        <v>72300</v>
      </c>
      <c r="AF1055" s="35" t="s">
        <v>450</v>
      </c>
      <c r="AG1055" s="36">
        <v>218.57599999999999</v>
      </c>
      <c r="AI1055" s="7" t="str">
        <f>VLOOKUP($AC1055,Mapping!$E$11:$I$204,3,0)</f>
        <v>Replacement</v>
      </c>
      <c r="AJ1055" s="7" t="str">
        <f>IFERROR(VLOOKUP($AE1055,Mapping!$E$208:$K$236,5,0),"Contracts")</f>
        <v>Contracts</v>
      </c>
      <c r="AK1055" s="7" t="str">
        <f>IFERROR(VLOOKUP($AE1055,Mapping!$E$208:$K$236,7,0),"ENDirect")</f>
        <v>ENDirect</v>
      </c>
      <c r="AL1055" s="7" t="str">
        <f>IFERROR(HLOOKUP(AJ1055,'Calc|Weightings'!$U$5:$W$5,1,0),"Excl")</f>
        <v>Contracts</v>
      </c>
      <c r="AM1055" s="7" t="str">
        <f>VLOOKUP(AC1055,Mapping!$E$11:$I$204,5,0)</f>
        <v>SCS</v>
      </c>
      <c r="AO1055" s="7"/>
      <c r="AP1055" s="7"/>
      <c r="AQ1055" s="7"/>
      <c r="AR1055" s="7"/>
      <c r="AS1055" s="7"/>
    </row>
    <row r="1056" spans="1:45" x14ac:dyDescent="0.3">
      <c r="A1056" s="7"/>
      <c r="B1056" s="7"/>
      <c r="C1056" s="7"/>
      <c r="D1056" s="7"/>
      <c r="E1056" s="32" t="s">
        <v>195</v>
      </c>
      <c r="F1056" s="32"/>
      <c r="G1056" s="32">
        <v>71000</v>
      </c>
      <c r="H1056" s="32" t="s">
        <v>457</v>
      </c>
      <c r="I1056" s="33">
        <v>0.68799999999999994</v>
      </c>
      <c r="J1056" s="170"/>
      <c r="K1056" s="7" t="str">
        <f>VLOOKUP($E1056,Mapping!$E$11:$I$204,3,0)</f>
        <v>VBRC</v>
      </c>
      <c r="L1056" s="7" t="str">
        <f>IFERROR(VLOOKUP($G1056,Mapping!$E$208:$K$236,5,0),"Contracts")</f>
        <v>Labour</v>
      </c>
      <c r="M1056" s="7" t="str">
        <f>IFERROR(VLOOKUP($G1056,Mapping!$E$208:$K$236,7,0),"ENDirect")</f>
        <v>ENDirect</v>
      </c>
      <c r="N1056" s="7" t="str">
        <f>IFERROR(HLOOKUP(L1056,'Calc|Weightings'!$U$5:$W$5,1,0),"Excl")</f>
        <v>Labour</v>
      </c>
      <c r="O1056" s="7" t="str">
        <f>VLOOKUP(E1056,Mapping!$E$11:$I$204,5,0)</f>
        <v>SCS</v>
      </c>
      <c r="Q1056" s="32" t="s">
        <v>116</v>
      </c>
      <c r="R1056" s="32"/>
      <c r="S1056" s="32">
        <v>71055</v>
      </c>
      <c r="T1056" s="32" t="s">
        <v>465</v>
      </c>
      <c r="U1056" s="33">
        <v>0.38300000000000001</v>
      </c>
      <c r="V1056" s="7"/>
      <c r="W1056" s="7" t="str">
        <f>VLOOKUP($Q1056,Mapping!$E$11:$I$204,3,0)</f>
        <v>Connections</v>
      </c>
      <c r="X1056" s="7" t="str">
        <f>IFERROR(VLOOKUP($S1056,Mapping!$E$208:$K$236,5,0),"Contracts")</f>
        <v>Contracts</v>
      </c>
      <c r="Y1056" s="7" t="str">
        <f>IFERROR(VLOOKUP($S1056,Mapping!$E$208:$K$236,7,0),"ENDirect")</f>
        <v>ENDirect</v>
      </c>
      <c r="Z1056" s="7" t="str">
        <f>IFERROR(HLOOKUP(X1056,'Calc|Weightings'!$U$5:$W$5,1,0),"Excl")</f>
        <v>Contracts</v>
      </c>
      <c r="AA1056" s="7" t="str">
        <f>VLOOKUP(Q1056,Mapping!$E$11:$I$204,5,0)</f>
        <v>SCS</v>
      </c>
      <c r="AC1056" s="35" t="s">
        <v>97</v>
      </c>
      <c r="AD1056" s="35"/>
      <c r="AE1056" s="35">
        <v>71020</v>
      </c>
      <c r="AF1056" s="35" t="s">
        <v>459</v>
      </c>
      <c r="AG1056" s="36">
        <v>0</v>
      </c>
      <c r="AI1056" s="7" t="str">
        <f>VLOOKUP($AC1056,Mapping!$E$11:$I$204,3,0)</f>
        <v>Connections</v>
      </c>
      <c r="AJ1056" s="7" t="str">
        <f>IFERROR(VLOOKUP($AE1056,Mapping!$E$208:$K$236,5,0),"Contracts")</f>
        <v>Contracts</v>
      </c>
      <c r="AK1056" s="7" t="str">
        <f>IFERROR(VLOOKUP($AE1056,Mapping!$E$208:$K$236,7,0),"ENDirect")</f>
        <v>ENDirect</v>
      </c>
      <c r="AL1056" s="7" t="str">
        <f>IFERROR(HLOOKUP(AJ1056,'Calc|Weightings'!$U$5:$W$5,1,0),"Excl")</f>
        <v>Contracts</v>
      </c>
      <c r="AM1056" s="7" t="str">
        <f>VLOOKUP(AC1056,Mapping!$E$11:$I$204,5,0)</f>
        <v>SCS</v>
      </c>
      <c r="AO1056" s="7"/>
      <c r="AP1056" s="7"/>
      <c r="AQ1056" s="7"/>
      <c r="AR1056" s="7"/>
      <c r="AS1056" s="7"/>
    </row>
    <row r="1057" spans="1:45" x14ac:dyDescent="0.3">
      <c r="A1057" s="7"/>
      <c r="B1057" s="7"/>
      <c r="C1057" s="7"/>
      <c r="D1057" s="7"/>
      <c r="E1057" s="32" t="s">
        <v>195</v>
      </c>
      <c r="F1057" s="32"/>
      <c r="G1057" s="32">
        <v>71005</v>
      </c>
      <c r="H1057" s="32" t="s">
        <v>461</v>
      </c>
      <c r="I1057" s="33">
        <v>1.171</v>
      </c>
      <c r="J1057" s="170"/>
      <c r="K1057" s="7" t="str">
        <f>VLOOKUP($E1057,Mapping!$E$11:$I$204,3,0)</f>
        <v>VBRC</v>
      </c>
      <c r="L1057" s="7" t="str">
        <f>IFERROR(VLOOKUP($G1057,Mapping!$E$208:$K$236,5,0),"Contracts")</f>
        <v>Materials</v>
      </c>
      <c r="M1057" s="7" t="str">
        <f>IFERROR(VLOOKUP($G1057,Mapping!$E$208:$K$236,7,0),"ENDirect")</f>
        <v>ENDirect</v>
      </c>
      <c r="N1057" s="7" t="str">
        <f>IFERROR(HLOOKUP(L1057,'Calc|Weightings'!$U$5:$W$5,1,0),"Excl")</f>
        <v>Materials</v>
      </c>
      <c r="O1057" s="7" t="str">
        <f>VLOOKUP(E1057,Mapping!$E$11:$I$204,5,0)</f>
        <v>SCS</v>
      </c>
      <c r="Q1057" s="32" t="s">
        <v>116</v>
      </c>
      <c r="R1057" s="32"/>
      <c r="S1057" s="32">
        <v>80000</v>
      </c>
      <c r="T1057" s="32" t="s">
        <v>453</v>
      </c>
      <c r="U1057" s="33">
        <v>0.57599999999999996</v>
      </c>
      <c r="V1057" s="7"/>
      <c r="W1057" s="7" t="str">
        <f>VLOOKUP($Q1057,Mapping!$E$11:$I$204,3,0)</f>
        <v>Connections</v>
      </c>
      <c r="X1057" s="7" t="str">
        <f>IFERROR(VLOOKUP($S1057,Mapping!$E$208:$K$236,5,0),"Contracts")</f>
        <v>Overhead</v>
      </c>
      <c r="Y1057" s="7" t="str">
        <f>IFERROR(VLOOKUP($S1057,Mapping!$E$208:$K$236,7,0),"ENDirect")</f>
        <v>OH</v>
      </c>
      <c r="Z1057" s="7" t="str">
        <f>IFERROR(HLOOKUP(X1057,'Calc|Weightings'!$U$5:$W$5,1,0),"Excl")</f>
        <v>Excl</v>
      </c>
      <c r="AA1057" s="7" t="str">
        <f>VLOOKUP(Q1057,Mapping!$E$11:$I$204,5,0)</f>
        <v>SCS</v>
      </c>
      <c r="AC1057" s="35" t="s">
        <v>105</v>
      </c>
      <c r="AD1057" s="35"/>
      <c r="AE1057" s="35">
        <v>71020</v>
      </c>
      <c r="AF1057" s="35" t="s">
        <v>459</v>
      </c>
      <c r="AG1057" s="36">
        <v>11.379</v>
      </c>
      <c r="AI1057" s="7" t="str">
        <f>VLOOKUP($AC1057,Mapping!$E$11:$I$204,3,0)</f>
        <v>ACS</v>
      </c>
      <c r="AJ1057" s="7" t="str">
        <f>IFERROR(VLOOKUP($AE1057,Mapping!$E$208:$K$236,5,0),"Contracts")</f>
        <v>Contracts</v>
      </c>
      <c r="AK1057" s="7" t="str">
        <f>IFERROR(VLOOKUP($AE1057,Mapping!$E$208:$K$236,7,0),"ENDirect")</f>
        <v>ENDirect</v>
      </c>
      <c r="AL1057" s="7" t="str">
        <f>IFERROR(HLOOKUP(AJ1057,'Calc|Weightings'!$U$5:$W$5,1,0),"Excl")</f>
        <v>Contracts</v>
      </c>
      <c r="AM1057" s="7" t="str">
        <f>VLOOKUP(AC1057,Mapping!$E$11:$I$204,5,0)</f>
        <v>ACS</v>
      </c>
      <c r="AO1057" s="7"/>
      <c r="AP1057" s="7"/>
      <c r="AQ1057" s="7"/>
      <c r="AR1057" s="7"/>
      <c r="AS1057" s="7"/>
    </row>
    <row r="1058" spans="1:45" x14ac:dyDescent="0.3">
      <c r="A1058" s="7"/>
      <c r="B1058" s="7"/>
      <c r="C1058" s="7"/>
      <c r="D1058" s="7"/>
      <c r="E1058" s="32" t="s">
        <v>195</v>
      </c>
      <c r="F1058" s="32"/>
      <c r="G1058" s="32">
        <v>71015</v>
      </c>
      <c r="H1058" s="32" t="s">
        <v>463</v>
      </c>
      <c r="I1058" s="33">
        <v>0.20499999999999999</v>
      </c>
      <c r="J1058" s="170"/>
      <c r="K1058" s="7" t="str">
        <f>VLOOKUP($E1058,Mapping!$E$11:$I$204,3,0)</f>
        <v>VBRC</v>
      </c>
      <c r="L1058" s="7" t="str">
        <f>IFERROR(VLOOKUP($G1058,Mapping!$E$208:$K$236,5,0),"Contracts")</f>
        <v>Materials</v>
      </c>
      <c r="M1058" s="7" t="str">
        <f>IFERROR(VLOOKUP($G1058,Mapping!$E$208:$K$236,7,0),"ENDirect")</f>
        <v>ENDirect</v>
      </c>
      <c r="N1058" s="7" t="str">
        <f>IFERROR(HLOOKUP(L1058,'Calc|Weightings'!$U$5:$W$5,1,0),"Excl")</f>
        <v>Materials</v>
      </c>
      <c r="O1058" s="7" t="str">
        <f>VLOOKUP(E1058,Mapping!$E$11:$I$204,5,0)</f>
        <v>SCS</v>
      </c>
      <c r="Q1058" s="32" t="s">
        <v>145</v>
      </c>
      <c r="R1058" s="32"/>
      <c r="S1058" s="32">
        <v>71006</v>
      </c>
      <c r="T1058" s="32" t="s">
        <v>468</v>
      </c>
      <c r="U1058" s="33">
        <v>0</v>
      </c>
      <c r="V1058" s="7"/>
      <c r="W1058" s="7" t="str">
        <f>VLOOKUP($Q1058,Mapping!$E$11:$I$204,3,0)</f>
        <v>Augmentation</v>
      </c>
      <c r="X1058" s="7" t="str">
        <f>IFERROR(VLOOKUP($S1058,Mapping!$E$208:$K$236,5,0),"Contracts")</f>
        <v>Materials</v>
      </c>
      <c r="Y1058" s="7" t="str">
        <f>IFERROR(VLOOKUP($S1058,Mapping!$E$208:$K$236,7,0),"ENDirect")</f>
        <v>ENDirect</v>
      </c>
      <c r="Z1058" s="7" t="str">
        <f>IFERROR(HLOOKUP(X1058,'Calc|Weightings'!$U$5:$W$5,1,0),"Excl")</f>
        <v>Materials</v>
      </c>
      <c r="AA1058" s="7" t="str">
        <f>VLOOKUP(Q1058,Mapping!$E$11:$I$204,5,0)</f>
        <v>SCS</v>
      </c>
      <c r="AC1058" s="35" t="s">
        <v>106</v>
      </c>
      <c r="AD1058" s="35"/>
      <c r="AE1058" s="35">
        <v>71020</v>
      </c>
      <c r="AF1058" s="35" t="s">
        <v>459</v>
      </c>
      <c r="AG1058" s="36">
        <v>6.7880000000000003</v>
      </c>
      <c r="AI1058" s="7" t="str">
        <f>VLOOKUP($AC1058,Mapping!$E$11:$I$204,3,0)</f>
        <v>ACS</v>
      </c>
      <c r="AJ1058" s="7" t="str">
        <f>IFERROR(VLOOKUP($AE1058,Mapping!$E$208:$K$236,5,0),"Contracts")</f>
        <v>Contracts</v>
      </c>
      <c r="AK1058" s="7" t="str">
        <f>IFERROR(VLOOKUP($AE1058,Mapping!$E$208:$K$236,7,0),"ENDirect")</f>
        <v>ENDirect</v>
      </c>
      <c r="AL1058" s="7" t="str">
        <f>IFERROR(HLOOKUP(AJ1058,'Calc|Weightings'!$U$5:$W$5,1,0),"Excl")</f>
        <v>Contracts</v>
      </c>
      <c r="AM1058" s="7" t="str">
        <f>VLOOKUP(AC1058,Mapping!$E$11:$I$204,5,0)</f>
        <v>ACS</v>
      </c>
      <c r="AO1058" s="7"/>
      <c r="AP1058" s="7"/>
      <c r="AQ1058" s="7"/>
      <c r="AR1058" s="7"/>
      <c r="AS1058" s="7"/>
    </row>
    <row r="1059" spans="1:45" x14ac:dyDescent="0.3">
      <c r="A1059" s="7"/>
      <c r="B1059" s="7"/>
      <c r="C1059" s="7"/>
      <c r="D1059" s="7"/>
      <c r="E1059" s="32" t="s">
        <v>195</v>
      </c>
      <c r="F1059" s="32"/>
      <c r="G1059" s="32">
        <v>71030</v>
      </c>
      <c r="H1059" s="32" t="s">
        <v>464</v>
      </c>
      <c r="I1059" s="33">
        <v>0.246</v>
      </c>
      <c r="J1059" s="170"/>
      <c r="K1059" s="7" t="str">
        <f>VLOOKUP($E1059,Mapping!$E$11:$I$204,3,0)</f>
        <v>VBRC</v>
      </c>
      <c r="L1059" s="7" t="str">
        <f>IFERROR(VLOOKUP($G1059,Mapping!$E$208:$K$236,5,0),"Contracts")</f>
        <v>Contracts</v>
      </c>
      <c r="M1059" s="7" t="str">
        <f>IFERROR(VLOOKUP($G1059,Mapping!$E$208:$K$236,7,0),"ENDirect")</f>
        <v>ENDirect</v>
      </c>
      <c r="N1059" s="7" t="str">
        <f>IFERROR(HLOOKUP(L1059,'Calc|Weightings'!$U$5:$W$5,1,0),"Excl")</f>
        <v>Contracts</v>
      </c>
      <c r="O1059" s="7" t="str">
        <f>VLOOKUP(E1059,Mapping!$E$11:$I$204,5,0)</f>
        <v>SCS</v>
      </c>
      <c r="Q1059" s="32" t="s">
        <v>142</v>
      </c>
      <c r="R1059" s="32"/>
      <c r="S1059" s="32">
        <v>71000</v>
      </c>
      <c r="T1059" s="32" t="s">
        <v>457</v>
      </c>
      <c r="U1059" s="33">
        <v>1.1890000000000001</v>
      </c>
      <c r="V1059" s="7"/>
      <c r="W1059" s="7" t="str">
        <f>VLOOKUP($Q1059,Mapping!$E$11:$I$204,3,0)</f>
        <v>ACS</v>
      </c>
      <c r="X1059" s="7" t="str">
        <f>IFERROR(VLOOKUP($S1059,Mapping!$E$208:$K$236,5,0),"Contracts")</f>
        <v>Labour</v>
      </c>
      <c r="Y1059" s="7" t="str">
        <f>IFERROR(VLOOKUP($S1059,Mapping!$E$208:$K$236,7,0),"ENDirect")</f>
        <v>ENDirect</v>
      </c>
      <c r="Z1059" s="7" t="str">
        <f>IFERROR(HLOOKUP(X1059,'Calc|Weightings'!$U$5:$W$5,1,0),"Excl")</f>
        <v>Labour</v>
      </c>
      <c r="AA1059" s="7" t="str">
        <f>VLOOKUP(Q1059,Mapping!$E$11:$I$204,5,0)</f>
        <v>ACS</v>
      </c>
      <c r="AC1059" s="35" t="s">
        <v>110</v>
      </c>
      <c r="AD1059" s="35"/>
      <c r="AE1059" s="35">
        <v>71010</v>
      </c>
      <c r="AF1059" s="35" t="s">
        <v>462</v>
      </c>
      <c r="AG1059" s="36">
        <v>1.5389999999999999</v>
      </c>
      <c r="AI1059" s="7" t="str">
        <f>VLOOKUP($AC1059,Mapping!$E$11:$I$204,3,0)</f>
        <v>Public Lighting</v>
      </c>
      <c r="AJ1059" s="7" t="str">
        <f>IFERROR(VLOOKUP($AE1059,Mapping!$E$208:$K$236,5,0),"Contracts")</f>
        <v>Labour</v>
      </c>
      <c r="AK1059" s="7" t="str">
        <f>IFERROR(VLOOKUP($AE1059,Mapping!$E$208:$K$236,7,0),"ENDirect")</f>
        <v>ENDirect</v>
      </c>
      <c r="AL1059" s="7" t="str">
        <f>IFERROR(HLOOKUP(AJ1059,'Calc|Weightings'!$U$5:$W$5,1,0),"Excl")</f>
        <v>Labour</v>
      </c>
      <c r="AM1059" s="7" t="str">
        <f>VLOOKUP(AC1059,Mapping!$E$11:$I$204,5,0)</f>
        <v>Public Lighting</v>
      </c>
      <c r="AO1059" s="7"/>
      <c r="AP1059" s="7"/>
      <c r="AQ1059" s="7"/>
      <c r="AR1059" s="7"/>
      <c r="AS1059" s="7"/>
    </row>
    <row r="1060" spans="1:45" x14ac:dyDescent="0.3">
      <c r="A1060" s="7"/>
      <c r="B1060" s="7"/>
      <c r="C1060" s="7"/>
      <c r="D1060" s="7"/>
      <c r="E1060" s="32" t="s">
        <v>195</v>
      </c>
      <c r="F1060" s="32"/>
      <c r="G1060" s="32">
        <v>71055</v>
      </c>
      <c r="H1060" s="32" t="s">
        <v>465</v>
      </c>
      <c r="I1060" s="33">
        <v>1.456</v>
      </c>
      <c r="J1060" s="170"/>
      <c r="K1060" s="7" t="str">
        <f>VLOOKUP($E1060,Mapping!$E$11:$I$204,3,0)</f>
        <v>VBRC</v>
      </c>
      <c r="L1060" s="7" t="str">
        <f>IFERROR(VLOOKUP($G1060,Mapping!$E$208:$K$236,5,0),"Contracts")</f>
        <v>Contracts</v>
      </c>
      <c r="M1060" s="7" t="str">
        <f>IFERROR(VLOOKUP($G1060,Mapping!$E$208:$K$236,7,0),"ENDirect")</f>
        <v>ENDirect</v>
      </c>
      <c r="N1060" s="7" t="str">
        <f>IFERROR(HLOOKUP(L1060,'Calc|Weightings'!$U$5:$W$5,1,0),"Excl")</f>
        <v>Contracts</v>
      </c>
      <c r="O1060" s="7" t="str">
        <f>VLOOKUP(E1060,Mapping!$E$11:$I$204,5,0)</f>
        <v>SCS</v>
      </c>
      <c r="Q1060" s="32" t="s">
        <v>142</v>
      </c>
      <c r="R1060" s="32"/>
      <c r="S1060" s="32">
        <v>71005</v>
      </c>
      <c r="T1060" s="32" t="s">
        <v>461</v>
      </c>
      <c r="U1060" s="33">
        <v>0</v>
      </c>
      <c r="V1060" s="7"/>
      <c r="W1060" s="7" t="str">
        <f>VLOOKUP($Q1060,Mapping!$E$11:$I$204,3,0)</f>
        <v>ACS</v>
      </c>
      <c r="X1060" s="7" t="str">
        <f>IFERROR(VLOOKUP($S1060,Mapping!$E$208:$K$236,5,0),"Contracts")</f>
        <v>Materials</v>
      </c>
      <c r="Y1060" s="7" t="str">
        <f>IFERROR(VLOOKUP($S1060,Mapping!$E$208:$K$236,7,0),"ENDirect")</f>
        <v>ENDirect</v>
      </c>
      <c r="Z1060" s="7" t="str">
        <f>IFERROR(HLOOKUP(X1060,'Calc|Weightings'!$U$5:$W$5,1,0),"Excl")</f>
        <v>Materials</v>
      </c>
      <c r="AA1060" s="7" t="str">
        <f>VLOOKUP(Q1060,Mapping!$E$11:$I$204,5,0)</f>
        <v>ACS</v>
      </c>
      <c r="AC1060" s="35" t="s">
        <v>110</v>
      </c>
      <c r="AD1060" s="35"/>
      <c r="AE1060" s="35">
        <v>71030</v>
      </c>
      <c r="AF1060" s="35" t="s">
        <v>464</v>
      </c>
      <c r="AG1060" s="36">
        <v>0.13600000000000001</v>
      </c>
      <c r="AI1060" s="7" t="str">
        <f>VLOOKUP($AC1060,Mapping!$E$11:$I$204,3,0)</f>
        <v>Public Lighting</v>
      </c>
      <c r="AJ1060" s="7" t="str">
        <f>IFERROR(VLOOKUP($AE1060,Mapping!$E$208:$K$236,5,0),"Contracts")</f>
        <v>Contracts</v>
      </c>
      <c r="AK1060" s="7" t="str">
        <f>IFERROR(VLOOKUP($AE1060,Mapping!$E$208:$K$236,7,0),"ENDirect")</f>
        <v>ENDirect</v>
      </c>
      <c r="AL1060" s="7" t="str">
        <f>IFERROR(HLOOKUP(AJ1060,'Calc|Weightings'!$U$5:$W$5,1,0),"Excl")</f>
        <v>Contracts</v>
      </c>
      <c r="AM1060" s="7" t="str">
        <f>VLOOKUP(AC1060,Mapping!$E$11:$I$204,5,0)</f>
        <v>Public Lighting</v>
      </c>
      <c r="AO1060" s="7"/>
      <c r="AP1060" s="7"/>
      <c r="AQ1060" s="7"/>
      <c r="AR1060" s="7"/>
      <c r="AS1060" s="7"/>
    </row>
    <row r="1061" spans="1:45" x14ac:dyDescent="0.3">
      <c r="A1061" s="7"/>
      <c r="B1061" s="7"/>
      <c r="C1061" s="7"/>
      <c r="D1061" s="7"/>
      <c r="E1061" s="32" t="s">
        <v>195</v>
      </c>
      <c r="F1061" s="32"/>
      <c r="G1061" s="32">
        <v>80000</v>
      </c>
      <c r="H1061" s="32" t="s">
        <v>453</v>
      </c>
      <c r="I1061" s="33">
        <v>0.373</v>
      </c>
      <c r="J1061" s="170"/>
      <c r="K1061" s="7" t="str">
        <f>VLOOKUP($E1061,Mapping!$E$11:$I$204,3,0)</f>
        <v>VBRC</v>
      </c>
      <c r="L1061" s="7" t="str">
        <f>IFERROR(VLOOKUP($G1061,Mapping!$E$208:$K$236,5,0),"Contracts")</f>
        <v>Overhead</v>
      </c>
      <c r="M1061" s="7" t="str">
        <f>IFERROR(VLOOKUP($G1061,Mapping!$E$208:$K$236,7,0),"ENDirect")</f>
        <v>OH</v>
      </c>
      <c r="N1061" s="7" t="str">
        <f>IFERROR(HLOOKUP(L1061,'Calc|Weightings'!$U$5:$W$5,1,0),"Excl")</f>
        <v>Excl</v>
      </c>
      <c r="O1061" s="7" t="str">
        <f>VLOOKUP(E1061,Mapping!$E$11:$I$204,5,0)</f>
        <v>SCS</v>
      </c>
      <c r="Q1061" s="32" t="s">
        <v>142</v>
      </c>
      <c r="R1061" s="32"/>
      <c r="S1061" s="32">
        <v>71010</v>
      </c>
      <c r="T1061" s="32" t="s">
        <v>462</v>
      </c>
      <c r="U1061" s="33">
        <v>11.79</v>
      </c>
      <c r="V1061" s="7"/>
      <c r="W1061" s="7" t="str">
        <f>VLOOKUP($Q1061,Mapping!$E$11:$I$204,3,0)</f>
        <v>ACS</v>
      </c>
      <c r="X1061" s="7" t="str">
        <f>IFERROR(VLOOKUP($S1061,Mapping!$E$208:$K$236,5,0),"Contracts")</f>
        <v>Labour</v>
      </c>
      <c r="Y1061" s="7" t="str">
        <f>IFERROR(VLOOKUP($S1061,Mapping!$E$208:$K$236,7,0),"ENDirect")</f>
        <v>ENDirect</v>
      </c>
      <c r="Z1061" s="7" t="str">
        <f>IFERROR(HLOOKUP(X1061,'Calc|Weightings'!$U$5:$W$5,1,0),"Excl")</f>
        <v>Labour</v>
      </c>
      <c r="AA1061" s="7" t="str">
        <f>VLOOKUP(Q1061,Mapping!$E$11:$I$204,5,0)</f>
        <v>ACS</v>
      </c>
      <c r="AC1061" s="35" t="s">
        <v>110</v>
      </c>
      <c r="AD1061" s="35"/>
      <c r="AE1061" s="35">
        <v>71055</v>
      </c>
      <c r="AF1061" s="35" t="s">
        <v>465</v>
      </c>
      <c r="AG1061" s="36">
        <v>0.41099999999999998</v>
      </c>
      <c r="AI1061" s="7" t="str">
        <f>VLOOKUP($AC1061,Mapping!$E$11:$I$204,3,0)</f>
        <v>Public Lighting</v>
      </c>
      <c r="AJ1061" s="7" t="str">
        <f>IFERROR(VLOOKUP($AE1061,Mapping!$E$208:$K$236,5,0),"Contracts")</f>
        <v>Contracts</v>
      </c>
      <c r="AK1061" s="7" t="str">
        <f>IFERROR(VLOOKUP($AE1061,Mapping!$E$208:$K$236,7,0),"ENDirect")</f>
        <v>ENDirect</v>
      </c>
      <c r="AL1061" s="7" t="str">
        <f>IFERROR(HLOOKUP(AJ1061,'Calc|Weightings'!$U$5:$W$5,1,0),"Excl")</f>
        <v>Contracts</v>
      </c>
      <c r="AM1061" s="7" t="str">
        <f>VLOOKUP(AC1061,Mapping!$E$11:$I$204,5,0)</f>
        <v>Public Lighting</v>
      </c>
      <c r="AO1061" s="7"/>
      <c r="AP1061" s="7"/>
      <c r="AQ1061" s="7"/>
      <c r="AR1061" s="7"/>
      <c r="AS1061" s="7"/>
    </row>
    <row r="1062" spans="1:45" x14ac:dyDescent="0.3">
      <c r="A1062" s="7"/>
      <c r="B1062" s="7"/>
      <c r="C1062" s="7"/>
      <c r="D1062" s="7"/>
      <c r="E1062" s="32" t="s">
        <v>242</v>
      </c>
      <c r="F1062" s="32"/>
      <c r="G1062" s="32">
        <v>71000</v>
      </c>
      <c r="H1062" s="32" t="s">
        <v>457</v>
      </c>
      <c r="I1062" s="33">
        <v>85.444999999999993</v>
      </c>
      <c r="J1062" s="170"/>
      <c r="K1062" s="7" t="str">
        <f>VLOOKUP($E1062,Mapping!$E$11:$I$204,3,0)</f>
        <v>Replacement</v>
      </c>
      <c r="L1062" s="7" t="str">
        <f>IFERROR(VLOOKUP($G1062,Mapping!$E$208:$K$236,5,0),"Contracts")</f>
        <v>Labour</v>
      </c>
      <c r="M1062" s="7" t="str">
        <f>IFERROR(VLOOKUP($G1062,Mapping!$E$208:$K$236,7,0),"ENDirect")</f>
        <v>ENDirect</v>
      </c>
      <c r="N1062" s="7" t="str">
        <f>IFERROR(HLOOKUP(L1062,'Calc|Weightings'!$U$5:$W$5,1,0),"Excl")</f>
        <v>Labour</v>
      </c>
      <c r="O1062" s="7" t="str">
        <f>VLOOKUP(E1062,Mapping!$E$11:$I$204,5,0)</f>
        <v>SCS</v>
      </c>
      <c r="Q1062" s="32" t="s">
        <v>142</v>
      </c>
      <c r="R1062" s="32"/>
      <c r="S1062" s="32">
        <v>71015</v>
      </c>
      <c r="T1062" s="32" t="s">
        <v>463</v>
      </c>
      <c r="U1062" s="33">
        <v>0.16700000000000001</v>
      </c>
      <c r="V1062" s="7"/>
      <c r="W1062" s="7" t="str">
        <f>VLOOKUP($Q1062,Mapping!$E$11:$I$204,3,0)</f>
        <v>ACS</v>
      </c>
      <c r="X1062" s="7" t="str">
        <f>IFERROR(VLOOKUP($S1062,Mapping!$E$208:$K$236,5,0),"Contracts")</f>
        <v>Materials</v>
      </c>
      <c r="Y1062" s="7" t="str">
        <f>IFERROR(VLOOKUP($S1062,Mapping!$E$208:$K$236,7,0),"ENDirect")</f>
        <v>ENDirect</v>
      </c>
      <c r="Z1062" s="7" t="str">
        <f>IFERROR(HLOOKUP(X1062,'Calc|Weightings'!$U$5:$W$5,1,0),"Excl")</f>
        <v>Materials</v>
      </c>
      <c r="AA1062" s="7" t="str">
        <f>VLOOKUP(Q1062,Mapping!$E$11:$I$204,5,0)</f>
        <v>ACS</v>
      </c>
      <c r="AC1062" s="35" t="s">
        <v>110</v>
      </c>
      <c r="AD1062" s="35"/>
      <c r="AE1062" s="35">
        <v>80000</v>
      </c>
      <c r="AF1062" s="35" t="s">
        <v>453</v>
      </c>
      <c r="AG1062" s="36">
        <v>0.23799999999999999</v>
      </c>
      <c r="AI1062" s="7" t="str">
        <f>VLOOKUP($AC1062,Mapping!$E$11:$I$204,3,0)</f>
        <v>Public Lighting</v>
      </c>
      <c r="AJ1062" s="7" t="str">
        <f>IFERROR(VLOOKUP($AE1062,Mapping!$E$208:$K$236,5,0),"Contracts")</f>
        <v>Overhead</v>
      </c>
      <c r="AK1062" s="7" t="str">
        <f>IFERROR(VLOOKUP($AE1062,Mapping!$E$208:$K$236,7,0),"ENDirect")</f>
        <v>OH</v>
      </c>
      <c r="AL1062" s="7" t="str">
        <f>IFERROR(HLOOKUP(AJ1062,'Calc|Weightings'!$U$5:$W$5,1,0),"Excl")</f>
        <v>Excl</v>
      </c>
      <c r="AM1062" s="7" t="str">
        <f>VLOOKUP(AC1062,Mapping!$E$11:$I$204,5,0)</f>
        <v>Public Lighting</v>
      </c>
      <c r="AO1062" s="7"/>
      <c r="AP1062" s="7"/>
      <c r="AQ1062" s="7"/>
      <c r="AR1062" s="7"/>
      <c r="AS1062" s="7"/>
    </row>
    <row r="1063" spans="1:45" x14ac:dyDescent="0.3">
      <c r="A1063" s="7"/>
      <c r="B1063" s="7"/>
      <c r="C1063" s="7"/>
      <c r="D1063" s="7"/>
      <c r="E1063" s="32" t="s">
        <v>242</v>
      </c>
      <c r="F1063" s="32"/>
      <c r="G1063" s="32">
        <v>71005</v>
      </c>
      <c r="H1063" s="32" t="s">
        <v>461</v>
      </c>
      <c r="I1063" s="33">
        <v>7.8360000000000003</v>
      </c>
      <c r="J1063" s="170"/>
      <c r="K1063" s="7" t="str">
        <f>VLOOKUP($E1063,Mapping!$E$11:$I$204,3,0)</f>
        <v>Replacement</v>
      </c>
      <c r="L1063" s="7" t="str">
        <f>IFERROR(VLOOKUP($G1063,Mapping!$E$208:$K$236,5,0),"Contracts")</f>
        <v>Materials</v>
      </c>
      <c r="M1063" s="7" t="str">
        <f>IFERROR(VLOOKUP($G1063,Mapping!$E$208:$K$236,7,0),"ENDirect")</f>
        <v>ENDirect</v>
      </c>
      <c r="N1063" s="7" t="str">
        <f>IFERROR(HLOOKUP(L1063,'Calc|Weightings'!$U$5:$W$5,1,0),"Excl")</f>
        <v>Materials</v>
      </c>
      <c r="O1063" s="7" t="str">
        <f>VLOOKUP(E1063,Mapping!$E$11:$I$204,5,0)</f>
        <v>SCS</v>
      </c>
      <c r="Q1063" s="32" t="s">
        <v>142</v>
      </c>
      <c r="R1063" s="32"/>
      <c r="S1063" s="32">
        <v>71030</v>
      </c>
      <c r="T1063" s="32" t="s">
        <v>464</v>
      </c>
      <c r="U1063" s="33">
        <v>1.157</v>
      </c>
      <c r="V1063" s="7"/>
      <c r="W1063" s="7" t="str">
        <f>VLOOKUP($Q1063,Mapping!$E$11:$I$204,3,0)</f>
        <v>ACS</v>
      </c>
      <c r="X1063" s="7" t="str">
        <f>IFERROR(VLOOKUP($S1063,Mapping!$E$208:$K$236,5,0),"Contracts")</f>
        <v>Contracts</v>
      </c>
      <c r="Y1063" s="7" t="str">
        <f>IFERROR(VLOOKUP($S1063,Mapping!$E$208:$K$236,7,0),"ENDirect")</f>
        <v>ENDirect</v>
      </c>
      <c r="Z1063" s="7" t="str">
        <f>IFERROR(HLOOKUP(X1063,'Calc|Weightings'!$U$5:$W$5,1,0),"Excl")</f>
        <v>Contracts</v>
      </c>
      <c r="AA1063" s="7" t="str">
        <f>VLOOKUP(Q1063,Mapping!$E$11:$I$204,5,0)</f>
        <v>ACS</v>
      </c>
      <c r="AC1063" s="35" t="s">
        <v>110</v>
      </c>
      <c r="AD1063" s="35"/>
      <c r="AE1063" s="35">
        <v>89999</v>
      </c>
      <c r="AF1063" s="35" t="s">
        <v>471</v>
      </c>
      <c r="AG1063" s="36">
        <v>0</v>
      </c>
      <c r="AI1063" s="7" t="str">
        <f>VLOOKUP($AC1063,Mapping!$E$11:$I$204,3,0)</f>
        <v>Public Lighting</v>
      </c>
      <c r="AJ1063" s="7" t="str">
        <f>IFERROR(VLOOKUP($AE1063,Mapping!$E$208:$K$236,5,0),"Contracts")</f>
        <v>Contracts</v>
      </c>
      <c r="AK1063" s="7" t="str">
        <f>IFERROR(VLOOKUP($AE1063,Mapping!$E$208:$K$236,7,0),"ENDirect")</f>
        <v>ENDirect</v>
      </c>
      <c r="AL1063" s="7" t="str">
        <f>IFERROR(HLOOKUP(AJ1063,'Calc|Weightings'!$U$5:$W$5,1,0),"Excl")</f>
        <v>Contracts</v>
      </c>
      <c r="AM1063" s="7" t="str">
        <f>VLOOKUP(AC1063,Mapping!$E$11:$I$204,5,0)</f>
        <v>Public Lighting</v>
      </c>
      <c r="AO1063" s="7"/>
      <c r="AP1063" s="7"/>
      <c r="AQ1063" s="7"/>
      <c r="AR1063" s="7"/>
      <c r="AS1063" s="7"/>
    </row>
    <row r="1064" spans="1:45" x14ac:dyDescent="0.3">
      <c r="A1064" s="7"/>
      <c r="B1064" s="7"/>
      <c r="C1064" s="7"/>
      <c r="D1064" s="7"/>
      <c r="E1064" s="32" t="s">
        <v>242</v>
      </c>
      <c r="F1064" s="32"/>
      <c r="G1064" s="32">
        <v>71010</v>
      </c>
      <c r="H1064" s="32" t="s">
        <v>462</v>
      </c>
      <c r="I1064" s="33">
        <v>35.200000000000003</v>
      </c>
      <c r="J1064" s="170"/>
      <c r="K1064" s="7" t="str">
        <f>VLOOKUP($E1064,Mapping!$E$11:$I$204,3,0)</f>
        <v>Replacement</v>
      </c>
      <c r="L1064" s="7" t="str">
        <f>IFERROR(VLOOKUP($G1064,Mapping!$E$208:$K$236,5,0),"Contracts")</f>
        <v>Labour</v>
      </c>
      <c r="M1064" s="7" t="str">
        <f>IFERROR(VLOOKUP($G1064,Mapping!$E$208:$K$236,7,0),"ENDirect")</f>
        <v>ENDirect</v>
      </c>
      <c r="N1064" s="7" t="str">
        <f>IFERROR(HLOOKUP(L1064,'Calc|Weightings'!$U$5:$W$5,1,0),"Excl")</f>
        <v>Labour</v>
      </c>
      <c r="O1064" s="7" t="str">
        <f>VLOOKUP(E1064,Mapping!$E$11:$I$204,5,0)</f>
        <v>SCS</v>
      </c>
      <c r="Q1064" s="32" t="s">
        <v>142</v>
      </c>
      <c r="R1064" s="32"/>
      <c r="S1064" s="32">
        <v>71055</v>
      </c>
      <c r="T1064" s="32" t="s">
        <v>465</v>
      </c>
      <c r="U1064" s="33">
        <v>3.38</v>
      </c>
      <c r="V1064" s="7"/>
      <c r="W1064" s="7" t="str">
        <f>VLOOKUP($Q1064,Mapping!$E$11:$I$204,3,0)</f>
        <v>ACS</v>
      </c>
      <c r="X1064" s="7" t="str">
        <f>IFERROR(VLOOKUP($S1064,Mapping!$E$208:$K$236,5,0),"Contracts")</f>
        <v>Contracts</v>
      </c>
      <c r="Y1064" s="7" t="str">
        <f>IFERROR(VLOOKUP($S1064,Mapping!$E$208:$K$236,7,0),"ENDirect")</f>
        <v>ENDirect</v>
      </c>
      <c r="Z1064" s="7" t="str">
        <f>IFERROR(HLOOKUP(X1064,'Calc|Weightings'!$U$5:$W$5,1,0),"Excl")</f>
        <v>Contracts</v>
      </c>
      <c r="AA1064" s="7" t="str">
        <f>VLOOKUP(Q1064,Mapping!$E$11:$I$204,5,0)</f>
        <v>ACS</v>
      </c>
      <c r="AC1064" s="35" t="s">
        <v>163</v>
      </c>
      <c r="AD1064" s="35"/>
      <c r="AE1064" s="35">
        <v>70815</v>
      </c>
      <c r="AF1064" s="35" t="s">
        <v>451</v>
      </c>
      <c r="AG1064" s="36">
        <v>225.27500000000001</v>
      </c>
      <c r="AI1064" s="7" t="str">
        <f>VLOOKUP($AC1064,Mapping!$E$11:$I$204,3,0)</f>
        <v>Replacement</v>
      </c>
      <c r="AJ1064" s="7" t="str">
        <f>IFERROR(VLOOKUP($AE1064,Mapping!$E$208:$K$236,5,0),"Contracts")</f>
        <v>Materials</v>
      </c>
      <c r="AK1064" s="7" t="str">
        <f>IFERROR(VLOOKUP($AE1064,Mapping!$E$208:$K$236,7,0),"ENDirect")</f>
        <v>ENDirect</v>
      </c>
      <c r="AL1064" s="7" t="str">
        <f>IFERROR(HLOOKUP(AJ1064,'Calc|Weightings'!$U$5:$W$5,1,0),"Excl")</f>
        <v>Materials</v>
      </c>
      <c r="AM1064" s="7" t="str">
        <f>VLOOKUP(AC1064,Mapping!$E$11:$I$204,5,0)</f>
        <v>SCS</v>
      </c>
      <c r="AO1064" s="7"/>
      <c r="AP1064" s="7"/>
      <c r="AQ1064" s="7"/>
      <c r="AR1064" s="7"/>
      <c r="AS1064" s="7"/>
    </row>
    <row r="1065" spans="1:45" x14ac:dyDescent="0.3">
      <c r="A1065" s="7"/>
      <c r="B1065" s="7"/>
      <c r="C1065" s="7"/>
      <c r="D1065" s="7"/>
      <c r="E1065" s="32" t="s">
        <v>242</v>
      </c>
      <c r="F1065" s="32"/>
      <c r="G1065" s="32">
        <v>71015</v>
      </c>
      <c r="H1065" s="32" t="s">
        <v>463</v>
      </c>
      <c r="I1065" s="33">
        <v>19.282</v>
      </c>
      <c r="J1065" s="170"/>
      <c r="K1065" s="7" t="str">
        <f>VLOOKUP($E1065,Mapping!$E$11:$I$204,3,0)</f>
        <v>Replacement</v>
      </c>
      <c r="L1065" s="7" t="str">
        <f>IFERROR(VLOOKUP($G1065,Mapping!$E$208:$K$236,5,0),"Contracts")</f>
        <v>Materials</v>
      </c>
      <c r="M1065" s="7" t="str">
        <f>IFERROR(VLOOKUP($G1065,Mapping!$E$208:$K$236,7,0),"ENDirect")</f>
        <v>ENDirect</v>
      </c>
      <c r="N1065" s="7" t="str">
        <f>IFERROR(HLOOKUP(L1065,'Calc|Weightings'!$U$5:$W$5,1,0),"Excl")</f>
        <v>Materials</v>
      </c>
      <c r="O1065" s="7" t="str">
        <f>VLOOKUP(E1065,Mapping!$E$11:$I$204,5,0)</f>
        <v>SCS</v>
      </c>
      <c r="Q1065" s="32" t="s">
        <v>142</v>
      </c>
      <c r="R1065" s="32"/>
      <c r="S1065" s="32">
        <v>80000</v>
      </c>
      <c r="T1065" s="32" t="s">
        <v>453</v>
      </c>
      <c r="U1065" s="33">
        <v>1.8779999999999999</v>
      </c>
      <c r="V1065" s="7"/>
      <c r="W1065" s="7" t="str">
        <f>VLOOKUP($Q1065,Mapping!$E$11:$I$204,3,0)</f>
        <v>ACS</v>
      </c>
      <c r="X1065" s="7" t="str">
        <f>IFERROR(VLOOKUP($S1065,Mapping!$E$208:$K$236,5,0),"Contracts")</f>
        <v>Overhead</v>
      </c>
      <c r="Y1065" s="7" t="str">
        <f>IFERROR(VLOOKUP($S1065,Mapping!$E$208:$K$236,7,0),"ENDirect")</f>
        <v>OH</v>
      </c>
      <c r="Z1065" s="7" t="str">
        <f>IFERROR(HLOOKUP(X1065,'Calc|Weightings'!$U$5:$W$5,1,0),"Excl")</f>
        <v>Excl</v>
      </c>
      <c r="AA1065" s="7" t="str">
        <f>VLOOKUP(Q1065,Mapping!$E$11:$I$204,5,0)</f>
        <v>ACS</v>
      </c>
      <c r="AC1065" s="35" t="s">
        <v>168</v>
      </c>
      <c r="AD1065" s="35"/>
      <c r="AE1065" s="35">
        <v>70815</v>
      </c>
      <c r="AF1065" s="35" t="s">
        <v>451</v>
      </c>
      <c r="AG1065" s="36">
        <v>144.69999999999999</v>
      </c>
      <c r="AI1065" s="7" t="str">
        <f>VLOOKUP($AC1065,Mapping!$E$11:$I$204,3,0)</f>
        <v>Replacement</v>
      </c>
      <c r="AJ1065" s="7" t="str">
        <f>IFERROR(VLOOKUP($AE1065,Mapping!$E$208:$K$236,5,0),"Contracts")</f>
        <v>Materials</v>
      </c>
      <c r="AK1065" s="7" t="str">
        <f>IFERROR(VLOOKUP($AE1065,Mapping!$E$208:$K$236,7,0),"ENDirect")</f>
        <v>ENDirect</v>
      </c>
      <c r="AL1065" s="7" t="str">
        <f>IFERROR(HLOOKUP(AJ1065,'Calc|Weightings'!$U$5:$W$5,1,0),"Excl")</f>
        <v>Materials</v>
      </c>
      <c r="AM1065" s="7" t="str">
        <f>VLOOKUP(AC1065,Mapping!$E$11:$I$204,5,0)</f>
        <v>SCS</v>
      </c>
      <c r="AO1065" s="7"/>
      <c r="AP1065" s="7"/>
      <c r="AQ1065" s="7"/>
      <c r="AR1065" s="7"/>
      <c r="AS1065" s="7"/>
    </row>
    <row r="1066" spans="1:45" x14ac:dyDescent="0.3">
      <c r="A1066" s="7"/>
      <c r="B1066" s="7"/>
      <c r="C1066" s="7"/>
      <c r="D1066" s="7"/>
      <c r="E1066" s="32" t="s">
        <v>242</v>
      </c>
      <c r="F1066" s="32"/>
      <c r="G1066" s="32">
        <v>71030</v>
      </c>
      <c r="H1066" s="32" t="s">
        <v>464</v>
      </c>
      <c r="I1066" s="33">
        <v>11.712</v>
      </c>
      <c r="J1066" s="170"/>
      <c r="K1066" s="7" t="str">
        <f>VLOOKUP($E1066,Mapping!$E$11:$I$204,3,0)</f>
        <v>Replacement</v>
      </c>
      <c r="L1066" s="7" t="str">
        <f>IFERROR(VLOOKUP($G1066,Mapping!$E$208:$K$236,5,0),"Contracts")</f>
        <v>Contracts</v>
      </c>
      <c r="M1066" s="7" t="str">
        <f>IFERROR(VLOOKUP($G1066,Mapping!$E$208:$K$236,7,0),"ENDirect")</f>
        <v>ENDirect</v>
      </c>
      <c r="N1066" s="7" t="str">
        <f>IFERROR(HLOOKUP(L1066,'Calc|Weightings'!$U$5:$W$5,1,0),"Excl")</f>
        <v>Contracts</v>
      </c>
      <c r="O1066" s="7" t="str">
        <f>VLOOKUP(E1066,Mapping!$E$11:$I$204,5,0)</f>
        <v>SCS</v>
      </c>
      <c r="Q1066" s="32" t="s">
        <v>112</v>
      </c>
      <c r="R1066" s="32"/>
      <c r="S1066" s="32">
        <v>71015</v>
      </c>
      <c r="T1066" s="32" t="s">
        <v>463</v>
      </c>
      <c r="U1066" s="33">
        <v>0.11799999999999999</v>
      </c>
      <c r="V1066" s="7"/>
      <c r="W1066" s="7" t="str">
        <f>VLOOKUP($Q1066,Mapping!$E$11:$I$204,3,0)</f>
        <v>Connections</v>
      </c>
      <c r="X1066" s="7" t="str">
        <f>IFERROR(VLOOKUP($S1066,Mapping!$E$208:$K$236,5,0),"Contracts")</f>
        <v>Materials</v>
      </c>
      <c r="Y1066" s="7" t="str">
        <f>IFERROR(VLOOKUP($S1066,Mapping!$E$208:$K$236,7,0),"ENDirect")</f>
        <v>ENDirect</v>
      </c>
      <c r="Z1066" s="7" t="str">
        <f>IFERROR(HLOOKUP(X1066,'Calc|Weightings'!$U$5:$W$5,1,0),"Excl")</f>
        <v>Materials</v>
      </c>
      <c r="AA1066" s="7" t="str">
        <f>VLOOKUP(Q1066,Mapping!$E$11:$I$204,5,0)</f>
        <v>SCS</v>
      </c>
      <c r="AC1066" s="35" t="s">
        <v>190</v>
      </c>
      <c r="AD1066" s="35"/>
      <c r="AE1066" s="35">
        <v>70815</v>
      </c>
      <c r="AF1066" s="35" t="s">
        <v>451</v>
      </c>
      <c r="AG1066" s="36">
        <v>177.1</v>
      </c>
      <c r="AI1066" s="7" t="str">
        <f>VLOOKUP($AC1066,Mapping!$E$11:$I$204,3,0)</f>
        <v>Replacement</v>
      </c>
      <c r="AJ1066" s="7" t="str">
        <f>IFERROR(VLOOKUP($AE1066,Mapping!$E$208:$K$236,5,0),"Contracts")</f>
        <v>Materials</v>
      </c>
      <c r="AK1066" s="7" t="str">
        <f>IFERROR(VLOOKUP($AE1066,Mapping!$E$208:$K$236,7,0),"ENDirect")</f>
        <v>ENDirect</v>
      </c>
      <c r="AL1066" s="7" t="str">
        <f>IFERROR(HLOOKUP(AJ1066,'Calc|Weightings'!$U$5:$W$5,1,0),"Excl")</f>
        <v>Materials</v>
      </c>
      <c r="AM1066" s="7" t="str">
        <f>VLOOKUP(AC1066,Mapping!$E$11:$I$204,5,0)</f>
        <v>SCS</v>
      </c>
      <c r="AO1066" s="7"/>
      <c r="AP1066" s="7"/>
      <c r="AQ1066" s="7"/>
      <c r="AR1066" s="7"/>
      <c r="AS1066" s="7"/>
    </row>
    <row r="1067" spans="1:45" x14ac:dyDescent="0.3">
      <c r="A1067" s="7"/>
      <c r="B1067" s="7"/>
      <c r="C1067" s="7"/>
      <c r="D1067" s="7"/>
      <c r="E1067" s="32" t="s">
        <v>242</v>
      </c>
      <c r="F1067" s="32"/>
      <c r="G1067" s="32">
        <v>71055</v>
      </c>
      <c r="H1067" s="32" t="s">
        <v>465</v>
      </c>
      <c r="I1067" s="33">
        <v>19.524999999999999</v>
      </c>
      <c r="J1067" s="170"/>
      <c r="K1067" s="7" t="str">
        <f>VLOOKUP($E1067,Mapping!$E$11:$I$204,3,0)</f>
        <v>Replacement</v>
      </c>
      <c r="L1067" s="7" t="str">
        <f>IFERROR(VLOOKUP($G1067,Mapping!$E$208:$K$236,5,0),"Contracts")</f>
        <v>Contracts</v>
      </c>
      <c r="M1067" s="7" t="str">
        <f>IFERROR(VLOOKUP($G1067,Mapping!$E$208:$K$236,7,0),"ENDirect")</f>
        <v>ENDirect</v>
      </c>
      <c r="N1067" s="7" t="str">
        <f>IFERROR(HLOOKUP(L1067,'Calc|Weightings'!$U$5:$W$5,1,0),"Excl")</f>
        <v>Contracts</v>
      </c>
      <c r="O1067" s="7" t="str">
        <f>VLOOKUP(E1067,Mapping!$E$11:$I$204,5,0)</f>
        <v>SCS</v>
      </c>
      <c r="Q1067" s="32" t="s">
        <v>210</v>
      </c>
      <c r="R1067" s="32"/>
      <c r="S1067" s="32">
        <v>71200</v>
      </c>
      <c r="T1067" s="32" t="s">
        <v>484</v>
      </c>
      <c r="U1067" s="33">
        <v>1.2290000000000001</v>
      </c>
      <c r="V1067" s="7"/>
      <c r="W1067" s="7" t="str">
        <f>VLOOKUP($Q1067,Mapping!$E$11:$I$204,3,0)</f>
        <v>Replacement</v>
      </c>
      <c r="X1067" s="7" t="str">
        <f>IFERROR(VLOOKUP($S1067,Mapping!$E$208:$K$236,5,0),"Contracts")</f>
        <v>Contracts</v>
      </c>
      <c r="Y1067" s="7" t="str">
        <f>IFERROR(VLOOKUP($S1067,Mapping!$E$208:$K$236,7,0),"ENDirect")</f>
        <v>ENDirect</v>
      </c>
      <c r="Z1067" s="7" t="str">
        <f>IFERROR(HLOOKUP(X1067,'Calc|Weightings'!$U$5:$W$5,1,0),"Excl")</f>
        <v>Contracts</v>
      </c>
      <c r="AA1067" s="7" t="str">
        <f>VLOOKUP(Q1067,Mapping!$E$11:$I$204,5,0)</f>
        <v>SCS</v>
      </c>
      <c r="AC1067" s="35" t="s">
        <v>201</v>
      </c>
      <c r="AD1067" s="35"/>
      <c r="AE1067" s="35">
        <v>70815</v>
      </c>
      <c r="AF1067" s="35" t="s">
        <v>451</v>
      </c>
      <c r="AG1067" s="36">
        <v>336.3</v>
      </c>
      <c r="AI1067" s="7" t="str">
        <f>VLOOKUP($AC1067,Mapping!$E$11:$I$204,3,0)</f>
        <v>Replacement</v>
      </c>
      <c r="AJ1067" s="7" t="str">
        <f>IFERROR(VLOOKUP($AE1067,Mapping!$E$208:$K$236,5,0),"Contracts")</f>
        <v>Materials</v>
      </c>
      <c r="AK1067" s="7" t="str">
        <f>IFERROR(VLOOKUP($AE1067,Mapping!$E$208:$K$236,7,0),"ENDirect")</f>
        <v>ENDirect</v>
      </c>
      <c r="AL1067" s="7" t="str">
        <f>IFERROR(HLOOKUP(AJ1067,'Calc|Weightings'!$U$5:$W$5,1,0),"Excl")</f>
        <v>Materials</v>
      </c>
      <c r="AM1067" s="7" t="str">
        <f>VLOOKUP(AC1067,Mapping!$E$11:$I$204,5,0)</f>
        <v>SCS</v>
      </c>
      <c r="AO1067" s="7"/>
      <c r="AP1067" s="7"/>
      <c r="AQ1067" s="7"/>
      <c r="AR1067" s="7"/>
      <c r="AS1067" s="7"/>
    </row>
    <row r="1068" spans="1:45" x14ac:dyDescent="0.3">
      <c r="A1068" s="7"/>
      <c r="B1068" s="7"/>
      <c r="C1068" s="7"/>
      <c r="D1068" s="7"/>
      <c r="E1068" s="32" t="s">
        <v>242</v>
      </c>
      <c r="F1068" s="32"/>
      <c r="G1068" s="32">
        <v>80000</v>
      </c>
      <c r="H1068" s="32" t="s">
        <v>453</v>
      </c>
      <c r="I1068" s="33">
        <v>18.797000000000001</v>
      </c>
      <c r="J1068" s="170"/>
      <c r="K1068" s="7" t="str">
        <f>VLOOKUP($E1068,Mapping!$E$11:$I$204,3,0)</f>
        <v>Replacement</v>
      </c>
      <c r="L1068" s="7" t="str">
        <f>IFERROR(VLOOKUP($G1068,Mapping!$E$208:$K$236,5,0),"Contracts")</f>
        <v>Overhead</v>
      </c>
      <c r="M1068" s="7" t="str">
        <f>IFERROR(VLOOKUP($G1068,Mapping!$E$208:$K$236,7,0),"ENDirect")</f>
        <v>OH</v>
      </c>
      <c r="N1068" s="7" t="str">
        <f>IFERROR(HLOOKUP(L1068,'Calc|Weightings'!$U$5:$W$5,1,0),"Excl")</f>
        <v>Excl</v>
      </c>
      <c r="O1068" s="7" t="str">
        <f>VLOOKUP(E1068,Mapping!$E$11:$I$204,5,0)</f>
        <v>SCS</v>
      </c>
      <c r="Q1068" s="32" t="s">
        <v>116</v>
      </c>
      <c r="R1068" s="32"/>
      <c r="S1068" s="32">
        <v>71015</v>
      </c>
      <c r="T1068" s="32" t="s">
        <v>463</v>
      </c>
      <c r="U1068" s="33">
        <v>2.4E-2</v>
      </c>
      <c r="V1068" s="7"/>
      <c r="W1068" s="7" t="str">
        <f>VLOOKUP($Q1068,Mapping!$E$11:$I$204,3,0)</f>
        <v>Connections</v>
      </c>
      <c r="X1068" s="7" t="str">
        <f>IFERROR(VLOOKUP($S1068,Mapping!$E$208:$K$236,5,0),"Contracts")</f>
        <v>Materials</v>
      </c>
      <c r="Y1068" s="7" t="str">
        <f>IFERROR(VLOOKUP($S1068,Mapping!$E$208:$K$236,7,0),"ENDirect")</f>
        <v>ENDirect</v>
      </c>
      <c r="Z1068" s="7" t="str">
        <f>IFERROR(HLOOKUP(X1068,'Calc|Weightings'!$U$5:$W$5,1,0),"Excl")</f>
        <v>Materials</v>
      </c>
      <c r="AA1068" s="7" t="str">
        <f>VLOOKUP(Q1068,Mapping!$E$11:$I$204,5,0)</f>
        <v>SCS</v>
      </c>
      <c r="AC1068" s="35" t="s">
        <v>202</v>
      </c>
      <c r="AD1068" s="35"/>
      <c r="AE1068" s="35">
        <v>70815</v>
      </c>
      <c r="AF1068" s="35" t="s">
        <v>451</v>
      </c>
      <c r="AG1068" s="36">
        <v>234.6</v>
      </c>
      <c r="AI1068" s="7" t="str">
        <f>VLOOKUP($AC1068,Mapping!$E$11:$I$204,3,0)</f>
        <v>Replacement</v>
      </c>
      <c r="AJ1068" s="7" t="str">
        <f>IFERROR(VLOOKUP($AE1068,Mapping!$E$208:$K$236,5,0),"Contracts")</f>
        <v>Materials</v>
      </c>
      <c r="AK1068" s="7" t="str">
        <f>IFERROR(VLOOKUP($AE1068,Mapping!$E$208:$K$236,7,0),"ENDirect")</f>
        <v>ENDirect</v>
      </c>
      <c r="AL1068" s="7" t="str">
        <f>IFERROR(HLOOKUP(AJ1068,'Calc|Weightings'!$U$5:$W$5,1,0),"Excl")</f>
        <v>Materials</v>
      </c>
      <c r="AM1068" s="7" t="str">
        <f>VLOOKUP(AC1068,Mapping!$E$11:$I$204,5,0)</f>
        <v>SCS</v>
      </c>
      <c r="AO1068" s="7"/>
      <c r="AP1068" s="7"/>
      <c r="AQ1068" s="7"/>
      <c r="AR1068" s="7"/>
      <c r="AS1068" s="7"/>
    </row>
    <row r="1069" spans="1:45" x14ac:dyDescent="0.3">
      <c r="A1069" s="7"/>
      <c r="B1069" s="7"/>
      <c r="C1069" s="7"/>
      <c r="D1069" s="7"/>
      <c r="E1069" s="32" t="s">
        <v>210</v>
      </c>
      <c r="F1069" s="32"/>
      <c r="G1069" s="32">
        <v>70810</v>
      </c>
      <c r="H1069" s="32" t="s">
        <v>472</v>
      </c>
      <c r="I1069" s="33">
        <v>0</v>
      </c>
      <c r="J1069" s="170"/>
      <c r="K1069" s="7" t="str">
        <f>VLOOKUP($E1069,Mapping!$E$11:$I$204,3,0)</f>
        <v>Replacement</v>
      </c>
      <c r="L1069" s="7" t="str">
        <f>IFERROR(VLOOKUP($G1069,Mapping!$E$208:$K$236,5,0),"Contracts")</f>
        <v>Materials</v>
      </c>
      <c r="M1069" s="7" t="str">
        <f>IFERROR(VLOOKUP($G1069,Mapping!$E$208:$K$236,7,0),"ENDirect")</f>
        <v>ENDirect</v>
      </c>
      <c r="N1069" s="7" t="str">
        <f>IFERROR(HLOOKUP(L1069,'Calc|Weightings'!$U$5:$W$5,1,0),"Excl")</f>
        <v>Materials</v>
      </c>
      <c r="O1069" s="7" t="str">
        <f>VLOOKUP(E1069,Mapping!$E$11:$I$204,5,0)</f>
        <v>SCS</v>
      </c>
      <c r="Q1069" s="32" t="s">
        <v>204</v>
      </c>
      <c r="R1069" s="32"/>
      <c r="S1069" s="32">
        <v>71010</v>
      </c>
      <c r="T1069" s="32" t="s">
        <v>462</v>
      </c>
      <c r="U1069" s="33">
        <v>2.6629999999999998</v>
      </c>
      <c r="V1069" s="7"/>
      <c r="W1069" s="7" t="str">
        <f>VLOOKUP($Q1069,Mapping!$E$11:$I$204,3,0)</f>
        <v>Replacement</v>
      </c>
      <c r="X1069" s="7" t="str">
        <f>IFERROR(VLOOKUP($S1069,Mapping!$E$208:$K$236,5,0),"Contracts")</f>
        <v>Labour</v>
      </c>
      <c r="Y1069" s="7" t="str">
        <f>IFERROR(VLOOKUP($S1069,Mapping!$E$208:$K$236,7,0),"ENDirect")</f>
        <v>ENDirect</v>
      </c>
      <c r="Z1069" s="7" t="str">
        <f>IFERROR(HLOOKUP(X1069,'Calc|Weightings'!$U$5:$W$5,1,0),"Excl")</f>
        <v>Labour</v>
      </c>
      <c r="AA1069" s="7" t="str">
        <f>VLOOKUP(Q1069,Mapping!$E$11:$I$204,5,0)</f>
        <v>SCS</v>
      </c>
      <c r="AC1069" s="35" t="s">
        <v>206</v>
      </c>
      <c r="AD1069" s="35"/>
      <c r="AE1069" s="35">
        <v>70815</v>
      </c>
      <c r="AF1069" s="35" t="s">
        <v>451</v>
      </c>
      <c r="AG1069" s="36">
        <v>41.3</v>
      </c>
      <c r="AI1069" s="7" t="str">
        <f>VLOOKUP($AC1069,Mapping!$E$11:$I$204,3,0)</f>
        <v>Replacement</v>
      </c>
      <c r="AJ1069" s="7" t="str">
        <f>IFERROR(VLOOKUP($AE1069,Mapping!$E$208:$K$236,5,0),"Contracts")</f>
        <v>Materials</v>
      </c>
      <c r="AK1069" s="7" t="str">
        <f>IFERROR(VLOOKUP($AE1069,Mapping!$E$208:$K$236,7,0),"ENDirect")</f>
        <v>ENDirect</v>
      </c>
      <c r="AL1069" s="7" t="str">
        <f>IFERROR(HLOOKUP(AJ1069,'Calc|Weightings'!$U$5:$W$5,1,0),"Excl")</f>
        <v>Materials</v>
      </c>
      <c r="AM1069" s="7" t="str">
        <f>VLOOKUP(AC1069,Mapping!$E$11:$I$204,5,0)</f>
        <v>SCS</v>
      </c>
      <c r="AO1069" s="7"/>
      <c r="AP1069" s="7"/>
      <c r="AQ1069" s="7"/>
      <c r="AR1069" s="7"/>
      <c r="AS1069" s="7"/>
    </row>
    <row r="1070" spans="1:45" x14ac:dyDescent="0.3">
      <c r="A1070" s="7"/>
      <c r="B1070" s="7"/>
      <c r="C1070" s="7"/>
      <c r="D1070" s="7"/>
      <c r="E1070" s="32" t="s">
        <v>267</v>
      </c>
      <c r="F1070" s="32"/>
      <c r="G1070" s="32">
        <v>71000</v>
      </c>
      <c r="H1070" s="32" t="s">
        <v>457</v>
      </c>
      <c r="I1070" s="33">
        <v>54.68</v>
      </c>
      <c r="J1070" s="170"/>
      <c r="K1070" s="7" t="str">
        <f>VLOOKUP($E1070,Mapping!$E$11:$I$204,3,0)</f>
        <v>Replacement</v>
      </c>
      <c r="L1070" s="7" t="str">
        <f>IFERROR(VLOOKUP($G1070,Mapping!$E$208:$K$236,5,0),"Contracts")</f>
        <v>Labour</v>
      </c>
      <c r="M1070" s="7" t="str">
        <f>IFERROR(VLOOKUP($G1070,Mapping!$E$208:$K$236,7,0),"ENDirect")</f>
        <v>ENDirect</v>
      </c>
      <c r="N1070" s="7" t="str">
        <f>IFERROR(HLOOKUP(L1070,'Calc|Weightings'!$U$5:$W$5,1,0),"Excl")</f>
        <v>Labour</v>
      </c>
      <c r="O1070" s="7" t="str">
        <f>VLOOKUP(E1070,Mapping!$E$11:$I$204,5,0)</f>
        <v>SCS</v>
      </c>
      <c r="Q1070" s="32" t="s">
        <v>204</v>
      </c>
      <c r="R1070" s="32"/>
      <c r="S1070" s="32">
        <v>71030</v>
      </c>
      <c r="T1070" s="32" t="s">
        <v>464</v>
      </c>
      <c r="U1070" s="33">
        <v>0.23400000000000001</v>
      </c>
      <c r="V1070" s="7"/>
      <c r="W1070" s="7" t="str">
        <f>VLOOKUP($Q1070,Mapping!$E$11:$I$204,3,0)</f>
        <v>Replacement</v>
      </c>
      <c r="X1070" s="7" t="str">
        <f>IFERROR(VLOOKUP($S1070,Mapping!$E$208:$K$236,5,0),"Contracts")</f>
        <v>Contracts</v>
      </c>
      <c r="Y1070" s="7" t="str">
        <f>IFERROR(VLOOKUP($S1070,Mapping!$E$208:$K$236,7,0),"ENDirect")</f>
        <v>ENDirect</v>
      </c>
      <c r="Z1070" s="7" t="str">
        <f>IFERROR(HLOOKUP(X1070,'Calc|Weightings'!$U$5:$W$5,1,0),"Excl")</f>
        <v>Contracts</v>
      </c>
      <c r="AA1070" s="7" t="str">
        <f>VLOOKUP(Q1070,Mapping!$E$11:$I$204,5,0)</f>
        <v>SCS</v>
      </c>
      <c r="AC1070" s="35" t="s">
        <v>227</v>
      </c>
      <c r="AD1070" s="35"/>
      <c r="AE1070" s="35">
        <v>70815</v>
      </c>
      <c r="AF1070" s="35" t="s">
        <v>451</v>
      </c>
      <c r="AG1070" s="36">
        <v>110.5</v>
      </c>
      <c r="AI1070" s="7" t="str">
        <f>VLOOKUP($AC1070,Mapping!$E$11:$I$204,3,0)</f>
        <v>Replacement</v>
      </c>
      <c r="AJ1070" s="7" t="str">
        <f>IFERROR(VLOOKUP($AE1070,Mapping!$E$208:$K$236,5,0),"Contracts")</f>
        <v>Materials</v>
      </c>
      <c r="AK1070" s="7" t="str">
        <f>IFERROR(VLOOKUP($AE1070,Mapping!$E$208:$K$236,7,0),"ENDirect")</f>
        <v>ENDirect</v>
      </c>
      <c r="AL1070" s="7" t="str">
        <f>IFERROR(HLOOKUP(AJ1070,'Calc|Weightings'!$U$5:$W$5,1,0),"Excl")</f>
        <v>Materials</v>
      </c>
      <c r="AM1070" s="7" t="str">
        <f>VLOOKUP(AC1070,Mapping!$E$11:$I$204,5,0)</f>
        <v>SCS</v>
      </c>
      <c r="AO1070" s="7"/>
      <c r="AP1070" s="7"/>
      <c r="AQ1070" s="7"/>
      <c r="AR1070" s="7"/>
      <c r="AS1070" s="7"/>
    </row>
    <row r="1071" spans="1:45" x14ac:dyDescent="0.3">
      <c r="A1071" s="7"/>
      <c r="B1071" s="7"/>
      <c r="C1071" s="7"/>
      <c r="D1071" s="7"/>
      <c r="E1071" s="32" t="s">
        <v>267</v>
      </c>
      <c r="F1071" s="32"/>
      <c r="G1071" s="32">
        <v>71020</v>
      </c>
      <c r="H1071" s="32" t="s">
        <v>459</v>
      </c>
      <c r="I1071" s="33">
        <v>274.28800000000001</v>
      </c>
      <c r="J1071" s="170"/>
      <c r="K1071" s="7" t="str">
        <f>VLOOKUP($E1071,Mapping!$E$11:$I$204,3,0)</f>
        <v>Replacement</v>
      </c>
      <c r="L1071" s="7" t="str">
        <f>IFERROR(VLOOKUP($G1071,Mapping!$E$208:$K$236,5,0),"Contracts")</f>
        <v>Contracts</v>
      </c>
      <c r="M1071" s="7" t="str">
        <f>IFERROR(VLOOKUP($G1071,Mapping!$E$208:$K$236,7,0),"ENDirect")</f>
        <v>ENDirect</v>
      </c>
      <c r="N1071" s="7" t="str">
        <f>IFERROR(HLOOKUP(L1071,'Calc|Weightings'!$U$5:$W$5,1,0),"Excl")</f>
        <v>Contracts</v>
      </c>
      <c r="O1071" s="7" t="str">
        <f>VLOOKUP(E1071,Mapping!$E$11:$I$204,5,0)</f>
        <v>SCS</v>
      </c>
      <c r="Q1071" s="32" t="s">
        <v>204</v>
      </c>
      <c r="R1071" s="32"/>
      <c r="S1071" s="32">
        <v>71055</v>
      </c>
      <c r="T1071" s="32" t="s">
        <v>465</v>
      </c>
      <c r="U1071" s="33">
        <v>0.68500000000000005</v>
      </c>
      <c r="V1071" s="7"/>
      <c r="W1071" s="7" t="str">
        <f>VLOOKUP($Q1071,Mapping!$E$11:$I$204,3,0)</f>
        <v>Replacement</v>
      </c>
      <c r="X1071" s="7" t="str">
        <f>IFERROR(VLOOKUP($S1071,Mapping!$E$208:$K$236,5,0),"Contracts")</f>
        <v>Contracts</v>
      </c>
      <c r="Y1071" s="7" t="str">
        <f>IFERROR(VLOOKUP($S1071,Mapping!$E$208:$K$236,7,0),"ENDirect")</f>
        <v>ENDirect</v>
      </c>
      <c r="Z1071" s="7" t="str">
        <f>IFERROR(HLOOKUP(X1071,'Calc|Weightings'!$U$5:$W$5,1,0),"Excl")</f>
        <v>Contracts</v>
      </c>
      <c r="AA1071" s="7" t="str">
        <f>VLOOKUP(Q1071,Mapping!$E$11:$I$204,5,0)</f>
        <v>SCS</v>
      </c>
      <c r="AC1071" s="35" t="s">
        <v>230</v>
      </c>
      <c r="AD1071" s="35"/>
      <c r="AE1071" s="35">
        <v>70815</v>
      </c>
      <c r="AF1071" s="35" t="s">
        <v>451</v>
      </c>
      <c r="AG1071" s="36">
        <v>175.4</v>
      </c>
      <c r="AI1071" s="7" t="str">
        <f>VLOOKUP($AC1071,Mapping!$E$11:$I$204,3,0)</f>
        <v>Replacement</v>
      </c>
      <c r="AJ1071" s="7" t="str">
        <f>IFERROR(VLOOKUP($AE1071,Mapping!$E$208:$K$236,5,0),"Contracts")</f>
        <v>Materials</v>
      </c>
      <c r="AK1071" s="7" t="str">
        <f>IFERROR(VLOOKUP($AE1071,Mapping!$E$208:$K$236,7,0),"ENDirect")</f>
        <v>ENDirect</v>
      </c>
      <c r="AL1071" s="7" t="str">
        <f>IFERROR(HLOOKUP(AJ1071,'Calc|Weightings'!$U$5:$W$5,1,0),"Excl")</f>
        <v>Materials</v>
      </c>
      <c r="AM1071" s="7" t="str">
        <f>VLOOKUP(AC1071,Mapping!$E$11:$I$204,5,0)</f>
        <v>SCS</v>
      </c>
      <c r="AO1071" s="7"/>
      <c r="AP1071" s="7"/>
      <c r="AQ1071" s="7"/>
      <c r="AR1071" s="7"/>
      <c r="AS1071" s="7"/>
    </row>
    <row r="1072" spans="1:45" x14ac:dyDescent="0.3">
      <c r="A1072" s="7"/>
      <c r="B1072" s="7"/>
      <c r="C1072" s="7"/>
      <c r="D1072" s="7"/>
      <c r="E1072" s="32" t="s">
        <v>267</v>
      </c>
      <c r="F1072" s="32"/>
      <c r="G1072" s="32">
        <v>71030</v>
      </c>
      <c r="H1072" s="32" t="s">
        <v>464</v>
      </c>
      <c r="I1072" s="33">
        <v>24.718</v>
      </c>
      <c r="J1072" s="170"/>
      <c r="K1072" s="7" t="str">
        <f>VLOOKUP($E1072,Mapping!$E$11:$I$204,3,0)</f>
        <v>Replacement</v>
      </c>
      <c r="L1072" s="7" t="str">
        <f>IFERROR(VLOOKUP($G1072,Mapping!$E$208:$K$236,5,0),"Contracts")</f>
        <v>Contracts</v>
      </c>
      <c r="M1072" s="7" t="str">
        <f>IFERROR(VLOOKUP($G1072,Mapping!$E$208:$K$236,7,0),"ENDirect")</f>
        <v>ENDirect</v>
      </c>
      <c r="N1072" s="7" t="str">
        <f>IFERROR(HLOOKUP(L1072,'Calc|Weightings'!$U$5:$W$5,1,0),"Excl")</f>
        <v>Contracts</v>
      </c>
      <c r="O1072" s="7" t="str">
        <f>VLOOKUP(E1072,Mapping!$E$11:$I$204,5,0)</f>
        <v>SCS</v>
      </c>
      <c r="Q1072" s="32" t="s">
        <v>204</v>
      </c>
      <c r="R1072" s="32"/>
      <c r="S1072" s="32">
        <v>80000</v>
      </c>
      <c r="T1072" s="32" t="s">
        <v>453</v>
      </c>
      <c r="U1072" s="33">
        <v>0.38100000000000001</v>
      </c>
      <c r="V1072" s="7"/>
      <c r="W1072" s="7" t="str">
        <f>VLOOKUP($Q1072,Mapping!$E$11:$I$204,3,0)</f>
        <v>Replacement</v>
      </c>
      <c r="X1072" s="7" t="str">
        <f>IFERROR(VLOOKUP($S1072,Mapping!$E$208:$K$236,5,0),"Contracts")</f>
        <v>Overhead</v>
      </c>
      <c r="Y1072" s="7" t="str">
        <f>IFERROR(VLOOKUP($S1072,Mapping!$E$208:$K$236,7,0),"ENDirect")</f>
        <v>OH</v>
      </c>
      <c r="Z1072" s="7" t="str">
        <f>IFERROR(HLOOKUP(X1072,'Calc|Weightings'!$U$5:$W$5,1,0),"Excl")</f>
        <v>Excl</v>
      </c>
      <c r="AA1072" s="7" t="str">
        <f>VLOOKUP(Q1072,Mapping!$E$11:$I$204,5,0)</f>
        <v>SCS</v>
      </c>
      <c r="AC1072" s="35" t="s">
        <v>231</v>
      </c>
      <c r="AD1072" s="35"/>
      <c r="AE1072" s="35">
        <v>70815</v>
      </c>
      <c r="AF1072" s="35" t="s">
        <v>451</v>
      </c>
      <c r="AG1072" s="36">
        <v>29.6</v>
      </c>
      <c r="AI1072" s="7" t="str">
        <f>VLOOKUP($AC1072,Mapping!$E$11:$I$204,3,0)</f>
        <v>Replacement</v>
      </c>
      <c r="AJ1072" s="7" t="str">
        <f>IFERROR(VLOOKUP($AE1072,Mapping!$E$208:$K$236,5,0),"Contracts")</f>
        <v>Materials</v>
      </c>
      <c r="AK1072" s="7" t="str">
        <f>IFERROR(VLOOKUP($AE1072,Mapping!$E$208:$K$236,7,0),"ENDirect")</f>
        <v>ENDirect</v>
      </c>
      <c r="AL1072" s="7" t="str">
        <f>IFERROR(HLOOKUP(AJ1072,'Calc|Weightings'!$U$5:$W$5,1,0),"Excl")</f>
        <v>Materials</v>
      </c>
      <c r="AM1072" s="7" t="str">
        <f>VLOOKUP(AC1072,Mapping!$E$11:$I$204,5,0)</f>
        <v>SCS</v>
      </c>
      <c r="AO1072" s="7"/>
      <c r="AP1072" s="7"/>
      <c r="AQ1072" s="7"/>
      <c r="AR1072" s="7"/>
      <c r="AS1072" s="7"/>
    </row>
    <row r="1073" spans="1:45" x14ac:dyDescent="0.3">
      <c r="A1073" s="7"/>
      <c r="B1073" s="7"/>
      <c r="C1073" s="7"/>
      <c r="D1073" s="7"/>
      <c r="E1073" s="32" t="s">
        <v>267</v>
      </c>
      <c r="F1073" s="32"/>
      <c r="G1073" s="32">
        <v>80000</v>
      </c>
      <c r="H1073" s="32" t="s">
        <v>453</v>
      </c>
      <c r="I1073" s="33">
        <v>36.753</v>
      </c>
      <c r="J1073" s="170"/>
      <c r="K1073" s="7" t="str">
        <f>VLOOKUP($E1073,Mapping!$E$11:$I$204,3,0)</f>
        <v>Replacement</v>
      </c>
      <c r="L1073" s="7" t="str">
        <f>IFERROR(VLOOKUP($G1073,Mapping!$E$208:$K$236,5,0),"Contracts")</f>
        <v>Overhead</v>
      </c>
      <c r="M1073" s="7" t="str">
        <f>IFERROR(VLOOKUP($G1073,Mapping!$E$208:$K$236,7,0),"ENDirect")</f>
        <v>OH</v>
      </c>
      <c r="N1073" s="7" t="str">
        <f>IFERROR(HLOOKUP(L1073,'Calc|Weightings'!$U$5:$W$5,1,0),"Excl")</f>
        <v>Excl</v>
      </c>
      <c r="O1073" s="7" t="str">
        <f>VLOOKUP(E1073,Mapping!$E$11:$I$204,5,0)</f>
        <v>SCS</v>
      </c>
      <c r="Q1073" s="32" t="s">
        <v>204</v>
      </c>
      <c r="R1073" s="32"/>
      <c r="S1073" s="32">
        <v>89999</v>
      </c>
      <c r="T1073" s="32" t="s">
        <v>471</v>
      </c>
      <c r="U1073" s="33">
        <v>1E-3</v>
      </c>
      <c r="V1073" s="7"/>
      <c r="W1073" s="7" t="str">
        <f>VLOOKUP($Q1073,Mapping!$E$11:$I$204,3,0)</f>
        <v>Replacement</v>
      </c>
      <c r="X1073" s="7" t="str">
        <f>IFERROR(VLOOKUP($S1073,Mapping!$E$208:$K$236,5,0),"Contracts")</f>
        <v>Contracts</v>
      </c>
      <c r="Y1073" s="7" t="str">
        <f>IFERROR(VLOOKUP($S1073,Mapping!$E$208:$K$236,7,0),"ENDirect")</f>
        <v>ENDirect</v>
      </c>
      <c r="Z1073" s="7" t="str">
        <f>IFERROR(HLOOKUP(X1073,'Calc|Weightings'!$U$5:$W$5,1,0),"Excl")</f>
        <v>Contracts</v>
      </c>
      <c r="AA1073" s="7" t="str">
        <f>VLOOKUP(Q1073,Mapping!$E$11:$I$204,5,0)</f>
        <v>SCS</v>
      </c>
      <c r="AC1073" s="35" t="s">
        <v>234</v>
      </c>
      <c r="AD1073" s="35"/>
      <c r="AE1073" s="35">
        <v>70815</v>
      </c>
      <c r="AF1073" s="35" t="s">
        <v>451</v>
      </c>
      <c r="AG1073" s="36">
        <v>488</v>
      </c>
      <c r="AI1073" s="7" t="str">
        <f>VLOOKUP($AC1073,Mapping!$E$11:$I$204,3,0)</f>
        <v>Replacement</v>
      </c>
      <c r="AJ1073" s="7" t="str">
        <f>IFERROR(VLOOKUP($AE1073,Mapping!$E$208:$K$236,5,0),"Contracts")</f>
        <v>Materials</v>
      </c>
      <c r="AK1073" s="7" t="str">
        <f>IFERROR(VLOOKUP($AE1073,Mapping!$E$208:$K$236,7,0),"ENDirect")</f>
        <v>ENDirect</v>
      </c>
      <c r="AL1073" s="7" t="str">
        <f>IFERROR(HLOOKUP(AJ1073,'Calc|Weightings'!$U$5:$W$5,1,0),"Excl")</f>
        <v>Materials</v>
      </c>
      <c r="AM1073" s="7" t="str">
        <f>VLOOKUP(AC1073,Mapping!$E$11:$I$204,5,0)</f>
        <v>SCS</v>
      </c>
      <c r="AO1073" s="7"/>
      <c r="AP1073" s="7"/>
      <c r="AQ1073" s="7"/>
      <c r="AR1073" s="7"/>
      <c r="AS1073" s="7"/>
    </row>
    <row r="1074" spans="1:45" x14ac:dyDescent="0.3">
      <c r="A1074" s="7"/>
      <c r="B1074" s="7"/>
      <c r="C1074" s="7"/>
      <c r="D1074" s="7"/>
      <c r="E1074" s="32" t="s">
        <v>159</v>
      </c>
      <c r="F1074" s="32"/>
      <c r="G1074" s="32">
        <v>70810</v>
      </c>
      <c r="H1074" s="32" t="s">
        <v>472</v>
      </c>
      <c r="I1074" s="33">
        <v>0</v>
      </c>
      <c r="J1074" s="170"/>
      <c r="K1074" s="7" t="str">
        <f>VLOOKUP($E1074,Mapping!$E$11:$I$204,3,0)</f>
        <v>Replacement</v>
      </c>
      <c r="L1074" s="7" t="str">
        <f>IFERROR(VLOOKUP($G1074,Mapping!$E$208:$K$236,5,0),"Contracts")</f>
        <v>Materials</v>
      </c>
      <c r="M1074" s="7" t="str">
        <f>IFERROR(VLOOKUP($G1074,Mapping!$E$208:$K$236,7,0),"ENDirect")</f>
        <v>ENDirect</v>
      </c>
      <c r="N1074" s="7" t="str">
        <f>IFERROR(HLOOKUP(L1074,'Calc|Weightings'!$U$5:$W$5,1,0),"Excl")</f>
        <v>Materials</v>
      </c>
      <c r="O1074" s="7" t="str">
        <f>VLOOKUP(E1074,Mapping!$E$11:$I$204,5,0)</f>
        <v>SCS</v>
      </c>
      <c r="Q1074" s="32" t="s">
        <v>546</v>
      </c>
      <c r="R1074" s="32"/>
      <c r="S1074" s="32">
        <v>70815</v>
      </c>
      <c r="T1074" s="32" t="s">
        <v>451</v>
      </c>
      <c r="U1074" s="33">
        <v>191.79599999999999</v>
      </c>
      <c r="V1074" s="7"/>
      <c r="W1074" s="7" t="str">
        <f>VLOOKUP($Q1074,Mapping!$E$11:$I$204,3,0)</f>
        <v>Connections</v>
      </c>
      <c r="X1074" s="7" t="str">
        <f>IFERROR(VLOOKUP($S1074,Mapping!$E$208:$K$236,5,0),"Contracts")</f>
        <v>Materials</v>
      </c>
      <c r="Y1074" s="7" t="str">
        <f>IFERROR(VLOOKUP($S1074,Mapping!$E$208:$K$236,7,0),"ENDirect")</f>
        <v>ENDirect</v>
      </c>
      <c r="Z1074" s="7" t="str">
        <f>IFERROR(HLOOKUP(X1074,'Calc|Weightings'!$U$5:$W$5,1,0),"Excl")</f>
        <v>Materials</v>
      </c>
      <c r="AA1074" s="7" t="str">
        <f>VLOOKUP(Q1074,Mapping!$E$11:$I$204,5,0)</f>
        <v>SCS</v>
      </c>
      <c r="AC1074" s="35" t="s">
        <v>240</v>
      </c>
      <c r="AD1074" s="35"/>
      <c r="AE1074" s="35">
        <v>70815</v>
      </c>
      <c r="AF1074" s="35" t="s">
        <v>451</v>
      </c>
      <c r="AG1074" s="36">
        <v>36.9</v>
      </c>
      <c r="AI1074" s="7" t="str">
        <f>VLOOKUP($AC1074,Mapping!$E$11:$I$204,3,0)</f>
        <v>Replacement</v>
      </c>
      <c r="AJ1074" s="7" t="str">
        <f>IFERROR(VLOOKUP($AE1074,Mapping!$E$208:$K$236,5,0),"Contracts")</f>
        <v>Materials</v>
      </c>
      <c r="AK1074" s="7" t="str">
        <f>IFERROR(VLOOKUP($AE1074,Mapping!$E$208:$K$236,7,0),"ENDirect")</f>
        <v>ENDirect</v>
      </c>
      <c r="AL1074" s="7" t="str">
        <f>IFERROR(HLOOKUP(AJ1074,'Calc|Weightings'!$U$5:$W$5,1,0),"Excl")</f>
        <v>Materials</v>
      </c>
      <c r="AM1074" s="7" t="str">
        <f>VLOOKUP(AC1074,Mapping!$E$11:$I$204,5,0)</f>
        <v>SCS</v>
      </c>
      <c r="AO1074" s="7"/>
      <c r="AP1074" s="7"/>
      <c r="AQ1074" s="7"/>
      <c r="AR1074" s="7"/>
      <c r="AS1074" s="7"/>
    </row>
    <row r="1075" spans="1:45" x14ac:dyDescent="0.3">
      <c r="A1075" s="7"/>
      <c r="B1075" s="7"/>
      <c r="C1075" s="7"/>
      <c r="D1075" s="7"/>
      <c r="E1075" s="32" t="s">
        <v>127</v>
      </c>
      <c r="F1075" s="32"/>
      <c r="G1075" s="32">
        <v>71030</v>
      </c>
      <c r="H1075" s="32" t="s">
        <v>464</v>
      </c>
      <c r="I1075" s="33">
        <v>0.28199999999999997</v>
      </c>
      <c r="J1075" s="170"/>
      <c r="K1075" s="7" t="str">
        <f>VLOOKUP($E1075,Mapping!$E$11:$I$204,3,0)</f>
        <v>Non-network general assets - Other</v>
      </c>
      <c r="L1075" s="7" t="str">
        <f>IFERROR(VLOOKUP($G1075,Mapping!$E$208:$K$236,5,0),"Contracts")</f>
        <v>Contracts</v>
      </c>
      <c r="M1075" s="7" t="str">
        <f>IFERROR(VLOOKUP($G1075,Mapping!$E$208:$K$236,7,0),"ENDirect")</f>
        <v>ENDirect</v>
      </c>
      <c r="N1075" s="7" t="str">
        <f>IFERROR(HLOOKUP(L1075,'Calc|Weightings'!$U$5:$W$5,1,0),"Excl")</f>
        <v>Contracts</v>
      </c>
      <c r="O1075" s="7" t="str">
        <f>VLOOKUP(E1075,Mapping!$E$11:$I$204,5,0)</f>
        <v>SCS</v>
      </c>
      <c r="Q1075" s="32" t="s">
        <v>121</v>
      </c>
      <c r="R1075" s="32"/>
      <c r="S1075" s="32">
        <v>70815</v>
      </c>
      <c r="T1075" s="32" t="s">
        <v>451</v>
      </c>
      <c r="U1075" s="33">
        <v>26.341999999999999</v>
      </c>
      <c r="V1075" s="7"/>
      <c r="W1075" s="7" t="str">
        <f>VLOOKUP($Q1075,Mapping!$E$11:$I$204,3,0)</f>
        <v>Augmentation</v>
      </c>
      <c r="X1075" s="7" t="str">
        <f>IFERROR(VLOOKUP($S1075,Mapping!$E$208:$K$236,5,0),"Contracts")</f>
        <v>Materials</v>
      </c>
      <c r="Y1075" s="7" t="str">
        <f>IFERROR(VLOOKUP($S1075,Mapping!$E$208:$K$236,7,0),"ENDirect")</f>
        <v>ENDirect</v>
      </c>
      <c r="Z1075" s="7" t="str">
        <f>IFERROR(HLOOKUP(X1075,'Calc|Weightings'!$U$5:$W$5,1,0),"Excl")</f>
        <v>Materials</v>
      </c>
      <c r="AA1075" s="7" t="str">
        <f>VLOOKUP(Q1075,Mapping!$E$11:$I$204,5,0)</f>
        <v>SCS</v>
      </c>
      <c r="AC1075" s="35" t="s">
        <v>246</v>
      </c>
      <c r="AD1075" s="35"/>
      <c r="AE1075" s="35">
        <v>71000</v>
      </c>
      <c r="AF1075" s="35" t="s">
        <v>457</v>
      </c>
      <c r="AG1075" s="36">
        <v>5.1539999999999999</v>
      </c>
      <c r="AI1075" s="7" t="str">
        <f>VLOOKUP($AC1075,Mapping!$E$11:$I$204,3,0)</f>
        <v>ACS</v>
      </c>
      <c r="AJ1075" s="7" t="str">
        <f>IFERROR(VLOOKUP($AE1075,Mapping!$E$208:$K$236,5,0),"Contracts")</f>
        <v>Labour</v>
      </c>
      <c r="AK1075" s="7" t="str">
        <f>IFERROR(VLOOKUP($AE1075,Mapping!$E$208:$K$236,7,0),"ENDirect")</f>
        <v>ENDirect</v>
      </c>
      <c r="AL1075" s="7" t="str">
        <f>IFERROR(HLOOKUP(AJ1075,'Calc|Weightings'!$U$5:$W$5,1,0),"Excl")</f>
        <v>Labour</v>
      </c>
      <c r="AM1075" s="7" t="str">
        <f>VLOOKUP(AC1075,Mapping!$E$11:$I$204,5,0)</f>
        <v>ACS</v>
      </c>
      <c r="AO1075" s="7"/>
      <c r="AP1075" s="7"/>
      <c r="AQ1075" s="7"/>
      <c r="AR1075" s="7"/>
      <c r="AS1075" s="7"/>
    </row>
    <row r="1076" spans="1:45" x14ac:dyDescent="0.3">
      <c r="A1076" s="7"/>
      <c r="B1076" s="7"/>
      <c r="C1076" s="7"/>
      <c r="D1076" s="7"/>
      <c r="E1076" s="32" t="s">
        <v>127</v>
      </c>
      <c r="F1076" s="32"/>
      <c r="G1076" s="32">
        <v>80000</v>
      </c>
      <c r="H1076" s="32" t="s">
        <v>453</v>
      </c>
      <c r="I1076" s="33">
        <v>0.42599999999999999</v>
      </c>
      <c r="J1076" s="170"/>
      <c r="K1076" s="7" t="str">
        <f>VLOOKUP($E1076,Mapping!$E$11:$I$204,3,0)</f>
        <v>Non-network general assets - Other</v>
      </c>
      <c r="L1076" s="7" t="str">
        <f>IFERROR(VLOOKUP($G1076,Mapping!$E$208:$K$236,5,0),"Contracts")</f>
        <v>Overhead</v>
      </c>
      <c r="M1076" s="7" t="str">
        <f>IFERROR(VLOOKUP($G1076,Mapping!$E$208:$K$236,7,0),"ENDirect")</f>
        <v>OH</v>
      </c>
      <c r="N1076" s="7" t="str">
        <f>IFERROR(HLOOKUP(L1076,'Calc|Weightings'!$U$5:$W$5,1,0),"Excl")</f>
        <v>Excl</v>
      </c>
      <c r="O1076" s="7" t="str">
        <f>VLOOKUP(E1076,Mapping!$E$11:$I$204,5,0)</f>
        <v>SCS</v>
      </c>
      <c r="Q1076" s="32" t="s">
        <v>145</v>
      </c>
      <c r="R1076" s="32"/>
      <c r="S1076" s="32">
        <v>70815</v>
      </c>
      <c r="T1076" s="32" t="s">
        <v>451</v>
      </c>
      <c r="U1076" s="33">
        <v>26.134</v>
      </c>
      <c r="V1076" s="7"/>
      <c r="W1076" s="7" t="str">
        <f>VLOOKUP($Q1076,Mapping!$E$11:$I$204,3,0)</f>
        <v>Augmentation</v>
      </c>
      <c r="X1076" s="7" t="str">
        <f>IFERROR(VLOOKUP($S1076,Mapping!$E$208:$K$236,5,0),"Contracts")</f>
        <v>Materials</v>
      </c>
      <c r="Y1076" s="7" t="str">
        <f>IFERROR(VLOOKUP($S1076,Mapping!$E$208:$K$236,7,0),"ENDirect")</f>
        <v>ENDirect</v>
      </c>
      <c r="Z1076" s="7" t="str">
        <f>IFERROR(HLOOKUP(X1076,'Calc|Weightings'!$U$5:$W$5,1,0),"Excl")</f>
        <v>Materials</v>
      </c>
      <c r="AA1076" s="7" t="str">
        <f>VLOOKUP(Q1076,Mapping!$E$11:$I$204,5,0)</f>
        <v>SCS</v>
      </c>
      <c r="AC1076" s="35" t="s">
        <v>246</v>
      </c>
      <c r="AD1076" s="35"/>
      <c r="AE1076" s="35">
        <v>71005</v>
      </c>
      <c r="AF1076" s="35" t="s">
        <v>461</v>
      </c>
      <c r="AG1076" s="36">
        <v>1.2549999999999999</v>
      </c>
      <c r="AI1076" s="7" t="str">
        <f>VLOOKUP($AC1076,Mapping!$E$11:$I$204,3,0)</f>
        <v>ACS</v>
      </c>
      <c r="AJ1076" s="7" t="str">
        <f>IFERROR(VLOOKUP($AE1076,Mapping!$E$208:$K$236,5,0),"Contracts")</f>
        <v>Materials</v>
      </c>
      <c r="AK1076" s="7" t="str">
        <f>IFERROR(VLOOKUP($AE1076,Mapping!$E$208:$K$236,7,0),"ENDirect")</f>
        <v>ENDirect</v>
      </c>
      <c r="AL1076" s="7" t="str">
        <f>IFERROR(HLOOKUP(AJ1076,'Calc|Weightings'!$U$5:$W$5,1,0),"Excl")</f>
        <v>Materials</v>
      </c>
      <c r="AM1076" s="7" t="str">
        <f>VLOOKUP(AC1076,Mapping!$E$11:$I$204,5,0)</f>
        <v>ACS</v>
      </c>
      <c r="AO1076" s="7"/>
      <c r="AP1076" s="7"/>
      <c r="AQ1076" s="7"/>
      <c r="AR1076" s="7"/>
      <c r="AS1076" s="7"/>
    </row>
    <row r="1077" spans="1:45" x14ac:dyDescent="0.3">
      <c r="A1077" s="7"/>
      <c r="B1077" s="7"/>
      <c r="C1077" s="7"/>
      <c r="D1077" s="7"/>
      <c r="E1077" s="32" t="s">
        <v>143</v>
      </c>
      <c r="F1077" s="32"/>
      <c r="G1077" s="32">
        <v>71000</v>
      </c>
      <c r="H1077" s="32" t="s">
        <v>457</v>
      </c>
      <c r="I1077" s="33">
        <v>0</v>
      </c>
      <c r="J1077" s="170"/>
      <c r="K1077" s="7" t="str">
        <f>VLOOKUP($E1077,Mapping!$E$11:$I$204,3,0)</f>
        <v>ACS</v>
      </c>
      <c r="L1077" s="7" t="str">
        <f>IFERROR(VLOOKUP($G1077,Mapping!$E$208:$K$236,5,0),"Contracts")</f>
        <v>Labour</v>
      </c>
      <c r="M1077" s="7" t="str">
        <f>IFERROR(VLOOKUP($G1077,Mapping!$E$208:$K$236,7,0),"ENDirect")</f>
        <v>ENDirect</v>
      </c>
      <c r="N1077" s="7" t="str">
        <f>IFERROR(HLOOKUP(L1077,'Calc|Weightings'!$U$5:$W$5,1,0),"Excl")</f>
        <v>Labour</v>
      </c>
      <c r="O1077" s="7" t="str">
        <f>VLOOKUP(E1077,Mapping!$E$11:$I$204,5,0)</f>
        <v>ACS</v>
      </c>
      <c r="Q1077" s="32" t="s">
        <v>165</v>
      </c>
      <c r="R1077" s="32"/>
      <c r="S1077" s="32">
        <v>70815</v>
      </c>
      <c r="T1077" s="32" t="s">
        <v>451</v>
      </c>
      <c r="U1077" s="33">
        <v>73.004999999999995</v>
      </c>
      <c r="V1077" s="7"/>
      <c r="W1077" s="7" t="str">
        <f>VLOOKUP($Q1077,Mapping!$E$11:$I$204,3,0)</f>
        <v>Replacement</v>
      </c>
      <c r="X1077" s="7" t="str">
        <f>IFERROR(VLOOKUP($S1077,Mapping!$E$208:$K$236,5,0),"Contracts")</f>
        <v>Materials</v>
      </c>
      <c r="Y1077" s="7" t="str">
        <f>IFERROR(VLOOKUP($S1077,Mapping!$E$208:$K$236,7,0),"ENDirect")</f>
        <v>ENDirect</v>
      </c>
      <c r="Z1077" s="7" t="str">
        <f>IFERROR(HLOOKUP(X1077,'Calc|Weightings'!$U$5:$W$5,1,0),"Excl")</f>
        <v>Materials</v>
      </c>
      <c r="AA1077" s="7" t="str">
        <f>VLOOKUP(Q1077,Mapping!$E$11:$I$204,5,0)</f>
        <v>SCS</v>
      </c>
      <c r="AC1077" s="35" t="s">
        <v>246</v>
      </c>
      <c r="AD1077" s="35"/>
      <c r="AE1077" s="35">
        <v>71010</v>
      </c>
      <c r="AF1077" s="35" t="s">
        <v>462</v>
      </c>
      <c r="AG1077" s="36">
        <v>0.17699999999999999</v>
      </c>
      <c r="AI1077" s="7" t="str">
        <f>VLOOKUP($AC1077,Mapping!$E$11:$I$204,3,0)</f>
        <v>ACS</v>
      </c>
      <c r="AJ1077" s="7" t="str">
        <f>IFERROR(VLOOKUP($AE1077,Mapping!$E$208:$K$236,5,0),"Contracts")</f>
        <v>Labour</v>
      </c>
      <c r="AK1077" s="7" t="str">
        <f>IFERROR(VLOOKUP($AE1077,Mapping!$E$208:$K$236,7,0),"ENDirect")</f>
        <v>ENDirect</v>
      </c>
      <c r="AL1077" s="7" t="str">
        <f>IFERROR(HLOOKUP(AJ1077,'Calc|Weightings'!$U$5:$W$5,1,0),"Excl")</f>
        <v>Labour</v>
      </c>
      <c r="AM1077" s="7" t="str">
        <f>VLOOKUP(AC1077,Mapping!$E$11:$I$204,5,0)</f>
        <v>ACS</v>
      </c>
      <c r="AO1077" s="7"/>
      <c r="AP1077" s="7"/>
      <c r="AQ1077" s="7"/>
      <c r="AR1077" s="7"/>
      <c r="AS1077" s="7"/>
    </row>
    <row r="1078" spans="1:45" x14ac:dyDescent="0.3">
      <c r="A1078" s="7"/>
      <c r="B1078" s="7"/>
      <c r="C1078" s="7"/>
      <c r="D1078" s="7"/>
      <c r="E1078" s="32" t="s">
        <v>127</v>
      </c>
      <c r="F1078" s="32"/>
      <c r="G1078" s="32">
        <v>74099</v>
      </c>
      <c r="H1078" s="32" t="s">
        <v>473</v>
      </c>
      <c r="I1078" s="33">
        <v>1.5</v>
      </c>
      <c r="J1078" s="170"/>
      <c r="K1078" s="7" t="str">
        <f>VLOOKUP($E1078,Mapping!$E$11:$I$204,3,0)</f>
        <v>Non-network general assets - Other</v>
      </c>
      <c r="L1078" s="7" t="str">
        <f>IFERROR(VLOOKUP($G1078,Mapping!$E$208:$K$236,5,0),"Contracts")</f>
        <v>Contracts</v>
      </c>
      <c r="M1078" s="7" t="str">
        <f>IFERROR(VLOOKUP($G1078,Mapping!$E$208:$K$236,7,0),"ENDirect")</f>
        <v>ENDirect</v>
      </c>
      <c r="N1078" s="7" t="str">
        <f>IFERROR(HLOOKUP(L1078,'Calc|Weightings'!$U$5:$W$5,1,0),"Excl")</f>
        <v>Contracts</v>
      </c>
      <c r="O1078" s="7" t="str">
        <f>VLOOKUP(E1078,Mapping!$E$11:$I$204,5,0)</f>
        <v>SCS</v>
      </c>
      <c r="Q1078" s="32" t="s">
        <v>165</v>
      </c>
      <c r="R1078" s="32"/>
      <c r="S1078" s="32">
        <v>71040</v>
      </c>
      <c r="T1078" s="32" t="s">
        <v>460</v>
      </c>
      <c r="U1078" s="33">
        <v>0</v>
      </c>
      <c r="V1078" s="7"/>
      <c r="W1078" s="7" t="str">
        <f>VLOOKUP($Q1078,Mapping!$E$11:$I$204,3,0)</f>
        <v>Replacement</v>
      </c>
      <c r="X1078" s="7" t="str">
        <f>IFERROR(VLOOKUP($S1078,Mapping!$E$208:$K$236,5,0),"Contracts")</f>
        <v>Contracts</v>
      </c>
      <c r="Y1078" s="7" t="str">
        <f>IFERROR(VLOOKUP($S1078,Mapping!$E$208:$K$236,7,0),"ENDirect")</f>
        <v>ENDirect</v>
      </c>
      <c r="Z1078" s="7" t="str">
        <f>IFERROR(HLOOKUP(X1078,'Calc|Weightings'!$U$5:$W$5,1,0),"Excl")</f>
        <v>Contracts</v>
      </c>
      <c r="AA1078" s="7" t="str">
        <f>VLOOKUP(Q1078,Mapping!$E$11:$I$204,5,0)</f>
        <v>SCS</v>
      </c>
      <c r="AC1078" s="35" t="s">
        <v>246</v>
      </c>
      <c r="AD1078" s="35"/>
      <c r="AE1078" s="35">
        <v>71015</v>
      </c>
      <c r="AF1078" s="35" t="s">
        <v>463</v>
      </c>
      <c r="AG1078" s="36">
        <v>1.3129999999999999</v>
      </c>
      <c r="AI1078" s="7" t="str">
        <f>VLOOKUP($AC1078,Mapping!$E$11:$I$204,3,0)</f>
        <v>ACS</v>
      </c>
      <c r="AJ1078" s="7" t="str">
        <f>IFERROR(VLOOKUP($AE1078,Mapping!$E$208:$K$236,5,0),"Contracts")</f>
        <v>Materials</v>
      </c>
      <c r="AK1078" s="7" t="str">
        <f>IFERROR(VLOOKUP($AE1078,Mapping!$E$208:$K$236,7,0),"ENDirect")</f>
        <v>ENDirect</v>
      </c>
      <c r="AL1078" s="7" t="str">
        <f>IFERROR(HLOOKUP(AJ1078,'Calc|Weightings'!$U$5:$W$5,1,0),"Excl")</f>
        <v>Materials</v>
      </c>
      <c r="AM1078" s="7" t="str">
        <f>VLOOKUP(AC1078,Mapping!$E$11:$I$204,5,0)</f>
        <v>ACS</v>
      </c>
      <c r="AO1078" s="7"/>
      <c r="AP1078" s="7"/>
      <c r="AQ1078" s="7"/>
      <c r="AR1078" s="7"/>
      <c r="AS1078" s="7"/>
    </row>
    <row r="1079" spans="1:45" x14ac:dyDescent="0.3">
      <c r="A1079" s="7"/>
      <c r="B1079" s="7"/>
      <c r="C1079" s="7"/>
      <c r="D1079" s="7"/>
      <c r="E1079" s="32" t="s">
        <v>127</v>
      </c>
      <c r="F1079" s="32"/>
      <c r="G1079" s="32">
        <v>74202</v>
      </c>
      <c r="H1079" s="32" t="s">
        <v>474</v>
      </c>
      <c r="I1079" s="33">
        <v>-1.5</v>
      </c>
      <c r="J1079" s="170"/>
      <c r="K1079" s="7" t="str">
        <f>VLOOKUP($E1079,Mapping!$E$11:$I$204,3,0)</f>
        <v>Non-network general assets - Other</v>
      </c>
      <c r="L1079" s="7" t="str">
        <f>IFERROR(VLOOKUP($G1079,Mapping!$E$208:$K$236,5,0),"Contracts")</f>
        <v>Labour</v>
      </c>
      <c r="M1079" s="7" t="str">
        <f>IFERROR(VLOOKUP($G1079,Mapping!$E$208:$K$236,7,0),"ENDirect")</f>
        <v>ENDirect</v>
      </c>
      <c r="N1079" s="7" t="str">
        <f>IFERROR(HLOOKUP(L1079,'Calc|Weightings'!$U$5:$W$5,1,0),"Excl")</f>
        <v>Labour</v>
      </c>
      <c r="O1079" s="7" t="str">
        <f>VLOOKUP(E1079,Mapping!$E$11:$I$204,5,0)</f>
        <v>SCS</v>
      </c>
      <c r="Q1079" s="32" t="s">
        <v>169</v>
      </c>
      <c r="R1079" s="32"/>
      <c r="S1079" s="32">
        <v>70815</v>
      </c>
      <c r="T1079" s="32" t="s">
        <v>451</v>
      </c>
      <c r="U1079" s="33">
        <v>22.783999999999999</v>
      </c>
      <c r="V1079" s="7"/>
      <c r="W1079" s="7" t="str">
        <f>VLOOKUP($Q1079,Mapping!$E$11:$I$204,3,0)</f>
        <v>Replacement</v>
      </c>
      <c r="X1079" s="7" t="str">
        <f>IFERROR(VLOOKUP($S1079,Mapping!$E$208:$K$236,5,0),"Contracts")</f>
        <v>Materials</v>
      </c>
      <c r="Y1079" s="7" t="str">
        <f>IFERROR(VLOOKUP($S1079,Mapping!$E$208:$K$236,7,0),"ENDirect")</f>
        <v>ENDirect</v>
      </c>
      <c r="Z1079" s="7" t="str">
        <f>IFERROR(HLOOKUP(X1079,'Calc|Weightings'!$U$5:$W$5,1,0),"Excl")</f>
        <v>Materials</v>
      </c>
      <c r="AA1079" s="7" t="str">
        <f>VLOOKUP(Q1079,Mapping!$E$11:$I$204,5,0)</f>
        <v>SCS</v>
      </c>
      <c r="AC1079" s="35" t="s">
        <v>246</v>
      </c>
      <c r="AD1079" s="35"/>
      <c r="AE1079" s="35">
        <v>71030</v>
      </c>
      <c r="AF1079" s="35" t="s">
        <v>464</v>
      </c>
      <c r="AG1079" s="36">
        <v>0.65400000000000003</v>
      </c>
      <c r="AI1079" s="7" t="str">
        <f>VLOOKUP($AC1079,Mapping!$E$11:$I$204,3,0)</f>
        <v>ACS</v>
      </c>
      <c r="AJ1079" s="7" t="str">
        <f>IFERROR(VLOOKUP($AE1079,Mapping!$E$208:$K$236,5,0),"Contracts")</f>
        <v>Contracts</v>
      </c>
      <c r="AK1079" s="7" t="str">
        <f>IFERROR(VLOOKUP($AE1079,Mapping!$E$208:$K$236,7,0),"ENDirect")</f>
        <v>ENDirect</v>
      </c>
      <c r="AL1079" s="7" t="str">
        <f>IFERROR(HLOOKUP(AJ1079,'Calc|Weightings'!$U$5:$W$5,1,0),"Excl")</f>
        <v>Contracts</v>
      </c>
      <c r="AM1079" s="7" t="str">
        <f>VLOOKUP(AC1079,Mapping!$E$11:$I$204,5,0)</f>
        <v>ACS</v>
      </c>
      <c r="AO1079" s="7"/>
      <c r="AP1079" s="7"/>
      <c r="AQ1079" s="7"/>
      <c r="AR1079" s="7"/>
      <c r="AS1079" s="7"/>
    </row>
    <row r="1080" spans="1:45" x14ac:dyDescent="0.3">
      <c r="A1080" s="7"/>
      <c r="B1080" s="7"/>
      <c r="C1080" s="7"/>
      <c r="D1080" s="7"/>
      <c r="E1080" s="32" t="s">
        <v>127</v>
      </c>
      <c r="F1080" s="32"/>
      <c r="G1080" s="32">
        <v>71045</v>
      </c>
      <c r="H1080" s="32" t="s">
        <v>469</v>
      </c>
      <c r="I1080" s="33">
        <v>21.137</v>
      </c>
      <c r="J1080" s="170"/>
      <c r="K1080" s="7" t="str">
        <f>VLOOKUP($E1080,Mapping!$E$11:$I$204,3,0)</f>
        <v>Non-network general assets - Other</v>
      </c>
      <c r="L1080" s="7" t="str">
        <f>IFERROR(VLOOKUP($G1080,Mapping!$E$208:$K$236,5,0),"Contracts")</f>
        <v>Materials</v>
      </c>
      <c r="M1080" s="7" t="str">
        <f>IFERROR(VLOOKUP($G1080,Mapping!$E$208:$K$236,7,0),"ENDirect")</f>
        <v>ENDirect</v>
      </c>
      <c r="N1080" s="7" t="str">
        <f>IFERROR(HLOOKUP(L1080,'Calc|Weightings'!$U$5:$W$5,1,0),"Excl")</f>
        <v>Materials</v>
      </c>
      <c r="O1080" s="7" t="str">
        <f>VLOOKUP(E1080,Mapping!$E$11:$I$204,5,0)</f>
        <v>SCS</v>
      </c>
      <c r="Q1080" s="32" t="s">
        <v>185</v>
      </c>
      <c r="R1080" s="32"/>
      <c r="S1080" s="32">
        <v>71040</v>
      </c>
      <c r="T1080" s="32" t="s">
        <v>460</v>
      </c>
      <c r="U1080" s="33">
        <v>0</v>
      </c>
      <c r="V1080" s="7"/>
      <c r="W1080" s="7" t="str">
        <f>VLOOKUP($Q1080,Mapping!$E$11:$I$204,3,0)</f>
        <v>Public Lighting</v>
      </c>
      <c r="X1080" s="7" t="str">
        <f>IFERROR(VLOOKUP($S1080,Mapping!$E$208:$K$236,5,0),"Contracts")</f>
        <v>Contracts</v>
      </c>
      <c r="Y1080" s="7" t="str">
        <f>IFERROR(VLOOKUP($S1080,Mapping!$E$208:$K$236,7,0),"ENDirect")</f>
        <v>ENDirect</v>
      </c>
      <c r="Z1080" s="7" t="str">
        <f>IFERROR(HLOOKUP(X1080,'Calc|Weightings'!$U$5:$W$5,1,0),"Excl")</f>
        <v>Contracts</v>
      </c>
      <c r="AA1080" s="7" t="str">
        <f>VLOOKUP(Q1080,Mapping!$E$11:$I$204,5,0)</f>
        <v>Public Lighting</v>
      </c>
      <c r="AC1080" s="35" t="s">
        <v>246</v>
      </c>
      <c r="AD1080" s="35"/>
      <c r="AE1080" s="35">
        <v>71055</v>
      </c>
      <c r="AF1080" s="35" t="s">
        <v>465</v>
      </c>
      <c r="AG1080" s="36">
        <v>1.446</v>
      </c>
      <c r="AI1080" s="7" t="str">
        <f>VLOOKUP($AC1080,Mapping!$E$11:$I$204,3,0)</f>
        <v>ACS</v>
      </c>
      <c r="AJ1080" s="7" t="str">
        <f>IFERROR(VLOOKUP($AE1080,Mapping!$E$208:$K$236,5,0),"Contracts")</f>
        <v>Contracts</v>
      </c>
      <c r="AK1080" s="7" t="str">
        <f>IFERROR(VLOOKUP($AE1080,Mapping!$E$208:$K$236,7,0),"ENDirect")</f>
        <v>ENDirect</v>
      </c>
      <c r="AL1080" s="7" t="str">
        <f>IFERROR(HLOOKUP(AJ1080,'Calc|Weightings'!$U$5:$W$5,1,0),"Excl")</f>
        <v>Contracts</v>
      </c>
      <c r="AM1080" s="7" t="str">
        <f>VLOOKUP(AC1080,Mapping!$E$11:$I$204,5,0)</f>
        <v>ACS</v>
      </c>
      <c r="AO1080" s="7"/>
      <c r="AP1080" s="7"/>
      <c r="AQ1080" s="7"/>
      <c r="AR1080" s="7"/>
      <c r="AS1080" s="7"/>
    </row>
    <row r="1081" spans="1:45" x14ac:dyDescent="0.3">
      <c r="A1081" s="7"/>
      <c r="B1081" s="7"/>
      <c r="C1081" s="7"/>
      <c r="D1081" s="7"/>
      <c r="E1081" s="32" t="s">
        <v>127</v>
      </c>
      <c r="F1081" s="32"/>
      <c r="G1081" s="32">
        <v>70810</v>
      </c>
      <c r="H1081" s="32" t="s">
        <v>472</v>
      </c>
      <c r="I1081" s="33">
        <v>0</v>
      </c>
      <c r="J1081" s="170"/>
      <c r="K1081" s="7" t="str">
        <f>VLOOKUP($E1081,Mapping!$E$11:$I$204,3,0)</f>
        <v>Non-network general assets - Other</v>
      </c>
      <c r="L1081" s="7" t="str">
        <f>IFERROR(VLOOKUP($G1081,Mapping!$E$208:$K$236,5,0),"Contracts")</f>
        <v>Materials</v>
      </c>
      <c r="M1081" s="7" t="str">
        <f>IFERROR(VLOOKUP($G1081,Mapping!$E$208:$K$236,7,0),"ENDirect")</f>
        <v>ENDirect</v>
      </c>
      <c r="N1081" s="7" t="str">
        <f>IFERROR(HLOOKUP(L1081,'Calc|Weightings'!$U$5:$W$5,1,0),"Excl")</f>
        <v>Materials</v>
      </c>
      <c r="O1081" s="7" t="str">
        <f>VLOOKUP(E1081,Mapping!$E$11:$I$204,5,0)</f>
        <v>SCS</v>
      </c>
      <c r="Q1081" s="32" t="s">
        <v>255</v>
      </c>
      <c r="R1081" s="32"/>
      <c r="S1081" s="32">
        <v>71000</v>
      </c>
      <c r="T1081" s="32" t="s">
        <v>457</v>
      </c>
      <c r="U1081" s="33">
        <v>-0.92800000000000005</v>
      </c>
      <c r="V1081" s="7"/>
      <c r="W1081" s="7" t="str">
        <f>VLOOKUP($Q1081,Mapping!$E$11:$I$204,3,0)</f>
        <v>ACS</v>
      </c>
      <c r="X1081" s="7" t="str">
        <f>IFERROR(VLOOKUP($S1081,Mapping!$E$208:$K$236,5,0),"Contracts")</f>
        <v>Labour</v>
      </c>
      <c r="Y1081" s="7" t="str">
        <f>IFERROR(VLOOKUP($S1081,Mapping!$E$208:$K$236,7,0),"ENDirect")</f>
        <v>ENDirect</v>
      </c>
      <c r="Z1081" s="7" t="str">
        <f>IFERROR(HLOOKUP(X1081,'Calc|Weightings'!$U$5:$W$5,1,0),"Excl")</f>
        <v>Labour</v>
      </c>
      <c r="AA1081" s="7" t="str">
        <f>VLOOKUP(Q1081,Mapping!$E$11:$I$204,5,0)</f>
        <v>ACS</v>
      </c>
      <c r="AC1081" s="35" t="s">
        <v>246</v>
      </c>
      <c r="AD1081" s="35"/>
      <c r="AE1081" s="35">
        <v>80000</v>
      </c>
      <c r="AF1081" s="35" t="s">
        <v>453</v>
      </c>
      <c r="AG1081" s="36">
        <v>1.3180000000000001</v>
      </c>
      <c r="AI1081" s="7" t="str">
        <f>VLOOKUP($AC1081,Mapping!$E$11:$I$204,3,0)</f>
        <v>ACS</v>
      </c>
      <c r="AJ1081" s="7" t="str">
        <f>IFERROR(VLOOKUP($AE1081,Mapping!$E$208:$K$236,5,0),"Contracts")</f>
        <v>Overhead</v>
      </c>
      <c r="AK1081" s="7" t="str">
        <f>IFERROR(VLOOKUP($AE1081,Mapping!$E$208:$K$236,7,0),"ENDirect")</f>
        <v>OH</v>
      </c>
      <c r="AL1081" s="7" t="str">
        <f>IFERROR(HLOOKUP(AJ1081,'Calc|Weightings'!$U$5:$W$5,1,0),"Excl")</f>
        <v>Excl</v>
      </c>
      <c r="AM1081" s="7" t="str">
        <f>VLOOKUP(AC1081,Mapping!$E$11:$I$204,5,0)</f>
        <v>ACS</v>
      </c>
      <c r="AO1081" s="7"/>
      <c r="AP1081" s="7"/>
      <c r="AQ1081" s="7"/>
      <c r="AR1081" s="7"/>
      <c r="AS1081" s="7"/>
    </row>
    <row r="1082" spans="1:45" x14ac:dyDescent="0.3">
      <c r="A1082" s="7"/>
      <c r="B1082" s="7"/>
      <c r="C1082" s="7"/>
      <c r="D1082" s="7"/>
      <c r="E1082" s="32" t="s">
        <v>127</v>
      </c>
      <c r="F1082" s="32"/>
      <c r="G1082" s="32">
        <v>72200</v>
      </c>
      <c r="H1082" s="32" t="s">
        <v>455</v>
      </c>
      <c r="I1082" s="33">
        <v>0.02</v>
      </c>
      <c r="J1082" s="170"/>
      <c r="K1082" s="7" t="str">
        <f>VLOOKUP($E1082,Mapping!$E$11:$I$204,3,0)</f>
        <v>Non-network general assets - Other</v>
      </c>
      <c r="L1082" s="7" t="str">
        <f>IFERROR(VLOOKUP($G1082,Mapping!$E$208:$K$236,5,0),"Contracts")</f>
        <v>Labour</v>
      </c>
      <c r="M1082" s="7" t="str">
        <f>IFERROR(VLOOKUP($G1082,Mapping!$E$208:$K$236,7,0),"ENDirect")</f>
        <v>ENDirect</v>
      </c>
      <c r="N1082" s="7" t="str">
        <f>IFERROR(HLOOKUP(L1082,'Calc|Weightings'!$U$5:$W$5,1,0),"Excl")</f>
        <v>Labour</v>
      </c>
      <c r="O1082" s="7" t="str">
        <f>VLOOKUP(E1082,Mapping!$E$11:$I$204,5,0)</f>
        <v>SCS</v>
      </c>
      <c r="Q1082" s="32" t="s">
        <v>143</v>
      </c>
      <c r="R1082" s="32"/>
      <c r="S1082" s="32">
        <v>70815</v>
      </c>
      <c r="T1082" s="32" t="s">
        <v>451</v>
      </c>
      <c r="U1082" s="33">
        <v>49.475999999999999</v>
      </c>
      <c r="V1082" s="7"/>
      <c r="W1082" s="7" t="str">
        <f>VLOOKUP($Q1082,Mapping!$E$11:$I$204,3,0)</f>
        <v>ACS</v>
      </c>
      <c r="X1082" s="7" t="str">
        <f>IFERROR(VLOOKUP($S1082,Mapping!$E$208:$K$236,5,0),"Contracts")</f>
        <v>Materials</v>
      </c>
      <c r="Y1082" s="7" t="str">
        <f>IFERROR(VLOOKUP($S1082,Mapping!$E$208:$K$236,7,0),"ENDirect")</f>
        <v>ENDirect</v>
      </c>
      <c r="Z1082" s="7" t="str">
        <f>IFERROR(HLOOKUP(X1082,'Calc|Weightings'!$U$5:$W$5,1,0),"Excl")</f>
        <v>Materials</v>
      </c>
      <c r="AA1082" s="7" t="str">
        <f>VLOOKUP(Q1082,Mapping!$E$11:$I$204,5,0)</f>
        <v>ACS</v>
      </c>
      <c r="AC1082" s="35" t="s">
        <v>247</v>
      </c>
      <c r="AD1082" s="35"/>
      <c r="AE1082" s="35">
        <v>71005</v>
      </c>
      <c r="AF1082" s="35" t="s">
        <v>461</v>
      </c>
      <c r="AG1082" s="36">
        <v>71.215000000000003</v>
      </c>
      <c r="AI1082" s="7" t="str">
        <f>VLOOKUP($AC1082,Mapping!$E$11:$I$204,3,0)</f>
        <v>ACS</v>
      </c>
      <c r="AJ1082" s="7" t="str">
        <f>IFERROR(VLOOKUP($AE1082,Mapping!$E$208:$K$236,5,0),"Contracts")</f>
        <v>Materials</v>
      </c>
      <c r="AK1082" s="7" t="str">
        <f>IFERROR(VLOOKUP($AE1082,Mapping!$E$208:$K$236,7,0),"ENDirect")</f>
        <v>ENDirect</v>
      </c>
      <c r="AL1082" s="7" t="str">
        <f>IFERROR(HLOOKUP(AJ1082,'Calc|Weightings'!$U$5:$W$5,1,0),"Excl")</f>
        <v>Materials</v>
      </c>
      <c r="AM1082" s="7" t="str">
        <f>VLOOKUP(AC1082,Mapping!$E$11:$I$204,5,0)</f>
        <v>ACS</v>
      </c>
      <c r="AO1082" s="7"/>
      <c r="AP1082" s="7"/>
      <c r="AQ1082" s="7"/>
      <c r="AR1082" s="7"/>
      <c r="AS1082" s="7"/>
    </row>
    <row r="1083" spans="1:45" x14ac:dyDescent="0.3">
      <c r="A1083" s="7"/>
      <c r="B1083" s="7"/>
      <c r="C1083" s="7"/>
      <c r="D1083" s="7"/>
      <c r="E1083" s="32" t="s">
        <v>267</v>
      </c>
      <c r="F1083" s="32"/>
      <c r="G1083" s="32">
        <v>71015</v>
      </c>
      <c r="H1083" s="32" t="s">
        <v>463</v>
      </c>
      <c r="I1083" s="33">
        <v>2.181</v>
      </c>
      <c r="J1083" s="170"/>
      <c r="K1083" s="7" t="str">
        <f>VLOOKUP($E1083,Mapping!$E$11:$I$204,3,0)</f>
        <v>Replacement</v>
      </c>
      <c r="L1083" s="7" t="str">
        <f>IFERROR(VLOOKUP($G1083,Mapping!$E$208:$K$236,5,0),"Contracts")</f>
        <v>Materials</v>
      </c>
      <c r="M1083" s="7" t="str">
        <f>IFERROR(VLOOKUP($G1083,Mapping!$E$208:$K$236,7,0),"ENDirect")</f>
        <v>ENDirect</v>
      </c>
      <c r="N1083" s="7" t="str">
        <f>IFERROR(HLOOKUP(L1083,'Calc|Weightings'!$U$5:$W$5,1,0),"Excl")</f>
        <v>Materials</v>
      </c>
      <c r="O1083" s="7" t="str">
        <f>VLOOKUP(E1083,Mapping!$E$11:$I$204,5,0)</f>
        <v>SCS</v>
      </c>
      <c r="Q1083" s="32" t="s">
        <v>163</v>
      </c>
      <c r="R1083" s="32"/>
      <c r="S1083" s="32">
        <v>70815</v>
      </c>
      <c r="T1083" s="32" t="s">
        <v>451</v>
      </c>
      <c r="U1083" s="33">
        <v>59.463000000000001</v>
      </c>
      <c r="V1083" s="7"/>
      <c r="W1083" s="7" t="str">
        <f>VLOOKUP($Q1083,Mapping!$E$11:$I$204,3,0)</f>
        <v>Replacement</v>
      </c>
      <c r="X1083" s="7" t="str">
        <f>IFERROR(VLOOKUP($S1083,Mapping!$E$208:$K$236,5,0),"Contracts")</f>
        <v>Materials</v>
      </c>
      <c r="Y1083" s="7" t="str">
        <f>IFERROR(VLOOKUP($S1083,Mapping!$E$208:$K$236,7,0),"ENDirect")</f>
        <v>ENDirect</v>
      </c>
      <c r="Z1083" s="7" t="str">
        <f>IFERROR(HLOOKUP(X1083,'Calc|Weightings'!$U$5:$W$5,1,0),"Excl")</f>
        <v>Materials</v>
      </c>
      <c r="AA1083" s="7" t="str">
        <f>VLOOKUP(Q1083,Mapping!$E$11:$I$204,5,0)</f>
        <v>SCS</v>
      </c>
      <c r="AC1083" s="35" t="s">
        <v>247</v>
      </c>
      <c r="AD1083" s="35"/>
      <c r="AE1083" s="35">
        <v>71010</v>
      </c>
      <c r="AF1083" s="35" t="s">
        <v>462</v>
      </c>
      <c r="AG1083" s="36">
        <v>19.035</v>
      </c>
      <c r="AI1083" s="7" t="str">
        <f>VLOOKUP($AC1083,Mapping!$E$11:$I$204,3,0)</f>
        <v>ACS</v>
      </c>
      <c r="AJ1083" s="7" t="str">
        <f>IFERROR(VLOOKUP($AE1083,Mapping!$E$208:$K$236,5,0),"Contracts")</f>
        <v>Labour</v>
      </c>
      <c r="AK1083" s="7" t="str">
        <f>IFERROR(VLOOKUP($AE1083,Mapping!$E$208:$K$236,7,0),"ENDirect")</f>
        <v>ENDirect</v>
      </c>
      <c r="AL1083" s="7" t="str">
        <f>IFERROR(HLOOKUP(AJ1083,'Calc|Weightings'!$U$5:$W$5,1,0),"Excl")</f>
        <v>Labour</v>
      </c>
      <c r="AM1083" s="7" t="str">
        <f>VLOOKUP(AC1083,Mapping!$E$11:$I$204,5,0)</f>
        <v>ACS</v>
      </c>
      <c r="AO1083" s="7"/>
      <c r="AP1083" s="7"/>
      <c r="AQ1083" s="7"/>
      <c r="AR1083" s="7"/>
      <c r="AS1083" s="7"/>
    </row>
    <row r="1084" spans="1:45" x14ac:dyDescent="0.3">
      <c r="A1084" s="7"/>
      <c r="B1084" s="7"/>
      <c r="C1084" s="7"/>
      <c r="D1084" s="7"/>
      <c r="E1084" s="32" t="s">
        <v>267</v>
      </c>
      <c r="F1084" s="32"/>
      <c r="G1084" s="32">
        <v>71055</v>
      </c>
      <c r="H1084" s="32" t="s">
        <v>465</v>
      </c>
      <c r="I1084" s="33">
        <v>3.0859999999999999</v>
      </c>
      <c r="J1084" s="170"/>
      <c r="K1084" s="7" t="str">
        <f>VLOOKUP($E1084,Mapping!$E$11:$I$204,3,0)</f>
        <v>Replacement</v>
      </c>
      <c r="L1084" s="7" t="str">
        <f>IFERROR(VLOOKUP($G1084,Mapping!$E$208:$K$236,5,0),"Contracts")</f>
        <v>Contracts</v>
      </c>
      <c r="M1084" s="7" t="str">
        <f>IFERROR(VLOOKUP($G1084,Mapping!$E$208:$K$236,7,0),"ENDirect")</f>
        <v>ENDirect</v>
      </c>
      <c r="N1084" s="7" t="str">
        <f>IFERROR(HLOOKUP(L1084,'Calc|Weightings'!$U$5:$W$5,1,0),"Excl")</f>
        <v>Contracts</v>
      </c>
      <c r="O1084" s="7" t="str">
        <f>VLOOKUP(E1084,Mapping!$E$11:$I$204,5,0)</f>
        <v>SCS</v>
      </c>
      <c r="Q1084" s="32" t="s">
        <v>127</v>
      </c>
      <c r="R1084" s="32"/>
      <c r="S1084" s="32">
        <v>72200</v>
      </c>
      <c r="T1084" s="32" t="s">
        <v>455</v>
      </c>
      <c r="U1084" s="33">
        <v>0</v>
      </c>
      <c r="V1084" s="7"/>
      <c r="W1084" s="7" t="str">
        <f>VLOOKUP($Q1084,Mapping!$E$11:$I$204,3,0)</f>
        <v>Non-network general assets - Other</v>
      </c>
      <c r="X1084" s="7" t="str">
        <f>IFERROR(VLOOKUP($S1084,Mapping!$E$208:$K$236,5,0),"Contracts")</f>
        <v>Labour</v>
      </c>
      <c r="Y1084" s="7" t="str">
        <f>IFERROR(VLOOKUP($S1084,Mapping!$E$208:$K$236,7,0),"ENDirect")</f>
        <v>ENDirect</v>
      </c>
      <c r="Z1084" s="7" t="str">
        <f>IFERROR(HLOOKUP(X1084,'Calc|Weightings'!$U$5:$W$5,1,0),"Excl")</f>
        <v>Labour</v>
      </c>
      <c r="AA1084" s="7" t="str">
        <f>VLOOKUP(Q1084,Mapping!$E$11:$I$204,5,0)</f>
        <v>SCS</v>
      </c>
      <c r="AC1084" s="35" t="s">
        <v>247</v>
      </c>
      <c r="AD1084" s="35"/>
      <c r="AE1084" s="35">
        <v>71020</v>
      </c>
      <c r="AF1084" s="35" t="s">
        <v>459</v>
      </c>
      <c r="AG1084" s="36">
        <v>8.8249999999999993</v>
      </c>
      <c r="AI1084" s="7" t="str">
        <f>VLOOKUP($AC1084,Mapping!$E$11:$I$204,3,0)</f>
        <v>ACS</v>
      </c>
      <c r="AJ1084" s="7" t="str">
        <f>IFERROR(VLOOKUP($AE1084,Mapping!$E$208:$K$236,5,0),"Contracts")</f>
        <v>Contracts</v>
      </c>
      <c r="AK1084" s="7" t="str">
        <f>IFERROR(VLOOKUP($AE1084,Mapping!$E$208:$K$236,7,0),"ENDirect")</f>
        <v>ENDirect</v>
      </c>
      <c r="AL1084" s="7" t="str">
        <f>IFERROR(HLOOKUP(AJ1084,'Calc|Weightings'!$U$5:$W$5,1,0),"Excl")</f>
        <v>Contracts</v>
      </c>
      <c r="AM1084" s="7" t="str">
        <f>VLOOKUP(AC1084,Mapping!$E$11:$I$204,5,0)</f>
        <v>ACS</v>
      </c>
      <c r="AO1084" s="7"/>
      <c r="AP1084" s="7"/>
      <c r="AQ1084" s="7"/>
      <c r="AR1084" s="7"/>
      <c r="AS1084" s="7"/>
    </row>
    <row r="1085" spans="1:45" x14ac:dyDescent="0.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Q1085" s="32" t="s">
        <v>128</v>
      </c>
      <c r="R1085" s="32"/>
      <c r="S1085" s="32">
        <v>72300</v>
      </c>
      <c r="T1085" s="32" t="s">
        <v>450</v>
      </c>
      <c r="U1085" s="33">
        <v>29.2</v>
      </c>
      <c r="V1085" s="7"/>
      <c r="W1085" s="7" t="str">
        <f>VLOOKUP($Q1085,Mapping!$E$11:$I$204,3,0)</f>
        <v>Non-network general assets - Other</v>
      </c>
      <c r="X1085" s="7" t="str">
        <f>IFERROR(VLOOKUP($S1085,Mapping!$E$208:$K$236,5,0),"Contracts")</f>
        <v>Contracts</v>
      </c>
      <c r="Y1085" s="7" t="str">
        <f>IFERROR(VLOOKUP($S1085,Mapping!$E$208:$K$236,7,0),"ENDirect")</f>
        <v>ENDirect</v>
      </c>
      <c r="Z1085" s="7" t="str">
        <f>IFERROR(HLOOKUP(X1085,'Calc|Weightings'!$U$5:$W$5,1,0),"Excl")</f>
        <v>Contracts</v>
      </c>
      <c r="AA1085" s="7" t="str">
        <f>VLOOKUP(Q1085,Mapping!$E$11:$I$204,5,0)</f>
        <v>SCS</v>
      </c>
      <c r="AC1085" s="35" t="s">
        <v>247</v>
      </c>
      <c r="AD1085" s="35"/>
      <c r="AE1085" s="35">
        <v>80000</v>
      </c>
      <c r="AF1085" s="35" t="s">
        <v>453</v>
      </c>
      <c r="AG1085" s="36">
        <v>58.454999999999998</v>
      </c>
      <c r="AI1085" s="7" t="str">
        <f>VLOOKUP($AC1085,Mapping!$E$11:$I$204,3,0)</f>
        <v>ACS</v>
      </c>
      <c r="AJ1085" s="7" t="str">
        <f>IFERROR(VLOOKUP($AE1085,Mapping!$E$208:$K$236,5,0),"Contracts")</f>
        <v>Overhead</v>
      </c>
      <c r="AK1085" s="7" t="str">
        <f>IFERROR(VLOOKUP($AE1085,Mapping!$E$208:$K$236,7,0),"ENDirect")</f>
        <v>OH</v>
      </c>
      <c r="AL1085" s="7" t="str">
        <f>IFERROR(HLOOKUP(AJ1085,'Calc|Weightings'!$U$5:$W$5,1,0),"Excl")</f>
        <v>Excl</v>
      </c>
      <c r="AM1085" s="7" t="str">
        <f>VLOOKUP(AC1085,Mapping!$E$11:$I$204,5,0)</f>
        <v>ACS</v>
      </c>
      <c r="AO1085" s="7"/>
      <c r="AP1085" s="7"/>
      <c r="AQ1085" s="7"/>
      <c r="AR1085" s="7"/>
      <c r="AS1085" s="7"/>
    </row>
    <row r="1086" spans="1:45" x14ac:dyDescent="0.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Q1086" s="32" t="s">
        <v>127</v>
      </c>
      <c r="R1086" s="32"/>
      <c r="S1086" s="32">
        <v>72790</v>
      </c>
      <c r="T1086" s="32" t="s">
        <v>485</v>
      </c>
      <c r="U1086" s="33">
        <v>0</v>
      </c>
      <c r="V1086" s="7"/>
      <c r="W1086" s="7" t="str">
        <f>VLOOKUP($Q1086,Mapping!$E$11:$I$204,3,0)</f>
        <v>Non-network general assets - Other</v>
      </c>
      <c r="X1086" s="7" t="str">
        <f>IFERROR(VLOOKUP($S1086,Mapping!$E$208:$K$236,5,0),"Contracts")</f>
        <v>Contracts</v>
      </c>
      <c r="Y1086" s="7" t="str">
        <f>IFERROR(VLOOKUP($S1086,Mapping!$E$208:$K$236,7,0),"ENDirect")</f>
        <v>ENDirect</v>
      </c>
      <c r="Z1086" s="7" t="str">
        <f>IFERROR(HLOOKUP(X1086,'Calc|Weightings'!$U$5:$W$5,1,0),"Excl")</f>
        <v>Contracts</v>
      </c>
      <c r="AA1086" s="7" t="str">
        <f>VLOOKUP(Q1086,Mapping!$E$11:$I$204,5,0)</f>
        <v>SCS</v>
      </c>
      <c r="AC1086" s="35" t="s">
        <v>249</v>
      </c>
      <c r="AD1086" s="35"/>
      <c r="AE1086" s="35">
        <v>89999</v>
      </c>
      <c r="AF1086" s="35" t="s">
        <v>471</v>
      </c>
      <c r="AG1086" s="36">
        <v>0</v>
      </c>
      <c r="AI1086" s="7" t="str">
        <f>VLOOKUP($AC1086,Mapping!$E$11:$I$204,3,0)</f>
        <v>ACS</v>
      </c>
      <c r="AJ1086" s="7" t="str">
        <f>IFERROR(VLOOKUP($AE1086,Mapping!$E$208:$K$236,5,0),"Contracts")</f>
        <v>Contracts</v>
      </c>
      <c r="AK1086" s="7" t="str">
        <f>IFERROR(VLOOKUP($AE1086,Mapping!$E$208:$K$236,7,0),"ENDirect")</f>
        <v>ENDirect</v>
      </c>
      <c r="AL1086" s="7" t="str">
        <f>IFERROR(HLOOKUP(AJ1086,'Calc|Weightings'!$U$5:$W$5,1,0),"Excl")</f>
        <v>Contracts</v>
      </c>
      <c r="AM1086" s="7" t="str">
        <f>VLOOKUP(AC1086,Mapping!$E$11:$I$204,5,0)</f>
        <v>ACS</v>
      </c>
      <c r="AO1086" s="7"/>
      <c r="AP1086" s="7"/>
      <c r="AQ1086" s="7"/>
      <c r="AR1086" s="7"/>
      <c r="AS1086" s="7"/>
    </row>
    <row r="1087" spans="1:45" x14ac:dyDescent="0.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Q1087" s="32" t="s">
        <v>267</v>
      </c>
      <c r="R1087" s="32"/>
      <c r="S1087" s="32">
        <v>71015</v>
      </c>
      <c r="T1087" s="32" t="s">
        <v>463</v>
      </c>
      <c r="U1087" s="33">
        <v>-2.181</v>
      </c>
      <c r="V1087" s="7"/>
      <c r="W1087" s="7" t="str">
        <f>VLOOKUP($Q1087,Mapping!$E$11:$I$204,3,0)</f>
        <v>Replacement</v>
      </c>
      <c r="X1087" s="7" t="str">
        <f>IFERROR(VLOOKUP($S1087,Mapping!$E$208:$K$236,5,0),"Contracts")</f>
        <v>Materials</v>
      </c>
      <c r="Y1087" s="7" t="str">
        <f>IFERROR(VLOOKUP($S1087,Mapping!$E$208:$K$236,7,0),"ENDirect")</f>
        <v>ENDirect</v>
      </c>
      <c r="Z1087" s="7" t="str">
        <f>IFERROR(HLOOKUP(X1087,'Calc|Weightings'!$U$5:$W$5,1,0),"Excl")</f>
        <v>Materials</v>
      </c>
      <c r="AA1087" s="7" t="str">
        <f>VLOOKUP(Q1087,Mapping!$E$11:$I$204,5,0)</f>
        <v>SCS</v>
      </c>
      <c r="AC1087" s="35" t="s">
        <v>252</v>
      </c>
      <c r="AD1087" s="35"/>
      <c r="AE1087" s="35">
        <v>89999</v>
      </c>
      <c r="AF1087" s="35" t="s">
        <v>471</v>
      </c>
      <c r="AG1087" s="36">
        <v>0</v>
      </c>
      <c r="AI1087" s="7" t="str">
        <f>VLOOKUP($AC1087,Mapping!$E$11:$I$204,3,0)</f>
        <v>ACS</v>
      </c>
      <c r="AJ1087" s="7" t="str">
        <f>IFERROR(VLOOKUP($AE1087,Mapping!$E$208:$K$236,5,0),"Contracts")</f>
        <v>Contracts</v>
      </c>
      <c r="AK1087" s="7" t="str">
        <f>IFERROR(VLOOKUP($AE1087,Mapping!$E$208:$K$236,7,0),"ENDirect")</f>
        <v>ENDirect</v>
      </c>
      <c r="AL1087" s="7" t="str">
        <f>IFERROR(HLOOKUP(AJ1087,'Calc|Weightings'!$U$5:$W$5,1,0),"Excl")</f>
        <v>Contracts</v>
      </c>
      <c r="AM1087" s="7" t="str">
        <f>VLOOKUP(AC1087,Mapping!$E$11:$I$204,5,0)</f>
        <v>ACS</v>
      </c>
      <c r="AO1087" s="7"/>
      <c r="AP1087" s="7"/>
      <c r="AQ1087" s="7"/>
      <c r="AR1087" s="7"/>
      <c r="AS1087" s="7"/>
    </row>
    <row r="1088" spans="1:45" x14ac:dyDescent="0.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Q1088" s="32" t="s">
        <v>267</v>
      </c>
      <c r="R1088" s="32"/>
      <c r="S1088" s="32">
        <v>71055</v>
      </c>
      <c r="T1088" s="32" t="s">
        <v>465</v>
      </c>
      <c r="U1088" s="33">
        <v>-3.0859999999999999</v>
      </c>
      <c r="V1088" s="7"/>
      <c r="W1088" s="7" t="str">
        <f>VLOOKUP($Q1088,Mapping!$E$11:$I$204,3,0)</f>
        <v>Replacement</v>
      </c>
      <c r="X1088" s="7" t="str">
        <f>IFERROR(VLOOKUP($S1088,Mapping!$E$208:$K$236,5,0),"Contracts")</f>
        <v>Contracts</v>
      </c>
      <c r="Y1088" s="7" t="str">
        <f>IFERROR(VLOOKUP($S1088,Mapping!$E$208:$K$236,7,0),"ENDirect")</f>
        <v>ENDirect</v>
      </c>
      <c r="Z1088" s="7" t="str">
        <f>IFERROR(HLOOKUP(X1088,'Calc|Weightings'!$U$5:$W$5,1,0),"Excl")</f>
        <v>Contracts</v>
      </c>
      <c r="AA1088" s="7" t="str">
        <f>VLOOKUP(Q1088,Mapping!$E$11:$I$204,5,0)</f>
        <v>SCS</v>
      </c>
      <c r="AC1088" s="35" t="s">
        <v>254</v>
      </c>
      <c r="AD1088" s="35"/>
      <c r="AE1088" s="35">
        <v>89999</v>
      </c>
      <c r="AF1088" s="35" t="s">
        <v>471</v>
      </c>
      <c r="AG1088" s="36">
        <v>0</v>
      </c>
      <c r="AI1088" s="7" t="str">
        <f>VLOOKUP($AC1088,Mapping!$E$11:$I$204,3,0)</f>
        <v>ACS</v>
      </c>
      <c r="AJ1088" s="7" t="str">
        <f>IFERROR(VLOOKUP($AE1088,Mapping!$E$208:$K$236,5,0),"Contracts")</f>
        <v>Contracts</v>
      </c>
      <c r="AK1088" s="7" t="str">
        <f>IFERROR(VLOOKUP($AE1088,Mapping!$E$208:$K$236,7,0),"ENDirect")</f>
        <v>ENDirect</v>
      </c>
      <c r="AL1088" s="7" t="str">
        <f>IFERROR(HLOOKUP(AJ1088,'Calc|Weightings'!$U$5:$W$5,1,0),"Excl")</f>
        <v>Contracts</v>
      </c>
      <c r="AM1088" s="7" t="str">
        <f>VLOOKUP(AC1088,Mapping!$E$11:$I$204,5,0)</f>
        <v>ACS</v>
      </c>
      <c r="AO1088" s="7"/>
      <c r="AP1088" s="7"/>
      <c r="AQ1088" s="7"/>
      <c r="AR1088" s="7"/>
      <c r="AS1088" s="7"/>
    </row>
    <row r="1089" spans="1:45" x14ac:dyDescent="0.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Q1089" s="32" t="s">
        <v>131</v>
      </c>
      <c r="R1089" s="32"/>
      <c r="S1089" s="32">
        <v>70815</v>
      </c>
      <c r="T1089" s="32" t="s">
        <v>451</v>
      </c>
      <c r="U1089" s="33">
        <v>182.381</v>
      </c>
      <c r="V1089" s="7"/>
      <c r="W1089" s="7" t="str">
        <f>VLOOKUP($Q1089,Mapping!$E$11:$I$204,3,0)</f>
        <v>Non-network general assets - Other</v>
      </c>
      <c r="X1089" s="7" t="str">
        <f>IFERROR(VLOOKUP($S1089,Mapping!$E$208:$K$236,5,0),"Contracts")</f>
        <v>Materials</v>
      </c>
      <c r="Y1089" s="7" t="str">
        <f>IFERROR(VLOOKUP($S1089,Mapping!$E$208:$K$236,7,0),"ENDirect")</f>
        <v>ENDirect</v>
      </c>
      <c r="Z1089" s="7" t="str">
        <f>IFERROR(HLOOKUP(X1089,'Calc|Weightings'!$U$5:$W$5,1,0),"Excl")</f>
        <v>Materials</v>
      </c>
      <c r="AA1089" s="7" t="str">
        <f>VLOOKUP(Q1089,Mapping!$E$11:$I$204,5,0)</f>
        <v>SCS</v>
      </c>
      <c r="AC1089" s="35" t="s">
        <v>256</v>
      </c>
      <c r="AD1089" s="35"/>
      <c r="AE1089" s="35">
        <v>71020</v>
      </c>
      <c r="AF1089" s="35" t="s">
        <v>459</v>
      </c>
      <c r="AG1089" s="36">
        <v>20.015999999999998</v>
      </c>
      <c r="AI1089" s="7" t="str">
        <f>VLOOKUP($AC1089,Mapping!$E$11:$I$204,3,0)</f>
        <v>ACS</v>
      </c>
      <c r="AJ1089" s="7" t="str">
        <f>IFERROR(VLOOKUP($AE1089,Mapping!$E$208:$K$236,5,0),"Contracts")</f>
        <v>Contracts</v>
      </c>
      <c r="AK1089" s="7" t="str">
        <f>IFERROR(VLOOKUP($AE1089,Mapping!$E$208:$K$236,7,0),"ENDirect")</f>
        <v>ENDirect</v>
      </c>
      <c r="AL1089" s="7" t="str">
        <f>IFERROR(HLOOKUP(AJ1089,'Calc|Weightings'!$U$5:$W$5,1,0),"Excl")</f>
        <v>Contracts</v>
      </c>
      <c r="AM1089" s="7" t="str">
        <f>VLOOKUP(AC1089,Mapping!$E$11:$I$204,5,0)</f>
        <v>ACS</v>
      </c>
      <c r="AO1089" s="7"/>
      <c r="AP1089" s="7"/>
      <c r="AQ1089" s="7"/>
      <c r="AR1089" s="7"/>
      <c r="AS1089" s="7"/>
    </row>
    <row r="1090" spans="1:45" x14ac:dyDescent="0.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Q1090" s="32" t="s">
        <v>267</v>
      </c>
      <c r="R1090" s="32"/>
      <c r="S1090" s="32">
        <v>70815</v>
      </c>
      <c r="T1090" s="32" t="s">
        <v>451</v>
      </c>
      <c r="U1090" s="33">
        <v>0</v>
      </c>
      <c r="V1090" s="7"/>
      <c r="W1090" s="7" t="str">
        <f>VLOOKUP($Q1090,Mapping!$E$11:$I$204,3,0)</f>
        <v>Replacement</v>
      </c>
      <c r="X1090" s="7" t="str">
        <f>IFERROR(VLOOKUP($S1090,Mapping!$E$208:$K$236,5,0),"Contracts")</f>
        <v>Materials</v>
      </c>
      <c r="Y1090" s="7" t="str">
        <f>IFERROR(VLOOKUP($S1090,Mapping!$E$208:$K$236,7,0),"ENDirect")</f>
        <v>ENDirect</v>
      </c>
      <c r="Z1090" s="7" t="str">
        <f>IFERROR(HLOOKUP(X1090,'Calc|Weightings'!$U$5:$W$5,1,0),"Excl")</f>
        <v>Materials</v>
      </c>
      <c r="AA1090" s="7" t="str">
        <f>VLOOKUP(Q1090,Mapping!$E$11:$I$204,5,0)</f>
        <v>SCS</v>
      </c>
      <c r="AC1090" s="35" t="s">
        <v>256</v>
      </c>
      <c r="AD1090" s="35"/>
      <c r="AE1090" s="35">
        <v>80000</v>
      </c>
      <c r="AF1090" s="35" t="s">
        <v>453</v>
      </c>
      <c r="AG1090" s="36">
        <v>143.53399999999999</v>
      </c>
      <c r="AI1090" s="7" t="str">
        <f>VLOOKUP($AC1090,Mapping!$E$11:$I$204,3,0)</f>
        <v>ACS</v>
      </c>
      <c r="AJ1090" s="7" t="str">
        <f>IFERROR(VLOOKUP($AE1090,Mapping!$E$208:$K$236,5,0),"Contracts")</f>
        <v>Overhead</v>
      </c>
      <c r="AK1090" s="7" t="str">
        <f>IFERROR(VLOOKUP($AE1090,Mapping!$E$208:$K$236,7,0),"ENDirect")</f>
        <v>OH</v>
      </c>
      <c r="AL1090" s="7" t="str">
        <f>IFERROR(HLOOKUP(AJ1090,'Calc|Weightings'!$U$5:$W$5,1,0),"Excl")</f>
        <v>Excl</v>
      </c>
      <c r="AM1090" s="7" t="str">
        <f>VLOOKUP(AC1090,Mapping!$E$11:$I$204,5,0)</f>
        <v>ACS</v>
      </c>
      <c r="AO1090" s="7"/>
      <c r="AP1090" s="7"/>
      <c r="AQ1090" s="7"/>
      <c r="AR1090" s="7"/>
      <c r="AS1090" s="7"/>
    </row>
    <row r="1091" spans="1:45" x14ac:dyDescent="0.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Q1091" s="32" t="s">
        <v>267</v>
      </c>
      <c r="R1091" s="32"/>
      <c r="S1091" s="32">
        <v>71010</v>
      </c>
      <c r="T1091" s="32" t="s">
        <v>462</v>
      </c>
      <c r="U1091" s="33">
        <v>0</v>
      </c>
      <c r="V1091" s="7"/>
      <c r="W1091" s="7" t="str">
        <f>VLOOKUP($Q1091,Mapping!$E$11:$I$204,3,0)</f>
        <v>Replacement</v>
      </c>
      <c r="X1091" s="7" t="str">
        <f>IFERROR(VLOOKUP($S1091,Mapping!$E$208:$K$236,5,0),"Contracts")</f>
        <v>Labour</v>
      </c>
      <c r="Y1091" s="7" t="str">
        <f>IFERROR(VLOOKUP($S1091,Mapping!$E$208:$K$236,7,0),"ENDirect")</f>
        <v>ENDirect</v>
      </c>
      <c r="Z1091" s="7" t="str">
        <f>IFERROR(HLOOKUP(X1091,'Calc|Weightings'!$U$5:$W$5,1,0),"Excl")</f>
        <v>Labour</v>
      </c>
      <c r="AA1091" s="7" t="str">
        <f>VLOOKUP(Q1091,Mapping!$E$11:$I$204,5,0)</f>
        <v>SCS</v>
      </c>
      <c r="AC1091" s="35" t="s">
        <v>152</v>
      </c>
      <c r="AD1091" s="35"/>
      <c r="AE1091" s="35">
        <v>71020</v>
      </c>
      <c r="AF1091" s="35" t="s">
        <v>459</v>
      </c>
      <c r="AG1091" s="36">
        <v>0</v>
      </c>
      <c r="AI1091" s="7" t="str">
        <f>VLOOKUP($AC1091,Mapping!$E$11:$I$204,3,0)</f>
        <v>Augmentation</v>
      </c>
      <c r="AJ1091" s="7" t="str">
        <f>IFERROR(VLOOKUP($AE1091,Mapping!$E$208:$K$236,5,0),"Contracts")</f>
        <v>Contracts</v>
      </c>
      <c r="AK1091" s="7" t="str">
        <f>IFERROR(VLOOKUP($AE1091,Mapping!$E$208:$K$236,7,0),"ENDirect")</f>
        <v>ENDirect</v>
      </c>
      <c r="AL1091" s="7" t="str">
        <f>IFERROR(HLOOKUP(AJ1091,'Calc|Weightings'!$U$5:$W$5,1,0),"Excl")</f>
        <v>Contracts</v>
      </c>
      <c r="AM1091" s="7" t="str">
        <f>VLOOKUP(AC1091,Mapping!$E$11:$I$204,5,0)</f>
        <v>SCS</v>
      </c>
      <c r="AO1091" s="7"/>
      <c r="AP1091" s="7"/>
      <c r="AQ1091" s="7"/>
      <c r="AR1091" s="7"/>
      <c r="AS1091" s="7"/>
    </row>
    <row r="1092" spans="1:45" x14ac:dyDescent="0.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Q1092" s="7"/>
      <c r="R1092" s="7"/>
      <c r="S1092" s="7"/>
      <c r="T1092" s="7"/>
      <c r="U1092" s="7"/>
      <c r="V1092" s="7"/>
      <c r="AC1092" s="35" t="s">
        <v>164</v>
      </c>
      <c r="AD1092" s="35"/>
      <c r="AE1092" s="35">
        <v>70815</v>
      </c>
      <c r="AF1092" s="35" t="s">
        <v>451</v>
      </c>
      <c r="AG1092" s="36">
        <v>280.238</v>
      </c>
      <c r="AI1092" s="7" t="str">
        <f>VLOOKUP($AC1092,Mapping!$E$11:$I$204,3,0)</f>
        <v>Replacement</v>
      </c>
      <c r="AJ1092" s="7" t="str">
        <f>IFERROR(VLOOKUP($AE1092,Mapping!$E$208:$K$236,5,0),"Contracts")</f>
        <v>Materials</v>
      </c>
      <c r="AK1092" s="7" t="str">
        <f>IFERROR(VLOOKUP($AE1092,Mapping!$E$208:$K$236,7,0),"ENDirect")</f>
        <v>ENDirect</v>
      </c>
      <c r="AL1092" s="7" t="str">
        <f>IFERROR(HLOOKUP(AJ1092,'Calc|Weightings'!$U$5:$W$5,1,0),"Excl")</f>
        <v>Materials</v>
      </c>
      <c r="AM1092" s="7" t="str">
        <f>VLOOKUP(AC1092,Mapping!$E$11:$I$204,5,0)</f>
        <v>SCS</v>
      </c>
      <c r="AO1092" s="7"/>
      <c r="AP1092" s="7"/>
      <c r="AQ1092" s="7"/>
      <c r="AR1092" s="7"/>
      <c r="AS1092" s="7"/>
    </row>
    <row r="1093" spans="1:45" x14ac:dyDescent="0.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Q1093" s="7"/>
      <c r="R1093" s="7"/>
      <c r="S1093" s="7"/>
      <c r="T1093" s="7"/>
      <c r="U1093" s="7"/>
      <c r="V1093" s="7"/>
      <c r="AC1093" s="35" t="s">
        <v>197</v>
      </c>
      <c r="AD1093" s="35"/>
      <c r="AE1093" s="35">
        <v>71020</v>
      </c>
      <c r="AF1093" s="35" t="s">
        <v>459</v>
      </c>
      <c r="AG1093" s="36">
        <v>0.73199999999999998</v>
      </c>
      <c r="AI1093" s="7" t="str">
        <f>VLOOKUP($AC1093,Mapping!$E$11:$I$204,3,0)</f>
        <v>Replacement</v>
      </c>
      <c r="AJ1093" s="7" t="str">
        <f>IFERROR(VLOOKUP($AE1093,Mapping!$E$208:$K$236,5,0),"Contracts")</f>
        <v>Contracts</v>
      </c>
      <c r="AK1093" s="7" t="str">
        <f>IFERROR(VLOOKUP($AE1093,Mapping!$E$208:$K$236,7,0),"ENDirect")</f>
        <v>ENDirect</v>
      </c>
      <c r="AL1093" s="7" t="str">
        <f>IFERROR(HLOOKUP(AJ1093,'Calc|Weightings'!$U$5:$W$5,1,0),"Excl")</f>
        <v>Contracts</v>
      </c>
      <c r="AM1093" s="7" t="str">
        <f>VLOOKUP(AC1093,Mapping!$E$11:$I$204,5,0)</f>
        <v>SCS</v>
      </c>
      <c r="AO1093" s="7"/>
      <c r="AP1093" s="7"/>
      <c r="AQ1093" s="7"/>
      <c r="AR1093" s="7"/>
      <c r="AS1093" s="7"/>
    </row>
    <row r="1094" spans="1:45" x14ac:dyDescent="0.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Q1094" s="7"/>
      <c r="R1094" s="7"/>
      <c r="S1094" s="7"/>
      <c r="T1094" s="7"/>
      <c r="U1094" s="7"/>
      <c r="V1094" s="7"/>
      <c r="AC1094" s="35" t="s">
        <v>200</v>
      </c>
      <c r="AD1094" s="35"/>
      <c r="AE1094" s="35">
        <v>71020</v>
      </c>
      <c r="AF1094" s="35" t="s">
        <v>459</v>
      </c>
      <c r="AG1094" s="36">
        <v>0</v>
      </c>
      <c r="AI1094" s="7" t="str">
        <f>VLOOKUP($AC1094,Mapping!$E$11:$I$204,3,0)</f>
        <v>Public Lighting</v>
      </c>
      <c r="AJ1094" s="7" t="str">
        <f>IFERROR(VLOOKUP($AE1094,Mapping!$E$208:$K$236,5,0),"Contracts")</f>
        <v>Contracts</v>
      </c>
      <c r="AK1094" s="7" t="str">
        <f>IFERROR(VLOOKUP($AE1094,Mapping!$E$208:$K$236,7,0),"ENDirect")</f>
        <v>ENDirect</v>
      </c>
      <c r="AL1094" s="7" t="str">
        <f>IFERROR(HLOOKUP(AJ1094,'Calc|Weightings'!$U$5:$W$5,1,0),"Excl")</f>
        <v>Contracts</v>
      </c>
      <c r="AM1094" s="7" t="str">
        <f>VLOOKUP(AC1094,Mapping!$E$11:$I$204,5,0)</f>
        <v>Public Lighting</v>
      </c>
      <c r="AO1094" s="7"/>
      <c r="AP1094" s="7"/>
      <c r="AQ1094" s="7"/>
      <c r="AR1094" s="7"/>
      <c r="AS1094" s="7"/>
    </row>
    <row r="1095" spans="1:45" x14ac:dyDescent="0.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Q1095" s="7"/>
      <c r="R1095" s="7"/>
      <c r="S1095" s="7"/>
      <c r="T1095" s="7"/>
      <c r="U1095" s="7"/>
      <c r="V1095" s="7"/>
      <c r="AC1095" s="35" t="s">
        <v>203</v>
      </c>
      <c r="AD1095" s="35"/>
      <c r="AE1095" s="35">
        <v>70815</v>
      </c>
      <c r="AF1095" s="35" t="s">
        <v>451</v>
      </c>
      <c r="AG1095" s="36">
        <v>63.4</v>
      </c>
      <c r="AI1095" s="7" t="str">
        <f>VLOOKUP($AC1095,Mapping!$E$11:$I$204,3,0)</f>
        <v>Replacement</v>
      </c>
      <c r="AJ1095" s="7" t="str">
        <f>IFERROR(VLOOKUP($AE1095,Mapping!$E$208:$K$236,5,0),"Contracts")</f>
        <v>Materials</v>
      </c>
      <c r="AK1095" s="7" t="str">
        <f>IFERROR(VLOOKUP($AE1095,Mapping!$E$208:$K$236,7,0),"ENDirect")</f>
        <v>ENDirect</v>
      </c>
      <c r="AL1095" s="7" t="str">
        <f>IFERROR(HLOOKUP(AJ1095,'Calc|Weightings'!$U$5:$W$5,1,0),"Excl")</f>
        <v>Materials</v>
      </c>
      <c r="AM1095" s="7" t="str">
        <f>VLOOKUP(AC1095,Mapping!$E$11:$I$204,5,0)</f>
        <v>SCS</v>
      </c>
      <c r="AO1095" s="7"/>
      <c r="AP1095" s="7"/>
      <c r="AQ1095" s="7"/>
      <c r="AR1095" s="7"/>
      <c r="AS1095" s="7"/>
    </row>
    <row r="1096" spans="1:45" x14ac:dyDescent="0.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Q1096" s="7"/>
      <c r="R1096" s="7"/>
      <c r="S1096" s="7"/>
      <c r="T1096" s="7"/>
      <c r="U1096" s="7"/>
      <c r="V1096" s="7"/>
      <c r="AC1096" s="35" t="s">
        <v>209</v>
      </c>
      <c r="AD1096" s="35"/>
      <c r="AE1096" s="35">
        <v>70815</v>
      </c>
      <c r="AF1096" s="35" t="s">
        <v>451</v>
      </c>
      <c r="AG1096" s="36">
        <v>4.4000000000000004</v>
      </c>
      <c r="AI1096" s="7" t="str">
        <f>VLOOKUP($AC1096,Mapping!$E$11:$I$204,3,0)</f>
        <v>Replacement</v>
      </c>
      <c r="AJ1096" s="7" t="str">
        <f>IFERROR(VLOOKUP($AE1096,Mapping!$E$208:$K$236,5,0),"Contracts")</f>
        <v>Materials</v>
      </c>
      <c r="AK1096" s="7" t="str">
        <f>IFERROR(VLOOKUP($AE1096,Mapping!$E$208:$K$236,7,0),"ENDirect")</f>
        <v>ENDirect</v>
      </c>
      <c r="AL1096" s="7" t="str">
        <f>IFERROR(HLOOKUP(AJ1096,'Calc|Weightings'!$U$5:$W$5,1,0),"Excl")</f>
        <v>Materials</v>
      </c>
      <c r="AM1096" s="7" t="str">
        <f>VLOOKUP(AC1096,Mapping!$E$11:$I$204,5,0)</f>
        <v>SCS</v>
      </c>
      <c r="AO1096" s="7"/>
      <c r="AP1096" s="7"/>
      <c r="AQ1096" s="7"/>
      <c r="AR1096" s="7"/>
      <c r="AS1096" s="7"/>
    </row>
    <row r="1097" spans="1:45" x14ac:dyDescent="0.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Q1097" s="7"/>
      <c r="R1097" s="7"/>
      <c r="S1097" s="7"/>
      <c r="T1097" s="7"/>
      <c r="U1097" s="7"/>
      <c r="V1097" s="7"/>
      <c r="AC1097" s="35" t="s">
        <v>220</v>
      </c>
      <c r="AD1097" s="35"/>
      <c r="AE1097" s="35">
        <v>71020</v>
      </c>
      <c r="AF1097" s="35" t="s">
        <v>459</v>
      </c>
      <c r="AG1097" s="36">
        <v>0</v>
      </c>
      <c r="AI1097" s="7" t="str">
        <f>VLOOKUP($AC1097,Mapping!$E$11:$I$204,3,0)</f>
        <v>Replacement</v>
      </c>
      <c r="AJ1097" s="7" t="str">
        <f>IFERROR(VLOOKUP($AE1097,Mapping!$E$208:$K$236,5,0),"Contracts")</f>
        <v>Contracts</v>
      </c>
      <c r="AK1097" s="7" t="str">
        <f>IFERROR(VLOOKUP($AE1097,Mapping!$E$208:$K$236,7,0),"ENDirect")</f>
        <v>ENDirect</v>
      </c>
      <c r="AL1097" s="7" t="str">
        <f>IFERROR(HLOOKUP(AJ1097,'Calc|Weightings'!$U$5:$W$5,1,0),"Excl")</f>
        <v>Contracts</v>
      </c>
      <c r="AM1097" s="7" t="str">
        <f>VLOOKUP(AC1097,Mapping!$E$11:$I$204,5,0)</f>
        <v>SCS</v>
      </c>
      <c r="AO1097" s="7"/>
      <c r="AP1097" s="7"/>
      <c r="AQ1097" s="7"/>
      <c r="AR1097" s="7"/>
      <c r="AS1097" s="7"/>
    </row>
    <row r="1098" spans="1:45" x14ac:dyDescent="0.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Q1098" s="7"/>
      <c r="R1098" s="7"/>
      <c r="S1098" s="7"/>
      <c r="T1098" s="7"/>
      <c r="U1098" s="7"/>
      <c r="V1098" s="7"/>
      <c r="AC1098" s="35" t="s">
        <v>228</v>
      </c>
      <c r="AD1098" s="35"/>
      <c r="AE1098" s="35">
        <v>70815</v>
      </c>
      <c r="AF1098" s="35" t="s">
        <v>451</v>
      </c>
      <c r="AG1098" s="36">
        <v>76.8</v>
      </c>
      <c r="AI1098" s="7" t="str">
        <f>VLOOKUP($AC1098,Mapping!$E$11:$I$204,3,0)</f>
        <v>Replacement</v>
      </c>
      <c r="AJ1098" s="7" t="str">
        <f>IFERROR(VLOOKUP($AE1098,Mapping!$E$208:$K$236,5,0),"Contracts")</f>
        <v>Materials</v>
      </c>
      <c r="AK1098" s="7" t="str">
        <f>IFERROR(VLOOKUP($AE1098,Mapping!$E$208:$K$236,7,0),"ENDirect")</f>
        <v>ENDirect</v>
      </c>
      <c r="AL1098" s="7" t="str">
        <f>IFERROR(HLOOKUP(AJ1098,'Calc|Weightings'!$U$5:$W$5,1,0),"Excl")</f>
        <v>Materials</v>
      </c>
      <c r="AM1098" s="7" t="str">
        <f>VLOOKUP(AC1098,Mapping!$E$11:$I$204,5,0)</f>
        <v>SCS</v>
      </c>
      <c r="AO1098" s="7"/>
      <c r="AP1098" s="7"/>
      <c r="AQ1098" s="7"/>
      <c r="AR1098" s="7"/>
      <c r="AS1098" s="7"/>
    </row>
    <row r="1099" spans="1:45" x14ac:dyDescent="0.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Q1099" s="7"/>
      <c r="R1099" s="7"/>
      <c r="S1099" s="7"/>
      <c r="T1099" s="7"/>
      <c r="U1099" s="7"/>
      <c r="V1099" s="7"/>
      <c r="AC1099" s="35" t="s">
        <v>228</v>
      </c>
      <c r="AD1099" s="35"/>
      <c r="AE1099" s="35">
        <v>71006</v>
      </c>
      <c r="AF1099" s="35" t="s">
        <v>468</v>
      </c>
      <c r="AG1099" s="36">
        <v>1.786</v>
      </c>
      <c r="AI1099" s="7" t="str">
        <f>VLOOKUP($AC1099,Mapping!$E$11:$I$204,3,0)</f>
        <v>Replacement</v>
      </c>
      <c r="AJ1099" s="7" t="str">
        <f>IFERROR(VLOOKUP($AE1099,Mapping!$E$208:$K$236,5,0),"Contracts")</f>
        <v>Materials</v>
      </c>
      <c r="AK1099" s="7" t="str">
        <f>IFERROR(VLOOKUP($AE1099,Mapping!$E$208:$K$236,7,0),"ENDirect")</f>
        <v>ENDirect</v>
      </c>
      <c r="AL1099" s="7" t="str">
        <f>IFERROR(HLOOKUP(AJ1099,'Calc|Weightings'!$U$5:$W$5,1,0),"Excl")</f>
        <v>Materials</v>
      </c>
      <c r="AM1099" s="7" t="str">
        <f>VLOOKUP(AC1099,Mapping!$E$11:$I$204,5,0)</f>
        <v>SCS</v>
      </c>
      <c r="AO1099" s="7"/>
      <c r="AP1099" s="7"/>
      <c r="AQ1099" s="7"/>
      <c r="AR1099" s="7"/>
      <c r="AS1099" s="7"/>
    </row>
    <row r="1100" spans="1:45" x14ac:dyDescent="0.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Q1100" s="7"/>
      <c r="R1100" s="7"/>
      <c r="S1100" s="7"/>
      <c r="T1100" s="7"/>
      <c r="U1100" s="7"/>
      <c r="V1100" s="7"/>
      <c r="AC1100" s="35" t="s">
        <v>237</v>
      </c>
      <c r="AD1100" s="35"/>
      <c r="AE1100" s="35">
        <v>71020</v>
      </c>
      <c r="AF1100" s="35" t="s">
        <v>459</v>
      </c>
      <c r="AG1100" s="36">
        <v>0</v>
      </c>
      <c r="AI1100" s="7" t="str">
        <f>VLOOKUP($AC1100,Mapping!$E$11:$I$204,3,0)</f>
        <v>Replacement</v>
      </c>
      <c r="AJ1100" s="7" t="str">
        <f>IFERROR(VLOOKUP($AE1100,Mapping!$E$208:$K$236,5,0),"Contracts")</f>
        <v>Contracts</v>
      </c>
      <c r="AK1100" s="7" t="str">
        <f>IFERROR(VLOOKUP($AE1100,Mapping!$E$208:$K$236,7,0),"ENDirect")</f>
        <v>ENDirect</v>
      </c>
      <c r="AL1100" s="7" t="str">
        <f>IFERROR(HLOOKUP(AJ1100,'Calc|Weightings'!$U$5:$W$5,1,0),"Excl")</f>
        <v>Contracts</v>
      </c>
      <c r="AM1100" s="7" t="str">
        <f>VLOOKUP(AC1100,Mapping!$E$11:$I$204,5,0)</f>
        <v>SCS</v>
      </c>
      <c r="AO1100" s="7"/>
      <c r="AP1100" s="7"/>
      <c r="AQ1100" s="7"/>
      <c r="AR1100" s="7"/>
      <c r="AS1100" s="7"/>
    </row>
    <row r="1101" spans="1:45" x14ac:dyDescent="0.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Q1101" s="7"/>
      <c r="R1101" s="7"/>
      <c r="S1101" s="7"/>
      <c r="T1101" s="7"/>
      <c r="U1101" s="7"/>
      <c r="V1101" s="7"/>
      <c r="AC1101" s="35" t="s">
        <v>252</v>
      </c>
      <c r="AD1101" s="35"/>
      <c r="AE1101" s="35">
        <v>71020</v>
      </c>
      <c r="AF1101" s="35" t="s">
        <v>459</v>
      </c>
      <c r="AG1101" s="36">
        <v>0</v>
      </c>
      <c r="AI1101" s="7" t="str">
        <f>VLOOKUP($AC1101,Mapping!$E$11:$I$204,3,0)</f>
        <v>ACS</v>
      </c>
      <c r="AJ1101" s="7" t="str">
        <f>IFERROR(VLOOKUP($AE1101,Mapping!$E$208:$K$236,5,0),"Contracts")</f>
        <v>Contracts</v>
      </c>
      <c r="AK1101" s="7" t="str">
        <f>IFERROR(VLOOKUP($AE1101,Mapping!$E$208:$K$236,7,0),"ENDirect")</f>
        <v>ENDirect</v>
      </c>
      <c r="AL1101" s="7" t="str">
        <f>IFERROR(HLOOKUP(AJ1101,'Calc|Weightings'!$U$5:$W$5,1,0),"Excl")</f>
        <v>Contracts</v>
      </c>
      <c r="AM1101" s="7" t="str">
        <f>VLOOKUP(AC1101,Mapping!$E$11:$I$204,5,0)</f>
        <v>ACS</v>
      </c>
      <c r="AO1101" s="7"/>
      <c r="AP1101" s="7"/>
      <c r="AQ1101" s="7"/>
      <c r="AR1101" s="7"/>
      <c r="AS1101" s="7"/>
    </row>
    <row r="1102" spans="1:45" x14ac:dyDescent="0.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Q1102" s="7"/>
      <c r="R1102" s="7"/>
      <c r="S1102" s="7"/>
      <c r="T1102" s="7"/>
      <c r="U1102" s="7"/>
      <c r="V1102" s="7"/>
      <c r="AC1102" s="35" t="s">
        <v>103</v>
      </c>
      <c r="AD1102" s="35"/>
      <c r="AE1102" s="35">
        <v>71020</v>
      </c>
      <c r="AF1102" s="35" t="s">
        <v>459</v>
      </c>
      <c r="AG1102" s="36">
        <v>0</v>
      </c>
      <c r="AI1102" s="7" t="str">
        <f>VLOOKUP($AC1102,Mapping!$E$11:$I$204,3,0)</f>
        <v>Public Lighting</v>
      </c>
      <c r="AJ1102" s="7" t="str">
        <f>IFERROR(VLOOKUP($AE1102,Mapping!$E$208:$K$236,5,0),"Contracts")</f>
        <v>Contracts</v>
      </c>
      <c r="AK1102" s="7" t="str">
        <f>IFERROR(VLOOKUP($AE1102,Mapping!$E$208:$K$236,7,0),"ENDirect")</f>
        <v>ENDirect</v>
      </c>
      <c r="AL1102" s="7" t="str">
        <f>IFERROR(HLOOKUP(AJ1102,'Calc|Weightings'!$U$5:$W$5,1,0),"Excl")</f>
        <v>Contracts</v>
      </c>
      <c r="AM1102" s="7" t="str">
        <f>VLOOKUP(AC1102,Mapping!$E$11:$I$204,5,0)</f>
        <v>Public Lighting</v>
      </c>
      <c r="AO1102" s="7"/>
      <c r="AP1102" s="7"/>
      <c r="AQ1102" s="7"/>
      <c r="AR1102" s="7"/>
      <c r="AS1102" s="7"/>
    </row>
    <row r="1103" spans="1:45" x14ac:dyDescent="0.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Q1103" s="7"/>
      <c r="R1103" s="7"/>
      <c r="S1103" s="7"/>
      <c r="T1103" s="7"/>
      <c r="U1103" s="7"/>
      <c r="V1103" s="7"/>
      <c r="AC1103" s="35" t="s">
        <v>268</v>
      </c>
      <c r="AD1103" s="35"/>
      <c r="AE1103" s="35">
        <v>70815</v>
      </c>
      <c r="AF1103" s="35" t="s">
        <v>451</v>
      </c>
      <c r="AG1103" s="36">
        <v>0.52500000000000002</v>
      </c>
      <c r="AI1103" s="7" t="str">
        <f>VLOOKUP($AC1103,Mapping!$E$11:$I$204,3,0)</f>
        <v>Replacement</v>
      </c>
      <c r="AJ1103" s="7" t="str">
        <f>IFERROR(VLOOKUP($AE1103,Mapping!$E$208:$K$236,5,0),"Contracts")</f>
        <v>Materials</v>
      </c>
      <c r="AK1103" s="7" t="str">
        <f>IFERROR(VLOOKUP($AE1103,Mapping!$E$208:$K$236,7,0),"ENDirect")</f>
        <v>ENDirect</v>
      </c>
      <c r="AL1103" s="7" t="str">
        <f>IFERROR(HLOOKUP(AJ1103,'Calc|Weightings'!$U$5:$W$5,1,0),"Excl")</f>
        <v>Materials</v>
      </c>
      <c r="AM1103" s="7" t="str">
        <f>VLOOKUP(AC1103,Mapping!$E$11:$I$204,5,0)</f>
        <v>SCS</v>
      </c>
      <c r="AO1103" s="7"/>
      <c r="AP1103" s="7"/>
      <c r="AQ1103" s="7"/>
      <c r="AR1103" s="7"/>
      <c r="AS1103" s="7"/>
    </row>
    <row r="1104" spans="1:45" x14ac:dyDescent="0.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Q1104" s="7"/>
      <c r="R1104" s="7"/>
      <c r="S1104" s="7"/>
      <c r="T1104" s="7"/>
      <c r="U1104" s="7"/>
      <c r="V1104" s="7"/>
      <c r="AC1104" s="35" t="s">
        <v>268</v>
      </c>
      <c r="AD1104" s="35"/>
      <c r="AE1104" s="35">
        <v>71045</v>
      </c>
      <c r="AF1104" s="35" t="s">
        <v>469</v>
      </c>
      <c r="AG1104" s="36">
        <v>3.8559999999999999</v>
      </c>
      <c r="AI1104" s="7" t="str">
        <f>VLOOKUP($AC1104,Mapping!$E$11:$I$204,3,0)</f>
        <v>Replacement</v>
      </c>
      <c r="AJ1104" s="7" t="str">
        <f>IFERROR(VLOOKUP($AE1104,Mapping!$E$208:$K$236,5,0),"Contracts")</f>
        <v>Materials</v>
      </c>
      <c r="AK1104" s="7" t="str">
        <f>IFERROR(VLOOKUP($AE1104,Mapping!$E$208:$K$236,7,0),"ENDirect")</f>
        <v>ENDirect</v>
      </c>
      <c r="AL1104" s="7" t="str">
        <f>IFERROR(HLOOKUP(AJ1104,'Calc|Weightings'!$U$5:$W$5,1,0),"Excl")</f>
        <v>Materials</v>
      </c>
      <c r="AM1104" s="7" t="str">
        <f>VLOOKUP(AC1104,Mapping!$E$11:$I$204,5,0)</f>
        <v>SCS</v>
      </c>
      <c r="AO1104" s="7"/>
      <c r="AP1104" s="7"/>
      <c r="AQ1104" s="7"/>
      <c r="AR1104" s="7"/>
      <c r="AS1104" s="7"/>
    </row>
    <row r="1105" spans="1:45" x14ac:dyDescent="0.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Q1105" s="7"/>
      <c r="R1105" s="7"/>
      <c r="S1105" s="7"/>
      <c r="T1105" s="7"/>
      <c r="U1105" s="7"/>
      <c r="V1105" s="7"/>
      <c r="AC1105" s="35" t="s">
        <v>178</v>
      </c>
      <c r="AD1105" s="35"/>
      <c r="AE1105" s="35">
        <v>71000</v>
      </c>
      <c r="AF1105" s="35" t="s">
        <v>457</v>
      </c>
      <c r="AG1105" s="36">
        <v>2.1459999999999999</v>
      </c>
      <c r="AI1105" s="7" t="str">
        <f>VLOOKUP($AC1105,Mapping!$E$11:$I$204,3,0)</f>
        <v>Replacement</v>
      </c>
      <c r="AJ1105" s="7" t="str">
        <f>IFERROR(VLOOKUP($AE1105,Mapping!$E$208:$K$236,5,0),"Contracts")</f>
        <v>Labour</v>
      </c>
      <c r="AK1105" s="7" t="str">
        <f>IFERROR(VLOOKUP($AE1105,Mapping!$E$208:$K$236,7,0),"ENDirect")</f>
        <v>ENDirect</v>
      </c>
      <c r="AL1105" s="7" t="str">
        <f>IFERROR(HLOOKUP(AJ1105,'Calc|Weightings'!$U$5:$W$5,1,0),"Excl")</f>
        <v>Labour</v>
      </c>
      <c r="AM1105" s="7" t="str">
        <f>VLOOKUP(AC1105,Mapping!$E$11:$I$204,5,0)</f>
        <v>SCS</v>
      </c>
      <c r="AO1105" s="7"/>
      <c r="AP1105" s="7"/>
      <c r="AQ1105" s="7"/>
      <c r="AR1105" s="7"/>
      <c r="AS1105" s="7"/>
    </row>
    <row r="1106" spans="1:45" x14ac:dyDescent="0.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Q1106" s="7"/>
      <c r="R1106" s="7"/>
      <c r="S1106" s="7"/>
      <c r="T1106" s="7"/>
      <c r="U1106" s="7"/>
      <c r="V1106" s="7"/>
      <c r="AC1106" s="35" t="s">
        <v>178</v>
      </c>
      <c r="AD1106" s="35"/>
      <c r="AE1106" s="35">
        <v>71005</v>
      </c>
      <c r="AF1106" s="35" t="s">
        <v>461</v>
      </c>
      <c r="AG1106" s="36">
        <v>15.403</v>
      </c>
      <c r="AI1106" s="7" t="str">
        <f>VLOOKUP($AC1106,Mapping!$E$11:$I$204,3,0)</f>
        <v>Replacement</v>
      </c>
      <c r="AJ1106" s="7" t="str">
        <f>IFERROR(VLOOKUP($AE1106,Mapping!$E$208:$K$236,5,0),"Contracts")</f>
        <v>Materials</v>
      </c>
      <c r="AK1106" s="7" t="str">
        <f>IFERROR(VLOOKUP($AE1106,Mapping!$E$208:$K$236,7,0),"ENDirect")</f>
        <v>ENDirect</v>
      </c>
      <c r="AL1106" s="7" t="str">
        <f>IFERROR(HLOOKUP(AJ1106,'Calc|Weightings'!$U$5:$W$5,1,0),"Excl")</f>
        <v>Materials</v>
      </c>
      <c r="AM1106" s="7" t="str">
        <f>VLOOKUP(AC1106,Mapping!$E$11:$I$204,5,0)</f>
        <v>SCS</v>
      </c>
      <c r="AO1106" s="7"/>
      <c r="AP1106" s="7"/>
      <c r="AQ1106" s="7"/>
      <c r="AR1106" s="7"/>
      <c r="AS1106" s="7"/>
    </row>
    <row r="1107" spans="1:45" x14ac:dyDescent="0.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Q1107" s="7"/>
      <c r="R1107" s="7"/>
      <c r="S1107" s="7"/>
      <c r="T1107" s="7"/>
      <c r="U1107" s="7"/>
      <c r="V1107" s="7"/>
      <c r="AC1107" s="35" t="s">
        <v>178</v>
      </c>
      <c r="AD1107" s="35"/>
      <c r="AE1107" s="35">
        <v>71010</v>
      </c>
      <c r="AF1107" s="35" t="s">
        <v>462</v>
      </c>
      <c r="AG1107" s="36">
        <v>1.6E-2</v>
      </c>
      <c r="AI1107" s="7" t="str">
        <f>VLOOKUP($AC1107,Mapping!$E$11:$I$204,3,0)</f>
        <v>Replacement</v>
      </c>
      <c r="AJ1107" s="7" t="str">
        <f>IFERROR(VLOOKUP($AE1107,Mapping!$E$208:$K$236,5,0),"Contracts")</f>
        <v>Labour</v>
      </c>
      <c r="AK1107" s="7" t="str">
        <f>IFERROR(VLOOKUP($AE1107,Mapping!$E$208:$K$236,7,0),"ENDirect")</f>
        <v>ENDirect</v>
      </c>
      <c r="AL1107" s="7" t="str">
        <f>IFERROR(HLOOKUP(AJ1107,'Calc|Weightings'!$U$5:$W$5,1,0),"Excl")</f>
        <v>Labour</v>
      </c>
      <c r="AM1107" s="7" t="str">
        <f>VLOOKUP(AC1107,Mapping!$E$11:$I$204,5,0)</f>
        <v>SCS</v>
      </c>
      <c r="AO1107" s="7"/>
      <c r="AP1107" s="7"/>
      <c r="AQ1107" s="7"/>
      <c r="AR1107" s="7"/>
      <c r="AS1107" s="7"/>
    </row>
    <row r="1108" spans="1:45" x14ac:dyDescent="0.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Q1108" s="7"/>
      <c r="R1108" s="7"/>
      <c r="S1108" s="7"/>
      <c r="T1108" s="7"/>
      <c r="U1108" s="7"/>
      <c r="V1108" s="7"/>
      <c r="AC1108" s="35" t="s">
        <v>178</v>
      </c>
      <c r="AD1108" s="35"/>
      <c r="AE1108" s="35">
        <v>71015</v>
      </c>
      <c r="AF1108" s="35" t="s">
        <v>463</v>
      </c>
      <c r="AG1108" s="36">
        <v>0.52600000000000002</v>
      </c>
      <c r="AI1108" s="7" t="str">
        <f>VLOOKUP($AC1108,Mapping!$E$11:$I$204,3,0)</f>
        <v>Replacement</v>
      </c>
      <c r="AJ1108" s="7" t="str">
        <f>IFERROR(VLOOKUP($AE1108,Mapping!$E$208:$K$236,5,0),"Contracts")</f>
        <v>Materials</v>
      </c>
      <c r="AK1108" s="7" t="str">
        <f>IFERROR(VLOOKUP($AE1108,Mapping!$E$208:$K$236,7,0),"ENDirect")</f>
        <v>ENDirect</v>
      </c>
      <c r="AL1108" s="7" t="str">
        <f>IFERROR(HLOOKUP(AJ1108,'Calc|Weightings'!$U$5:$W$5,1,0),"Excl")</f>
        <v>Materials</v>
      </c>
      <c r="AM1108" s="7" t="str">
        <f>VLOOKUP(AC1108,Mapping!$E$11:$I$204,5,0)</f>
        <v>SCS</v>
      </c>
      <c r="AO1108" s="7"/>
      <c r="AP1108" s="7"/>
      <c r="AQ1108" s="7"/>
      <c r="AR1108" s="7"/>
      <c r="AS1108" s="7"/>
    </row>
    <row r="1109" spans="1:45" x14ac:dyDescent="0.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Q1109" s="7"/>
      <c r="R1109" s="7"/>
      <c r="S1109" s="7"/>
      <c r="T1109" s="7"/>
      <c r="U1109" s="7"/>
      <c r="V1109" s="7"/>
      <c r="AC1109" s="35" t="s">
        <v>178</v>
      </c>
      <c r="AD1109" s="35"/>
      <c r="AE1109" s="35">
        <v>71030</v>
      </c>
      <c r="AF1109" s="35" t="s">
        <v>464</v>
      </c>
      <c r="AG1109" s="36">
        <v>1.5249999999999999</v>
      </c>
      <c r="AI1109" s="7" t="str">
        <f>VLOOKUP($AC1109,Mapping!$E$11:$I$204,3,0)</f>
        <v>Replacement</v>
      </c>
      <c r="AJ1109" s="7" t="str">
        <f>IFERROR(VLOOKUP($AE1109,Mapping!$E$208:$K$236,5,0),"Contracts")</f>
        <v>Contracts</v>
      </c>
      <c r="AK1109" s="7" t="str">
        <f>IFERROR(VLOOKUP($AE1109,Mapping!$E$208:$K$236,7,0),"ENDirect")</f>
        <v>ENDirect</v>
      </c>
      <c r="AL1109" s="7" t="str">
        <f>IFERROR(HLOOKUP(AJ1109,'Calc|Weightings'!$U$5:$W$5,1,0),"Excl")</f>
        <v>Contracts</v>
      </c>
      <c r="AM1109" s="7" t="str">
        <f>VLOOKUP(AC1109,Mapping!$E$11:$I$204,5,0)</f>
        <v>SCS</v>
      </c>
      <c r="AO1109" s="7"/>
      <c r="AP1109" s="7"/>
      <c r="AQ1109" s="7"/>
      <c r="AR1109" s="7"/>
      <c r="AS1109" s="7"/>
    </row>
    <row r="1110" spans="1:45" x14ac:dyDescent="0.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Q1110" s="7"/>
      <c r="R1110" s="7"/>
      <c r="S1110" s="7"/>
      <c r="T1110" s="7"/>
      <c r="U1110" s="7"/>
      <c r="V1110" s="7"/>
      <c r="AC1110" s="35" t="s">
        <v>178</v>
      </c>
      <c r="AD1110" s="35"/>
      <c r="AE1110" s="35">
        <v>71055</v>
      </c>
      <c r="AF1110" s="35" t="s">
        <v>465</v>
      </c>
      <c r="AG1110" s="36">
        <v>3.694</v>
      </c>
      <c r="AI1110" s="7" t="str">
        <f>VLOOKUP($AC1110,Mapping!$E$11:$I$204,3,0)</f>
        <v>Replacement</v>
      </c>
      <c r="AJ1110" s="7" t="str">
        <f>IFERROR(VLOOKUP($AE1110,Mapping!$E$208:$K$236,5,0),"Contracts")</f>
        <v>Contracts</v>
      </c>
      <c r="AK1110" s="7" t="str">
        <f>IFERROR(VLOOKUP($AE1110,Mapping!$E$208:$K$236,7,0),"ENDirect")</f>
        <v>ENDirect</v>
      </c>
      <c r="AL1110" s="7" t="str">
        <f>IFERROR(HLOOKUP(AJ1110,'Calc|Weightings'!$U$5:$W$5,1,0),"Excl")</f>
        <v>Contracts</v>
      </c>
      <c r="AM1110" s="7" t="str">
        <f>VLOOKUP(AC1110,Mapping!$E$11:$I$204,5,0)</f>
        <v>SCS</v>
      </c>
      <c r="AO1110" s="7"/>
      <c r="AP1110" s="7"/>
      <c r="AQ1110" s="7"/>
      <c r="AR1110" s="7"/>
      <c r="AS1110" s="7"/>
    </row>
    <row r="1111" spans="1:45" x14ac:dyDescent="0.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Q1111" s="7"/>
      <c r="R1111" s="7"/>
      <c r="S1111" s="7"/>
      <c r="T1111" s="7"/>
      <c r="U1111" s="7"/>
      <c r="V1111" s="7"/>
      <c r="AC1111" s="35" t="s">
        <v>178</v>
      </c>
      <c r="AD1111" s="35"/>
      <c r="AE1111" s="35">
        <v>80000</v>
      </c>
      <c r="AF1111" s="35" t="s">
        <v>453</v>
      </c>
      <c r="AG1111" s="36">
        <v>5.944</v>
      </c>
      <c r="AI1111" s="7" t="str">
        <f>VLOOKUP($AC1111,Mapping!$E$11:$I$204,3,0)</f>
        <v>Replacement</v>
      </c>
      <c r="AJ1111" s="7" t="str">
        <f>IFERROR(VLOOKUP($AE1111,Mapping!$E$208:$K$236,5,0),"Contracts")</f>
        <v>Overhead</v>
      </c>
      <c r="AK1111" s="7" t="str">
        <f>IFERROR(VLOOKUP($AE1111,Mapping!$E$208:$K$236,7,0),"ENDirect")</f>
        <v>OH</v>
      </c>
      <c r="AL1111" s="7" t="str">
        <f>IFERROR(HLOOKUP(AJ1111,'Calc|Weightings'!$U$5:$W$5,1,0),"Excl")</f>
        <v>Excl</v>
      </c>
      <c r="AM1111" s="7" t="str">
        <f>VLOOKUP(AC1111,Mapping!$E$11:$I$204,5,0)</f>
        <v>SCS</v>
      </c>
      <c r="AO1111" s="7"/>
      <c r="AP1111" s="7"/>
      <c r="AQ1111" s="7"/>
      <c r="AR1111" s="7"/>
      <c r="AS1111" s="7"/>
    </row>
    <row r="1112" spans="1:45" x14ac:dyDescent="0.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Q1112" s="7"/>
      <c r="R1112" s="7"/>
      <c r="S1112" s="7"/>
      <c r="T1112" s="7"/>
      <c r="U1112" s="7"/>
      <c r="V1112" s="7"/>
      <c r="AC1112" s="35" t="s">
        <v>178</v>
      </c>
      <c r="AD1112" s="35"/>
      <c r="AE1112" s="35">
        <v>89999</v>
      </c>
      <c r="AF1112" s="35" t="s">
        <v>471</v>
      </c>
      <c r="AG1112" s="36">
        <v>0</v>
      </c>
      <c r="AI1112" s="7" t="str">
        <f>VLOOKUP($AC1112,Mapping!$E$11:$I$204,3,0)</f>
        <v>Replacement</v>
      </c>
      <c r="AJ1112" s="7" t="str">
        <f>IFERROR(VLOOKUP($AE1112,Mapping!$E$208:$K$236,5,0),"Contracts")</f>
        <v>Contracts</v>
      </c>
      <c r="AK1112" s="7" t="str">
        <f>IFERROR(VLOOKUP($AE1112,Mapping!$E$208:$K$236,7,0),"ENDirect")</f>
        <v>ENDirect</v>
      </c>
      <c r="AL1112" s="7" t="str">
        <f>IFERROR(HLOOKUP(AJ1112,'Calc|Weightings'!$U$5:$W$5,1,0),"Excl")</f>
        <v>Contracts</v>
      </c>
      <c r="AM1112" s="7" t="str">
        <f>VLOOKUP(AC1112,Mapping!$E$11:$I$204,5,0)</f>
        <v>SCS</v>
      </c>
      <c r="AO1112" s="7"/>
      <c r="AP1112" s="7"/>
      <c r="AQ1112" s="7"/>
      <c r="AR1112" s="7"/>
      <c r="AS1112" s="7"/>
    </row>
    <row r="1113" spans="1:45" x14ac:dyDescent="0.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Q1113" s="7"/>
      <c r="R1113" s="7"/>
      <c r="S1113" s="7"/>
      <c r="T1113" s="7"/>
      <c r="U1113" s="7"/>
      <c r="V1113" s="7"/>
      <c r="AC1113" s="35" t="s">
        <v>179</v>
      </c>
      <c r="AD1113" s="35"/>
      <c r="AE1113" s="35">
        <v>71000</v>
      </c>
      <c r="AF1113" s="35" t="s">
        <v>457</v>
      </c>
      <c r="AG1113" s="36">
        <v>7.8209999999999997</v>
      </c>
      <c r="AI1113" s="7" t="str">
        <f>VLOOKUP($AC1113,Mapping!$E$11:$I$204,3,0)</f>
        <v>Replacement</v>
      </c>
      <c r="AJ1113" s="7" t="str">
        <f>IFERROR(VLOOKUP($AE1113,Mapping!$E$208:$K$236,5,0),"Contracts")</f>
        <v>Labour</v>
      </c>
      <c r="AK1113" s="7" t="str">
        <f>IFERROR(VLOOKUP($AE1113,Mapping!$E$208:$K$236,7,0),"ENDirect")</f>
        <v>ENDirect</v>
      </c>
      <c r="AL1113" s="7" t="str">
        <f>IFERROR(HLOOKUP(AJ1113,'Calc|Weightings'!$U$5:$W$5,1,0),"Excl")</f>
        <v>Labour</v>
      </c>
      <c r="AM1113" s="7" t="str">
        <f>VLOOKUP(AC1113,Mapping!$E$11:$I$204,5,0)</f>
        <v>SCS</v>
      </c>
      <c r="AO1113" s="7"/>
      <c r="AP1113" s="7"/>
      <c r="AQ1113" s="7"/>
      <c r="AR1113" s="7"/>
      <c r="AS1113" s="7"/>
    </row>
    <row r="1114" spans="1:45" x14ac:dyDescent="0.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Q1114" s="7"/>
      <c r="R1114" s="7"/>
      <c r="S1114" s="7"/>
      <c r="T1114" s="7"/>
      <c r="U1114" s="7"/>
      <c r="V1114" s="7"/>
      <c r="AC1114" s="35" t="s">
        <v>179</v>
      </c>
      <c r="AD1114" s="35"/>
      <c r="AE1114" s="35">
        <v>71005</v>
      </c>
      <c r="AF1114" s="35" t="s">
        <v>461</v>
      </c>
      <c r="AG1114" s="36">
        <v>21.401</v>
      </c>
      <c r="AI1114" s="7" t="str">
        <f>VLOOKUP($AC1114,Mapping!$E$11:$I$204,3,0)</f>
        <v>Replacement</v>
      </c>
      <c r="AJ1114" s="7" t="str">
        <f>IFERROR(VLOOKUP($AE1114,Mapping!$E$208:$K$236,5,0),"Contracts")</f>
        <v>Materials</v>
      </c>
      <c r="AK1114" s="7" t="str">
        <f>IFERROR(VLOOKUP($AE1114,Mapping!$E$208:$K$236,7,0),"ENDirect")</f>
        <v>ENDirect</v>
      </c>
      <c r="AL1114" s="7" t="str">
        <f>IFERROR(HLOOKUP(AJ1114,'Calc|Weightings'!$U$5:$W$5,1,0),"Excl")</f>
        <v>Materials</v>
      </c>
      <c r="AM1114" s="7" t="str">
        <f>VLOOKUP(AC1114,Mapping!$E$11:$I$204,5,0)</f>
        <v>SCS</v>
      </c>
      <c r="AO1114" s="7"/>
      <c r="AP1114" s="7"/>
      <c r="AQ1114" s="7"/>
      <c r="AR1114" s="7"/>
      <c r="AS1114" s="7"/>
    </row>
    <row r="1115" spans="1:45" x14ac:dyDescent="0.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Q1115" s="7"/>
      <c r="R1115" s="7"/>
      <c r="S1115" s="7"/>
      <c r="T1115" s="7"/>
      <c r="U1115" s="7"/>
      <c r="V1115" s="7"/>
      <c r="AC1115" s="35" t="s">
        <v>179</v>
      </c>
      <c r="AD1115" s="35"/>
      <c r="AE1115" s="35">
        <v>71010</v>
      </c>
      <c r="AF1115" s="35" t="s">
        <v>462</v>
      </c>
      <c r="AG1115" s="36">
        <v>0.65100000000000002</v>
      </c>
      <c r="AI1115" s="7" t="str">
        <f>VLOOKUP($AC1115,Mapping!$E$11:$I$204,3,0)</f>
        <v>Replacement</v>
      </c>
      <c r="AJ1115" s="7" t="str">
        <f>IFERROR(VLOOKUP($AE1115,Mapping!$E$208:$K$236,5,0),"Contracts")</f>
        <v>Labour</v>
      </c>
      <c r="AK1115" s="7" t="str">
        <f>IFERROR(VLOOKUP($AE1115,Mapping!$E$208:$K$236,7,0),"ENDirect")</f>
        <v>ENDirect</v>
      </c>
      <c r="AL1115" s="7" t="str">
        <f>IFERROR(HLOOKUP(AJ1115,'Calc|Weightings'!$U$5:$W$5,1,0),"Excl")</f>
        <v>Labour</v>
      </c>
      <c r="AM1115" s="7" t="str">
        <f>VLOOKUP(AC1115,Mapping!$E$11:$I$204,5,0)</f>
        <v>SCS</v>
      </c>
      <c r="AO1115" s="7"/>
      <c r="AP1115" s="7"/>
      <c r="AQ1115" s="7"/>
      <c r="AR1115" s="7"/>
      <c r="AS1115" s="7"/>
    </row>
    <row r="1116" spans="1:45" x14ac:dyDescent="0.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Q1116" s="7"/>
      <c r="R1116" s="7"/>
      <c r="S1116" s="7"/>
      <c r="T1116" s="7"/>
      <c r="U1116" s="7"/>
      <c r="V1116" s="7"/>
      <c r="AC1116" s="35" t="s">
        <v>179</v>
      </c>
      <c r="AD1116" s="35"/>
      <c r="AE1116" s="35">
        <v>71015</v>
      </c>
      <c r="AF1116" s="35" t="s">
        <v>463</v>
      </c>
      <c r="AG1116" s="36">
        <v>2.0870000000000002</v>
      </c>
      <c r="AI1116" s="7" t="str">
        <f>VLOOKUP($AC1116,Mapping!$E$11:$I$204,3,0)</f>
        <v>Replacement</v>
      </c>
      <c r="AJ1116" s="7" t="str">
        <f>IFERROR(VLOOKUP($AE1116,Mapping!$E$208:$K$236,5,0),"Contracts")</f>
        <v>Materials</v>
      </c>
      <c r="AK1116" s="7" t="str">
        <f>IFERROR(VLOOKUP($AE1116,Mapping!$E$208:$K$236,7,0),"ENDirect")</f>
        <v>ENDirect</v>
      </c>
      <c r="AL1116" s="7" t="str">
        <f>IFERROR(HLOOKUP(AJ1116,'Calc|Weightings'!$U$5:$W$5,1,0),"Excl")</f>
        <v>Materials</v>
      </c>
      <c r="AM1116" s="7" t="str">
        <f>VLOOKUP(AC1116,Mapping!$E$11:$I$204,5,0)</f>
        <v>SCS</v>
      </c>
      <c r="AO1116" s="7"/>
      <c r="AP1116" s="7"/>
      <c r="AQ1116" s="7"/>
      <c r="AR1116" s="7"/>
      <c r="AS1116" s="7"/>
    </row>
    <row r="1117" spans="1:45" x14ac:dyDescent="0.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Q1117" s="7"/>
      <c r="R1117" s="7"/>
      <c r="S1117" s="7"/>
      <c r="T1117" s="7"/>
      <c r="U1117" s="7"/>
      <c r="V1117" s="7"/>
      <c r="AC1117" s="35" t="s">
        <v>179</v>
      </c>
      <c r="AD1117" s="35"/>
      <c r="AE1117" s="35">
        <v>71030</v>
      </c>
      <c r="AF1117" s="35" t="s">
        <v>464</v>
      </c>
      <c r="AG1117" s="36">
        <v>2.5670000000000002</v>
      </c>
      <c r="AI1117" s="7" t="str">
        <f>VLOOKUP($AC1117,Mapping!$E$11:$I$204,3,0)</f>
        <v>Replacement</v>
      </c>
      <c r="AJ1117" s="7" t="str">
        <f>IFERROR(VLOOKUP($AE1117,Mapping!$E$208:$K$236,5,0),"Contracts")</f>
        <v>Contracts</v>
      </c>
      <c r="AK1117" s="7" t="str">
        <f>IFERROR(VLOOKUP($AE1117,Mapping!$E$208:$K$236,7,0),"ENDirect")</f>
        <v>ENDirect</v>
      </c>
      <c r="AL1117" s="7" t="str">
        <f>IFERROR(HLOOKUP(AJ1117,'Calc|Weightings'!$U$5:$W$5,1,0),"Excl")</f>
        <v>Contracts</v>
      </c>
      <c r="AM1117" s="7" t="str">
        <f>VLOOKUP(AC1117,Mapping!$E$11:$I$204,5,0)</f>
        <v>SCS</v>
      </c>
      <c r="AO1117" s="7"/>
      <c r="AP1117" s="7"/>
      <c r="AQ1117" s="7"/>
      <c r="AR1117" s="7"/>
      <c r="AS1117" s="7"/>
    </row>
    <row r="1118" spans="1:45" x14ac:dyDescent="0.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Q1118" s="7"/>
      <c r="R1118" s="7"/>
      <c r="S1118" s="7"/>
      <c r="T1118" s="7"/>
      <c r="U1118" s="7"/>
      <c r="V1118" s="7"/>
      <c r="AC1118" s="35" t="s">
        <v>179</v>
      </c>
      <c r="AD1118" s="35"/>
      <c r="AE1118" s="35">
        <v>71055</v>
      </c>
      <c r="AF1118" s="35" t="s">
        <v>465</v>
      </c>
      <c r="AG1118" s="36">
        <v>4.7160000000000002</v>
      </c>
      <c r="AI1118" s="7" t="str">
        <f>VLOOKUP($AC1118,Mapping!$E$11:$I$204,3,0)</f>
        <v>Replacement</v>
      </c>
      <c r="AJ1118" s="7" t="str">
        <f>IFERROR(VLOOKUP($AE1118,Mapping!$E$208:$K$236,5,0),"Contracts")</f>
        <v>Contracts</v>
      </c>
      <c r="AK1118" s="7" t="str">
        <f>IFERROR(VLOOKUP($AE1118,Mapping!$E$208:$K$236,7,0),"ENDirect")</f>
        <v>ENDirect</v>
      </c>
      <c r="AL1118" s="7" t="str">
        <f>IFERROR(HLOOKUP(AJ1118,'Calc|Weightings'!$U$5:$W$5,1,0),"Excl")</f>
        <v>Contracts</v>
      </c>
      <c r="AM1118" s="7" t="str">
        <f>VLOOKUP(AC1118,Mapping!$E$11:$I$204,5,0)</f>
        <v>SCS</v>
      </c>
      <c r="AO1118" s="7"/>
      <c r="AP1118" s="7"/>
      <c r="AQ1118" s="7"/>
      <c r="AR1118" s="7"/>
      <c r="AS1118" s="7"/>
    </row>
    <row r="1119" spans="1:45" x14ac:dyDescent="0.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Q1119" s="7"/>
      <c r="R1119" s="7"/>
      <c r="S1119" s="7"/>
      <c r="T1119" s="7"/>
      <c r="U1119" s="7"/>
      <c r="V1119" s="7"/>
      <c r="AC1119" s="35" t="s">
        <v>179</v>
      </c>
      <c r="AD1119" s="35"/>
      <c r="AE1119" s="35">
        <v>80000</v>
      </c>
      <c r="AF1119" s="35" t="s">
        <v>453</v>
      </c>
      <c r="AG1119" s="36">
        <v>3.4969999999999999</v>
      </c>
      <c r="AI1119" s="7" t="str">
        <f>VLOOKUP($AC1119,Mapping!$E$11:$I$204,3,0)</f>
        <v>Replacement</v>
      </c>
      <c r="AJ1119" s="7" t="str">
        <f>IFERROR(VLOOKUP($AE1119,Mapping!$E$208:$K$236,5,0),"Contracts")</f>
        <v>Overhead</v>
      </c>
      <c r="AK1119" s="7" t="str">
        <f>IFERROR(VLOOKUP($AE1119,Mapping!$E$208:$K$236,7,0),"ENDirect")</f>
        <v>OH</v>
      </c>
      <c r="AL1119" s="7" t="str">
        <f>IFERROR(HLOOKUP(AJ1119,'Calc|Weightings'!$U$5:$W$5,1,0),"Excl")</f>
        <v>Excl</v>
      </c>
      <c r="AM1119" s="7" t="str">
        <f>VLOOKUP(AC1119,Mapping!$E$11:$I$204,5,0)</f>
        <v>SCS</v>
      </c>
      <c r="AO1119" s="7"/>
      <c r="AP1119" s="7"/>
      <c r="AQ1119" s="7"/>
      <c r="AR1119" s="7"/>
      <c r="AS1119" s="7"/>
    </row>
    <row r="1120" spans="1:45" x14ac:dyDescent="0.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Q1120" s="7"/>
      <c r="R1120" s="7"/>
      <c r="S1120" s="7"/>
      <c r="T1120" s="7"/>
      <c r="U1120" s="7"/>
      <c r="V1120" s="7"/>
      <c r="AC1120" s="35" t="s">
        <v>179</v>
      </c>
      <c r="AD1120" s="35"/>
      <c r="AE1120" s="35">
        <v>89999</v>
      </c>
      <c r="AF1120" s="35" t="s">
        <v>471</v>
      </c>
      <c r="AG1120" s="36">
        <v>0</v>
      </c>
      <c r="AI1120" s="7" t="str">
        <f>VLOOKUP($AC1120,Mapping!$E$11:$I$204,3,0)</f>
        <v>Replacement</v>
      </c>
      <c r="AJ1120" s="7" t="str">
        <f>IFERROR(VLOOKUP($AE1120,Mapping!$E$208:$K$236,5,0),"Contracts")</f>
        <v>Contracts</v>
      </c>
      <c r="AK1120" s="7" t="str">
        <f>IFERROR(VLOOKUP($AE1120,Mapping!$E$208:$K$236,7,0),"ENDirect")</f>
        <v>ENDirect</v>
      </c>
      <c r="AL1120" s="7" t="str">
        <f>IFERROR(HLOOKUP(AJ1120,'Calc|Weightings'!$U$5:$W$5,1,0),"Excl")</f>
        <v>Contracts</v>
      </c>
      <c r="AM1120" s="7" t="str">
        <f>VLOOKUP(AC1120,Mapping!$E$11:$I$204,5,0)</f>
        <v>SCS</v>
      </c>
      <c r="AO1120" s="7"/>
      <c r="AP1120" s="7"/>
      <c r="AQ1120" s="7"/>
      <c r="AR1120" s="7"/>
      <c r="AS1120" s="7"/>
    </row>
    <row r="1121" spans="1:45" x14ac:dyDescent="0.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Q1121" s="7"/>
      <c r="R1121" s="7"/>
      <c r="S1121" s="7"/>
      <c r="T1121" s="7"/>
      <c r="U1121" s="7"/>
      <c r="V1121" s="7"/>
      <c r="AC1121" s="35" t="s">
        <v>181</v>
      </c>
      <c r="AD1121" s="35"/>
      <c r="AE1121" s="35">
        <v>71005</v>
      </c>
      <c r="AF1121" s="35" t="s">
        <v>461</v>
      </c>
      <c r="AG1121" s="36">
        <v>15.913</v>
      </c>
      <c r="AI1121" s="7" t="str">
        <f>VLOOKUP($AC1121,Mapping!$E$11:$I$204,3,0)</f>
        <v>Replacement</v>
      </c>
      <c r="AJ1121" s="7" t="str">
        <f>IFERROR(VLOOKUP($AE1121,Mapping!$E$208:$K$236,5,0),"Contracts")</f>
        <v>Materials</v>
      </c>
      <c r="AK1121" s="7" t="str">
        <f>IFERROR(VLOOKUP($AE1121,Mapping!$E$208:$K$236,7,0),"ENDirect")</f>
        <v>ENDirect</v>
      </c>
      <c r="AL1121" s="7" t="str">
        <f>IFERROR(HLOOKUP(AJ1121,'Calc|Weightings'!$U$5:$W$5,1,0),"Excl")</f>
        <v>Materials</v>
      </c>
      <c r="AM1121" s="7" t="str">
        <f>VLOOKUP(AC1121,Mapping!$E$11:$I$204,5,0)</f>
        <v>SCS</v>
      </c>
      <c r="AO1121" s="7"/>
      <c r="AP1121" s="7"/>
      <c r="AQ1121" s="7"/>
      <c r="AR1121" s="7"/>
      <c r="AS1121" s="7"/>
    </row>
    <row r="1122" spans="1:45" x14ac:dyDescent="0.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Q1122" s="7"/>
      <c r="R1122" s="7"/>
      <c r="S1122" s="7"/>
      <c r="T1122" s="7"/>
      <c r="U1122" s="7"/>
      <c r="V1122" s="7"/>
      <c r="AC1122" s="35" t="s">
        <v>181</v>
      </c>
      <c r="AD1122" s="35"/>
      <c r="AE1122" s="35">
        <v>71030</v>
      </c>
      <c r="AF1122" s="35" t="s">
        <v>464</v>
      </c>
      <c r="AG1122" s="36">
        <v>1.333</v>
      </c>
      <c r="AI1122" s="7" t="str">
        <f>VLOOKUP($AC1122,Mapping!$E$11:$I$204,3,0)</f>
        <v>Replacement</v>
      </c>
      <c r="AJ1122" s="7" t="str">
        <f>IFERROR(VLOOKUP($AE1122,Mapping!$E$208:$K$236,5,0),"Contracts")</f>
        <v>Contracts</v>
      </c>
      <c r="AK1122" s="7" t="str">
        <f>IFERROR(VLOOKUP($AE1122,Mapping!$E$208:$K$236,7,0),"ENDirect")</f>
        <v>ENDirect</v>
      </c>
      <c r="AL1122" s="7" t="str">
        <f>IFERROR(HLOOKUP(AJ1122,'Calc|Weightings'!$U$5:$W$5,1,0),"Excl")</f>
        <v>Contracts</v>
      </c>
      <c r="AM1122" s="7" t="str">
        <f>VLOOKUP(AC1122,Mapping!$E$11:$I$204,5,0)</f>
        <v>SCS</v>
      </c>
      <c r="AO1122" s="7"/>
      <c r="AP1122" s="7"/>
      <c r="AQ1122" s="7"/>
      <c r="AR1122" s="7"/>
      <c r="AS1122" s="7"/>
    </row>
    <row r="1123" spans="1:45" x14ac:dyDescent="0.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Q1123" s="7"/>
      <c r="R1123" s="7"/>
      <c r="S1123" s="7"/>
      <c r="T1123" s="7"/>
      <c r="U1123" s="7"/>
      <c r="V1123" s="7"/>
      <c r="AC1123" s="35" t="s">
        <v>181</v>
      </c>
      <c r="AD1123" s="35"/>
      <c r="AE1123" s="35">
        <v>71055</v>
      </c>
      <c r="AF1123" s="35" t="s">
        <v>465</v>
      </c>
      <c r="AG1123" s="36">
        <v>3.137</v>
      </c>
      <c r="AI1123" s="7" t="str">
        <f>VLOOKUP($AC1123,Mapping!$E$11:$I$204,3,0)</f>
        <v>Replacement</v>
      </c>
      <c r="AJ1123" s="7" t="str">
        <f>IFERROR(VLOOKUP($AE1123,Mapping!$E$208:$K$236,5,0),"Contracts")</f>
        <v>Contracts</v>
      </c>
      <c r="AK1123" s="7" t="str">
        <f>IFERROR(VLOOKUP($AE1123,Mapping!$E$208:$K$236,7,0),"ENDirect")</f>
        <v>ENDirect</v>
      </c>
      <c r="AL1123" s="7" t="str">
        <f>IFERROR(HLOOKUP(AJ1123,'Calc|Weightings'!$U$5:$W$5,1,0),"Excl")</f>
        <v>Contracts</v>
      </c>
      <c r="AM1123" s="7" t="str">
        <f>VLOOKUP(AC1123,Mapping!$E$11:$I$204,5,0)</f>
        <v>SCS</v>
      </c>
      <c r="AO1123" s="7"/>
      <c r="AP1123" s="7"/>
      <c r="AQ1123" s="7"/>
      <c r="AR1123" s="7"/>
      <c r="AS1123" s="7"/>
    </row>
    <row r="1124" spans="1:45" x14ac:dyDescent="0.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Q1124" s="7"/>
      <c r="R1124" s="7"/>
      <c r="S1124" s="7"/>
      <c r="T1124" s="7"/>
      <c r="U1124" s="7"/>
      <c r="V1124" s="7"/>
      <c r="AC1124" s="35" t="s">
        <v>181</v>
      </c>
      <c r="AD1124" s="35"/>
      <c r="AE1124" s="35">
        <v>80000</v>
      </c>
      <c r="AF1124" s="35" t="s">
        <v>453</v>
      </c>
      <c r="AG1124" s="36">
        <v>5.54</v>
      </c>
      <c r="AI1124" s="7" t="str">
        <f>VLOOKUP($AC1124,Mapping!$E$11:$I$204,3,0)</f>
        <v>Replacement</v>
      </c>
      <c r="AJ1124" s="7" t="str">
        <f>IFERROR(VLOOKUP($AE1124,Mapping!$E$208:$K$236,5,0),"Contracts")</f>
        <v>Overhead</v>
      </c>
      <c r="AK1124" s="7" t="str">
        <f>IFERROR(VLOOKUP($AE1124,Mapping!$E$208:$K$236,7,0),"ENDirect")</f>
        <v>OH</v>
      </c>
      <c r="AL1124" s="7" t="str">
        <f>IFERROR(HLOOKUP(AJ1124,'Calc|Weightings'!$U$5:$W$5,1,0),"Excl")</f>
        <v>Excl</v>
      </c>
      <c r="AM1124" s="7" t="str">
        <f>VLOOKUP(AC1124,Mapping!$E$11:$I$204,5,0)</f>
        <v>SCS</v>
      </c>
      <c r="AO1124" s="7"/>
      <c r="AP1124" s="7"/>
      <c r="AQ1124" s="7"/>
      <c r="AR1124" s="7"/>
      <c r="AS1124" s="7"/>
    </row>
    <row r="1125" spans="1:45" x14ac:dyDescent="0.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Q1125" s="7"/>
      <c r="R1125" s="7"/>
      <c r="S1125" s="7"/>
      <c r="T1125" s="7"/>
      <c r="U1125" s="7"/>
      <c r="V1125" s="7"/>
      <c r="AC1125" s="35" t="s">
        <v>181</v>
      </c>
      <c r="AD1125" s="35"/>
      <c r="AE1125" s="35">
        <v>89999</v>
      </c>
      <c r="AF1125" s="35" t="s">
        <v>471</v>
      </c>
      <c r="AG1125" s="36">
        <v>0</v>
      </c>
      <c r="AI1125" s="7" t="str">
        <f>VLOOKUP($AC1125,Mapping!$E$11:$I$204,3,0)</f>
        <v>Replacement</v>
      </c>
      <c r="AJ1125" s="7" t="str">
        <f>IFERROR(VLOOKUP($AE1125,Mapping!$E$208:$K$236,5,0),"Contracts")</f>
        <v>Contracts</v>
      </c>
      <c r="AK1125" s="7" t="str">
        <f>IFERROR(VLOOKUP($AE1125,Mapping!$E$208:$K$236,7,0),"ENDirect")</f>
        <v>ENDirect</v>
      </c>
      <c r="AL1125" s="7" t="str">
        <f>IFERROR(HLOOKUP(AJ1125,'Calc|Weightings'!$U$5:$W$5,1,0),"Excl")</f>
        <v>Contracts</v>
      </c>
      <c r="AM1125" s="7" t="str">
        <f>VLOOKUP(AC1125,Mapping!$E$11:$I$204,5,0)</f>
        <v>SCS</v>
      </c>
      <c r="AO1125" s="7"/>
      <c r="AP1125" s="7"/>
      <c r="AQ1125" s="7"/>
      <c r="AR1125" s="7"/>
      <c r="AS1125" s="7"/>
    </row>
    <row r="1126" spans="1:45" x14ac:dyDescent="0.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Q1126" s="7"/>
      <c r="R1126" s="7"/>
      <c r="S1126" s="7"/>
      <c r="T1126" s="7"/>
      <c r="U1126" s="7"/>
      <c r="V1126" s="7"/>
      <c r="AC1126" s="35" t="s">
        <v>213</v>
      </c>
      <c r="AD1126" s="35"/>
      <c r="AE1126" s="35">
        <v>89999</v>
      </c>
      <c r="AF1126" s="35" t="s">
        <v>471</v>
      </c>
      <c r="AG1126" s="36">
        <v>0</v>
      </c>
      <c r="AI1126" s="7" t="str">
        <f>VLOOKUP($AC1126,Mapping!$E$11:$I$204,3,0)</f>
        <v>Replacement</v>
      </c>
      <c r="AJ1126" s="7" t="str">
        <f>IFERROR(VLOOKUP($AE1126,Mapping!$E$208:$K$236,5,0),"Contracts")</f>
        <v>Contracts</v>
      </c>
      <c r="AK1126" s="7" t="str">
        <f>IFERROR(VLOOKUP($AE1126,Mapping!$E$208:$K$236,7,0),"ENDirect")</f>
        <v>ENDirect</v>
      </c>
      <c r="AL1126" s="7" t="str">
        <f>IFERROR(HLOOKUP(AJ1126,'Calc|Weightings'!$U$5:$W$5,1,0),"Excl")</f>
        <v>Contracts</v>
      </c>
      <c r="AM1126" s="7" t="str">
        <f>VLOOKUP(AC1126,Mapping!$E$11:$I$204,5,0)</f>
        <v>SCS</v>
      </c>
      <c r="AO1126" s="7"/>
      <c r="AP1126" s="7"/>
      <c r="AQ1126" s="7"/>
      <c r="AR1126" s="7"/>
      <c r="AS1126" s="7"/>
    </row>
    <row r="1127" spans="1:45" x14ac:dyDescent="0.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Q1127" s="7"/>
      <c r="R1127" s="7"/>
      <c r="S1127" s="7"/>
      <c r="T1127" s="7"/>
      <c r="U1127" s="7"/>
      <c r="V1127" s="7"/>
      <c r="AC1127" s="35" t="s">
        <v>225</v>
      </c>
      <c r="AD1127" s="35"/>
      <c r="AE1127" s="35">
        <v>89999</v>
      </c>
      <c r="AF1127" s="35" t="s">
        <v>471</v>
      </c>
      <c r="AG1127" s="36">
        <v>0</v>
      </c>
      <c r="AI1127" s="7" t="str">
        <f>VLOOKUP($AC1127,Mapping!$E$11:$I$204,3,0)</f>
        <v>Replacement</v>
      </c>
      <c r="AJ1127" s="7" t="str">
        <f>IFERROR(VLOOKUP($AE1127,Mapping!$E$208:$K$236,5,0),"Contracts")</f>
        <v>Contracts</v>
      </c>
      <c r="AK1127" s="7" t="str">
        <f>IFERROR(VLOOKUP($AE1127,Mapping!$E$208:$K$236,7,0),"ENDirect")</f>
        <v>ENDirect</v>
      </c>
      <c r="AL1127" s="7" t="str">
        <f>IFERROR(HLOOKUP(AJ1127,'Calc|Weightings'!$U$5:$W$5,1,0),"Excl")</f>
        <v>Contracts</v>
      </c>
      <c r="AM1127" s="7" t="str">
        <f>VLOOKUP(AC1127,Mapping!$E$11:$I$204,5,0)</f>
        <v>SCS</v>
      </c>
      <c r="AO1127" s="7"/>
      <c r="AP1127" s="7"/>
      <c r="AQ1127" s="7"/>
      <c r="AR1127" s="7"/>
      <c r="AS1127" s="7"/>
    </row>
    <row r="1128" spans="1:45" x14ac:dyDescent="0.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Q1128" s="7"/>
      <c r="R1128" s="7"/>
      <c r="S1128" s="7"/>
      <c r="T1128" s="7"/>
      <c r="U1128" s="7"/>
      <c r="V1128" s="7"/>
      <c r="AC1128" s="35" t="s">
        <v>239</v>
      </c>
      <c r="AD1128" s="35"/>
      <c r="AE1128" s="35">
        <v>89999</v>
      </c>
      <c r="AF1128" s="35" t="s">
        <v>471</v>
      </c>
      <c r="AG1128" s="36">
        <v>0</v>
      </c>
      <c r="AI1128" s="7" t="str">
        <f>VLOOKUP($AC1128,Mapping!$E$11:$I$204,3,0)</f>
        <v>Replacement</v>
      </c>
      <c r="AJ1128" s="7" t="str">
        <f>IFERROR(VLOOKUP($AE1128,Mapping!$E$208:$K$236,5,0),"Contracts")</f>
        <v>Contracts</v>
      </c>
      <c r="AK1128" s="7" t="str">
        <f>IFERROR(VLOOKUP($AE1128,Mapping!$E$208:$K$236,7,0),"ENDirect")</f>
        <v>ENDirect</v>
      </c>
      <c r="AL1128" s="7" t="str">
        <f>IFERROR(HLOOKUP(AJ1128,'Calc|Weightings'!$U$5:$W$5,1,0),"Excl")</f>
        <v>Contracts</v>
      </c>
      <c r="AM1128" s="7" t="str">
        <f>VLOOKUP(AC1128,Mapping!$E$11:$I$204,5,0)</f>
        <v>SCS</v>
      </c>
      <c r="AO1128" s="7"/>
      <c r="AP1128" s="7"/>
      <c r="AQ1128" s="7"/>
      <c r="AR1128" s="7"/>
      <c r="AS1128" s="7"/>
    </row>
    <row r="1129" spans="1:45" x14ac:dyDescent="0.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Q1129" s="7"/>
      <c r="R1129" s="7"/>
      <c r="S1129" s="7"/>
      <c r="T1129" s="7"/>
      <c r="U1129" s="7"/>
      <c r="V1129" s="7"/>
      <c r="AC1129" s="35" t="s">
        <v>177</v>
      </c>
      <c r="AD1129" s="35"/>
      <c r="AE1129" s="35">
        <v>71000</v>
      </c>
      <c r="AF1129" s="35" t="s">
        <v>457</v>
      </c>
      <c r="AG1129" s="36">
        <v>3.3839999999999999</v>
      </c>
      <c r="AI1129" s="7" t="str">
        <f>VLOOKUP($AC1129,Mapping!$E$11:$I$204,3,0)</f>
        <v>Replacement</v>
      </c>
      <c r="AJ1129" s="7" t="str">
        <f>IFERROR(VLOOKUP($AE1129,Mapping!$E$208:$K$236,5,0),"Contracts")</f>
        <v>Labour</v>
      </c>
      <c r="AK1129" s="7" t="str">
        <f>IFERROR(VLOOKUP($AE1129,Mapping!$E$208:$K$236,7,0),"ENDirect")</f>
        <v>ENDirect</v>
      </c>
      <c r="AL1129" s="7" t="str">
        <f>IFERROR(HLOOKUP(AJ1129,'Calc|Weightings'!$U$5:$W$5,1,0),"Excl")</f>
        <v>Labour</v>
      </c>
      <c r="AM1129" s="7" t="str">
        <f>VLOOKUP(AC1129,Mapping!$E$11:$I$204,5,0)</f>
        <v>SCS</v>
      </c>
      <c r="AO1129" s="7"/>
      <c r="AP1129" s="7"/>
      <c r="AQ1129" s="7"/>
      <c r="AR1129" s="7"/>
      <c r="AS1129" s="7"/>
    </row>
    <row r="1130" spans="1:45" x14ac:dyDescent="0.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Q1130" s="7"/>
      <c r="R1130" s="7"/>
      <c r="S1130" s="7"/>
      <c r="T1130" s="7"/>
      <c r="U1130" s="7"/>
      <c r="V1130" s="7"/>
      <c r="AC1130" s="35" t="s">
        <v>177</v>
      </c>
      <c r="AD1130" s="35"/>
      <c r="AE1130" s="35">
        <v>71005</v>
      </c>
      <c r="AF1130" s="35" t="s">
        <v>461</v>
      </c>
      <c r="AG1130" s="36">
        <v>5.7859999999999996</v>
      </c>
      <c r="AI1130" s="7" t="str">
        <f>VLOOKUP($AC1130,Mapping!$E$11:$I$204,3,0)</f>
        <v>Replacement</v>
      </c>
      <c r="AJ1130" s="7" t="str">
        <f>IFERROR(VLOOKUP($AE1130,Mapping!$E$208:$K$236,5,0),"Contracts")</f>
        <v>Materials</v>
      </c>
      <c r="AK1130" s="7" t="str">
        <f>IFERROR(VLOOKUP($AE1130,Mapping!$E$208:$K$236,7,0),"ENDirect")</f>
        <v>ENDirect</v>
      </c>
      <c r="AL1130" s="7" t="str">
        <f>IFERROR(HLOOKUP(AJ1130,'Calc|Weightings'!$U$5:$W$5,1,0),"Excl")</f>
        <v>Materials</v>
      </c>
      <c r="AM1130" s="7" t="str">
        <f>VLOOKUP(AC1130,Mapping!$E$11:$I$204,5,0)</f>
        <v>SCS</v>
      </c>
      <c r="AO1130" s="7"/>
      <c r="AP1130" s="7"/>
      <c r="AQ1130" s="7"/>
      <c r="AR1130" s="7"/>
      <c r="AS1130" s="7"/>
    </row>
    <row r="1131" spans="1:45" x14ac:dyDescent="0.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Q1131" s="7"/>
      <c r="R1131" s="7"/>
      <c r="S1131" s="7"/>
      <c r="T1131" s="7"/>
      <c r="U1131" s="7"/>
      <c r="V1131" s="7"/>
      <c r="AC1131" s="35" t="s">
        <v>177</v>
      </c>
      <c r="AD1131" s="35"/>
      <c r="AE1131" s="35">
        <v>71010</v>
      </c>
      <c r="AF1131" s="35" t="s">
        <v>462</v>
      </c>
      <c r="AG1131" s="36">
        <v>0.30599999999999999</v>
      </c>
      <c r="AI1131" s="7" t="str">
        <f>VLOOKUP($AC1131,Mapping!$E$11:$I$204,3,0)</f>
        <v>Replacement</v>
      </c>
      <c r="AJ1131" s="7" t="str">
        <f>IFERROR(VLOOKUP($AE1131,Mapping!$E$208:$K$236,5,0),"Contracts")</f>
        <v>Labour</v>
      </c>
      <c r="AK1131" s="7" t="str">
        <f>IFERROR(VLOOKUP($AE1131,Mapping!$E$208:$K$236,7,0),"ENDirect")</f>
        <v>ENDirect</v>
      </c>
      <c r="AL1131" s="7" t="str">
        <f>IFERROR(HLOOKUP(AJ1131,'Calc|Weightings'!$U$5:$W$5,1,0),"Excl")</f>
        <v>Labour</v>
      </c>
      <c r="AM1131" s="7" t="str">
        <f>VLOOKUP(AC1131,Mapping!$E$11:$I$204,5,0)</f>
        <v>SCS</v>
      </c>
      <c r="AO1131" s="7"/>
      <c r="AP1131" s="7"/>
      <c r="AQ1131" s="7"/>
      <c r="AR1131" s="7"/>
      <c r="AS1131" s="7"/>
    </row>
    <row r="1132" spans="1:45" x14ac:dyDescent="0.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Q1132" s="7"/>
      <c r="R1132" s="7"/>
      <c r="S1132" s="7"/>
      <c r="T1132" s="7"/>
      <c r="U1132" s="7"/>
      <c r="V1132" s="7"/>
      <c r="AC1132" s="35" t="s">
        <v>177</v>
      </c>
      <c r="AD1132" s="35"/>
      <c r="AE1132" s="35">
        <v>71015</v>
      </c>
      <c r="AF1132" s="35" t="s">
        <v>463</v>
      </c>
      <c r="AG1132" s="36">
        <v>0.20599999999999999</v>
      </c>
      <c r="AI1132" s="7" t="str">
        <f>VLOOKUP($AC1132,Mapping!$E$11:$I$204,3,0)</f>
        <v>Replacement</v>
      </c>
      <c r="AJ1132" s="7" t="str">
        <f>IFERROR(VLOOKUP($AE1132,Mapping!$E$208:$K$236,5,0),"Contracts")</f>
        <v>Materials</v>
      </c>
      <c r="AK1132" s="7" t="str">
        <f>IFERROR(VLOOKUP($AE1132,Mapping!$E$208:$K$236,7,0),"ENDirect")</f>
        <v>ENDirect</v>
      </c>
      <c r="AL1132" s="7" t="str">
        <f>IFERROR(HLOOKUP(AJ1132,'Calc|Weightings'!$U$5:$W$5,1,0),"Excl")</f>
        <v>Materials</v>
      </c>
      <c r="AM1132" s="7" t="str">
        <f>VLOOKUP(AC1132,Mapping!$E$11:$I$204,5,0)</f>
        <v>SCS</v>
      </c>
      <c r="AO1132" s="7"/>
      <c r="AP1132" s="7"/>
      <c r="AQ1132" s="7"/>
      <c r="AR1132" s="7"/>
      <c r="AS1132" s="7"/>
    </row>
    <row r="1133" spans="1:45" x14ac:dyDescent="0.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Q1133" s="7"/>
      <c r="R1133" s="7"/>
      <c r="S1133" s="7"/>
      <c r="T1133" s="7"/>
      <c r="U1133" s="7"/>
      <c r="V1133" s="7"/>
      <c r="AC1133" s="35" t="s">
        <v>177</v>
      </c>
      <c r="AD1133" s="35"/>
      <c r="AE1133" s="35">
        <v>71030</v>
      </c>
      <c r="AF1133" s="35" t="s">
        <v>464</v>
      </c>
      <c r="AG1133" s="36">
        <v>0.76800000000000002</v>
      </c>
      <c r="AI1133" s="7" t="str">
        <f>VLOOKUP($AC1133,Mapping!$E$11:$I$204,3,0)</f>
        <v>Replacement</v>
      </c>
      <c r="AJ1133" s="7" t="str">
        <f>IFERROR(VLOOKUP($AE1133,Mapping!$E$208:$K$236,5,0),"Contracts")</f>
        <v>Contracts</v>
      </c>
      <c r="AK1133" s="7" t="str">
        <f>IFERROR(VLOOKUP($AE1133,Mapping!$E$208:$K$236,7,0),"ENDirect")</f>
        <v>ENDirect</v>
      </c>
      <c r="AL1133" s="7" t="str">
        <f>IFERROR(HLOOKUP(AJ1133,'Calc|Weightings'!$U$5:$W$5,1,0),"Excl")</f>
        <v>Contracts</v>
      </c>
      <c r="AM1133" s="7" t="str">
        <f>VLOOKUP(AC1133,Mapping!$E$11:$I$204,5,0)</f>
        <v>SCS</v>
      </c>
      <c r="AO1133" s="7"/>
      <c r="AP1133" s="7"/>
      <c r="AQ1133" s="7"/>
      <c r="AR1133" s="7"/>
      <c r="AS1133" s="7"/>
    </row>
    <row r="1134" spans="1:45" x14ac:dyDescent="0.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Q1134" s="7"/>
      <c r="R1134" s="7"/>
      <c r="S1134" s="7"/>
      <c r="T1134" s="7"/>
      <c r="U1134" s="7"/>
      <c r="V1134" s="7"/>
      <c r="AC1134" s="35" t="s">
        <v>177</v>
      </c>
      <c r="AD1134" s="35"/>
      <c r="AE1134" s="35">
        <v>71055</v>
      </c>
      <c r="AF1134" s="35" t="s">
        <v>465</v>
      </c>
      <c r="AG1134" s="36">
        <v>1.2949999999999999</v>
      </c>
      <c r="AI1134" s="7" t="str">
        <f>VLOOKUP($AC1134,Mapping!$E$11:$I$204,3,0)</f>
        <v>Replacement</v>
      </c>
      <c r="AJ1134" s="7" t="str">
        <f>IFERROR(VLOOKUP($AE1134,Mapping!$E$208:$K$236,5,0),"Contracts")</f>
        <v>Contracts</v>
      </c>
      <c r="AK1134" s="7" t="str">
        <f>IFERROR(VLOOKUP($AE1134,Mapping!$E$208:$K$236,7,0),"ENDirect")</f>
        <v>ENDirect</v>
      </c>
      <c r="AL1134" s="7" t="str">
        <f>IFERROR(HLOOKUP(AJ1134,'Calc|Weightings'!$U$5:$W$5,1,0),"Excl")</f>
        <v>Contracts</v>
      </c>
      <c r="AM1134" s="7" t="str">
        <f>VLOOKUP(AC1134,Mapping!$E$11:$I$204,5,0)</f>
        <v>SCS</v>
      </c>
      <c r="AO1134" s="7"/>
      <c r="AP1134" s="7"/>
      <c r="AQ1134" s="7"/>
      <c r="AR1134" s="7"/>
      <c r="AS1134" s="7"/>
    </row>
    <row r="1135" spans="1:45" x14ac:dyDescent="0.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Q1135" s="7"/>
      <c r="R1135" s="7"/>
      <c r="S1135" s="7"/>
      <c r="T1135" s="7"/>
      <c r="U1135" s="7"/>
      <c r="V1135" s="7"/>
      <c r="AC1135" s="35" t="s">
        <v>177</v>
      </c>
      <c r="AD1135" s="35"/>
      <c r="AE1135" s="35">
        <v>80000</v>
      </c>
      <c r="AF1135" s="35" t="s">
        <v>453</v>
      </c>
      <c r="AG1135" s="36">
        <v>3.8610000000000002</v>
      </c>
      <c r="AI1135" s="7" t="str">
        <f>VLOOKUP($AC1135,Mapping!$E$11:$I$204,3,0)</f>
        <v>Replacement</v>
      </c>
      <c r="AJ1135" s="7" t="str">
        <f>IFERROR(VLOOKUP($AE1135,Mapping!$E$208:$K$236,5,0),"Contracts")</f>
        <v>Overhead</v>
      </c>
      <c r="AK1135" s="7" t="str">
        <f>IFERROR(VLOOKUP($AE1135,Mapping!$E$208:$K$236,7,0),"ENDirect")</f>
        <v>OH</v>
      </c>
      <c r="AL1135" s="7" t="str">
        <f>IFERROR(HLOOKUP(AJ1135,'Calc|Weightings'!$U$5:$W$5,1,0),"Excl")</f>
        <v>Excl</v>
      </c>
      <c r="AM1135" s="7" t="str">
        <f>VLOOKUP(AC1135,Mapping!$E$11:$I$204,5,0)</f>
        <v>SCS</v>
      </c>
      <c r="AO1135" s="7"/>
      <c r="AP1135" s="7"/>
      <c r="AQ1135" s="7"/>
      <c r="AR1135" s="7"/>
      <c r="AS1135" s="7"/>
    </row>
    <row r="1136" spans="1:45" x14ac:dyDescent="0.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Q1136" s="7"/>
      <c r="R1136" s="7"/>
      <c r="S1136" s="7"/>
      <c r="T1136" s="7"/>
      <c r="U1136" s="7"/>
      <c r="V1136" s="7"/>
      <c r="AC1136" s="35" t="s">
        <v>177</v>
      </c>
      <c r="AD1136" s="35"/>
      <c r="AE1136" s="35">
        <v>89999</v>
      </c>
      <c r="AF1136" s="35" t="s">
        <v>471</v>
      </c>
      <c r="AG1136" s="36">
        <v>0</v>
      </c>
      <c r="AI1136" s="7" t="str">
        <f>VLOOKUP($AC1136,Mapping!$E$11:$I$204,3,0)</f>
        <v>Replacement</v>
      </c>
      <c r="AJ1136" s="7" t="str">
        <f>IFERROR(VLOOKUP($AE1136,Mapping!$E$208:$K$236,5,0),"Contracts")</f>
        <v>Contracts</v>
      </c>
      <c r="AK1136" s="7" t="str">
        <f>IFERROR(VLOOKUP($AE1136,Mapping!$E$208:$K$236,7,0),"ENDirect")</f>
        <v>ENDirect</v>
      </c>
      <c r="AL1136" s="7" t="str">
        <f>IFERROR(HLOOKUP(AJ1136,'Calc|Weightings'!$U$5:$W$5,1,0),"Excl")</f>
        <v>Contracts</v>
      </c>
      <c r="AM1136" s="7" t="str">
        <f>VLOOKUP(AC1136,Mapping!$E$11:$I$204,5,0)</f>
        <v>SCS</v>
      </c>
      <c r="AO1136" s="7"/>
      <c r="AP1136" s="7"/>
      <c r="AQ1136" s="7"/>
      <c r="AR1136" s="7"/>
      <c r="AS1136" s="7"/>
    </row>
    <row r="1137" spans="1:45" x14ac:dyDescent="0.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Q1137" s="7"/>
      <c r="R1137" s="7"/>
      <c r="S1137" s="7"/>
      <c r="T1137" s="7"/>
      <c r="U1137" s="7"/>
      <c r="V1137" s="7"/>
      <c r="AC1137" s="35" t="s">
        <v>260</v>
      </c>
      <c r="AD1137" s="35"/>
      <c r="AE1137" s="35">
        <v>71000</v>
      </c>
      <c r="AF1137" s="35" t="s">
        <v>457</v>
      </c>
      <c r="AG1137" s="36">
        <v>43.253</v>
      </c>
      <c r="AI1137" s="7" t="str">
        <f>VLOOKUP($AC1137,Mapping!$E$11:$I$204,3,0)</f>
        <v>Replacement</v>
      </c>
      <c r="AJ1137" s="7" t="str">
        <f>IFERROR(VLOOKUP($AE1137,Mapping!$E$208:$K$236,5,0),"Contracts")</f>
        <v>Labour</v>
      </c>
      <c r="AK1137" s="7" t="str">
        <f>IFERROR(VLOOKUP($AE1137,Mapping!$E$208:$K$236,7,0),"ENDirect")</f>
        <v>ENDirect</v>
      </c>
      <c r="AL1137" s="7" t="str">
        <f>IFERROR(HLOOKUP(AJ1137,'Calc|Weightings'!$U$5:$W$5,1,0),"Excl")</f>
        <v>Labour</v>
      </c>
      <c r="AM1137" s="7" t="str">
        <f>VLOOKUP(AC1137,Mapping!$E$11:$I$204,5,0)</f>
        <v>SCS</v>
      </c>
      <c r="AO1137" s="7"/>
      <c r="AP1137" s="7"/>
      <c r="AQ1137" s="7"/>
      <c r="AR1137" s="7"/>
      <c r="AS1137" s="7"/>
    </row>
    <row r="1138" spans="1:45" x14ac:dyDescent="0.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Q1138" s="7"/>
      <c r="R1138" s="7"/>
      <c r="S1138" s="7"/>
      <c r="T1138" s="7"/>
      <c r="U1138" s="7"/>
      <c r="V1138" s="7"/>
      <c r="AC1138" s="35" t="s">
        <v>260</v>
      </c>
      <c r="AD1138" s="35"/>
      <c r="AE1138" s="35">
        <v>71005</v>
      </c>
      <c r="AF1138" s="35" t="s">
        <v>461</v>
      </c>
      <c r="AG1138" s="36">
        <v>67.400999999999996</v>
      </c>
      <c r="AI1138" s="7" t="str">
        <f>VLOOKUP($AC1138,Mapping!$E$11:$I$204,3,0)</f>
        <v>Replacement</v>
      </c>
      <c r="AJ1138" s="7" t="str">
        <f>IFERROR(VLOOKUP($AE1138,Mapping!$E$208:$K$236,5,0),"Contracts")</f>
        <v>Materials</v>
      </c>
      <c r="AK1138" s="7" t="str">
        <f>IFERROR(VLOOKUP($AE1138,Mapping!$E$208:$K$236,7,0),"ENDirect")</f>
        <v>ENDirect</v>
      </c>
      <c r="AL1138" s="7" t="str">
        <f>IFERROR(HLOOKUP(AJ1138,'Calc|Weightings'!$U$5:$W$5,1,0),"Excl")</f>
        <v>Materials</v>
      </c>
      <c r="AM1138" s="7" t="str">
        <f>VLOOKUP(AC1138,Mapping!$E$11:$I$204,5,0)</f>
        <v>SCS</v>
      </c>
      <c r="AO1138" s="7"/>
      <c r="AP1138" s="7"/>
      <c r="AQ1138" s="7"/>
      <c r="AR1138" s="7"/>
      <c r="AS1138" s="7"/>
    </row>
    <row r="1139" spans="1:45" x14ac:dyDescent="0.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Q1139" s="7"/>
      <c r="R1139" s="7"/>
      <c r="S1139" s="7"/>
      <c r="T1139" s="7"/>
      <c r="U1139" s="7"/>
      <c r="V1139" s="7"/>
      <c r="AC1139" s="35" t="s">
        <v>260</v>
      </c>
      <c r="AD1139" s="35"/>
      <c r="AE1139" s="35">
        <v>71010</v>
      </c>
      <c r="AF1139" s="35" t="s">
        <v>462</v>
      </c>
      <c r="AG1139" s="36">
        <v>2.6890000000000001</v>
      </c>
      <c r="AI1139" s="7" t="str">
        <f>VLOOKUP($AC1139,Mapping!$E$11:$I$204,3,0)</f>
        <v>Replacement</v>
      </c>
      <c r="AJ1139" s="7" t="str">
        <f>IFERROR(VLOOKUP($AE1139,Mapping!$E$208:$K$236,5,0),"Contracts")</f>
        <v>Labour</v>
      </c>
      <c r="AK1139" s="7" t="str">
        <f>IFERROR(VLOOKUP($AE1139,Mapping!$E$208:$K$236,7,0),"ENDirect")</f>
        <v>ENDirect</v>
      </c>
      <c r="AL1139" s="7" t="str">
        <f>IFERROR(HLOOKUP(AJ1139,'Calc|Weightings'!$U$5:$W$5,1,0),"Excl")</f>
        <v>Labour</v>
      </c>
      <c r="AM1139" s="7" t="str">
        <f>VLOOKUP(AC1139,Mapping!$E$11:$I$204,5,0)</f>
        <v>SCS</v>
      </c>
      <c r="AO1139" s="7"/>
      <c r="AP1139" s="7"/>
      <c r="AQ1139" s="7"/>
      <c r="AR1139" s="7"/>
      <c r="AS1139" s="7"/>
    </row>
    <row r="1140" spans="1:45" x14ac:dyDescent="0.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Q1140" s="7"/>
      <c r="R1140" s="7"/>
      <c r="S1140" s="7"/>
      <c r="T1140" s="7"/>
      <c r="U1140" s="7"/>
      <c r="V1140" s="7"/>
      <c r="AC1140" s="35" t="s">
        <v>260</v>
      </c>
      <c r="AD1140" s="35"/>
      <c r="AE1140" s="35">
        <v>71015</v>
      </c>
      <c r="AF1140" s="35" t="s">
        <v>463</v>
      </c>
      <c r="AG1140" s="36">
        <v>13.196999999999999</v>
      </c>
      <c r="AI1140" s="7" t="str">
        <f>VLOOKUP($AC1140,Mapping!$E$11:$I$204,3,0)</f>
        <v>Replacement</v>
      </c>
      <c r="AJ1140" s="7" t="str">
        <f>IFERROR(VLOOKUP($AE1140,Mapping!$E$208:$K$236,5,0),"Contracts")</f>
        <v>Materials</v>
      </c>
      <c r="AK1140" s="7" t="str">
        <f>IFERROR(VLOOKUP($AE1140,Mapping!$E$208:$K$236,7,0),"ENDirect")</f>
        <v>ENDirect</v>
      </c>
      <c r="AL1140" s="7" t="str">
        <f>IFERROR(HLOOKUP(AJ1140,'Calc|Weightings'!$U$5:$W$5,1,0),"Excl")</f>
        <v>Materials</v>
      </c>
      <c r="AM1140" s="7" t="str">
        <f>VLOOKUP(AC1140,Mapping!$E$11:$I$204,5,0)</f>
        <v>SCS</v>
      </c>
      <c r="AO1140" s="7"/>
      <c r="AP1140" s="7"/>
      <c r="AQ1140" s="7"/>
      <c r="AR1140" s="7"/>
      <c r="AS1140" s="7"/>
    </row>
    <row r="1141" spans="1:45" x14ac:dyDescent="0.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Q1141" s="7"/>
      <c r="R1141" s="7"/>
      <c r="S1141" s="7"/>
      <c r="T1141" s="7"/>
      <c r="U1141" s="7"/>
      <c r="V1141" s="7"/>
      <c r="AC1141" s="35" t="s">
        <v>260</v>
      </c>
      <c r="AD1141" s="35"/>
      <c r="AE1141" s="35">
        <v>71030</v>
      </c>
      <c r="AF1141" s="35" t="s">
        <v>464</v>
      </c>
      <c r="AG1141" s="36">
        <v>10.651999999999999</v>
      </c>
      <c r="AI1141" s="7" t="str">
        <f>VLOOKUP($AC1141,Mapping!$E$11:$I$204,3,0)</f>
        <v>Replacement</v>
      </c>
      <c r="AJ1141" s="7" t="str">
        <f>IFERROR(VLOOKUP($AE1141,Mapping!$E$208:$K$236,5,0),"Contracts")</f>
        <v>Contracts</v>
      </c>
      <c r="AK1141" s="7" t="str">
        <f>IFERROR(VLOOKUP($AE1141,Mapping!$E$208:$K$236,7,0),"ENDirect")</f>
        <v>ENDirect</v>
      </c>
      <c r="AL1141" s="7" t="str">
        <f>IFERROR(HLOOKUP(AJ1141,'Calc|Weightings'!$U$5:$W$5,1,0),"Excl")</f>
        <v>Contracts</v>
      </c>
      <c r="AM1141" s="7" t="str">
        <f>VLOOKUP(AC1141,Mapping!$E$11:$I$204,5,0)</f>
        <v>SCS</v>
      </c>
      <c r="AO1141" s="7"/>
      <c r="AP1141" s="7"/>
      <c r="AQ1141" s="7"/>
      <c r="AR1141" s="7"/>
      <c r="AS1141" s="7"/>
    </row>
    <row r="1142" spans="1:45" x14ac:dyDescent="0.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Q1142" s="7"/>
      <c r="R1142" s="7"/>
      <c r="S1142" s="7"/>
      <c r="T1142" s="7"/>
      <c r="U1142" s="7"/>
      <c r="V1142" s="7"/>
      <c r="AC1142" s="35" t="s">
        <v>260</v>
      </c>
      <c r="AD1142" s="35"/>
      <c r="AE1142" s="35">
        <v>71055</v>
      </c>
      <c r="AF1142" s="35" t="s">
        <v>465</v>
      </c>
      <c r="AG1142" s="36">
        <v>25.640999999999998</v>
      </c>
      <c r="AI1142" s="7" t="str">
        <f>VLOOKUP($AC1142,Mapping!$E$11:$I$204,3,0)</f>
        <v>Replacement</v>
      </c>
      <c r="AJ1142" s="7" t="str">
        <f>IFERROR(VLOOKUP($AE1142,Mapping!$E$208:$K$236,5,0),"Contracts")</f>
        <v>Contracts</v>
      </c>
      <c r="AK1142" s="7" t="str">
        <f>IFERROR(VLOOKUP($AE1142,Mapping!$E$208:$K$236,7,0),"ENDirect")</f>
        <v>ENDirect</v>
      </c>
      <c r="AL1142" s="7" t="str">
        <f>IFERROR(HLOOKUP(AJ1142,'Calc|Weightings'!$U$5:$W$5,1,0),"Excl")</f>
        <v>Contracts</v>
      </c>
      <c r="AM1142" s="7" t="str">
        <f>VLOOKUP(AC1142,Mapping!$E$11:$I$204,5,0)</f>
        <v>SCS</v>
      </c>
      <c r="AO1142" s="7"/>
      <c r="AP1142" s="7"/>
      <c r="AQ1142" s="7"/>
      <c r="AR1142" s="7"/>
      <c r="AS1142" s="7"/>
    </row>
    <row r="1143" spans="1:45" x14ac:dyDescent="0.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Q1143" s="7"/>
      <c r="R1143" s="7"/>
      <c r="S1143" s="7"/>
      <c r="T1143" s="7"/>
      <c r="U1143" s="7"/>
      <c r="V1143" s="7"/>
      <c r="AC1143" s="35" t="s">
        <v>260</v>
      </c>
      <c r="AD1143" s="35"/>
      <c r="AE1143" s="35">
        <v>80000</v>
      </c>
      <c r="AF1143" s="35" t="s">
        <v>453</v>
      </c>
      <c r="AG1143" s="36">
        <v>20.780999999999999</v>
      </c>
      <c r="AI1143" s="7" t="str">
        <f>VLOOKUP($AC1143,Mapping!$E$11:$I$204,3,0)</f>
        <v>Replacement</v>
      </c>
      <c r="AJ1143" s="7" t="str">
        <f>IFERROR(VLOOKUP($AE1143,Mapping!$E$208:$K$236,5,0),"Contracts")</f>
        <v>Overhead</v>
      </c>
      <c r="AK1143" s="7" t="str">
        <f>IFERROR(VLOOKUP($AE1143,Mapping!$E$208:$K$236,7,0),"ENDirect")</f>
        <v>OH</v>
      </c>
      <c r="AL1143" s="7" t="str">
        <f>IFERROR(HLOOKUP(AJ1143,'Calc|Weightings'!$U$5:$W$5,1,0),"Excl")</f>
        <v>Excl</v>
      </c>
      <c r="AM1143" s="7" t="str">
        <f>VLOOKUP(AC1143,Mapping!$E$11:$I$204,5,0)</f>
        <v>SCS</v>
      </c>
      <c r="AO1143" s="7"/>
      <c r="AP1143" s="7"/>
      <c r="AQ1143" s="7"/>
      <c r="AR1143" s="7"/>
      <c r="AS1143" s="7"/>
    </row>
    <row r="1144" spans="1:45" x14ac:dyDescent="0.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Q1144" s="7"/>
      <c r="R1144" s="7"/>
      <c r="S1144" s="7"/>
      <c r="T1144" s="7"/>
      <c r="U1144" s="7"/>
      <c r="V1144" s="7"/>
      <c r="AC1144" s="35" t="s">
        <v>260</v>
      </c>
      <c r="AD1144" s="35"/>
      <c r="AE1144" s="35">
        <v>89999</v>
      </c>
      <c r="AF1144" s="35" t="s">
        <v>471</v>
      </c>
      <c r="AG1144" s="36">
        <v>0</v>
      </c>
      <c r="AI1144" s="7" t="str">
        <f>VLOOKUP($AC1144,Mapping!$E$11:$I$204,3,0)</f>
        <v>Replacement</v>
      </c>
      <c r="AJ1144" s="7" t="str">
        <f>IFERROR(VLOOKUP($AE1144,Mapping!$E$208:$K$236,5,0),"Contracts")</f>
        <v>Contracts</v>
      </c>
      <c r="AK1144" s="7" t="str">
        <f>IFERROR(VLOOKUP($AE1144,Mapping!$E$208:$K$236,7,0),"ENDirect")</f>
        <v>ENDirect</v>
      </c>
      <c r="AL1144" s="7" t="str">
        <f>IFERROR(HLOOKUP(AJ1144,'Calc|Weightings'!$U$5:$W$5,1,0),"Excl")</f>
        <v>Contracts</v>
      </c>
      <c r="AM1144" s="7" t="str">
        <f>VLOOKUP(AC1144,Mapping!$E$11:$I$204,5,0)</f>
        <v>SCS</v>
      </c>
      <c r="AO1144" s="7"/>
      <c r="AP1144" s="7"/>
      <c r="AQ1144" s="7"/>
      <c r="AR1144" s="7"/>
      <c r="AS1144" s="7"/>
    </row>
    <row r="1145" spans="1:45" x14ac:dyDescent="0.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Q1145" s="7"/>
      <c r="R1145" s="7"/>
      <c r="S1145" s="7"/>
      <c r="T1145" s="7"/>
      <c r="U1145" s="7"/>
      <c r="V1145" s="7"/>
      <c r="AC1145" s="35" t="s">
        <v>158</v>
      </c>
      <c r="AD1145" s="35"/>
      <c r="AE1145" s="35">
        <v>89999</v>
      </c>
      <c r="AF1145" s="35" t="s">
        <v>471</v>
      </c>
      <c r="AG1145" s="36">
        <v>0</v>
      </c>
      <c r="AI1145" s="7" t="str">
        <f>VLOOKUP($AC1145,Mapping!$E$11:$I$204,3,0)</f>
        <v>Replacement</v>
      </c>
      <c r="AJ1145" s="7" t="str">
        <f>IFERROR(VLOOKUP($AE1145,Mapping!$E$208:$K$236,5,0),"Contracts")</f>
        <v>Contracts</v>
      </c>
      <c r="AK1145" s="7" t="str">
        <f>IFERROR(VLOOKUP($AE1145,Mapping!$E$208:$K$236,7,0),"ENDirect")</f>
        <v>ENDirect</v>
      </c>
      <c r="AL1145" s="7" t="str">
        <f>IFERROR(HLOOKUP(AJ1145,'Calc|Weightings'!$U$5:$W$5,1,0),"Excl")</f>
        <v>Contracts</v>
      </c>
      <c r="AM1145" s="7" t="str">
        <f>VLOOKUP(AC1145,Mapping!$E$11:$I$204,5,0)</f>
        <v>SCS</v>
      </c>
      <c r="AO1145" s="7"/>
      <c r="AP1145" s="7"/>
      <c r="AQ1145" s="7"/>
      <c r="AR1145" s="7"/>
      <c r="AS1145" s="7"/>
    </row>
    <row r="1146" spans="1:45" x14ac:dyDescent="0.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Q1146" s="7"/>
      <c r="R1146" s="7"/>
      <c r="S1146" s="7"/>
      <c r="T1146" s="7"/>
      <c r="U1146" s="7"/>
      <c r="V1146" s="7"/>
      <c r="AC1146" s="35" t="s">
        <v>112</v>
      </c>
      <c r="AD1146" s="35"/>
      <c r="AE1146" s="35">
        <v>71020</v>
      </c>
      <c r="AF1146" s="35" t="s">
        <v>459</v>
      </c>
      <c r="AG1146" s="36">
        <v>0</v>
      </c>
      <c r="AI1146" s="7" t="str">
        <f>VLOOKUP($AC1146,Mapping!$E$11:$I$204,3,0)</f>
        <v>Connections</v>
      </c>
      <c r="AJ1146" s="7" t="str">
        <f>IFERROR(VLOOKUP($AE1146,Mapping!$E$208:$K$236,5,0),"Contracts")</f>
        <v>Contracts</v>
      </c>
      <c r="AK1146" s="7" t="str">
        <f>IFERROR(VLOOKUP($AE1146,Mapping!$E$208:$K$236,7,0),"ENDirect")</f>
        <v>ENDirect</v>
      </c>
      <c r="AL1146" s="7" t="str">
        <f>IFERROR(HLOOKUP(AJ1146,'Calc|Weightings'!$U$5:$W$5,1,0),"Excl")</f>
        <v>Contracts</v>
      </c>
      <c r="AM1146" s="7" t="str">
        <f>VLOOKUP(AC1146,Mapping!$E$11:$I$204,5,0)</f>
        <v>SCS</v>
      </c>
      <c r="AO1146" s="7"/>
      <c r="AP1146" s="7"/>
      <c r="AQ1146" s="7"/>
      <c r="AR1146" s="7"/>
      <c r="AS1146" s="7"/>
    </row>
    <row r="1147" spans="1:45" x14ac:dyDescent="0.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Q1147" s="7"/>
      <c r="R1147" s="7"/>
      <c r="S1147" s="7"/>
      <c r="T1147" s="7"/>
      <c r="U1147" s="7"/>
      <c r="V1147" s="7"/>
      <c r="AC1147" s="35" t="s">
        <v>139</v>
      </c>
      <c r="AD1147" s="35"/>
      <c r="AE1147" s="35">
        <v>72300</v>
      </c>
      <c r="AF1147" s="35" t="s">
        <v>450</v>
      </c>
      <c r="AG1147" s="36">
        <v>14.449</v>
      </c>
      <c r="AI1147" s="7" t="str">
        <f>VLOOKUP($AC1147,Mapping!$E$11:$I$204,3,0)</f>
        <v>ACS</v>
      </c>
      <c r="AJ1147" s="7" t="str">
        <f>IFERROR(VLOOKUP($AE1147,Mapping!$E$208:$K$236,5,0),"Contracts")</f>
        <v>Contracts</v>
      </c>
      <c r="AK1147" s="7" t="str">
        <f>IFERROR(VLOOKUP($AE1147,Mapping!$E$208:$K$236,7,0),"ENDirect")</f>
        <v>ENDirect</v>
      </c>
      <c r="AL1147" s="7" t="str">
        <f>IFERROR(HLOOKUP(AJ1147,'Calc|Weightings'!$U$5:$W$5,1,0),"Excl")</f>
        <v>Contracts</v>
      </c>
      <c r="AM1147" s="7" t="str">
        <f>VLOOKUP(AC1147,Mapping!$E$11:$I$204,5,0)</f>
        <v>ACS</v>
      </c>
      <c r="AO1147" s="7"/>
      <c r="AP1147" s="7"/>
      <c r="AQ1147" s="7"/>
      <c r="AR1147" s="7"/>
      <c r="AS1147" s="7"/>
    </row>
    <row r="1148" spans="1:45" x14ac:dyDescent="0.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Q1148" s="7"/>
      <c r="R1148" s="7"/>
      <c r="S1148" s="7"/>
      <c r="T1148" s="7"/>
      <c r="U1148" s="7"/>
      <c r="V1148" s="7"/>
      <c r="AC1148" s="35" t="s">
        <v>134</v>
      </c>
      <c r="AD1148" s="35"/>
      <c r="AE1148" s="35">
        <v>72300</v>
      </c>
      <c r="AF1148" s="35" t="s">
        <v>450</v>
      </c>
      <c r="AG1148" s="36">
        <v>8.2059999999999995</v>
      </c>
      <c r="AI1148" s="7" t="str">
        <f>VLOOKUP($AC1148,Mapping!$E$11:$I$204,3,0)</f>
        <v>ACS</v>
      </c>
      <c r="AJ1148" s="7" t="str">
        <f>IFERROR(VLOOKUP($AE1148,Mapping!$E$208:$K$236,5,0),"Contracts")</f>
        <v>Contracts</v>
      </c>
      <c r="AK1148" s="7" t="str">
        <f>IFERROR(VLOOKUP($AE1148,Mapping!$E$208:$K$236,7,0),"ENDirect")</f>
        <v>ENDirect</v>
      </c>
      <c r="AL1148" s="7" t="str">
        <f>IFERROR(HLOOKUP(AJ1148,'Calc|Weightings'!$U$5:$W$5,1,0),"Excl")</f>
        <v>Contracts</v>
      </c>
      <c r="AM1148" s="7" t="str">
        <f>VLOOKUP(AC1148,Mapping!$E$11:$I$204,5,0)</f>
        <v>ACS</v>
      </c>
      <c r="AO1148" s="7"/>
      <c r="AP1148" s="7"/>
      <c r="AQ1148" s="7"/>
      <c r="AR1148" s="7"/>
      <c r="AS1148" s="7"/>
    </row>
    <row r="1149" spans="1:45" x14ac:dyDescent="0.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Q1149" s="7"/>
      <c r="R1149" s="7"/>
      <c r="S1149" s="7"/>
      <c r="T1149" s="7"/>
      <c r="U1149" s="7"/>
      <c r="V1149" s="7"/>
      <c r="AC1149" s="35" t="s">
        <v>133</v>
      </c>
      <c r="AD1149" s="35"/>
      <c r="AE1149" s="35">
        <v>72300</v>
      </c>
      <c r="AF1149" s="35" t="s">
        <v>450</v>
      </c>
      <c r="AG1149" s="36">
        <v>46.890999999999998</v>
      </c>
      <c r="AI1149" s="7" t="str">
        <f>VLOOKUP($AC1149,Mapping!$E$11:$I$204,3,0)</f>
        <v>ACS</v>
      </c>
      <c r="AJ1149" s="7" t="str">
        <f>IFERROR(VLOOKUP($AE1149,Mapping!$E$208:$K$236,5,0),"Contracts")</f>
        <v>Contracts</v>
      </c>
      <c r="AK1149" s="7" t="str">
        <f>IFERROR(VLOOKUP($AE1149,Mapping!$E$208:$K$236,7,0),"ENDirect")</f>
        <v>ENDirect</v>
      </c>
      <c r="AL1149" s="7" t="str">
        <f>IFERROR(HLOOKUP(AJ1149,'Calc|Weightings'!$U$5:$W$5,1,0),"Excl")</f>
        <v>Contracts</v>
      </c>
      <c r="AM1149" s="7" t="str">
        <f>VLOOKUP(AC1149,Mapping!$E$11:$I$204,5,0)</f>
        <v>ACS</v>
      </c>
      <c r="AO1149" s="7"/>
      <c r="AP1149" s="7"/>
      <c r="AQ1149" s="7"/>
      <c r="AR1149" s="7"/>
      <c r="AS1149" s="7"/>
    </row>
    <row r="1150" spans="1:45" x14ac:dyDescent="0.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Q1150" s="7"/>
      <c r="R1150" s="7"/>
      <c r="S1150" s="7"/>
      <c r="T1150" s="7"/>
      <c r="U1150" s="7"/>
      <c r="V1150" s="7"/>
      <c r="AC1150" s="35" t="s">
        <v>137</v>
      </c>
      <c r="AD1150" s="35"/>
      <c r="AE1150" s="35">
        <v>72300</v>
      </c>
      <c r="AF1150" s="35" t="s">
        <v>450</v>
      </c>
      <c r="AG1150" s="36">
        <v>15.012</v>
      </c>
      <c r="AI1150" s="7" t="str">
        <f>VLOOKUP($AC1150,Mapping!$E$11:$I$204,3,0)</f>
        <v>ACS</v>
      </c>
      <c r="AJ1150" s="7" t="str">
        <f>IFERROR(VLOOKUP($AE1150,Mapping!$E$208:$K$236,5,0),"Contracts")</f>
        <v>Contracts</v>
      </c>
      <c r="AK1150" s="7" t="str">
        <f>IFERROR(VLOOKUP($AE1150,Mapping!$E$208:$K$236,7,0),"ENDirect")</f>
        <v>ENDirect</v>
      </c>
      <c r="AL1150" s="7" t="str">
        <f>IFERROR(HLOOKUP(AJ1150,'Calc|Weightings'!$U$5:$W$5,1,0),"Excl")</f>
        <v>Contracts</v>
      </c>
      <c r="AM1150" s="7" t="str">
        <f>VLOOKUP(AC1150,Mapping!$E$11:$I$204,5,0)</f>
        <v>ACS</v>
      </c>
      <c r="AO1150" s="7"/>
      <c r="AP1150" s="7"/>
      <c r="AQ1150" s="7"/>
      <c r="AR1150" s="7"/>
      <c r="AS1150" s="7"/>
    </row>
    <row r="1151" spans="1:45" x14ac:dyDescent="0.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Q1151" s="7"/>
      <c r="R1151" s="7"/>
      <c r="S1151" s="7"/>
      <c r="T1151" s="7"/>
      <c r="U1151" s="7"/>
      <c r="V1151" s="7"/>
      <c r="AC1151" s="35" t="s">
        <v>135</v>
      </c>
      <c r="AD1151" s="35"/>
      <c r="AE1151" s="35">
        <v>72300</v>
      </c>
      <c r="AF1151" s="35" t="s">
        <v>450</v>
      </c>
      <c r="AG1151" s="36">
        <v>45.031999999999996</v>
      </c>
      <c r="AI1151" s="7" t="str">
        <f>VLOOKUP($AC1151,Mapping!$E$11:$I$204,3,0)</f>
        <v>ACS</v>
      </c>
      <c r="AJ1151" s="7" t="str">
        <f>IFERROR(VLOOKUP($AE1151,Mapping!$E$208:$K$236,5,0),"Contracts")</f>
        <v>Contracts</v>
      </c>
      <c r="AK1151" s="7" t="str">
        <f>IFERROR(VLOOKUP($AE1151,Mapping!$E$208:$K$236,7,0),"ENDirect")</f>
        <v>ENDirect</v>
      </c>
      <c r="AL1151" s="7" t="str">
        <f>IFERROR(HLOOKUP(AJ1151,'Calc|Weightings'!$U$5:$W$5,1,0),"Excl")</f>
        <v>Contracts</v>
      </c>
      <c r="AM1151" s="7" t="str">
        <f>VLOOKUP(AC1151,Mapping!$E$11:$I$204,5,0)</f>
        <v>ACS</v>
      </c>
      <c r="AO1151" s="7"/>
      <c r="AP1151" s="7"/>
      <c r="AQ1151" s="7"/>
      <c r="AR1151" s="7"/>
      <c r="AS1151" s="7"/>
    </row>
    <row r="1152" spans="1:45" x14ac:dyDescent="0.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Q1152" s="7"/>
      <c r="R1152" s="7"/>
      <c r="S1152" s="7"/>
      <c r="T1152" s="7"/>
      <c r="U1152" s="7"/>
      <c r="V1152" s="7"/>
      <c r="AC1152" s="35" t="s">
        <v>138</v>
      </c>
      <c r="AD1152" s="35"/>
      <c r="AE1152" s="35">
        <v>72300</v>
      </c>
      <c r="AF1152" s="35" t="s">
        <v>450</v>
      </c>
      <c r="AG1152" s="36">
        <v>31.413</v>
      </c>
      <c r="AI1152" s="7" t="str">
        <f>VLOOKUP($AC1152,Mapping!$E$11:$I$204,3,0)</f>
        <v>ACS</v>
      </c>
      <c r="AJ1152" s="7" t="str">
        <f>IFERROR(VLOOKUP($AE1152,Mapping!$E$208:$K$236,5,0),"Contracts")</f>
        <v>Contracts</v>
      </c>
      <c r="AK1152" s="7" t="str">
        <f>IFERROR(VLOOKUP($AE1152,Mapping!$E$208:$K$236,7,0),"ENDirect")</f>
        <v>ENDirect</v>
      </c>
      <c r="AL1152" s="7" t="str">
        <f>IFERROR(HLOOKUP(AJ1152,'Calc|Weightings'!$U$5:$W$5,1,0),"Excl")</f>
        <v>Contracts</v>
      </c>
      <c r="AM1152" s="7" t="str">
        <f>VLOOKUP(AC1152,Mapping!$E$11:$I$204,5,0)</f>
        <v>ACS</v>
      </c>
      <c r="AO1152" s="7"/>
      <c r="AP1152" s="7"/>
      <c r="AQ1152" s="7"/>
      <c r="AR1152" s="7"/>
      <c r="AS1152" s="7"/>
    </row>
    <row r="1153" spans="1:45" x14ac:dyDescent="0.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Q1153" s="7"/>
      <c r="R1153" s="7"/>
      <c r="S1153" s="7"/>
      <c r="T1153" s="7"/>
      <c r="U1153" s="7"/>
      <c r="V1153" s="7"/>
      <c r="AC1153" s="35" t="s">
        <v>138</v>
      </c>
      <c r="AD1153" s="35"/>
      <c r="AE1153" s="35">
        <v>72340</v>
      </c>
      <c r="AF1153" s="35" t="s">
        <v>452</v>
      </c>
      <c r="AG1153" s="36">
        <v>49.292000000000002</v>
      </c>
      <c r="AI1153" s="7" t="str">
        <f>VLOOKUP($AC1153,Mapping!$E$11:$I$204,3,0)</f>
        <v>ACS</v>
      </c>
      <c r="AJ1153" s="7" t="str">
        <f>IFERROR(VLOOKUP($AE1153,Mapping!$E$208:$K$236,5,0),"Contracts")</f>
        <v>Contracts</v>
      </c>
      <c r="AK1153" s="7" t="str">
        <f>IFERROR(VLOOKUP($AE1153,Mapping!$E$208:$K$236,7,0),"ENDirect")</f>
        <v>ENDirect</v>
      </c>
      <c r="AL1153" s="7" t="str">
        <f>IFERROR(HLOOKUP(AJ1153,'Calc|Weightings'!$U$5:$W$5,1,0),"Excl")</f>
        <v>Contracts</v>
      </c>
      <c r="AM1153" s="7" t="str">
        <f>VLOOKUP(AC1153,Mapping!$E$11:$I$204,5,0)</f>
        <v>ACS</v>
      </c>
      <c r="AO1153" s="7"/>
      <c r="AP1153" s="7"/>
      <c r="AQ1153" s="7"/>
      <c r="AR1153" s="7"/>
      <c r="AS1153" s="7"/>
    </row>
    <row r="1154" spans="1:45" x14ac:dyDescent="0.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Q1154" s="7"/>
      <c r="R1154" s="7"/>
      <c r="S1154" s="7"/>
      <c r="T1154" s="7"/>
      <c r="U1154" s="7"/>
      <c r="V1154" s="7"/>
      <c r="AC1154" s="35" t="s">
        <v>546</v>
      </c>
      <c r="AD1154" s="35"/>
      <c r="AE1154" s="35">
        <v>70815</v>
      </c>
      <c r="AF1154" s="35" t="s">
        <v>451</v>
      </c>
      <c r="AG1154" s="36">
        <v>-191.79599999999999</v>
      </c>
      <c r="AI1154" s="7" t="str">
        <f>VLOOKUP($AC1154,Mapping!$E$11:$I$204,3,0)</f>
        <v>Connections</v>
      </c>
      <c r="AJ1154" s="7" t="str">
        <f>IFERROR(VLOOKUP($AE1154,Mapping!$E$208:$K$236,5,0),"Contracts")</f>
        <v>Materials</v>
      </c>
      <c r="AK1154" s="7" t="str">
        <f>IFERROR(VLOOKUP($AE1154,Mapping!$E$208:$K$236,7,0),"ENDirect")</f>
        <v>ENDirect</v>
      </c>
      <c r="AL1154" s="7" t="str">
        <f>IFERROR(HLOOKUP(AJ1154,'Calc|Weightings'!$U$5:$W$5,1,0),"Excl")</f>
        <v>Materials</v>
      </c>
      <c r="AM1154" s="7" t="str">
        <f>VLOOKUP(AC1154,Mapping!$E$11:$I$204,5,0)</f>
        <v>SCS</v>
      </c>
      <c r="AO1154" s="7"/>
      <c r="AP1154" s="7"/>
      <c r="AQ1154" s="7"/>
      <c r="AR1154" s="7"/>
      <c r="AS1154" s="7"/>
    </row>
    <row r="1155" spans="1:45" x14ac:dyDescent="0.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Q1155" s="7"/>
      <c r="R1155" s="7"/>
      <c r="S1155" s="7"/>
      <c r="T1155" s="7"/>
      <c r="U1155" s="7"/>
      <c r="V1155" s="7"/>
      <c r="AC1155" s="35" t="s">
        <v>165</v>
      </c>
      <c r="AD1155" s="35"/>
      <c r="AE1155" s="35">
        <v>70815</v>
      </c>
      <c r="AF1155" s="35" t="s">
        <v>451</v>
      </c>
      <c r="AG1155" s="36">
        <v>-73.004999999999995</v>
      </c>
      <c r="AI1155" s="7" t="str">
        <f>VLOOKUP($AC1155,Mapping!$E$11:$I$204,3,0)</f>
        <v>Replacement</v>
      </c>
      <c r="AJ1155" s="7" t="str">
        <f>IFERROR(VLOOKUP($AE1155,Mapping!$E$208:$K$236,5,0),"Contracts")</f>
        <v>Materials</v>
      </c>
      <c r="AK1155" s="7" t="str">
        <f>IFERROR(VLOOKUP($AE1155,Mapping!$E$208:$K$236,7,0),"ENDirect")</f>
        <v>ENDirect</v>
      </c>
      <c r="AL1155" s="7" t="str">
        <f>IFERROR(HLOOKUP(AJ1155,'Calc|Weightings'!$U$5:$W$5,1,0),"Excl")</f>
        <v>Materials</v>
      </c>
      <c r="AM1155" s="7" t="str">
        <f>VLOOKUP(AC1155,Mapping!$E$11:$I$204,5,0)</f>
        <v>SCS</v>
      </c>
      <c r="AO1155" s="7"/>
      <c r="AP1155" s="7"/>
      <c r="AQ1155" s="7"/>
      <c r="AR1155" s="7"/>
      <c r="AS1155" s="7"/>
    </row>
    <row r="1156" spans="1:45" x14ac:dyDescent="0.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Q1156" s="7"/>
      <c r="R1156" s="7"/>
      <c r="S1156" s="7"/>
      <c r="T1156" s="7"/>
      <c r="U1156" s="7"/>
      <c r="V1156" s="7"/>
      <c r="AC1156" s="35" t="s">
        <v>169</v>
      </c>
      <c r="AD1156" s="35"/>
      <c r="AE1156" s="35">
        <v>70815</v>
      </c>
      <c r="AF1156" s="35" t="s">
        <v>451</v>
      </c>
      <c r="AG1156" s="36">
        <v>-22.783999999999999</v>
      </c>
      <c r="AI1156" s="7" t="str">
        <f>VLOOKUP($AC1156,Mapping!$E$11:$I$204,3,0)</f>
        <v>Replacement</v>
      </c>
      <c r="AJ1156" s="7" t="str">
        <f>IFERROR(VLOOKUP($AE1156,Mapping!$E$208:$K$236,5,0),"Contracts")</f>
        <v>Materials</v>
      </c>
      <c r="AK1156" s="7" t="str">
        <f>IFERROR(VLOOKUP($AE1156,Mapping!$E$208:$K$236,7,0),"ENDirect")</f>
        <v>ENDirect</v>
      </c>
      <c r="AL1156" s="7" t="str">
        <f>IFERROR(HLOOKUP(AJ1156,'Calc|Weightings'!$U$5:$W$5,1,0),"Excl")</f>
        <v>Materials</v>
      </c>
      <c r="AM1156" s="7" t="str">
        <f>VLOOKUP(AC1156,Mapping!$E$11:$I$204,5,0)</f>
        <v>SCS</v>
      </c>
      <c r="AO1156" s="7"/>
      <c r="AP1156" s="7"/>
      <c r="AQ1156" s="7"/>
      <c r="AR1156" s="7"/>
      <c r="AS1156" s="7"/>
    </row>
    <row r="1157" spans="1:45" x14ac:dyDescent="0.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Q1157" s="7"/>
      <c r="R1157" s="7"/>
      <c r="S1157" s="7"/>
      <c r="T1157" s="7"/>
      <c r="U1157" s="7"/>
      <c r="V1157" s="7"/>
      <c r="AC1157" s="35" t="s">
        <v>143</v>
      </c>
      <c r="AD1157" s="35"/>
      <c r="AE1157" s="35">
        <v>70815</v>
      </c>
      <c r="AF1157" s="35" t="s">
        <v>451</v>
      </c>
      <c r="AG1157" s="36">
        <v>-49.475999999999999</v>
      </c>
      <c r="AI1157" s="7" t="str">
        <f>VLOOKUP($AC1157,Mapping!$E$11:$I$204,3,0)</f>
        <v>ACS</v>
      </c>
      <c r="AJ1157" s="7" t="str">
        <f>IFERROR(VLOOKUP($AE1157,Mapping!$E$208:$K$236,5,0),"Contracts")</f>
        <v>Materials</v>
      </c>
      <c r="AK1157" s="7" t="str">
        <f>IFERROR(VLOOKUP($AE1157,Mapping!$E$208:$K$236,7,0),"ENDirect")</f>
        <v>ENDirect</v>
      </c>
      <c r="AL1157" s="7" t="str">
        <f>IFERROR(HLOOKUP(AJ1157,'Calc|Weightings'!$U$5:$W$5,1,0),"Excl")</f>
        <v>Materials</v>
      </c>
      <c r="AM1157" s="7" t="str">
        <f>VLOOKUP(AC1157,Mapping!$E$11:$I$204,5,0)</f>
        <v>ACS</v>
      </c>
      <c r="AO1157" s="7"/>
      <c r="AP1157" s="7"/>
      <c r="AQ1157" s="7"/>
      <c r="AR1157" s="7"/>
      <c r="AS1157" s="7"/>
    </row>
    <row r="1158" spans="1:45" x14ac:dyDescent="0.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Q1158" s="7"/>
      <c r="R1158" s="7"/>
      <c r="S1158" s="7"/>
      <c r="T1158" s="7"/>
      <c r="U1158" s="7"/>
      <c r="V1158" s="7"/>
      <c r="AC1158" s="35" t="s">
        <v>123</v>
      </c>
      <c r="AD1158" s="35"/>
      <c r="AE1158" s="35">
        <v>70815</v>
      </c>
      <c r="AF1158" s="35" t="s">
        <v>451</v>
      </c>
      <c r="AG1158" s="36">
        <v>265.53800000000001</v>
      </c>
      <c r="AI1158" s="7" t="str">
        <f>VLOOKUP($AC1158,Mapping!$E$11:$I$204,3,0)</f>
        <v>Augmentation</v>
      </c>
      <c r="AJ1158" s="7" t="str">
        <f>IFERROR(VLOOKUP($AE1158,Mapping!$E$208:$K$236,5,0),"Contracts")</f>
        <v>Materials</v>
      </c>
      <c r="AK1158" s="7" t="str">
        <f>IFERROR(VLOOKUP($AE1158,Mapping!$E$208:$K$236,7,0),"ENDirect")</f>
        <v>ENDirect</v>
      </c>
      <c r="AL1158" s="7" t="str">
        <f>IFERROR(HLOOKUP(AJ1158,'Calc|Weightings'!$U$5:$W$5,1,0),"Excl")</f>
        <v>Materials</v>
      </c>
      <c r="AM1158" s="7" t="str">
        <f>VLOOKUP(AC1158,Mapping!$E$11:$I$204,5,0)</f>
        <v>SCS</v>
      </c>
      <c r="AO1158" s="7"/>
      <c r="AP1158" s="7"/>
      <c r="AQ1158" s="7"/>
      <c r="AR1158" s="7"/>
      <c r="AS1158" s="7"/>
    </row>
    <row r="1159" spans="1:45" x14ac:dyDescent="0.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Q1159" s="7"/>
      <c r="R1159" s="7"/>
      <c r="S1159" s="7"/>
      <c r="T1159" s="7"/>
      <c r="U1159" s="7"/>
      <c r="V1159" s="7"/>
      <c r="AC1159" s="35" t="s">
        <v>124</v>
      </c>
      <c r="AD1159" s="35"/>
      <c r="AE1159" s="35">
        <v>70815</v>
      </c>
      <c r="AF1159" s="35" t="s">
        <v>451</v>
      </c>
      <c r="AG1159" s="36">
        <v>265.53800000000001</v>
      </c>
      <c r="AI1159" s="7" t="str">
        <f>VLOOKUP($AC1159,Mapping!$E$11:$I$204,3,0)</f>
        <v>Augmentation</v>
      </c>
      <c r="AJ1159" s="7" t="str">
        <f>IFERROR(VLOOKUP($AE1159,Mapping!$E$208:$K$236,5,0),"Contracts")</f>
        <v>Materials</v>
      </c>
      <c r="AK1159" s="7" t="str">
        <f>IFERROR(VLOOKUP($AE1159,Mapping!$E$208:$K$236,7,0),"ENDirect")</f>
        <v>ENDirect</v>
      </c>
      <c r="AL1159" s="7" t="str">
        <f>IFERROR(HLOOKUP(AJ1159,'Calc|Weightings'!$U$5:$W$5,1,0),"Excl")</f>
        <v>Materials</v>
      </c>
      <c r="AM1159" s="7" t="str">
        <f>VLOOKUP(AC1159,Mapping!$E$11:$I$204,5,0)</f>
        <v>SCS</v>
      </c>
      <c r="AO1159" s="7"/>
      <c r="AP1159" s="7"/>
      <c r="AQ1159" s="7"/>
      <c r="AR1159" s="7"/>
      <c r="AS1159" s="7"/>
    </row>
    <row r="1160" spans="1:45" x14ac:dyDescent="0.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Q1160" s="7"/>
      <c r="R1160" s="7"/>
      <c r="S1160" s="7"/>
      <c r="T1160" s="7"/>
      <c r="U1160" s="7"/>
      <c r="V1160" s="7"/>
      <c r="AC1160" s="35" t="s">
        <v>128</v>
      </c>
      <c r="AD1160" s="35"/>
      <c r="AE1160" s="35">
        <v>70815</v>
      </c>
      <c r="AF1160" s="35" t="s">
        <v>451</v>
      </c>
      <c r="AG1160" s="36">
        <v>132.83500000000001</v>
      </c>
      <c r="AI1160" s="7" t="str">
        <f>VLOOKUP($AC1160,Mapping!$E$11:$I$204,3,0)</f>
        <v>Non-network general assets - Other</v>
      </c>
      <c r="AJ1160" s="7" t="str">
        <f>IFERROR(VLOOKUP($AE1160,Mapping!$E$208:$K$236,5,0),"Contracts")</f>
        <v>Materials</v>
      </c>
      <c r="AK1160" s="7" t="str">
        <f>IFERROR(VLOOKUP($AE1160,Mapping!$E$208:$K$236,7,0),"ENDirect")</f>
        <v>ENDirect</v>
      </c>
      <c r="AL1160" s="7" t="str">
        <f>IFERROR(HLOOKUP(AJ1160,'Calc|Weightings'!$U$5:$W$5,1,0),"Excl")</f>
        <v>Materials</v>
      </c>
      <c r="AM1160" s="7" t="str">
        <f>VLOOKUP(AC1160,Mapping!$E$11:$I$204,5,0)</f>
        <v>SCS</v>
      </c>
      <c r="AO1160" s="7"/>
      <c r="AP1160" s="7"/>
      <c r="AQ1160" s="7"/>
      <c r="AR1160" s="7"/>
      <c r="AS1160" s="7"/>
    </row>
    <row r="1161" spans="1:45" x14ac:dyDescent="0.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Q1161" s="7"/>
      <c r="R1161" s="7"/>
      <c r="S1161" s="7"/>
      <c r="T1161" s="7"/>
      <c r="U1161" s="7"/>
      <c r="V1161" s="7"/>
      <c r="AC1161" s="35" t="s">
        <v>127</v>
      </c>
      <c r="AD1161" s="35"/>
      <c r="AE1161" s="35">
        <v>70810</v>
      </c>
      <c r="AF1161" s="35" t="s">
        <v>472</v>
      </c>
      <c r="AG1161" s="36">
        <v>0</v>
      </c>
      <c r="AI1161" s="7" t="str">
        <f>VLOOKUP($AC1161,Mapping!$E$11:$I$204,3,0)</f>
        <v>Non-network general assets - Other</v>
      </c>
      <c r="AJ1161" s="7" t="str">
        <f>IFERROR(VLOOKUP($AE1161,Mapping!$E$208:$K$236,5,0),"Contracts")</f>
        <v>Materials</v>
      </c>
      <c r="AK1161" s="7" t="str">
        <f>IFERROR(VLOOKUP($AE1161,Mapping!$E$208:$K$236,7,0),"ENDirect")</f>
        <v>ENDirect</v>
      </c>
      <c r="AL1161" s="7" t="str">
        <f>IFERROR(HLOOKUP(AJ1161,'Calc|Weightings'!$U$5:$W$5,1,0),"Excl")</f>
        <v>Materials</v>
      </c>
      <c r="AM1161" s="7" t="str">
        <f>VLOOKUP(AC1161,Mapping!$E$11:$I$204,5,0)</f>
        <v>SCS</v>
      </c>
      <c r="AO1161" s="7"/>
      <c r="AP1161" s="7"/>
      <c r="AQ1161" s="7"/>
      <c r="AR1161" s="7"/>
      <c r="AS1161" s="7"/>
    </row>
    <row r="1162" spans="1:45" x14ac:dyDescent="0.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Q1162" s="7"/>
      <c r="R1162" s="7"/>
      <c r="S1162" s="7"/>
      <c r="T1162" s="7"/>
      <c r="U1162" s="7"/>
      <c r="V1162" s="7"/>
      <c r="AC1162" s="35" t="s">
        <v>132</v>
      </c>
      <c r="AD1162" s="35"/>
      <c r="AE1162" s="35">
        <v>70815</v>
      </c>
      <c r="AF1162" s="35" t="s">
        <v>451</v>
      </c>
      <c r="AG1162" s="36">
        <v>164.536</v>
      </c>
      <c r="AI1162" s="7" t="str">
        <f>VLOOKUP($AC1162,Mapping!$E$11:$I$204,3,0)</f>
        <v>ACS</v>
      </c>
      <c r="AJ1162" s="7" t="str">
        <f>IFERROR(VLOOKUP($AE1162,Mapping!$E$208:$K$236,5,0),"Contracts")</f>
        <v>Materials</v>
      </c>
      <c r="AK1162" s="7" t="str">
        <f>IFERROR(VLOOKUP($AE1162,Mapping!$E$208:$K$236,7,0),"ENDirect")</f>
        <v>ENDirect</v>
      </c>
      <c r="AL1162" s="7" t="str">
        <f>IFERROR(HLOOKUP(AJ1162,'Calc|Weightings'!$U$5:$W$5,1,0),"Excl")</f>
        <v>Materials</v>
      </c>
      <c r="AM1162" s="7" t="str">
        <f>VLOOKUP(AC1162,Mapping!$E$11:$I$204,5,0)</f>
        <v>ACS</v>
      </c>
      <c r="AO1162" s="7"/>
      <c r="AP1162" s="7"/>
      <c r="AQ1162" s="7"/>
      <c r="AR1162" s="7"/>
      <c r="AS1162" s="7"/>
    </row>
    <row r="1163" spans="1:45" x14ac:dyDescent="0.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Q1163" s="7"/>
      <c r="R1163" s="7"/>
      <c r="S1163" s="7"/>
      <c r="T1163" s="7"/>
      <c r="U1163" s="7"/>
      <c r="V1163" s="7"/>
      <c r="AC1163" s="35" t="s">
        <v>132</v>
      </c>
      <c r="AD1163" s="35"/>
      <c r="AE1163" s="35">
        <v>71000</v>
      </c>
      <c r="AF1163" s="35" t="s">
        <v>457</v>
      </c>
      <c r="AG1163" s="36">
        <v>2.8090000000000002</v>
      </c>
      <c r="AI1163" s="7" t="str">
        <f>VLOOKUP($AC1163,Mapping!$E$11:$I$204,3,0)</f>
        <v>ACS</v>
      </c>
      <c r="AJ1163" s="7" t="str">
        <f>IFERROR(VLOOKUP($AE1163,Mapping!$E$208:$K$236,5,0),"Contracts")</f>
        <v>Labour</v>
      </c>
      <c r="AK1163" s="7" t="str">
        <f>IFERROR(VLOOKUP($AE1163,Mapping!$E$208:$K$236,7,0),"ENDirect")</f>
        <v>ENDirect</v>
      </c>
      <c r="AL1163" s="7" t="str">
        <f>IFERROR(HLOOKUP(AJ1163,'Calc|Weightings'!$U$5:$W$5,1,0),"Excl")</f>
        <v>Labour</v>
      </c>
      <c r="AM1163" s="7" t="str">
        <f>VLOOKUP(AC1163,Mapping!$E$11:$I$204,5,0)</f>
        <v>ACS</v>
      </c>
      <c r="AO1163" s="7"/>
      <c r="AP1163" s="7"/>
      <c r="AQ1163" s="7"/>
      <c r="AR1163" s="7"/>
      <c r="AS1163" s="7"/>
    </row>
    <row r="1164" spans="1:45" x14ac:dyDescent="0.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Q1164" s="7"/>
      <c r="R1164" s="7"/>
      <c r="S1164" s="7"/>
      <c r="T1164" s="7"/>
      <c r="U1164" s="7"/>
      <c r="V1164" s="7"/>
      <c r="AC1164" s="35" t="s">
        <v>132</v>
      </c>
      <c r="AD1164" s="35"/>
      <c r="AE1164" s="35">
        <v>70810</v>
      </c>
      <c r="AF1164" s="35" t="s">
        <v>472</v>
      </c>
      <c r="AG1164" s="36">
        <v>0</v>
      </c>
      <c r="AI1164" s="7" t="str">
        <f>VLOOKUP($AC1164,Mapping!$E$11:$I$204,3,0)</f>
        <v>ACS</v>
      </c>
      <c r="AJ1164" s="7" t="str">
        <f>IFERROR(VLOOKUP($AE1164,Mapping!$E$208:$K$236,5,0),"Contracts")</f>
        <v>Materials</v>
      </c>
      <c r="AK1164" s="7" t="str">
        <f>IFERROR(VLOOKUP($AE1164,Mapping!$E$208:$K$236,7,0),"ENDirect")</f>
        <v>ENDirect</v>
      </c>
      <c r="AL1164" s="7" t="str">
        <f>IFERROR(HLOOKUP(AJ1164,'Calc|Weightings'!$U$5:$W$5,1,0),"Excl")</f>
        <v>Materials</v>
      </c>
      <c r="AM1164" s="7" t="str">
        <f>VLOOKUP(AC1164,Mapping!$E$11:$I$204,5,0)</f>
        <v>ACS</v>
      </c>
      <c r="AO1164" s="7"/>
      <c r="AP1164" s="7"/>
      <c r="AQ1164" s="7"/>
      <c r="AR1164" s="7"/>
      <c r="AS1164" s="7"/>
    </row>
    <row r="1165" spans="1:45" x14ac:dyDescent="0.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Q1165" s="7"/>
      <c r="R1165" s="7"/>
      <c r="S1165" s="7"/>
      <c r="T1165" s="7"/>
      <c r="U1165" s="7"/>
      <c r="V1165" s="7"/>
      <c r="AC1165" s="35" t="s">
        <v>131</v>
      </c>
      <c r="AD1165" s="35"/>
      <c r="AE1165" s="35">
        <v>70815</v>
      </c>
      <c r="AF1165" s="35" t="s">
        <v>451</v>
      </c>
      <c r="AG1165" s="36">
        <v>93.087999999999994</v>
      </c>
      <c r="AI1165" s="7" t="str">
        <f>VLOOKUP($AC1165,Mapping!$E$11:$I$204,3,0)</f>
        <v>Non-network general assets - Other</v>
      </c>
      <c r="AJ1165" s="7" t="str">
        <f>IFERROR(VLOOKUP($AE1165,Mapping!$E$208:$K$236,5,0),"Contracts")</f>
        <v>Materials</v>
      </c>
      <c r="AK1165" s="7" t="str">
        <f>IFERROR(VLOOKUP($AE1165,Mapping!$E$208:$K$236,7,0),"ENDirect")</f>
        <v>ENDirect</v>
      </c>
      <c r="AL1165" s="7" t="str">
        <f>IFERROR(HLOOKUP(AJ1165,'Calc|Weightings'!$U$5:$W$5,1,0),"Excl")</f>
        <v>Materials</v>
      </c>
      <c r="AM1165" s="7" t="str">
        <f>VLOOKUP(AC1165,Mapping!$E$11:$I$204,5,0)</f>
        <v>SCS</v>
      </c>
      <c r="AO1165" s="7"/>
      <c r="AP1165" s="7"/>
      <c r="AQ1165" s="7"/>
      <c r="AR1165" s="7"/>
      <c r="AS1165" s="7"/>
    </row>
    <row r="1166" spans="1:45" x14ac:dyDescent="0.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Q1166" s="7"/>
      <c r="R1166" s="7"/>
      <c r="S1166" s="7"/>
      <c r="T1166" s="7"/>
      <c r="U1166" s="7"/>
      <c r="V1166" s="7"/>
      <c r="AC1166" s="35" t="s">
        <v>129</v>
      </c>
      <c r="AD1166" s="35"/>
      <c r="AE1166" s="35">
        <v>70815</v>
      </c>
      <c r="AF1166" s="35" t="s">
        <v>451</v>
      </c>
      <c r="AG1166" s="36">
        <v>2044.335</v>
      </c>
      <c r="AI1166" s="7" t="str">
        <f>VLOOKUP($AC1166,Mapping!$E$11:$I$204,3,0)</f>
        <v>Non-network general assets - Other</v>
      </c>
      <c r="AJ1166" s="7" t="str">
        <f>IFERROR(VLOOKUP($AE1166,Mapping!$E$208:$K$236,5,0),"Contracts")</f>
        <v>Materials</v>
      </c>
      <c r="AK1166" s="7" t="str">
        <f>IFERROR(VLOOKUP($AE1166,Mapping!$E$208:$K$236,7,0),"ENDirect")</f>
        <v>ENDirect</v>
      </c>
      <c r="AL1166" s="7" t="str">
        <f>IFERROR(HLOOKUP(AJ1166,'Calc|Weightings'!$U$5:$W$5,1,0),"Excl")</f>
        <v>Materials</v>
      </c>
      <c r="AM1166" s="7" t="str">
        <f>VLOOKUP(AC1166,Mapping!$E$11:$I$204,5,0)</f>
        <v>SCS</v>
      </c>
      <c r="AO1166" s="7"/>
      <c r="AP1166" s="7"/>
      <c r="AQ1166" s="7"/>
      <c r="AR1166" s="7"/>
      <c r="AS1166" s="7"/>
    </row>
    <row r="1167" spans="1:45" x14ac:dyDescent="0.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Q1167" s="7"/>
      <c r="R1167" s="7"/>
      <c r="S1167" s="7"/>
      <c r="T1167" s="7"/>
      <c r="U1167" s="7"/>
      <c r="V1167" s="7"/>
      <c r="AC1167" s="35" t="s">
        <v>127</v>
      </c>
      <c r="AD1167" s="35"/>
      <c r="AE1167" s="35">
        <v>71045</v>
      </c>
      <c r="AF1167" s="35" t="s">
        <v>469</v>
      </c>
      <c r="AG1167" s="36">
        <v>344.411</v>
      </c>
      <c r="AI1167" s="7" t="str">
        <f>VLOOKUP($AC1167,Mapping!$E$11:$I$204,3,0)</f>
        <v>Non-network general assets - Other</v>
      </c>
      <c r="AJ1167" s="7" t="str">
        <f>IFERROR(VLOOKUP($AE1167,Mapping!$E$208:$K$236,5,0),"Contracts")</f>
        <v>Materials</v>
      </c>
      <c r="AK1167" s="7" t="str">
        <f>IFERROR(VLOOKUP($AE1167,Mapping!$E$208:$K$236,7,0),"ENDirect")</f>
        <v>ENDirect</v>
      </c>
      <c r="AL1167" s="7" t="str">
        <f>IFERROR(HLOOKUP(AJ1167,'Calc|Weightings'!$U$5:$W$5,1,0),"Excl")</f>
        <v>Materials</v>
      </c>
      <c r="AM1167" s="7" t="str">
        <f>VLOOKUP(AC1167,Mapping!$E$11:$I$204,5,0)</f>
        <v>SCS</v>
      </c>
      <c r="AO1167" s="7"/>
      <c r="AP1167" s="7"/>
      <c r="AQ1167" s="7"/>
      <c r="AR1167" s="7"/>
      <c r="AS1167" s="7"/>
    </row>
    <row r="1168" spans="1:45" x14ac:dyDescent="0.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Q1168" s="7"/>
      <c r="R1168" s="7"/>
      <c r="S1168" s="7"/>
      <c r="T1168" s="7"/>
      <c r="U1168" s="7"/>
      <c r="V1168" s="7"/>
      <c r="AC1168" s="35" t="s">
        <v>127</v>
      </c>
      <c r="AD1168" s="35"/>
      <c r="AE1168" s="35">
        <v>71130</v>
      </c>
      <c r="AF1168" s="35" t="s">
        <v>482</v>
      </c>
      <c r="AG1168" s="36">
        <v>11.396000000000001</v>
      </c>
      <c r="AI1168" s="7" t="str">
        <f>VLOOKUP($AC1168,Mapping!$E$11:$I$204,3,0)</f>
        <v>Non-network general assets - Other</v>
      </c>
      <c r="AJ1168" s="7" t="str">
        <f>IFERROR(VLOOKUP($AE1168,Mapping!$E$208:$K$236,5,0),"Contracts")</f>
        <v>Contracts</v>
      </c>
      <c r="AK1168" s="7" t="str">
        <f>IFERROR(VLOOKUP($AE1168,Mapping!$E$208:$K$236,7,0),"ENDirect")</f>
        <v>ENDirect</v>
      </c>
      <c r="AL1168" s="7" t="str">
        <f>IFERROR(HLOOKUP(AJ1168,'Calc|Weightings'!$U$5:$W$5,1,0),"Excl")</f>
        <v>Contracts</v>
      </c>
      <c r="AM1168" s="7" t="str">
        <f>VLOOKUP(AC1168,Mapping!$E$11:$I$204,5,0)</f>
        <v>SCS</v>
      </c>
      <c r="AO1168" s="7"/>
      <c r="AP1168" s="7"/>
      <c r="AQ1168" s="7"/>
      <c r="AR1168" s="7"/>
      <c r="AS1168" s="7"/>
    </row>
    <row r="1169" spans="1:51" x14ac:dyDescent="0.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Q1169" s="7"/>
      <c r="R1169" s="7"/>
      <c r="S1169" s="7"/>
      <c r="T1169" s="7"/>
      <c r="U1169" s="7"/>
      <c r="V1169" s="7"/>
      <c r="AC1169" s="35" t="s">
        <v>127</v>
      </c>
      <c r="AD1169" s="35"/>
      <c r="AE1169" s="35">
        <v>72200</v>
      </c>
      <c r="AF1169" s="35" t="s">
        <v>455</v>
      </c>
      <c r="AG1169" s="36">
        <v>0</v>
      </c>
      <c r="AI1169" s="7" t="str">
        <f>VLOOKUP($AC1169,Mapping!$E$11:$I$204,3,0)</f>
        <v>Non-network general assets - Other</v>
      </c>
      <c r="AJ1169" s="7" t="str">
        <f>IFERROR(VLOOKUP($AE1169,Mapping!$E$208:$K$236,5,0),"Contracts")</f>
        <v>Labour</v>
      </c>
      <c r="AK1169" s="7" t="str">
        <f>IFERROR(VLOOKUP($AE1169,Mapping!$E$208:$K$236,7,0),"ENDirect")</f>
        <v>ENDirect</v>
      </c>
      <c r="AL1169" s="7" t="str">
        <f>IFERROR(HLOOKUP(AJ1169,'Calc|Weightings'!$U$5:$W$5,1,0),"Excl")</f>
        <v>Labour</v>
      </c>
      <c r="AM1169" s="7" t="str">
        <f>VLOOKUP(AC1169,Mapping!$E$11:$I$204,5,0)</f>
        <v>SCS</v>
      </c>
      <c r="AO1169" s="7"/>
      <c r="AP1169" s="7"/>
      <c r="AQ1169" s="7"/>
      <c r="AR1169" s="7"/>
      <c r="AS1169" s="7"/>
    </row>
    <row r="1170" spans="1:51" x14ac:dyDescent="0.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Q1170" s="7"/>
      <c r="R1170" s="7"/>
      <c r="S1170" s="7"/>
      <c r="T1170" s="7"/>
      <c r="U1170" s="7"/>
      <c r="V1170" s="7"/>
      <c r="AC1170" s="7"/>
      <c r="AD1170" s="7"/>
      <c r="AE1170" s="7"/>
      <c r="AF1170" s="7"/>
      <c r="AG1170" s="7"/>
      <c r="AO1170" s="7"/>
      <c r="AP1170" s="7"/>
      <c r="AQ1170" s="7"/>
      <c r="AR1170" s="7"/>
      <c r="AS1170" s="7"/>
    </row>
    <row r="1171" spans="1:51" x14ac:dyDescent="0.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Q1171" s="7"/>
      <c r="R1171" s="7"/>
      <c r="S1171" s="7"/>
      <c r="T1171" s="7"/>
      <c r="U1171" s="7"/>
      <c r="V1171" s="7"/>
      <c r="AC1171" s="7"/>
      <c r="AD1171" s="7"/>
      <c r="AE1171" s="7"/>
      <c r="AF1171" s="7"/>
      <c r="AG1171" s="7"/>
      <c r="AO1171" s="7"/>
      <c r="AP1171" s="7"/>
      <c r="AQ1171" s="7"/>
      <c r="AR1171" s="7"/>
      <c r="AS1171" s="7"/>
    </row>
    <row r="1172" spans="1:51" x14ac:dyDescent="0.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Q1172" s="7"/>
      <c r="R1172" s="7"/>
      <c r="S1172" s="7"/>
      <c r="T1172" s="7"/>
      <c r="U1172" s="7"/>
      <c r="V1172" s="7"/>
      <c r="AC1172" s="7"/>
      <c r="AD1172" s="7"/>
      <c r="AE1172" s="7"/>
      <c r="AF1172" s="7"/>
      <c r="AG1172" s="7"/>
      <c r="AO1172" s="7"/>
      <c r="AP1172" s="7"/>
      <c r="AQ1172" s="7"/>
      <c r="AR1172" s="7"/>
      <c r="AS1172" s="7"/>
    </row>
    <row r="1173" spans="1:51" x14ac:dyDescent="0.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Q1173" s="7"/>
      <c r="R1173" s="7"/>
      <c r="S1173" s="7"/>
      <c r="T1173" s="7"/>
      <c r="U1173" s="7"/>
      <c r="V1173" s="7"/>
      <c r="AC1173" s="7"/>
      <c r="AD1173" s="7"/>
      <c r="AE1173" s="7"/>
      <c r="AF1173" s="7"/>
      <c r="AG1173" s="7"/>
      <c r="AO1173" s="7"/>
      <c r="AP1173" s="7"/>
      <c r="AQ1173" s="7"/>
      <c r="AR1173" s="7"/>
      <c r="AS1173" s="7"/>
    </row>
    <row r="1174" spans="1:51" x14ac:dyDescent="0.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Q1174" s="7"/>
      <c r="R1174" s="7"/>
      <c r="S1174" s="7"/>
      <c r="T1174" s="7"/>
      <c r="U1174" s="7"/>
      <c r="V1174" s="7"/>
      <c r="AC1174" s="7"/>
      <c r="AD1174" s="7"/>
      <c r="AE1174" s="7"/>
      <c r="AF1174" s="7"/>
      <c r="AG1174" s="7"/>
      <c r="AO1174" s="7"/>
      <c r="AP1174" s="7"/>
      <c r="AQ1174" s="7"/>
      <c r="AR1174" s="7"/>
      <c r="AS1174" s="7"/>
    </row>
    <row r="1175" spans="1:51" x14ac:dyDescent="0.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Q1175" s="7"/>
      <c r="R1175" s="7"/>
      <c r="S1175" s="7"/>
      <c r="T1175" s="7"/>
      <c r="U1175" s="7"/>
      <c r="V1175" s="7"/>
      <c r="AC1175" s="7"/>
      <c r="AD1175" s="7"/>
      <c r="AE1175" s="7"/>
      <c r="AF1175" s="7"/>
      <c r="AG1175" s="7"/>
      <c r="AO1175" s="7"/>
      <c r="AP1175" s="7"/>
      <c r="AQ1175" s="7"/>
      <c r="AR1175" s="7"/>
      <c r="AS1175" s="7"/>
    </row>
    <row r="1176" spans="1:51" x14ac:dyDescent="0.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Q1176" s="7"/>
      <c r="R1176" s="7"/>
      <c r="S1176" s="7"/>
      <c r="T1176" s="7"/>
      <c r="U1176" s="7"/>
      <c r="V1176" s="7"/>
      <c r="AC1176" s="7"/>
      <c r="AD1176" s="7"/>
      <c r="AE1176" s="7"/>
      <c r="AF1176" s="7"/>
      <c r="AG1176" s="7"/>
      <c r="AO1176" s="7"/>
      <c r="AP1176" s="7"/>
      <c r="AQ1176" s="7"/>
      <c r="AR1176" s="7"/>
      <c r="AS1176" s="7"/>
    </row>
    <row r="1177" spans="1:51" x14ac:dyDescent="0.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Q1177" s="7"/>
      <c r="R1177" s="7"/>
      <c r="S1177" s="7"/>
      <c r="T1177" s="7"/>
      <c r="U1177" s="7"/>
      <c r="V1177" s="7"/>
      <c r="AC1177" s="7"/>
      <c r="AD1177" s="7"/>
      <c r="AE1177" s="7"/>
      <c r="AF1177" s="7"/>
      <c r="AG1177" s="7"/>
      <c r="AO1177" s="7"/>
      <c r="AP1177" s="7"/>
      <c r="AQ1177" s="7"/>
      <c r="AR1177" s="7"/>
      <c r="AS1177" s="7"/>
    </row>
    <row r="1178" spans="1:51" x14ac:dyDescent="0.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Q1178" s="7"/>
      <c r="R1178" s="7"/>
      <c r="S1178" s="7"/>
      <c r="T1178" s="7"/>
      <c r="U1178" s="7"/>
      <c r="V1178" s="7"/>
      <c r="AC1178" s="7"/>
      <c r="AD1178" s="7"/>
      <c r="AE1178" s="7"/>
      <c r="AF1178" s="7"/>
      <c r="AG1178" s="7"/>
      <c r="AO1178" s="7"/>
      <c r="AP1178" s="7"/>
      <c r="AQ1178" s="7"/>
      <c r="AR1178" s="7"/>
      <c r="AS1178" s="7"/>
    </row>
    <row r="1179" spans="1:51" x14ac:dyDescent="0.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Q1179" s="7"/>
      <c r="R1179" s="7"/>
      <c r="S1179" s="7"/>
      <c r="T1179" s="7"/>
      <c r="U1179" s="7"/>
      <c r="V1179" s="7"/>
      <c r="AC1179" s="7"/>
      <c r="AD1179" s="7"/>
      <c r="AE1179" s="7"/>
      <c r="AF1179" s="7"/>
      <c r="AG1179" s="7"/>
      <c r="AO1179" s="7"/>
      <c r="AP1179" s="7"/>
      <c r="AQ1179" s="7"/>
      <c r="AR1179" s="7"/>
      <c r="AS1179" s="7"/>
    </row>
    <row r="1180" spans="1:51" s="20" customFormat="1" x14ac:dyDescent="0.3">
      <c r="A1180" s="21" t="s">
        <v>4</v>
      </c>
      <c r="B1180" s="21"/>
      <c r="C1180" s="14"/>
      <c r="D1180" s="23"/>
      <c r="E1180" s="24"/>
      <c r="F1180" s="24"/>
      <c r="G1180" s="24"/>
      <c r="H1180" s="25"/>
      <c r="I1180" s="19"/>
      <c r="J1180" s="19"/>
      <c r="Q1180" s="24"/>
      <c r="R1180" s="24"/>
      <c r="S1180" s="24"/>
      <c r="T1180" s="25"/>
      <c r="U1180" s="19"/>
      <c r="V1180" s="19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</row>
    <row r="1181" spans="1:51" x14ac:dyDescent="0.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Q1181" s="7"/>
      <c r="R1181" s="7"/>
      <c r="S1181" s="7"/>
      <c r="T1181" s="7"/>
      <c r="U1181" s="7"/>
      <c r="V1181" s="7"/>
      <c r="AC1181" s="24"/>
      <c r="AD1181" s="24"/>
      <c r="AE1181" s="20"/>
      <c r="AF1181" s="20"/>
      <c r="AG1181" s="20"/>
      <c r="AH1181" s="20"/>
      <c r="AI1181" s="20"/>
      <c r="AJ1181" s="20"/>
      <c r="AK1181" s="20"/>
      <c r="AL1181" s="20"/>
      <c r="AM1181" s="20"/>
      <c r="AO1181" s="24"/>
      <c r="AP1181" s="24"/>
      <c r="AQ1181" s="20"/>
      <c r="AR1181" s="20"/>
      <c r="AS1181" s="20"/>
      <c r="AT1181" s="20"/>
      <c r="AU1181" s="20"/>
      <c r="AV1181" s="20"/>
      <c r="AW1181" s="20"/>
      <c r="AX1181" s="20"/>
      <c r="AY1181" s="20"/>
    </row>
    <row r="1182" spans="1:51" x14ac:dyDescent="0.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Q1182" s="7"/>
      <c r="R1182" s="7"/>
      <c r="S1182" s="7"/>
      <c r="T1182" s="7"/>
      <c r="U1182" s="7"/>
      <c r="V1182" s="7"/>
      <c r="AC1182" s="7"/>
      <c r="AD1182" s="7"/>
      <c r="AE1182" s="7"/>
      <c r="AF1182" s="7"/>
      <c r="AG1182" s="7"/>
      <c r="AO1182" s="7"/>
      <c r="AP1182" s="7"/>
      <c r="AQ1182" s="7"/>
      <c r="AR1182" s="7"/>
      <c r="AS1182" s="7"/>
    </row>
    <row r="1183" spans="1:51" x14ac:dyDescent="0.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Q1183" s="7"/>
      <c r="R1183" s="7"/>
      <c r="S1183" s="7"/>
      <c r="T1183" s="7"/>
      <c r="U1183" s="7"/>
      <c r="V1183" s="7"/>
      <c r="AC1183" s="7"/>
      <c r="AD1183" s="7"/>
      <c r="AE1183" s="7"/>
      <c r="AF1183" s="7"/>
      <c r="AG1183" s="7"/>
      <c r="AO1183" s="7"/>
      <c r="AP1183" s="7"/>
      <c r="AQ1183" s="7"/>
      <c r="AR1183" s="7"/>
      <c r="AS1183" s="7"/>
    </row>
    <row r="1184" spans="1:51" x14ac:dyDescent="0.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Q1184" s="7"/>
      <c r="R1184" s="7"/>
      <c r="S1184" s="7"/>
      <c r="T1184" s="7"/>
      <c r="U1184" s="7"/>
      <c r="V1184" s="7"/>
      <c r="AC1184" s="7"/>
      <c r="AD1184" s="7"/>
      <c r="AE1184" s="7"/>
      <c r="AF1184" s="7"/>
      <c r="AG1184" s="7"/>
      <c r="AO1184" s="7"/>
      <c r="AP1184" s="7"/>
      <c r="AQ1184" s="7"/>
      <c r="AR1184" s="7"/>
      <c r="AS1184" s="7"/>
    </row>
    <row r="1185" spans="1:45" x14ac:dyDescent="0.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Q1185" s="7"/>
      <c r="R1185" s="7"/>
      <c r="S1185" s="7"/>
      <c r="T1185" s="7"/>
      <c r="U1185" s="7"/>
      <c r="V1185" s="7"/>
      <c r="AC1185" s="7"/>
      <c r="AD1185" s="7"/>
      <c r="AE1185" s="7"/>
      <c r="AF1185" s="7"/>
      <c r="AG1185" s="7"/>
      <c r="AO1185" s="7"/>
      <c r="AP1185" s="7"/>
      <c r="AQ1185" s="7"/>
      <c r="AR1185" s="7"/>
      <c r="AS1185" s="7"/>
    </row>
    <row r="1186" spans="1:45" x14ac:dyDescent="0.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Q1186" s="7"/>
      <c r="R1186" s="7"/>
      <c r="S1186" s="7"/>
      <c r="T1186" s="7"/>
      <c r="U1186" s="7"/>
      <c r="V1186" s="7"/>
      <c r="AC1186" s="7"/>
      <c r="AD1186" s="7"/>
      <c r="AE1186" s="7"/>
      <c r="AF1186" s="7"/>
      <c r="AG1186" s="7"/>
      <c r="AO1186" s="7"/>
      <c r="AP1186" s="7"/>
      <c r="AQ1186" s="7"/>
      <c r="AR1186" s="7"/>
      <c r="AS1186" s="7"/>
    </row>
    <row r="1187" spans="1:45" x14ac:dyDescent="0.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Q1187" s="7"/>
      <c r="R1187" s="7"/>
      <c r="S1187" s="7"/>
      <c r="T1187" s="7"/>
      <c r="U1187" s="7"/>
      <c r="V1187" s="7"/>
      <c r="AC1187" s="7"/>
      <c r="AD1187" s="7"/>
      <c r="AE1187" s="7"/>
      <c r="AF1187" s="7"/>
      <c r="AG1187" s="7"/>
      <c r="AO1187" s="7"/>
      <c r="AP1187" s="7"/>
      <c r="AQ1187" s="7"/>
      <c r="AR1187" s="7"/>
      <c r="AS1187" s="7"/>
    </row>
    <row r="1188" spans="1:45" x14ac:dyDescent="0.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Q1188" s="7"/>
      <c r="R1188" s="7"/>
      <c r="S1188" s="7"/>
      <c r="T1188" s="7"/>
      <c r="U1188" s="7"/>
      <c r="V1188" s="7"/>
      <c r="AC1188" s="7"/>
      <c r="AD1188" s="7"/>
      <c r="AE1188" s="7"/>
      <c r="AF1188" s="7"/>
      <c r="AG1188" s="7"/>
      <c r="AO1188" s="7"/>
      <c r="AP1188" s="7"/>
      <c r="AQ1188" s="7"/>
      <c r="AR1188" s="7"/>
      <c r="AS1188" s="7"/>
    </row>
    <row r="1189" spans="1:45" x14ac:dyDescent="0.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Q1189" s="7"/>
      <c r="R1189" s="7"/>
      <c r="S1189" s="7"/>
      <c r="T1189" s="7"/>
      <c r="U1189" s="7"/>
      <c r="V1189" s="7"/>
      <c r="AC1189" s="7"/>
      <c r="AD1189" s="7"/>
      <c r="AE1189" s="7"/>
      <c r="AF1189" s="7"/>
      <c r="AG1189" s="7"/>
      <c r="AO1189" s="7"/>
      <c r="AP1189" s="7"/>
      <c r="AQ1189" s="7"/>
      <c r="AR1189" s="7"/>
      <c r="AS1189" s="7"/>
    </row>
    <row r="1190" spans="1:45" x14ac:dyDescent="0.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Q1190" s="7"/>
      <c r="R1190" s="7"/>
      <c r="S1190" s="7"/>
      <c r="T1190" s="7"/>
      <c r="U1190" s="7"/>
      <c r="V1190" s="7"/>
      <c r="AC1190" s="7"/>
      <c r="AD1190" s="7"/>
      <c r="AE1190" s="7"/>
      <c r="AF1190" s="7"/>
      <c r="AG1190" s="7"/>
      <c r="AO1190" s="7"/>
      <c r="AP1190" s="7"/>
      <c r="AQ1190" s="7"/>
      <c r="AR1190" s="7"/>
      <c r="AS1190" s="7"/>
    </row>
    <row r="1191" spans="1:45" x14ac:dyDescent="0.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Q1191" s="7"/>
      <c r="R1191" s="7"/>
      <c r="S1191" s="7"/>
      <c r="T1191" s="7"/>
      <c r="U1191" s="7"/>
      <c r="V1191" s="7"/>
      <c r="AC1191" s="7"/>
      <c r="AD1191" s="7"/>
      <c r="AE1191" s="7"/>
      <c r="AF1191" s="7"/>
      <c r="AG1191" s="7"/>
      <c r="AO1191" s="7"/>
      <c r="AP1191" s="7"/>
      <c r="AQ1191" s="7"/>
      <c r="AR1191" s="7"/>
      <c r="AS1191" s="7"/>
    </row>
    <row r="1192" spans="1:45" x14ac:dyDescent="0.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Q1192" s="7"/>
      <c r="R1192" s="7"/>
      <c r="S1192" s="7"/>
      <c r="T1192" s="7"/>
      <c r="U1192" s="7"/>
      <c r="V1192" s="7"/>
      <c r="AC1192" s="7"/>
      <c r="AD1192" s="7"/>
      <c r="AE1192" s="7"/>
      <c r="AF1192" s="7"/>
      <c r="AG1192" s="7"/>
      <c r="AO1192" s="7"/>
      <c r="AP1192" s="7"/>
      <c r="AQ1192" s="7"/>
      <c r="AR1192" s="7"/>
      <c r="AS1192" s="7"/>
    </row>
    <row r="1193" spans="1:45" x14ac:dyDescent="0.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Q1193" s="7"/>
      <c r="R1193" s="7"/>
      <c r="S1193" s="7"/>
      <c r="T1193" s="7"/>
      <c r="U1193" s="7"/>
      <c r="V1193" s="7"/>
      <c r="AC1193" s="7"/>
      <c r="AD1193" s="7"/>
      <c r="AE1193" s="7"/>
      <c r="AF1193" s="7"/>
      <c r="AG1193" s="7"/>
      <c r="AO1193" s="7"/>
      <c r="AP1193" s="7"/>
      <c r="AQ1193" s="7"/>
      <c r="AR1193" s="7"/>
      <c r="AS1193" s="7"/>
    </row>
    <row r="1194" spans="1:45" x14ac:dyDescent="0.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Q1194" s="7"/>
      <c r="R1194" s="7"/>
      <c r="S1194" s="7"/>
      <c r="T1194" s="7"/>
      <c r="U1194" s="7"/>
      <c r="V1194" s="7"/>
      <c r="AC1194" s="7"/>
      <c r="AD1194" s="7"/>
      <c r="AE1194" s="7"/>
      <c r="AF1194" s="7"/>
      <c r="AG1194" s="7"/>
      <c r="AO1194" s="7"/>
      <c r="AP1194" s="7"/>
      <c r="AQ1194" s="7"/>
      <c r="AR1194" s="7"/>
      <c r="AS1194" s="7"/>
    </row>
    <row r="1195" spans="1:45" x14ac:dyDescent="0.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Q1195" s="7"/>
      <c r="R1195" s="7"/>
      <c r="S1195" s="7"/>
      <c r="T1195" s="7"/>
      <c r="U1195" s="7"/>
      <c r="V1195" s="7"/>
      <c r="AC1195" s="7"/>
      <c r="AD1195" s="7"/>
      <c r="AE1195" s="7"/>
      <c r="AF1195" s="7"/>
      <c r="AG1195" s="7"/>
      <c r="AO1195" s="7"/>
      <c r="AP1195" s="7"/>
      <c r="AQ1195" s="7"/>
      <c r="AR1195" s="7"/>
      <c r="AS1195" s="7"/>
    </row>
    <row r="1196" spans="1:45" x14ac:dyDescent="0.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Q1196" s="7"/>
      <c r="R1196" s="7"/>
      <c r="S1196" s="7"/>
      <c r="T1196" s="7"/>
      <c r="U1196" s="7"/>
      <c r="V1196" s="7"/>
      <c r="AC1196" s="7"/>
      <c r="AD1196" s="7"/>
      <c r="AE1196" s="7"/>
      <c r="AF1196" s="7"/>
      <c r="AG1196" s="7"/>
      <c r="AO1196" s="7"/>
      <c r="AP1196" s="7"/>
      <c r="AQ1196" s="7"/>
      <c r="AR1196" s="7"/>
      <c r="AS1196" s="7"/>
    </row>
    <row r="1197" spans="1:45" x14ac:dyDescent="0.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Q1197" s="7"/>
      <c r="R1197" s="7"/>
      <c r="S1197" s="7"/>
      <c r="T1197" s="7"/>
      <c r="U1197" s="7"/>
      <c r="V1197" s="7"/>
      <c r="AC1197" s="7"/>
      <c r="AD1197" s="7"/>
      <c r="AE1197" s="7"/>
      <c r="AF1197" s="7"/>
      <c r="AG1197" s="7"/>
      <c r="AO1197" s="7"/>
      <c r="AP1197" s="7"/>
      <c r="AQ1197" s="7"/>
      <c r="AR1197" s="7"/>
      <c r="AS1197" s="7"/>
    </row>
    <row r="1198" spans="1:45" x14ac:dyDescent="0.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Q1198" s="7"/>
      <c r="R1198" s="7"/>
      <c r="S1198" s="7"/>
      <c r="T1198" s="7"/>
      <c r="U1198" s="7"/>
      <c r="V1198" s="7"/>
      <c r="AC1198" s="7"/>
      <c r="AD1198" s="7"/>
      <c r="AE1198" s="7"/>
      <c r="AF1198" s="7"/>
      <c r="AG1198" s="7"/>
      <c r="AO1198" s="7"/>
      <c r="AP1198" s="7"/>
      <c r="AQ1198" s="7"/>
      <c r="AR1198" s="7"/>
      <c r="AS1198" s="7"/>
    </row>
    <row r="1199" spans="1:45" x14ac:dyDescent="0.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Q1199" s="7"/>
      <c r="R1199" s="7"/>
      <c r="S1199" s="7"/>
      <c r="T1199" s="7"/>
      <c r="U1199" s="7"/>
      <c r="V1199" s="7"/>
      <c r="AC1199" s="7"/>
      <c r="AD1199" s="7"/>
      <c r="AE1199" s="7"/>
      <c r="AF1199" s="7"/>
      <c r="AG1199" s="7"/>
      <c r="AO1199" s="7"/>
      <c r="AP1199" s="7"/>
      <c r="AQ1199" s="7"/>
      <c r="AR1199" s="7"/>
      <c r="AS1199" s="7"/>
    </row>
    <row r="1200" spans="1:45" x14ac:dyDescent="0.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Q1200" s="7"/>
      <c r="R1200" s="7"/>
      <c r="S1200" s="7"/>
      <c r="T1200" s="7"/>
      <c r="U1200" s="7"/>
      <c r="V1200" s="7"/>
      <c r="AC1200" s="7"/>
      <c r="AD1200" s="7"/>
      <c r="AE1200" s="7"/>
      <c r="AF1200" s="7"/>
      <c r="AG1200" s="7"/>
      <c r="AO1200" s="7"/>
      <c r="AP1200" s="7"/>
      <c r="AQ1200" s="7"/>
      <c r="AR1200" s="7"/>
      <c r="AS1200" s="7"/>
    </row>
    <row r="1201" spans="1:45" x14ac:dyDescent="0.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Q1201" s="7"/>
      <c r="R1201" s="7"/>
      <c r="S1201" s="7"/>
      <c r="T1201" s="7"/>
      <c r="U1201" s="7"/>
      <c r="V1201" s="7"/>
      <c r="AC1201" s="7"/>
      <c r="AD1201" s="7"/>
      <c r="AE1201" s="7"/>
      <c r="AF1201" s="7"/>
      <c r="AG1201" s="7"/>
      <c r="AO1201" s="7"/>
      <c r="AP1201" s="7"/>
      <c r="AQ1201" s="7"/>
      <c r="AR1201" s="7"/>
      <c r="AS1201" s="7"/>
    </row>
    <row r="1202" spans="1:45" x14ac:dyDescent="0.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Q1202" s="7"/>
      <c r="R1202" s="7"/>
      <c r="S1202" s="7"/>
      <c r="T1202" s="7"/>
      <c r="U1202" s="7"/>
      <c r="V1202" s="7"/>
      <c r="AC1202" s="7"/>
      <c r="AD1202" s="7"/>
      <c r="AE1202" s="7"/>
      <c r="AF1202" s="7"/>
      <c r="AG1202" s="7"/>
      <c r="AO1202" s="7"/>
      <c r="AP1202" s="7"/>
      <c r="AQ1202" s="7"/>
      <c r="AR1202" s="7"/>
      <c r="AS1202" s="7"/>
    </row>
    <row r="1203" spans="1:45" x14ac:dyDescent="0.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Q1203" s="7"/>
      <c r="R1203" s="7"/>
      <c r="S1203" s="7"/>
      <c r="T1203" s="7"/>
      <c r="U1203" s="7"/>
      <c r="V1203" s="7"/>
      <c r="AC1203" s="7"/>
      <c r="AD1203" s="7"/>
      <c r="AE1203" s="7"/>
      <c r="AF1203" s="7"/>
      <c r="AG1203" s="7"/>
      <c r="AO1203" s="7"/>
      <c r="AP1203" s="7"/>
      <c r="AQ1203" s="7"/>
      <c r="AR1203" s="7"/>
      <c r="AS1203" s="7"/>
    </row>
    <row r="1204" spans="1:45" x14ac:dyDescent="0.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Q1204" s="7"/>
      <c r="R1204" s="7"/>
      <c r="S1204" s="7"/>
      <c r="T1204" s="7"/>
      <c r="U1204" s="7"/>
      <c r="V1204" s="7"/>
      <c r="AC1204" s="7"/>
      <c r="AD1204" s="7"/>
      <c r="AE1204" s="7"/>
      <c r="AF1204" s="7"/>
      <c r="AG1204" s="7"/>
      <c r="AO1204" s="7"/>
      <c r="AP1204" s="7"/>
      <c r="AQ1204" s="7"/>
      <c r="AR1204" s="7"/>
      <c r="AS1204" s="7"/>
    </row>
    <row r="1205" spans="1:45" x14ac:dyDescent="0.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Q1205" s="7"/>
      <c r="R1205" s="7"/>
      <c r="S1205" s="7"/>
      <c r="T1205" s="7"/>
      <c r="U1205" s="7"/>
      <c r="V1205" s="7"/>
      <c r="AC1205" s="7"/>
      <c r="AD1205" s="7"/>
      <c r="AE1205" s="7"/>
      <c r="AF1205" s="7"/>
      <c r="AG1205" s="7"/>
      <c r="AO1205" s="7"/>
      <c r="AP1205" s="7"/>
      <c r="AQ1205" s="7"/>
      <c r="AR1205" s="7"/>
      <c r="AS1205" s="7"/>
    </row>
    <row r="1206" spans="1:45" x14ac:dyDescent="0.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Q1206" s="7"/>
      <c r="R1206" s="7"/>
      <c r="S1206" s="7"/>
      <c r="T1206" s="7"/>
      <c r="U1206" s="7"/>
      <c r="V1206" s="7"/>
      <c r="AC1206" s="7"/>
      <c r="AD1206" s="7"/>
      <c r="AE1206" s="7"/>
      <c r="AF1206" s="7"/>
      <c r="AG1206" s="7"/>
      <c r="AO1206" s="7"/>
      <c r="AP1206" s="7"/>
      <c r="AQ1206" s="7"/>
      <c r="AR1206" s="7"/>
      <c r="AS1206" s="7"/>
    </row>
    <row r="1207" spans="1:45" x14ac:dyDescent="0.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Q1207" s="7"/>
      <c r="R1207" s="7"/>
      <c r="S1207" s="7"/>
      <c r="T1207" s="7"/>
      <c r="U1207" s="7"/>
      <c r="V1207" s="7"/>
      <c r="AC1207" s="7"/>
      <c r="AD1207" s="7"/>
      <c r="AE1207" s="7"/>
      <c r="AF1207" s="7"/>
      <c r="AG1207" s="7"/>
      <c r="AO1207" s="7"/>
      <c r="AP1207" s="7"/>
      <c r="AQ1207" s="7"/>
      <c r="AR1207" s="7"/>
      <c r="AS1207" s="7"/>
    </row>
    <row r="1208" spans="1:45" x14ac:dyDescent="0.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Q1208" s="7"/>
      <c r="R1208" s="7"/>
      <c r="S1208" s="7"/>
      <c r="T1208" s="7"/>
      <c r="U1208" s="7"/>
      <c r="V1208" s="7"/>
      <c r="AC1208" s="7"/>
      <c r="AD1208" s="7"/>
      <c r="AE1208" s="7"/>
      <c r="AF1208" s="7"/>
      <c r="AG1208" s="7"/>
      <c r="AO1208" s="7"/>
      <c r="AP1208" s="7"/>
      <c r="AQ1208" s="7"/>
      <c r="AR1208" s="7"/>
      <c r="AS1208" s="7"/>
    </row>
    <row r="1209" spans="1:45" x14ac:dyDescent="0.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Q1209" s="7"/>
      <c r="R1209" s="7"/>
      <c r="S1209" s="7"/>
      <c r="T1209" s="7"/>
      <c r="U1209" s="7"/>
      <c r="V1209" s="7"/>
      <c r="AC1209" s="7"/>
      <c r="AD1209" s="7"/>
      <c r="AE1209" s="7"/>
      <c r="AF1209" s="7"/>
      <c r="AG1209" s="7"/>
      <c r="AO1209" s="7"/>
      <c r="AP1209" s="7"/>
      <c r="AQ1209" s="7"/>
      <c r="AR1209" s="7"/>
      <c r="AS1209" s="7"/>
    </row>
    <row r="1210" spans="1:45" x14ac:dyDescent="0.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Q1210" s="7"/>
      <c r="R1210" s="7"/>
      <c r="S1210" s="7"/>
      <c r="T1210" s="7"/>
      <c r="U1210" s="7"/>
      <c r="V1210" s="7"/>
      <c r="AC1210" s="7"/>
      <c r="AD1210" s="7"/>
      <c r="AE1210" s="7"/>
      <c r="AF1210" s="7"/>
      <c r="AG1210" s="7"/>
      <c r="AO1210" s="7"/>
      <c r="AP1210" s="7"/>
      <c r="AQ1210" s="7"/>
      <c r="AR1210" s="7"/>
      <c r="AS1210" s="7"/>
    </row>
    <row r="1211" spans="1:45" x14ac:dyDescent="0.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Q1211" s="7"/>
      <c r="R1211" s="7"/>
      <c r="S1211" s="7"/>
      <c r="T1211" s="7"/>
      <c r="U1211" s="7"/>
      <c r="V1211" s="7"/>
      <c r="AC1211" s="7"/>
      <c r="AD1211" s="7"/>
      <c r="AE1211" s="7"/>
      <c r="AF1211" s="7"/>
      <c r="AG1211" s="7"/>
      <c r="AO1211" s="7"/>
      <c r="AP1211" s="7"/>
      <c r="AQ1211" s="7"/>
      <c r="AR1211" s="7"/>
      <c r="AS1211" s="7"/>
    </row>
    <row r="1212" spans="1:45" x14ac:dyDescent="0.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Q1212" s="7"/>
      <c r="R1212" s="7"/>
      <c r="S1212" s="7"/>
      <c r="T1212" s="7"/>
      <c r="U1212" s="7"/>
      <c r="V1212" s="7"/>
      <c r="AC1212" s="7"/>
      <c r="AD1212" s="7"/>
      <c r="AE1212" s="7"/>
      <c r="AF1212" s="7"/>
      <c r="AG1212" s="7"/>
      <c r="AO1212" s="7"/>
      <c r="AP1212" s="7"/>
      <c r="AQ1212" s="7"/>
      <c r="AR1212" s="7"/>
      <c r="AS1212" s="7"/>
    </row>
    <row r="1213" spans="1:45" x14ac:dyDescent="0.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Q1213" s="7"/>
      <c r="R1213" s="7"/>
      <c r="S1213" s="7"/>
      <c r="T1213" s="7"/>
      <c r="U1213" s="7"/>
      <c r="V1213" s="7"/>
      <c r="AC1213" s="7"/>
      <c r="AD1213" s="7"/>
      <c r="AE1213" s="7"/>
      <c r="AF1213" s="7"/>
      <c r="AG1213" s="7"/>
      <c r="AO1213" s="7"/>
      <c r="AP1213" s="7"/>
      <c r="AQ1213" s="7"/>
      <c r="AR1213" s="7"/>
      <c r="AS1213" s="7"/>
    </row>
    <row r="1214" spans="1:45" x14ac:dyDescent="0.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Q1214" s="7"/>
      <c r="R1214" s="7"/>
      <c r="S1214" s="7"/>
      <c r="T1214" s="7"/>
      <c r="U1214" s="7"/>
      <c r="V1214" s="7"/>
      <c r="AC1214" s="7"/>
      <c r="AD1214" s="7"/>
      <c r="AE1214" s="7"/>
      <c r="AF1214" s="7"/>
      <c r="AG1214" s="7"/>
      <c r="AO1214" s="7"/>
      <c r="AP1214" s="7"/>
      <c r="AQ1214" s="7"/>
      <c r="AR1214" s="7"/>
      <c r="AS1214" s="7"/>
    </row>
    <row r="1215" spans="1:45" x14ac:dyDescent="0.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Q1215" s="7"/>
      <c r="R1215" s="7"/>
      <c r="S1215" s="7"/>
      <c r="T1215" s="7"/>
      <c r="U1215" s="7"/>
      <c r="V1215" s="7"/>
      <c r="AC1215" s="7"/>
      <c r="AD1215" s="7"/>
      <c r="AE1215" s="7"/>
      <c r="AF1215" s="7"/>
      <c r="AG1215" s="7"/>
      <c r="AO1215" s="7"/>
      <c r="AP1215" s="7"/>
      <c r="AQ1215" s="7"/>
      <c r="AR1215" s="7"/>
      <c r="AS1215" s="7"/>
    </row>
    <row r="1216" spans="1:45" x14ac:dyDescent="0.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Q1216" s="7"/>
      <c r="R1216" s="7"/>
      <c r="S1216" s="7"/>
      <c r="T1216" s="7"/>
      <c r="U1216" s="7"/>
      <c r="V1216" s="7"/>
      <c r="AC1216" s="7"/>
      <c r="AD1216" s="7"/>
      <c r="AE1216" s="7"/>
      <c r="AF1216" s="7"/>
      <c r="AG1216" s="7"/>
      <c r="AO1216" s="7"/>
      <c r="AP1216" s="7"/>
      <c r="AQ1216" s="7"/>
      <c r="AR1216" s="7"/>
      <c r="AS1216" s="7"/>
    </row>
    <row r="1217" spans="1:45" x14ac:dyDescent="0.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Q1217" s="7"/>
      <c r="R1217" s="7"/>
      <c r="S1217" s="7"/>
      <c r="T1217" s="7"/>
      <c r="U1217" s="7"/>
      <c r="V1217" s="7"/>
      <c r="AC1217" s="7"/>
      <c r="AD1217" s="7"/>
      <c r="AE1217" s="7"/>
      <c r="AF1217" s="7"/>
      <c r="AG1217" s="7"/>
      <c r="AO1217" s="7"/>
      <c r="AP1217" s="7"/>
      <c r="AQ1217" s="7"/>
      <c r="AR1217" s="7"/>
      <c r="AS1217" s="7"/>
    </row>
    <row r="1218" spans="1:45" x14ac:dyDescent="0.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Q1218" s="7"/>
      <c r="R1218" s="7"/>
      <c r="S1218" s="7"/>
      <c r="T1218" s="7"/>
      <c r="U1218" s="7"/>
      <c r="V1218" s="7"/>
      <c r="AC1218" s="7"/>
      <c r="AD1218" s="7"/>
      <c r="AE1218" s="7"/>
      <c r="AF1218" s="7"/>
      <c r="AG1218" s="7"/>
      <c r="AO1218" s="7"/>
      <c r="AP1218" s="7"/>
      <c r="AQ1218" s="7"/>
      <c r="AR1218" s="7"/>
      <c r="AS1218" s="7"/>
    </row>
    <row r="1219" spans="1:45" x14ac:dyDescent="0.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Q1219" s="7"/>
      <c r="R1219" s="7"/>
      <c r="S1219" s="7"/>
      <c r="T1219" s="7"/>
      <c r="U1219" s="7"/>
      <c r="V1219" s="7"/>
      <c r="AC1219" s="7"/>
      <c r="AD1219" s="7"/>
      <c r="AE1219" s="7"/>
      <c r="AF1219" s="7"/>
      <c r="AG1219" s="7"/>
      <c r="AO1219" s="7"/>
      <c r="AP1219" s="7"/>
      <c r="AQ1219" s="7"/>
      <c r="AR1219" s="7"/>
      <c r="AS1219" s="7"/>
    </row>
    <row r="1220" spans="1:45" x14ac:dyDescent="0.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Q1220" s="7"/>
      <c r="R1220" s="7"/>
      <c r="S1220" s="7"/>
      <c r="T1220" s="7"/>
      <c r="U1220" s="7"/>
      <c r="V1220" s="7"/>
      <c r="AC1220" s="7"/>
      <c r="AD1220" s="7"/>
      <c r="AE1220" s="7"/>
      <c r="AF1220" s="7"/>
      <c r="AG1220" s="7"/>
      <c r="AO1220" s="7"/>
      <c r="AP1220" s="7"/>
      <c r="AQ1220" s="7"/>
      <c r="AR1220" s="7"/>
      <c r="AS1220" s="7"/>
    </row>
    <row r="1221" spans="1:45" x14ac:dyDescent="0.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Q1221" s="7"/>
      <c r="R1221" s="7"/>
      <c r="S1221" s="7"/>
      <c r="T1221" s="7"/>
      <c r="U1221" s="7"/>
      <c r="V1221" s="7"/>
      <c r="AC1221" s="7"/>
      <c r="AD1221" s="7"/>
      <c r="AE1221" s="7"/>
      <c r="AF1221" s="7"/>
      <c r="AG1221" s="7"/>
      <c r="AO1221" s="7"/>
      <c r="AP1221" s="7"/>
      <c r="AQ1221" s="7"/>
      <c r="AR1221" s="7"/>
      <c r="AS1221" s="7"/>
    </row>
    <row r="1222" spans="1:45" x14ac:dyDescent="0.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Q1222" s="7"/>
      <c r="R1222" s="7"/>
      <c r="S1222" s="7"/>
      <c r="T1222" s="7"/>
      <c r="U1222" s="7"/>
      <c r="V1222" s="7"/>
      <c r="AC1222" s="7"/>
      <c r="AD1222" s="7"/>
      <c r="AE1222" s="7"/>
      <c r="AF1222" s="7"/>
      <c r="AG1222" s="7"/>
      <c r="AO1222" s="7"/>
      <c r="AP1222" s="7"/>
      <c r="AQ1222" s="7"/>
      <c r="AR1222" s="7"/>
      <c r="AS1222" s="7"/>
    </row>
    <row r="1223" spans="1:45" x14ac:dyDescent="0.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Q1223" s="7"/>
      <c r="R1223" s="7"/>
      <c r="S1223" s="7"/>
      <c r="T1223" s="7"/>
      <c r="U1223" s="7"/>
      <c r="V1223" s="7"/>
      <c r="AC1223" s="7"/>
      <c r="AD1223" s="7"/>
      <c r="AE1223" s="7"/>
      <c r="AF1223" s="7"/>
      <c r="AG1223" s="7"/>
      <c r="AO1223" s="7"/>
      <c r="AP1223" s="7"/>
      <c r="AQ1223" s="7"/>
      <c r="AR1223" s="7"/>
      <c r="AS1223" s="7"/>
    </row>
    <row r="1224" spans="1:45" x14ac:dyDescent="0.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Q1224" s="7"/>
      <c r="R1224" s="7"/>
      <c r="S1224" s="7"/>
      <c r="T1224" s="7"/>
      <c r="U1224" s="7"/>
      <c r="V1224" s="7"/>
      <c r="AC1224" s="7"/>
      <c r="AD1224" s="7"/>
      <c r="AE1224" s="7"/>
      <c r="AF1224" s="7"/>
      <c r="AG1224" s="7"/>
      <c r="AO1224" s="7"/>
      <c r="AP1224" s="7"/>
      <c r="AQ1224" s="7"/>
      <c r="AR1224" s="7"/>
      <c r="AS1224" s="7"/>
    </row>
    <row r="1225" spans="1:45" x14ac:dyDescent="0.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Q1225" s="7"/>
      <c r="R1225" s="7"/>
      <c r="S1225" s="7"/>
      <c r="T1225" s="7"/>
      <c r="U1225" s="7"/>
      <c r="V1225" s="7"/>
      <c r="AC1225" s="7"/>
      <c r="AD1225" s="7"/>
      <c r="AE1225" s="7"/>
      <c r="AF1225" s="7"/>
      <c r="AG1225" s="7"/>
      <c r="AO1225" s="7"/>
      <c r="AP1225" s="7"/>
      <c r="AQ1225" s="7"/>
      <c r="AR1225" s="7"/>
      <c r="AS1225" s="7"/>
    </row>
    <row r="1226" spans="1:45" x14ac:dyDescent="0.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Q1226" s="7"/>
      <c r="R1226" s="7"/>
      <c r="S1226" s="7"/>
      <c r="T1226" s="7"/>
      <c r="U1226" s="7"/>
      <c r="V1226" s="7"/>
      <c r="AC1226" s="7"/>
      <c r="AD1226" s="7"/>
      <c r="AE1226" s="7"/>
      <c r="AF1226" s="7"/>
      <c r="AG1226" s="7"/>
      <c r="AO1226" s="7"/>
      <c r="AP1226" s="7"/>
      <c r="AQ1226" s="7"/>
      <c r="AR1226" s="7"/>
      <c r="AS1226" s="7"/>
    </row>
    <row r="1227" spans="1:45" x14ac:dyDescent="0.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Q1227" s="7"/>
      <c r="R1227" s="7"/>
      <c r="S1227" s="7"/>
      <c r="T1227" s="7"/>
      <c r="U1227" s="7"/>
      <c r="V1227" s="7"/>
      <c r="AC1227" s="7"/>
      <c r="AD1227" s="7"/>
      <c r="AE1227" s="7"/>
      <c r="AF1227" s="7"/>
      <c r="AG1227" s="7"/>
      <c r="AO1227" s="7"/>
      <c r="AP1227" s="7"/>
      <c r="AQ1227" s="7"/>
      <c r="AR1227" s="7"/>
      <c r="AS1227" s="7"/>
    </row>
    <row r="1228" spans="1:45" x14ac:dyDescent="0.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Q1228" s="7"/>
      <c r="R1228" s="7"/>
      <c r="S1228" s="7"/>
      <c r="T1228" s="7"/>
      <c r="U1228" s="7"/>
      <c r="V1228" s="7"/>
      <c r="AC1228" s="7"/>
      <c r="AD1228" s="7"/>
      <c r="AE1228" s="7"/>
      <c r="AF1228" s="7"/>
      <c r="AG1228" s="7"/>
      <c r="AO1228" s="7"/>
      <c r="AP1228" s="7"/>
      <c r="AQ1228" s="7"/>
      <c r="AR1228" s="7"/>
      <c r="AS1228" s="7"/>
    </row>
    <row r="1229" spans="1:45" x14ac:dyDescent="0.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Q1229" s="7"/>
      <c r="R1229" s="7"/>
      <c r="S1229" s="7"/>
      <c r="T1229" s="7"/>
      <c r="U1229" s="7"/>
      <c r="V1229" s="7"/>
      <c r="AC1229" s="7"/>
      <c r="AD1229" s="7"/>
      <c r="AE1229" s="7"/>
      <c r="AF1229" s="7"/>
      <c r="AG1229" s="7"/>
      <c r="AO1229" s="7"/>
      <c r="AP1229" s="7"/>
      <c r="AQ1229" s="7"/>
      <c r="AR1229" s="7"/>
      <c r="AS1229" s="7"/>
    </row>
    <row r="1230" spans="1:45" x14ac:dyDescent="0.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Q1230" s="7"/>
      <c r="R1230" s="7"/>
      <c r="S1230" s="7"/>
      <c r="T1230" s="7"/>
      <c r="U1230" s="7"/>
      <c r="V1230" s="7"/>
      <c r="AC1230" s="7"/>
      <c r="AD1230" s="7"/>
      <c r="AE1230" s="7"/>
      <c r="AF1230" s="7"/>
      <c r="AG1230" s="7"/>
      <c r="AO1230" s="7"/>
      <c r="AP1230" s="7"/>
      <c r="AQ1230" s="7"/>
      <c r="AR1230" s="7"/>
      <c r="AS1230" s="7"/>
    </row>
    <row r="1231" spans="1:45" x14ac:dyDescent="0.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Q1231" s="7"/>
      <c r="R1231" s="7"/>
      <c r="S1231" s="7"/>
      <c r="T1231" s="7"/>
      <c r="U1231" s="7"/>
      <c r="V1231" s="7"/>
      <c r="AC1231" s="7"/>
      <c r="AD1231" s="7"/>
      <c r="AE1231" s="7"/>
      <c r="AF1231" s="7"/>
      <c r="AG1231" s="7"/>
      <c r="AO1231" s="7"/>
      <c r="AP1231" s="7"/>
      <c r="AQ1231" s="7"/>
      <c r="AR1231" s="7"/>
      <c r="AS1231" s="7"/>
    </row>
    <row r="1232" spans="1:45" x14ac:dyDescent="0.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Q1232" s="7"/>
      <c r="R1232" s="7"/>
      <c r="S1232" s="7"/>
      <c r="T1232" s="7"/>
      <c r="U1232" s="7"/>
      <c r="V1232" s="7"/>
      <c r="AC1232" s="7"/>
      <c r="AD1232" s="7"/>
      <c r="AE1232" s="7"/>
      <c r="AF1232" s="7"/>
      <c r="AG1232" s="7"/>
      <c r="AO1232" s="7"/>
      <c r="AP1232" s="7"/>
      <c r="AQ1232" s="7"/>
      <c r="AR1232" s="7"/>
      <c r="AS1232" s="7"/>
    </row>
    <row r="1233" spans="1:45" x14ac:dyDescent="0.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Q1233" s="7"/>
      <c r="R1233" s="7"/>
      <c r="S1233" s="7"/>
      <c r="T1233" s="7"/>
      <c r="U1233" s="7"/>
      <c r="V1233" s="7"/>
      <c r="AC1233" s="7"/>
      <c r="AD1233" s="7"/>
      <c r="AE1233" s="7"/>
      <c r="AF1233" s="7"/>
      <c r="AG1233" s="7"/>
      <c r="AO1233" s="7"/>
      <c r="AP1233" s="7"/>
      <c r="AQ1233" s="7"/>
      <c r="AR1233" s="7"/>
      <c r="AS1233" s="7"/>
    </row>
    <row r="1234" spans="1:45" x14ac:dyDescent="0.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Q1234" s="7"/>
      <c r="R1234" s="7"/>
      <c r="S1234" s="7"/>
      <c r="T1234" s="7"/>
      <c r="U1234" s="7"/>
      <c r="V1234" s="7"/>
      <c r="AC1234" s="7"/>
      <c r="AD1234" s="7"/>
      <c r="AE1234" s="7"/>
      <c r="AF1234" s="7"/>
      <c r="AG1234" s="7"/>
      <c r="AO1234" s="7"/>
      <c r="AP1234" s="7"/>
      <c r="AQ1234" s="7"/>
      <c r="AR1234" s="7"/>
      <c r="AS1234" s="7"/>
    </row>
    <row r="1235" spans="1:45" x14ac:dyDescent="0.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Q1235" s="7"/>
      <c r="R1235" s="7"/>
      <c r="S1235" s="7"/>
      <c r="T1235" s="7"/>
      <c r="U1235" s="7"/>
      <c r="V1235" s="7"/>
      <c r="AC1235" s="7"/>
      <c r="AD1235" s="7"/>
      <c r="AE1235" s="7"/>
      <c r="AF1235" s="7"/>
      <c r="AG1235" s="7"/>
      <c r="AO1235" s="7"/>
      <c r="AP1235" s="7"/>
      <c r="AQ1235" s="7"/>
      <c r="AR1235" s="7"/>
      <c r="AS1235" s="7"/>
    </row>
    <row r="1236" spans="1:45" x14ac:dyDescent="0.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Q1236" s="7"/>
      <c r="R1236" s="7"/>
      <c r="S1236" s="7"/>
      <c r="T1236" s="7"/>
      <c r="U1236" s="7"/>
      <c r="V1236" s="7"/>
      <c r="AC1236" s="7"/>
      <c r="AD1236" s="7"/>
      <c r="AE1236" s="7"/>
      <c r="AF1236" s="7"/>
      <c r="AG1236" s="7"/>
      <c r="AO1236" s="7"/>
      <c r="AP1236" s="7"/>
      <c r="AQ1236" s="7"/>
      <c r="AR1236" s="7"/>
      <c r="AS1236" s="7"/>
    </row>
    <row r="1237" spans="1:45" x14ac:dyDescent="0.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Q1237" s="7"/>
      <c r="R1237" s="7"/>
      <c r="S1237" s="7"/>
      <c r="T1237" s="7"/>
      <c r="U1237" s="7"/>
      <c r="V1237" s="7"/>
      <c r="AC1237" s="7"/>
      <c r="AD1237" s="7"/>
      <c r="AE1237" s="7"/>
      <c r="AF1237" s="7"/>
      <c r="AG1237" s="7"/>
      <c r="AO1237" s="7"/>
      <c r="AP1237" s="7"/>
      <c r="AQ1237" s="7"/>
      <c r="AR1237" s="7"/>
      <c r="AS1237" s="7"/>
    </row>
    <row r="1238" spans="1:45" x14ac:dyDescent="0.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Q1238" s="7"/>
      <c r="R1238" s="7"/>
      <c r="S1238" s="7"/>
      <c r="T1238" s="7"/>
      <c r="U1238" s="7"/>
      <c r="V1238" s="7"/>
      <c r="AC1238" s="7"/>
      <c r="AD1238" s="7"/>
      <c r="AE1238" s="7"/>
      <c r="AF1238" s="7"/>
      <c r="AG1238" s="7"/>
      <c r="AO1238" s="7"/>
      <c r="AP1238" s="7"/>
      <c r="AQ1238" s="7"/>
      <c r="AR1238" s="7"/>
      <c r="AS1238" s="7"/>
    </row>
    <row r="1239" spans="1:45" x14ac:dyDescent="0.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Q1239" s="7"/>
      <c r="R1239" s="7"/>
      <c r="S1239" s="7"/>
      <c r="T1239" s="7"/>
      <c r="U1239" s="7"/>
      <c r="V1239" s="7"/>
      <c r="AC1239" s="7"/>
      <c r="AD1239" s="7"/>
      <c r="AE1239" s="7"/>
      <c r="AF1239" s="7"/>
      <c r="AG1239" s="7"/>
      <c r="AO1239" s="7"/>
      <c r="AP1239" s="7"/>
      <c r="AQ1239" s="7"/>
      <c r="AR1239" s="7"/>
      <c r="AS1239" s="7"/>
    </row>
    <row r="1240" spans="1:45" x14ac:dyDescent="0.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Q1240" s="7"/>
      <c r="R1240" s="7"/>
      <c r="S1240" s="7"/>
      <c r="T1240" s="7"/>
      <c r="U1240" s="7"/>
      <c r="V1240" s="7"/>
      <c r="AC1240" s="7"/>
      <c r="AD1240" s="7"/>
      <c r="AE1240" s="7"/>
      <c r="AF1240" s="7"/>
      <c r="AG1240" s="7"/>
      <c r="AO1240" s="7"/>
      <c r="AP1240" s="7"/>
      <c r="AQ1240" s="7"/>
      <c r="AR1240" s="7"/>
      <c r="AS1240" s="7"/>
    </row>
    <row r="1241" spans="1:45" x14ac:dyDescent="0.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Q1241" s="7"/>
      <c r="R1241" s="7"/>
      <c r="S1241" s="7"/>
      <c r="T1241" s="7"/>
      <c r="U1241" s="7"/>
      <c r="V1241" s="7"/>
      <c r="AC1241" s="7"/>
      <c r="AD1241" s="7"/>
      <c r="AE1241" s="7"/>
      <c r="AF1241" s="7"/>
      <c r="AG1241" s="7"/>
      <c r="AO1241" s="7"/>
      <c r="AP1241" s="7"/>
      <c r="AQ1241" s="7"/>
      <c r="AR1241" s="7"/>
      <c r="AS1241" s="7"/>
    </row>
    <row r="1242" spans="1:45" x14ac:dyDescent="0.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Q1242" s="7"/>
      <c r="R1242" s="7"/>
      <c r="S1242" s="7"/>
      <c r="T1242" s="7"/>
      <c r="U1242" s="7"/>
      <c r="V1242" s="7"/>
      <c r="AC1242" s="7"/>
      <c r="AD1242" s="7"/>
      <c r="AE1242" s="7"/>
      <c r="AF1242" s="7"/>
      <c r="AG1242" s="7"/>
      <c r="AO1242" s="7"/>
      <c r="AP1242" s="7"/>
      <c r="AQ1242" s="7"/>
      <c r="AR1242" s="7"/>
      <c r="AS1242" s="7"/>
    </row>
    <row r="1243" spans="1:45" x14ac:dyDescent="0.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Q1243" s="7"/>
      <c r="R1243" s="7"/>
      <c r="S1243" s="7"/>
      <c r="T1243" s="7"/>
      <c r="U1243" s="7"/>
      <c r="V1243" s="7"/>
      <c r="AC1243" s="7"/>
      <c r="AD1243" s="7"/>
      <c r="AE1243" s="7"/>
      <c r="AF1243" s="7"/>
      <c r="AG1243" s="7"/>
      <c r="AO1243" s="7"/>
      <c r="AP1243" s="7"/>
      <c r="AQ1243" s="7"/>
      <c r="AR1243" s="7"/>
      <c r="AS1243" s="7"/>
    </row>
    <row r="1244" spans="1:45" x14ac:dyDescent="0.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Q1244" s="7"/>
      <c r="R1244" s="7"/>
      <c r="S1244" s="7"/>
      <c r="T1244" s="7"/>
      <c r="U1244" s="7"/>
      <c r="V1244" s="7"/>
      <c r="AC1244" s="7"/>
      <c r="AD1244" s="7"/>
      <c r="AE1244" s="7"/>
      <c r="AF1244" s="7"/>
      <c r="AG1244" s="7"/>
      <c r="AO1244" s="7"/>
      <c r="AP1244" s="7"/>
      <c r="AQ1244" s="7"/>
      <c r="AR1244" s="7"/>
      <c r="AS1244" s="7"/>
    </row>
    <row r="1245" spans="1:45" x14ac:dyDescent="0.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Q1245" s="7"/>
      <c r="R1245" s="7"/>
      <c r="S1245" s="7"/>
      <c r="T1245" s="7"/>
      <c r="U1245" s="7"/>
      <c r="V1245" s="7"/>
      <c r="AC1245" s="7"/>
      <c r="AD1245" s="7"/>
      <c r="AE1245" s="7"/>
      <c r="AF1245" s="7"/>
      <c r="AG1245" s="7"/>
      <c r="AO1245" s="7"/>
      <c r="AP1245" s="7"/>
      <c r="AQ1245" s="7"/>
      <c r="AR1245" s="7"/>
      <c r="AS1245" s="7"/>
    </row>
    <row r="1246" spans="1:45" x14ac:dyDescent="0.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Q1246" s="7"/>
      <c r="R1246" s="7"/>
      <c r="S1246" s="7"/>
      <c r="T1246" s="7"/>
      <c r="U1246" s="7"/>
      <c r="V1246" s="7"/>
      <c r="AC1246" s="7"/>
      <c r="AD1246" s="7"/>
      <c r="AE1246" s="7"/>
      <c r="AF1246" s="7"/>
      <c r="AG1246" s="7"/>
      <c r="AO1246" s="7"/>
      <c r="AP1246" s="7"/>
      <c r="AQ1246" s="7"/>
      <c r="AR1246" s="7"/>
      <c r="AS1246" s="7"/>
    </row>
    <row r="1247" spans="1:45" x14ac:dyDescent="0.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Q1247" s="7"/>
      <c r="R1247" s="7"/>
      <c r="S1247" s="7"/>
      <c r="T1247" s="7"/>
      <c r="U1247" s="7"/>
      <c r="V1247" s="7"/>
      <c r="AC1247" s="7"/>
      <c r="AD1247" s="7"/>
      <c r="AE1247" s="7"/>
      <c r="AF1247" s="7"/>
      <c r="AG1247" s="7"/>
      <c r="AO1247" s="7"/>
      <c r="AP1247" s="7"/>
      <c r="AQ1247" s="7"/>
      <c r="AR1247" s="7"/>
      <c r="AS1247" s="7"/>
    </row>
    <row r="1248" spans="1:45" x14ac:dyDescent="0.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Q1248" s="7"/>
      <c r="R1248" s="7"/>
      <c r="S1248" s="7"/>
      <c r="T1248" s="7"/>
      <c r="U1248" s="7"/>
      <c r="V1248" s="7"/>
      <c r="AC1248" s="7"/>
      <c r="AD1248" s="7"/>
      <c r="AE1248" s="7"/>
      <c r="AF1248" s="7"/>
      <c r="AG1248" s="7"/>
      <c r="AO1248" s="7"/>
      <c r="AP1248" s="7"/>
      <c r="AQ1248" s="7"/>
      <c r="AR1248" s="7"/>
      <c r="AS1248" s="7"/>
    </row>
    <row r="1249" spans="1:45" x14ac:dyDescent="0.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Q1249" s="7"/>
      <c r="R1249" s="7"/>
      <c r="S1249" s="7"/>
      <c r="T1249" s="7"/>
      <c r="U1249" s="7"/>
      <c r="V1249" s="7"/>
      <c r="AC1249" s="7"/>
      <c r="AD1249" s="7"/>
      <c r="AE1249" s="7"/>
      <c r="AF1249" s="7"/>
      <c r="AG1249" s="7"/>
      <c r="AO1249" s="7"/>
      <c r="AP1249" s="7"/>
      <c r="AQ1249" s="7"/>
      <c r="AR1249" s="7"/>
      <c r="AS1249" s="7"/>
    </row>
    <row r="1250" spans="1:45" x14ac:dyDescent="0.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Q1250" s="7"/>
      <c r="R1250" s="7"/>
      <c r="S1250" s="7"/>
      <c r="T1250" s="7"/>
      <c r="U1250" s="7"/>
      <c r="V1250" s="7"/>
      <c r="AC1250" s="7"/>
      <c r="AD1250" s="7"/>
      <c r="AE1250" s="7"/>
      <c r="AF1250" s="7"/>
      <c r="AG1250" s="7"/>
      <c r="AO1250" s="7"/>
      <c r="AP1250" s="7"/>
      <c r="AQ1250" s="7"/>
      <c r="AR1250" s="7"/>
      <c r="AS1250" s="7"/>
    </row>
    <row r="1251" spans="1:45" x14ac:dyDescent="0.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Q1251" s="7"/>
      <c r="R1251" s="7"/>
      <c r="S1251" s="7"/>
      <c r="T1251" s="7"/>
      <c r="U1251" s="7"/>
      <c r="V1251" s="7"/>
      <c r="AC1251" s="7"/>
      <c r="AD1251" s="7"/>
      <c r="AE1251" s="7"/>
      <c r="AF1251" s="7"/>
      <c r="AG1251" s="7"/>
      <c r="AO1251" s="7"/>
      <c r="AP1251" s="7"/>
      <c r="AQ1251" s="7"/>
      <c r="AR1251" s="7"/>
      <c r="AS1251" s="7"/>
    </row>
    <row r="1252" spans="1:45" x14ac:dyDescent="0.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Q1252" s="7"/>
      <c r="R1252" s="7"/>
      <c r="S1252" s="7"/>
      <c r="T1252" s="7"/>
      <c r="U1252" s="7"/>
      <c r="V1252" s="7"/>
      <c r="AC1252" s="7"/>
      <c r="AD1252" s="7"/>
      <c r="AE1252" s="7"/>
      <c r="AF1252" s="7"/>
      <c r="AG1252" s="7"/>
      <c r="AO1252" s="7"/>
      <c r="AP1252" s="7"/>
      <c r="AQ1252" s="7"/>
      <c r="AR1252" s="7"/>
      <c r="AS1252" s="7"/>
    </row>
    <row r="1253" spans="1:45" x14ac:dyDescent="0.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Q1253" s="7"/>
      <c r="R1253" s="7"/>
      <c r="S1253" s="7"/>
      <c r="T1253" s="7"/>
      <c r="U1253" s="7"/>
      <c r="V1253" s="7"/>
      <c r="AC1253" s="7"/>
      <c r="AD1253" s="7"/>
      <c r="AE1253" s="7"/>
      <c r="AF1253" s="7"/>
      <c r="AG1253" s="7"/>
      <c r="AO1253" s="7"/>
      <c r="AP1253" s="7"/>
      <c r="AQ1253" s="7"/>
      <c r="AR1253" s="7"/>
      <c r="AS1253" s="7"/>
    </row>
    <row r="1254" spans="1:45" x14ac:dyDescent="0.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Q1254" s="7"/>
      <c r="R1254" s="7"/>
      <c r="S1254" s="7"/>
      <c r="T1254" s="7"/>
      <c r="U1254" s="7"/>
      <c r="V1254" s="7"/>
      <c r="AC1254" s="7"/>
      <c r="AD1254" s="7"/>
      <c r="AE1254" s="7"/>
      <c r="AF1254" s="7"/>
      <c r="AG1254" s="7"/>
      <c r="AO1254" s="7"/>
      <c r="AP1254" s="7"/>
      <c r="AQ1254" s="7"/>
      <c r="AR1254" s="7"/>
      <c r="AS1254" s="7"/>
    </row>
    <row r="1255" spans="1:45" x14ac:dyDescent="0.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Q1255" s="7"/>
      <c r="R1255" s="7"/>
      <c r="S1255" s="7"/>
      <c r="T1255" s="7"/>
      <c r="U1255" s="7"/>
      <c r="V1255" s="7"/>
      <c r="AC1255" s="7"/>
      <c r="AD1255" s="7"/>
      <c r="AE1255" s="7"/>
      <c r="AF1255" s="7"/>
      <c r="AG1255" s="7"/>
      <c r="AO1255" s="7"/>
      <c r="AP1255" s="7"/>
      <c r="AQ1255" s="7"/>
      <c r="AR1255" s="7"/>
      <c r="AS1255" s="7"/>
    </row>
    <row r="1256" spans="1:45" x14ac:dyDescent="0.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Q1256" s="7"/>
      <c r="R1256" s="7"/>
      <c r="S1256" s="7"/>
      <c r="T1256" s="7"/>
      <c r="U1256" s="7"/>
      <c r="V1256" s="7"/>
      <c r="AC1256" s="7"/>
      <c r="AD1256" s="7"/>
      <c r="AE1256" s="7"/>
      <c r="AF1256" s="7"/>
      <c r="AG1256" s="7"/>
      <c r="AO1256" s="7"/>
      <c r="AP1256" s="7"/>
      <c r="AQ1256" s="7"/>
      <c r="AR1256" s="7"/>
      <c r="AS1256" s="7"/>
    </row>
    <row r="1257" spans="1:45" x14ac:dyDescent="0.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Q1257" s="7"/>
      <c r="R1257" s="7"/>
      <c r="S1257" s="7"/>
      <c r="T1257" s="7"/>
      <c r="U1257" s="7"/>
      <c r="V1257" s="7"/>
      <c r="AC1257" s="7"/>
      <c r="AD1257" s="7"/>
      <c r="AE1257" s="7"/>
      <c r="AF1257" s="7"/>
      <c r="AG1257" s="7"/>
      <c r="AO1257" s="7"/>
      <c r="AP1257" s="7"/>
      <c r="AQ1257" s="7"/>
      <c r="AR1257" s="7"/>
      <c r="AS1257" s="7"/>
    </row>
    <row r="1258" spans="1:45" x14ac:dyDescent="0.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Q1258" s="7"/>
      <c r="R1258" s="7"/>
      <c r="S1258" s="7"/>
      <c r="T1258" s="7"/>
      <c r="U1258" s="7"/>
      <c r="V1258" s="7"/>
      <c r="AC1258" s="7"/>
      <c r="AD1258" s="7"/>
      <c r="AE1258" s="7"/>
      <c r="AF1258" s="7"/>
      <c r="AG1258" s="7"/>
      <c r="AO1258" s="7"/>
      <c r="AP1258" s="7"/>
      <c r="AQ1258" s="7"/>
      <c r="AR1258" s="7"/>
      <c r="AS1258" s="7"/>
    </row>
    <row r="1259" spans="1:45" x14ac:dyDescent="0.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Q1259" s="7"/>
      <c r="R1259" s="7"/>
      <c r="S1259" s="7"/>
      <c r="T1259" s="7"/>
      <c r="U1259" s="7"/>
      <c r="V1259" s="7"/>
      <c r="AC1259" s="7"/>
      <c r="AD1259" s="7"/>
      <c r="AE1259" s="7"/>
      <c r="AF1259" s="7"/>
      <c r="AG1259" s="7"/>
      <c r="AO1259" s="7"/>
      <c r="AP1259" s="7"/>
      <c r="AQ1259" s="7"/>
      <c r="AR1259" s="7"/>
      <c r="AS1259" s="7"/>
    </row>
    <row r="1260" spans="1:45" x14ac:dyDescent="0.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Q1260" s="7"/>
      <c r="R1260" s="7"/>
      <c r="S1260" s="7"/>
      <c r="T1260" s="7"/>
      <c r="U1260" s="7"/>
      <c r="V1260" s="7"/>
      <c r="AC1260" s="7"/>
      <c r="AD1260" s="7"/>
      <c r="AE1260" s="7"/>
      <c r="AF1260" s="7"/>
      <c r="AG1260" s="7"/>
      <c r="AO1260" s="7"/>
      <c r="AP1260" s="7"/>
      <c r="AQ1260" s="7"/>
      <c r="AR1260" s="7"/>
      <c r="AS1260" s="7"/>
    </row>
    <row r="1261" spans="1:45" x14ac:dyDescent="0.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Q1261" s="7"/>
      <c r="R1261" s="7"/>
      <c r="S1261" s="7"/>
      <c r="T1261" s="7"/>
      <c r="U1261" s="7"/>
      <c r="V1261" s="7"/>
      <c r="AC1261" s="7"/>
      <c r="AD1261" s="7"/>
      <c r="AE1261" s="7"/>
      <c r="AF1261" s="7"/>
      <c r="AG1261" s="7"/>
      <c r="AO1261" s="7"/>
      <c r="AP1261" s="7"/>
      <c r="AQ1261" s="7"/>
      <c r="AR1261" s="7"/>
      <c r="AS1261" s="7"/>
    </row>
    <row r="1262" spans="1:45" x14ac:dyDescent="0.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Q1262" s="7"/>
      <c r="R1262" s="7"/>
      <c r="S1262" s="7"/>
      <c r="T1262" s="7"/>
      <c r="U1262" s="7"/>
      <c r="V1262" s="7"/>
      <c r="AC1262" s="7"/>
      <c r="AD1262" s="7"/>
      <c r="AE1262" s="7"/>
      <c r="AF1262" s="7"/>
      <c r="AG1262" s="7"/>
      <c r="AO1262" s="7"/>
      <c r="AP1262" s="7"/>
      <c r="AQ1262" s="7"/>
      <c r="AR1262" s="7"/>
      <c r="AS1262" s="7"/>
    </row>
    <row r="1263" spans="1:45" x14ac:dyDescent="0.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Q1263" s="7"/>
      <c r="R1263" s="7"/>
      <c r="S1263" s="7"/>
      <c r="T1263" s="7"/>
      <c r="U1263" s="7"/>
      <c r="V1263" s="7"/>
      <c r="AC1263" s="7"/>
      <c r="AD1263" s="7"/>
      <c r="AE1263" s="7"/>
      <c r="AF1263" s="7"/>
      <c r="AG1263" s="7"/>
      <c r="AO1263" s="7"/>
      <c r="AP1263" s="7"/>
      <c r="AQ1263" s="7"/>
      <c r="AR1263" s="7"/>
      <c r="AS1263" s="7"/>
    </row>
    <row r="1264" spans="1:45" x14ac:dyDescent="0.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Q1264" s="7"/>
      <c r="R1264" s="7"/>
      <c r="S1264" s="7"/>
      <c r="T1264" s="7"/>
      <c r="U1264" s="7"/>
      <c r="V1264" s="7"/>
      <c r="AC1264" s="7"/>
      <c r="AD1264" s="7"/>
      <c r="AE1264" s="7"/>
      <c r="AF1264" s="7"/>
      <c r="AG1264" s="7"/>
      <c r="AO1264" s="7"/>
      <c r="AP1264" s="7"/>
      <c r="AQ1264" s="7"/>
      <c r="AR1264" s="7"/>
      <c r="AS1264" s="7"/>
    </row>
    <row r="1265" spans="1:45" x14ac:dyDescent="0.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Q1265" s="7"/>
      <c r="R1265" s="7"/>
      <c r="S1265" s="7"/>
      <c r="T1265" s="7"/>
      <c r="U1265" s="7"/>
      <c r="V1265" s="7"/>
      <c r="AC1265" s="7"/>
      <c r="AD1265" s="7"/>
      <c r="AE1265" s="7"/>
      <c r="AF1265" s="7"/>
      <c r="AG1265" s="7"/>
      <c r="AO1265" s="7"/>
      <c r="AP1265" s="7"/>
      <c r="AQ1265" s="7"/>
      <c r="AR1265" s="7"/>
      <c r="AS1265" s="7"/>
    </row>
    <row r="1266" spans="1:45" x14ac:dyDescent="0.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Q1266" s="7"/>
      <c r="R1266" s="7"/>
      <c r="S1266" s="7"/>
      <c r="T1266" s="7"/>
      <c r="U1266" s="7"/>
      <c r="V1266" s="7"/>
      <c r="AC1266" s="7"/>
      <c r="AD1266" s="7"/>
      <c r="AE1266" s="7"/>
      <c r="AF1266" s="7"/>
      <c r="AG1266" s="7"/>
      <c r="AO1266" s="7"/>
      <c r="AP1266" s="7"/>
      <c r="AQ1266" s="7"/>
      <c r="AR1266" s="7"/>
      <c r="AS1266" s="7"/>
    </row>
    <row r="1267" spans="1:45" x14ac:dyDescent="0.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Q1267" s="7"/>
      <c r="R1267" s="7"/>
      <c r="S1267" s="7"/>
      <c r="T1267" s="7"/>
      <c r="U1267" s="7"/>
      <c r="V1267" s="7"/>
      <c r="AC1267" s="7"/>
      <c r="AD1267" s="7"/>
      <c r="AE1267" s="7"/>
      <c r="AF1267" s="7"/>
      <c r="AG1267" s="7"/>
      <c r="AO1267" s="7"/>
      <c r="AP1267" s="7"/>
      <c r="AQ1267" s="7"/>
      <c r="AR1267" s="7"/>
      <c r="AS1267" s="7"/>
    </row>
    <row r="1268" spans="1:45" x14ac:dyDescent="0.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Q1268" s="7"/>
      <c r="R1268" s="7"/>
      <c r="S1268" s="7"/>
      <c r="T1268" s="7"/>
      <c r="U1268" s="7"/>
      <c r="V1268" s="7"/>
      <c r="AC1268" s="7"/>
      <c r="AD1268" s="7"/>
      <c r="AE1268" s="7"/>
      <c r="AF1268" s="7"/>
      <c r="AG1268" s="7"/>
      <c r="AO1268" s="7"/>
      <c r="AP1268" s="7"/>
      <c r="AQ1268" s="7"/>
      <c r="AR1268" s="7"/>
      <c r="AS1268" s="7"/>
    </row>
    <row r="1269" spans="1:45" x14ac:dyDescent="0.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Q1269" s="7"/>
      <c r="R1269" s="7"/>
      <c r="S1269" s="7"/>
      <c r="T1269" s="7"/>
      <c r="U1269" s="7"/>
      <c r="V1269" s="7"/>
      <c r="AC1269" s="7"/>
      <c r="AD1269" s="7"/>
      <c r="AE1269" s="7"/>
      <c r="AF1269" s="7"/>
      <c r="AG1269" s="7"/>
      <c r="AO1269" s="7"/>
      <c r="AP1269" s="7"/>
      <c r="AQ1269" s="7"/>
      <c r="AR1269" s="7"/>
      <c r="AS1269" s="7"/>
    </row>
    <row r="1270" spans="1:45" x14ac:dyDescent="0.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Q1270" s="7"/>
      <c r="R1270" s="7"/>
      <c r="S1270" s="7"/>
      <c r="T1270" s="7"/>
      <c r="U1270" s="7"/>
      <c r="V1270" s="7"/>
      <c r="AC1270" s="7"/>
      <c r="AD1270" s="7"/>
      <c r="AE1270" s="7"/>
      <c r="AF1270" s="7"/>
      <c r="AG1270" s="7"/>
      <c r="AO1270" s="7"/>
      <c r="AP1270" s="7"/>
      <c r="AQ1270" s="7"/>
      <c r="AR1270" s="7"/>
      <c r="AS1270" s="7"/>
    </row>
    <row r="1271" spans="1:45" x14ac:dyDescent="0.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Q1271" s="7"/>
      <c r="R1271" s="7"/>
      <c r="S1271" s="7"/>
      <c r="T1271" s="7"/>
      <c r="U1271" s="7"/>
      <c r="V1271" s="7"/>
      <c r="AC1271" s="7"/>
      <c r="AD1271" s="7"/>
      <c r="AE1271" s="7"/>
      <c r="AF1271" s="7"/>
      <c r="AG1271" s="7"/>
      <c r="AO1271" s="7"/>
      <c r="AP1271" s="7"/>
      <c r="AQ1271" s="7"/>
      <c r="AR1271" s="7"/>
      <c r="AS1271" s="7"/>
    </row>
    <row r="1272" spans="1:45" x14ac:dyDescent="0.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Q1272" s="7"/>
      <c r="R1272" s="7"/>
      <c r="S1272" s="7"/>
      <c r="T1272" s="7"/>
      <c r="U1272" s="7"/>
      <c r="V1272" s="7"/>
      <c r="AC1272" s="7"/>
      <c r="AD1272" s="7"/>
      <c r="AE1272" s="7"/>
      <c r="AF1272" s="7"/>
      <c r="AG1272" s="7"/>
      <c r="AO1272" s="7"/>
      <c r="AP1272" s="7"/>
      <c r="AQ1272" s="7"/>
      <c r="AR1272" s="7"/>
      <c r="AS1272" s="7"/>
    </row>
    <row r="1273" spans="1:45" x14ac:dyDescent="0.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Q1273" s="7"/>
      <c r="R1273" s="7"/>
      <c r="S1273" s="7"/>
      <c r="T1273" s="7"/>
      <c r="U1273" s="7"/>
      <c r="V1273" s="7"/>
      <c r="AC1273" s="7"/>
      <c r="AD1273" s="7"/>
      <c r="AE1273" s="7"/>
      <c r="AF1273" s="7"/>
      <c r="AG1273" s="7"/>
      <c r="AO1273" s="7"/>
      <c r="AP1273" s="7"/>
      <c r="AQ1273" s="7"/>
      <c r="AR1273" s="7"/>
      <c r="AS1273" s="7"/>
    </row>
    <row r="1274" spans="1:45" x14ac:dyDescent="0.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Q1274" s="7"/>
      <c r="R1274" s="7"/>
      <c r="S1274" s="7"/>
      <c r="T1274" s="7"/>
      <c r="U1274" s="7"/>
      <c r="V1274" s="7"/>
      <c r="AC1274" s="7"/>
      <c r="AD1274" s="7"/>
      <c r="AE1274" s="7"/>
      <c r="AF1274" s="7"/>
      <c r="AG1274" s="7"/>
      <c r="AO1274" s="7"/>
      <c r="AP1274" s="7"/>
      <c r="AQ1274" s="7"/>
      <c r="AR1274" s="7"/>
      <c r="AS1274" s="7"/>
    </row>
    <row r="1275" spans="1:45" x14ac:dyDescent="0.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Q1275" s="7"/>
      <c r="R1275" s="7"/>
      <c r="S1275" s="7"/>
      <c r="T1275" s="7"/>
      <c r="U1275" s="7"/>
      <c r="V1275" s="7"/>
      <c r="AC1275" s="7"/>
      <c r="AD1275" s="7"/>
      <c r="AE1275" s="7"/>
      <c r="AF1275" s="7"/>
      <c r="AG1275" s="7"/>
      <c r="AO1275" s="7"/>
      <c r="AP1275" s="7"/>
      <c r="AQ1275" s="7"/>
      <c r="AR1275" s="7"/>
      <c r="AS1275" s="7"/>
    </row>
    <row r="1276" spans="1:45" x14ac:dyDescent="0.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Q1276" s="7"/>
      <c r="R1276" s="7"/>
      <c r="S1276" s="7"/>
      <c r="T1276" s="7"/>
      <c r="U1276" s="7"/>
      <c r="V1276" s="7"/>
      <c r="AC1276" s="7"/>
      <c r="AD1276" s="7"/>
      <c r="AE1276" s="7"/>
      <c r="AF1276" s="7"/>
      <c r="AG1276" s="7"/>
      <c r="AO1276" s="7"/>
      <c r="AP1276" s="7"/>
      <c r="AQ1276" s="7"/>
      <c r="AR1276" s="7"/>
      <c r="AS1276" s="7"/>
    </row>
    <row r="1277" spans="1:45" x14ac:dyDescent="0.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Q1277" s="7"/>
      <c r="R1277" s="7"/>
      <c r="S1277" s="7"/>
      <c r="T1277" s="7"/>
      <c r="U1277" s="7"/>
      <c r="V1277" s="7"/>
      <c r="AC1277" s="7"/>
      <c r="AD1277" s="7"/>
      <c r="AE1277" s="7"/>
      <c r="AF1277" s="7"/>
      <c r="AG1277" s="7"/>
      <c r="AO1277" s="7"/>
      <c r="AP1277" s="7"/>
      <c r="AQ1277" s="7"/>
      <c r="AR1277" s="7"/>
      <c r="AS1277" s="7"/>
    </row>
    <row r="1278" spans="1:45" x14ac:dyDescent="0.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Q1278" s="7"/>
      <c r="R1278" s="7"/>
      <c r="S1278" s="7"/>
      <c r="T1278" s="7"/>
      <c r="U1278" s="7"/>
      <c r="V1278" s="7"/>
      <c r="AC1278" s="7"/>
      <c r="AD1278" s="7"/>
      <c r="AE1278" s="7"/>
      <c r="AF1278" s="7"/>
      <c r="AG1278" s="7"/>
      <c r="AO1278" s="7"/>
      <c r="AP1278" s="7"/>
      <c r="AQ1278" s="7"/>
      <c r="AR1278" s="7"/>
      <c r="AS1278" s="7"/>
    </row>
    <row r="1279" spans="1:45" x14ac:dyDescent="0.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Q1279" s="7"/>
      <c r="R1279" s="7"/>
      <c r="S1279" s="7"/>
      <c r="T1279" s="7"/>
      <c r="U1279" s="7"/>
      <c r="V1279" s="7"/>
      <c r="AC1279" s="7"/>
      <c r="AD1279" s="7"/>
      <c r="AE1279" s="7"/>
      <c r="AF1279" s="7"/>
      <c r="AG1279" s="7"/>
      <c r="AO1279" s="7"/>
      <c r="AP1279" s="7"/>
      <c r="AQ1279" s="7"/>
      <c r="AR1279" s="7"/>
      <c r="AS1279" s="7"/>
    </row>
    <row r="1280" spans="1:45" x14ac:dyDescent="0.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Q1280" s="7"/>
      <c r="R1280" s="7"/>
      <c r="S1280" s="7"/>
      <c r="T1280" s="7"/>
      <c r="U1280" s="7"/>
      <c r="V1280" s="7"/>
      <c r="AC1280" s="7"/>
      <c r="AD1280" s="7"/>
      <c r="AE1280" s="7"/>
      <c r="AF1280" s="7"/>
      <c r="AG1280" s="7"/>
      <c r="AO1280" s="7"/>
      <c r="AP1280" s="7"/>
      <c r="AQ1280" s="7"/>
      <c r="AR1280" s="7"/>
      <c r="AS1280" s="7"/>
    </row>
    <row r="1281" spans="1:45" x14ac:dyDescent="0.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Q1281" s="7"/>
      <c r="R1281" s="7"/>
      <c r="S1281" s="7"/>
      <c r="T1281" s="7"/>
      <c r="U1281" s="7"/>
      <c r="V1281" s="7"/>
      <c r="AC1281" s="7"/>
      <c r="AD1281" s="7"/>
      <c r="AE1281" s="7"/>
      <c r="AF1281" s="7"/>
      <c r="AG1281" s="7"/>
      <c r="AO1281" s="7"/>
      <c r="AP1281" s="7"/>
      <c r="AQ1281" s="7"/>
      <c r="AR1281" s="7"/>
      <c r="AS1281" s="7"/>
    </row>
    <row r="1282" spans="1:45" x14ac:dyDescent="0.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Q1282" s="7"/>
      <c r="R1282" s="7"/>
      <c r="S1282" s="7"/>
      <c r="T1282" s="7"/>
      <c r="U1282" s="7"/>
      <c r="V1282" s="7"/>
      <c r="AC1282" s="7"/>
      <c r="AD1282" s="7"/>
      <c r="AE1282" s="7"/>
      <c r="AF1282" s="7"/>
      <c r="AG1282" s="7"/>
      <c r="AO1282" s="7"/>
      <c r="AP1282" s="7"/>
      <c r="AQ1282" s="7"/>
      <c r="AR1282" s="7"/>
      <c r="AS1282" s="7"/>
    </row>
    <row r="1283" spans="1:45" x14ac:dyDescent="0.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Q1283" s="7"/>
      <c r="R1283" s="7"/>
      <c r="S1283" s="7"/>
      <c r="T1283" s="7"/>
      <c r="U1283" s="7"/>
      <c r="V1283" s="7"/>
      <c r="AC1283" s="7"/>
      <c r="AD1283" s="7"/>
      <c r="AE1283" s="7"/>
      <c r="AF1283" s="7"/>
      <c r="AG1283" s="7"/>
      <c r="AO1283" s="7"/>
      <c r="AP1283" s="7"/>
      <c r="AQ1283" s="7"/>
      <c r="AR1283" s="7"/>
      <c r="AS1283" s="7"/>
    </row>
    <row r="1284" spans="1:45" x14ac:dyDescent="0.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Q1284" s="7"/>
      <c r="R1284" s="7"/>
      <c r="S1284" s="7"/>
      <c r="T1284" s="7"/>
      <c r="U1284" s="7"/>
      <c r="V1284" s="7"/>
      <c r="AC1284" s="7"/>
      <c r="AD1284" s="7"/>
      <c r="AE1284" s="7"/>
      <c r="AF1284" s="7"/>
      <c r="AG1284" s="7"/>
      <c r="AO1284" s="7"/>
      <c r="AP1284" s="7"/>
      <c r="AQ1284" s="7"/>
      <c r="AR1284" s="7"/>
      <c r="AS1284" s="7"/>
    </row>
    <row r="1285" spans="1:45" x14ac:dyDescent="0.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Q1285" s="7"/>
      <c r="R1285" s="7"/>
      <c r="S1285" s="7"/>
      <c r="T1285" s="7"/>
      <c r="U1285" s="7"/>
      <c r="V1285" s="7"/>
      <c r="AC1285" s="7"/>
      <c r="AD1285" s="7"/>
      <c r="AE1285" s="7"/>
      <c r="AF1285" s="7"/>
      <c r="AG1285" s="7"/>
      <c r="AO1285" s="7"/>
      <c r="AP1285" s="7"/>
      <c r="AQ1285" s="7"/>
      <c r="AR1285" s="7"/>
      <c r="AS1285" s="7"/>
    </row>
    <row r="1286" spans="1:45" x14ac:dyDescent="0.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Q1286" s="7"/>
      <c r="R1286" s="7"/>
      <c r="S1286" s="7"/>
      <c r="T1286" s="7"/>
      <c r="U1286" s="7"/>
      <c r="V1286" s="7"/>
      <c r="AC1286" s="7"/>
      <c r="AD1286" s="7"/>
      <c r="AE1286" s="7"/>
      <c r="AF1286" s="7"/>
      <c r="AG1286" s="7"/>
      <c r="AO1286" s="7"/>
      <c r="AP1286" s="7"/>
      <c r="AQ1286" s="7"/>
      <c r="AR1286" s="7"/>
      <c r="AS1286" s="7"/>
    </row>
    <row r="1287" spans="1:45" x14ac:dyDescent="0.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Q1287" s="7"/>
      <c r="R1287" s="7"/>
      <c r="S1287" s="7"/>
      <c r="T1287" s="7"/>
      <c r="U1287" s="7"/>
      <c r="V1287" s="7"/>
      <c r="AC1287" s="7"/>
      <c r="AD1287" s="7"/>
      <c r="AE1287" s="7"/>
      <c r="AF1287" s="7"/>
      <c r="AG1287" s="7"/>
      <c r="AO1287" s="7"/>
      <c r="AP1287" s="7"/>
      <c r="AQ1287" s="7"/>
      <c r="AR1287" s="7"/>
      <c r="AS1287" s="7"/>
    </row>
    <row r="1288" spans="1:45" x14ac:dyDescent="0.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Q1288" s="7"/>
      <c r="R1288" s="7"/>
      <c r="S1288" s="7"/>
      <c r="T1288" s="7"/>
      <c r="U1288" s="7"/>
      <c r="V1288" s="7"/>
      <c r="AC1288" s="7"/>
      <c r="AD1288" s="7"/>
      <c r="AE1288" s="7"/>
      <c r="AF1288" s="7"/>
      <c r="AG1288" s="7"/>
      <c r="AO1288" s="7"/>
      <c r="AP1288" s="7"/>
      <c r="AQ1288" s="7"/>
      <c r="AR1288" s="7"/>
      <c r="AS1288" s="7"/>
    </row>
    <row r="1289" spans="1:45" x14ac:dyDescent="0.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Q1289" s="7"/>
      <c r="R1289" s="7"/>
      <c r="S1289" s="7"/>
      <c r="T1289" s="7"/>
      <c r="U1289" s="7"/>
      <c r="V1289" s="7"/>
      <c r="AC1289" s="7"/>
      <c r="AD1289" s="7"/>
      <c r="AE1289" s="7"/>
      <c r="AF1289" s="7"/>
      <c r="AG1289" s="7"/>
      <c r="AO1289" s="7"/>
      <c r="AP1289" s="7"/>
      <c r="AQ1289" s="7"/>
      <c r="AR1289" s="7"/>
      <c r="AS1289" s="7"/>
    </row>
    <row r="1290" spans="1:45" x14ac:dyDescent="0.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Q1290" s="7"/>
      <c r="R1290" s="7"/>
      <c r="S1290" s="7"/>
      <c r="T1290" s="7"/>
      <c r="U1290" s="7"/>
      <c r="V1290" s="7"/>
      <c r="AC1290" s="7"/>
      <c r="AD1290" s="7"/>
      <c r="AE1290" s="7"/>
      <c r="AF1290" s="7"/>
      <c r="AG1290" s="7"/>
      <c r="AO1290" s="7"/>
      <c r="AP1290" s="7"/>
      <c r="AQ1290" s="7"/>
      <c r="AR1290" s="7"/>
      <c r="AS1290" s="7"/>
    </row>
    <row r="1291" spans="1:45" x14ac:dyDescent="0.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Q1291" s="7"/>
      <c r="R1291" s="7"/>
      <c r="S1291" s="7"/>
      <c r="T1291" s="7"/>
      <c r="U1291" s="7"/>
      <c r="V1291" s="7"/>
      <c r="AC1291" s="7"/>
      <c r="AD1291" s="7"/>
      <c r="AE1291" s="7"/>
      <c r="AF1291" s="7"/>
      <c r="AG1291" s="7"/>
      <c r="AO1291" s="7"/>
      <c r="AP1291" s="7"/>
      <c r="AQ1291" s="7"/>
      <c r="AR1291" s="7"/>
      <c r="AS1291" s="7"/>
    </row>
    <row r="1292" spans="1:45" x14ac:dyDescent="0.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Q1292" s="7"/>
      <c r="R1292" s="7"/>
      <c r="S1292" s="7"/>
      <c r="T1292" s="7"/>
      <c r="U1292" s="7"/>
      <c r="V1292" s="7"/>
      <c r="AC1292" s="7"/>
      <c r="AD1292" s="7"/>
      <c r="AE1292" s="7"/>
      <c r="AF1292" s="7"/>
      <c r="AG1292" s="7"/>
      <c r="AO1292" s="7"/>
      <c r="AP1292" s="7"/>
      <c r="AQ1292" s="7"/>
      <c r="AR1292" s="7"/>
      <c r="AS1292" s="7"/>
    </row>
    <row r="1293" spans="1:45" x14ac:dyDescent="0.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Q1293" s="7"/>
      <c r="R1293" s="7"/>
      <c r="S1293" s="7"/>
      <c r="T1293" s="7"/>
      <c r="U1293" s="7"/>
      <c r="V1293" s="7"/>
      <c r="AC1293" s="7"/>
      <c r="AD1293" s="7"/>
      <c r="AE1293" s="7"/>
      <c r="AF1293" s="7"/>
      <c r="AG1293" s="7"/>
      <c r="AO1293" s="7"/>
      <c r="AP1293" s="7"/>
      <c r="AQ1293" s="7"/>
      <c r="AR1293" s="7"/>
      <c r="AS1293" s="7"/>
    </row>
    <row r="1294" spans="1:45" x14ac:dyDescent="0.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Q1294" s="7"/>
      <c r="R1294" s="7"/>
      <c r="S1294" s="7"/>
      <c r="T1294" s="7"/>
      <c r="U1294" s="7"/>
      <c r="V1294" s="7"/>
      <c r="AC1294" s="7"/>
      <c r="AD1294" s="7"/>
      <c r="AE1294" s="7"/>
      <c r="AF1294" s="7"/>
      <c r="AG1294" s="7"/>
      <c r="AO1294" s="7"/>
      <c r="AP1294" s="7"/>
      <c r="AQ1294" s="7"/>
      <c r="AR1294" s="7"/>
      <c r="AS1294" s="7"/>
    </row>
    <row r="1295" spans="1:45" x14ac:dyDescent="0.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Q1295" s="7"/>
      <c r="R1295" s="7"/>
      <c r="S1295" s="7"/>
      <c r="T1295" s="7"/>
      <c r="U1295" s="7"/>
      <c r="V1295" s="7"/>
      <c r="AC1295" s="7"/>
      <c r="AD1295" s="7"/>
      <c r="AE1295" s="7"/>
      <c r="AF1295" s="7"/>
      <c r="AG1295" s="7"/>
      <c r="AO1295" s="7"/>
      <c r="AP1295" s="7"/>
      <c r="AQ1295" s="7"/>
      <c r="AR1295" s="7"/>
      <c r="AS1295" s="7"/>
    </row>
    <row r="1296" spans="1:45" x14ac:dyDescent="0.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Q1296" s="7"/>
      <c r="R1296" s="7"/>
      <c r="S1296" s="7"/>
      <c r="T1296" s="7"/>
      <c r="U1296" s="7"/>
      <c r="V1296" s="7"/>
      <c r="AC1296" s="7"/>
      <c r="AD1296" s="7"/>
      <c r="AE1296" s="7"/>
      <c r="AF1296" s="7"/>
      <c r="AG1296" s="7"/>
      <c r="AO1296" s="7"/>
      <c r="AP1296" s="7"/>
      <c r="AQ1296" s="7"/>
      <c r="AR1296" s="7"/>
      <c r="AS1296" s="7"/>
    </row>
    <row r="1297" spans="1:45" x14ac:dyDescent="0.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Q1297" s="7"/>
      <c r="R1297" s="7"/>
      <c r="S1297" s="7"/>
      <c r="T1297" s="7"/>
      <c r="U1297" s="7"/>
      <c r="V1297" s="7"/>
      <c r="AC1297" s="7"/>
      <c r="AD1297" s="7"/>
      <c r="AE1297" s="7"/>
      <c r="AF1297" s="7"/>
      <c r="AG1297" s="7"/>
      <c r="AO1297" s="7"/>
      <c r="AP1297" s="7"/>
      <c r="AQ1297" s="7"/>
      <c r="AR1297" s="7"/>
      <c r="AS1297" s="7"/>
    </row>
    <row r="1298" spans="1:45" x14ac:dyDescent="0.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Q1298" s="7"/>
      <c r="R1298" s="7"/>
      <c r="S1298" s="7"/>
      <c r="T1298" s="7"/>
      <c r="U1298" s="7"/>
      <c r="V1298" s="7"/>
      <c r="AC1298" s="7"/>
      <c r="AD1298" s="7"/>
      <c r="AE1298" s="7"/>
      <c r="AF1298" s="7"/>
      <c r="AG1298" s="7"/>
      <c r="AO1298" s="7"/>
      <c r="AP1298" s="7"/>
      <c r="AQ1298" s="7"/>
      <c r="AR1298" s="7"/>
      <c r="AS1298" s="7"/>
    </row>
    <row r="1299" spans="1:45" x14ac:dyDescent="0.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Q1299" s="7"/>
      <c r="R1299" s="7"/>
      <c r="S1299" s="7"/>
      <c r="T1299" s="7"/>
      <c r="U1299" s="7"/>
      <c r="V1299" s="7"/>
      <c r="AC1299" s="7"/>
      <c r="AD1299" s="7"/>
      <c r="AE1299" s="7"/>
      <c r="AF1299" s="7"/>
      <c r="AG1299" s="7"/>
      <c r="AO1299" s="7"/>
      <c r="AP1299" s="7"/>
      <c r="AQ1299" s="7"/>
      <c r="AR1299" s="7"/>
      <c r="AS1299" s="7"/>
    </row>
    <row r="1300" spans="1:45" x14ac:dyDescent="0.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Q1300" s="7"/>
      <c r="R1300" s="7"/>
      <c r="S1300" s="7"/>
      <c r="T1300" s="7"/>
      <c r="U1300" s="7"/>
      <c r="V1300" s="7"/>
      <c r="AC1300" s="7"/>
      <c r="AD1300" s="7"/>
      <c r="AE1300" s="7"/>
      <c r="AF1300" s="7"/>
      <c r="AG1300" s="7"/>
      <c r="AO1300" s="7"/>
      <c r="AP1300" s="7"/>
      <c r="AQ1300" s="7"/>
      <c r="AR1300" s="7"/>
      <c r="AS1300" s="7"/>
    </row>
    <row r="1301" spans="1:45" x14ac:dyDescent="0.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Q1301" s="7"/>
      <c r="R1301" s="7"/>
      <c r="S1301" s="7"/>
      <c r="T1301" s="7"/>
      <c r="U1301" s="7"/>
      <c r="V1301" s="7"/>
      <c r="AC1301" s="7"/>
      <c r="AD1301" s="7"/>
      <c r="AE1301" s="7"/>
      <c r="AF1301" s="7"/>
      <c r="AG1301" s="7"/>
      <c r="AO1301" s="7"/>
      <c r="AP1301" s="7"/>
      <c r="AQ1301" s="7"/>
      <c r="AR1301" s="7"/>
      <c r="AS1301" s="7"/>
    </row>
    <row r="1302" spans="1:45" x14ac:dyDescent="0.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Q1302" s="7"/>
      <c r="R1302" s="7"/>
      <c r="S1302" s="7"/>
      <c r="T1302" s="7"/>
      <c r="U1302" s="7"/>
      <c r="V1302" s="7"/>
      <c r="AC1302" s="7"/>
      <c r="AD1302" s="7"/>
      <c r="AE1302" s="7"/>
      <c r="AF1302" s="7"/>
      <c r="AG1302" s="7"/>
      <c r="AO1302" s="7"/>
      <c r="AP1302" s="7"/>
      <c r="AQ1302" s="7"/>
      <c r="AR1302" s="7"/>
      <c r="AS1302" s="7"/>
    </row>
    <row r="1303" spans="1:45" x14ac:dyDescent="0.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Q1303" s="7"/>
      <c r="R1303" s="7"/>
      <c r="S1303" s="7"/>
      <c r="T1303" s="7"/>
      <c r="U1303" s="7"/>
      <c r="V1303" s="7"/>
      <c r="AC1303" s="7"/>
      <c r="AD1303" s="7"/>
      <c r="AE1303" s="7"/>
      <c r="AF1303" s="7"/>
      <c r="AG1303" s="7"/>
      <c r="AO1303" s="7"/>
      <c r="AP1303" s="7"/>
      <c r="AQ1303" s="7"/>
      <c r="AR1303" s="7"/>
      <c r="AS1303" s="7"/>
    </row>
    <row r="1304" spans="1:45" x14ac:dyDescent="0.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Q1304" s="7"/>
      <c r="R1304" s="7"/>
      <c r="S1304" s="7"/>
      <c r="T1304" s="7"/>
      <c r="U1304" s="7"/>
      <c r="V1304" s="7"/>
      <c r="AC1304" s="7"/>
      <c r="AD1304" s="7"/>
      <c r="AE1304" s="7"/>
      <c r="AF1304" s="7"/>
      <c r="AG1304" s="7"/>
      <c r="AO1304" s="7"/>
      <c r="AP1304" s="7"/>
      <c r="AQ1304" s="7"/>
      <c r="AR1304" s="7"/>
      <c r="AS1304" s="7"/>
    </row>
    <row r="1305" spans="1:45" x14ac:dyDescent="0.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Q1305" s="7"/>
      <c r="R1305" s="7"/>
      <c r="S1305" s="7"/>
      <c r="T1305" s="7"/>
      <c r="U1305" s="7"/>
      <c r="V1305" s="7"/>
      <c r="AC1305" s="7"/>
      <c r="AD1305" s="7"/>
      <c r="AE1305" s="7"/>
      <c r="AF1305" s="7"/>
      <c r="AG1305" s="7"/>
      <c r="AO1305" s="7"/>
      <c r="AP1305" s="7"/>
      <c r="AQ1305" s="7"/>
      <c r="AR1305" s="7"/>
      <c r="AS1305" s="7"/>
    </row>
    <row r="1306" spans="1:45" x14ac:dyDescent="0.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Q1306" s="7"/>
      <c r="R1306" s="7"/>
      <c r="S1306" s="7"/>
      <c r="T1306" s="7"/>
      <c r="U1306" s="7"/>
      <c r="V1306" s="7"/>
      <c r="AC1306" s="7"/>
      <c r="AD1306" s="7"/>
      <c r="AE1306" s="7"/>
      <c r="AF1306" s="7"/>
      <c r="AG1306" s="7"/>
      <c r="AO1306" s="7"/>
      <c r="AP1306" s="7"/>
      <c r="AQ1306" s="7"/>
      <c r="AR1306" s="7"/>
      <c r="AS1306" s="7"/>
    </row>
    <row r="1307" spans="1:45" x14ac:dyDescent="0.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Q1307" s="7"/>
      <c r="R1307" s="7"/>
      <c r="S1307" s="7"/>
      <c r="T1307" s="7"/>
      <c r="U1307" s="7"/>
      <c r="V1307" s="7"/>
      <c r="AC1307" s="7"/>
      <c r="AD1307" s="7"/>
      <c r="AE1307" s="7"/>
      <c r="AF1307" s="7"/>
      <c r="AG1307" s="7"/>
      <c r="AO1307" s="7"/>
      <c r="AP1307" s="7"/>
      <c r="AQ1307" s="7"/>
      <c r="AR1307" s="7"/>
      <c r="AS1307" s="7"/>
    </row>
    <row r="1308" spans="1:45" x14ac:dyDescent="0.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Q1308" s="7"/>
      <c r="R1308" s="7"/>
      <c r="S1308" s="7"/>
      <c r="T1308" s="7"/>
      <c r="U1308" s="7"/>
      <c r="V1308" s="7"/>
      <c r="AC1308" s="7"/>
      <c r="AD1308" s="7"/>
      <c r="AE1308" s="7"/>
      <c r="AF1308" s="7"/>
      <c r="AG1308" s="7"/>
      <c r="AO1308" s="7"/>
      <c r="AP1308" s="7"/>
      <c r="AQ1308" s="7"/>
      <c r="AR1308" s="7"/>
      <c r="AS1308" s="7"/>
    </row>
    <row r="1309" spans="1:45" x14ac:dyDescent="0.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Q1309" s="7"/>
      <c r="R1309" s="7"/>
      <c r="S1309" s="7"/>
      <c r="T1309" s="7"/>
      <c r="U1309" s="7"/>
      <c r="V1309" s="7"/>
      <c r="AC1309" s="7"/>
      <c r="AD1309" s="7"/>
      <c r="AE1309" s="7"/>
      <c r="AF1309" s="7"/>
      <c r="AG1309" s="7"/>
      <c r="AO1309" s="7"/>
      <c r="AP1309" s="7"/>
      <c r="AQ1309" s="7"/>
      <c r="AR1309" s="7"/>
      <c r="AS1309" s="7"/>
    </row>
    <row r="1310" spans="1:45" x14ac:dyDescent="0.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Q1310" s="7"/>
      <c r="R1310" s="7"/>
      <c r="S1310" s="7"/>
      <c r="T1310" s="7"/>
      <c r="U1310" s="7"/>
      <c r="V1310" s="7"/>
      <c r="AC1310" s="7"/>
      <c r="AD1310" s="7"/>
      <c r="AE1310" s="7"/>
      <c r="AF1310" s="7"/>
      <c r="AG1310" s="7"/>
      <c r="AO1310" s="7"/>
      <c r="AP1310" s="7"/>
      <c r="AQ1310" s="7"/>
      <c r="AR1310" s="7"/>
      <c r="AS1310" s="7"/>
    </row>
    <row r="1311" spans="1:45" x14ac:dyDescent="0.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Q1311" s="7"/>
      <c r="R1311" s="7"/>
      <c r="S1311" s="7"/>
      <c r="T1311" s="7"/>
      <c r="U1311" s="7"/>
      <c r="V1311" s="7"/>
      <c r="AC1311" s="7"/>
      <c r="AD1311" s="7"/>
      <c r="AE1311" s="7"/>
      <c r="AF1311" s="7"/>
      <c r="AG1311" s="7"/>
      <c r="AO1311" s="7"/>
      <c r="AP1311" s="7"/>
      <c r="AQ1311" s="7"/>
      <c r="AR1311" s="7"/>
      <c r="AS1311" s="7"/>
    </row>
    <row r="1312" spans="1:45" x14ac:dyDescent="0.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Q1312" s="7"/>
      <c r="R1312" s="7"/>
      <c r="S1312" s="7"/>
      <c r="T1312" s="7"/>
      <c r="U1312" s="7"/>
      <c r="V1312" s="7"/>
      <c r="AC1312" s="7"/>
      <c r="AD1312" s="7"/>
      <c r="AE1312" s="7"/>
      <c r="AF1312" s="7"/>
      <c r="AG1312" s="7"/>
      <c r="AO1312" s="7"/>
      <c r="AP1312" s="7"/>
      <c r="AQ1312" s="7"/>
      <c r="AR1312" s="7"/>
      <c r="AS1312" s="7"/>
    </row>
    <row r="1313" spans="1:45" x14ac:dyDescent="0.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Q1313" s="7"/>
      <c r="R1313" s="7"/>
      <c r="S1313" s="7"/>
      <c r="T1313" s="7"/>
      <c r="U1313" s="7"/>
      <c r="V1313" s="7"/>
      <c r="AC1313" s="7"/>
      <c r="AD1313" s="7"/>
      <c r="AE1313" s="7"/>
      <c r="AF1313" s="7"/>
      <c r="AG1313" s="7"/>
      <c r="AO1313" s="7"/>
      <c r="AP1313" s="7"/>
      <c r="AQ1313" s="7"/>
      <c r="AR1313" s="7"/>
      <c r="AS1313" s="7"/>
    </row>
    <row r="1314" spans="1:45" x14ac:dyDescent="0.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Q1314" s="7"/>
      <c r="R1314" s="7"/>
      <c r="S1314" s="7"/>
      <c r="T1314" s="7"/>
      <c r="U1314" s="7"/>
      <c r="V1314" s="7"/>
      <c r="AC1314" s="7"/>
      <c r="AD1314" s="7"/>
      <c r="AE1314" s="7"/>
      <c r="AF1314" s="7"/>
      <c r="AG1314" s="7"/>
      <c r="AO1314" s="7"/>
      <c r="AP1314" s="7"/>
      <c r="AQ1314" s="7"/>
      <c r="AR1314" s="7"/>
      <c r="AS1314" s="7"/>
    </row>
    <row r="1315" spans="1:45" x14ac:dyDescent="0.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Q1315" s="7"/>
      <c r="R1315" s="7"/>
      <c r="S1315" s="7"/>
      <c r="T1315" s="7"/>
      <c r="U1315" s="7"/>
      <c r="V1315" s="7"/>
      <c r="AC1315" s="7"/>
      <c r="AD1315" s="7"/>
      <c r="AE1315" s="7"/>
      <c r="AF1315" s="7"/>
      <c r="AG1315" s="7"/>
      <c r="AO1315" s="7"/>
      <c r="AP1315" s="7"/>
      <c r="AQ1315" s="7"/>
      <c r="AR1315" s="7"/>
      <c r="AS1315" s="7"/>
    </row>
    <row r="1316" spans="1:45" x14ac:dyDescent="0.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Q1316" s="7"/>
      <c r="R1316" s="7"/>
      <c r="S1316" s="7"/>
      <c r="T1316" s="7"/>
      <c r="U1316" s="7"/>
      <c r="V1316" s="7"/>
      <c r="AC1316" s="7"/>
      <c r="AD1316" s="7"/>
      <c r="AE1316" s="7"/>
      <c r="AF1316" s="7"/>
      <c r="AG1316" s="7"/>
      <c r="AO1316" s="7"/>
      <c r="AP1316" s="7"/>
      <c r="AQ1316" s="7"/>
      <c r="AR1316" s="7"/>
      <c r="AS1316" s="7"/>
    </row>
    <row r="1317" spans="1:45" x14ac:dyDescent="0.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Q1317" s="7"/>
      <c r="R1317" s="7"/>
      <c r="S1317" s="7"/>
      <c r="T1317" s="7"/>
      <c r="U1317" s="7"/>
      <c r="V1317" s="7"/>
      <c r="AC1317" s="7"/>
      <c r="AD1317" s="7"/>
      <c r="AE1317" s="7"/>
      <c r="AF1317" s="7"/>
      <c r="AG1317" s="7"/>
      <c r="AO1317" s="7"/>
      <c r="AP1317" s="7"/>
      <c r="AQ1317" s="7"/>
      <c r="AR1317" s="7"/>
      <c r="AS1317" s="7"/>
    </row>
    <row r="1318" spans="1:45" x14ac:dyDescent="0.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Q1318" s="7"/>
      <c r="R1318" s="7"/>
      <c r="S1318" s="7"/>
      <c r="T1318" s="7"/>
      <c r="U1318" s="7"/>
      <c r="V1318" s="7"/>
      <c r="AC1318" s="7"/>
      <c r="AD1318" s="7"/>
      <c r="AE1318" s="7"/>
      <c r="AF1318" s="7"/>
      <c r="AG1318" s="7"/>
      <c r="AO1318" s="7"/>
      <c r="AP1318" s="7"/>
      <c r="AQ1318" s="7"/>
      <c r="AR1318" s="7"/>
      <c r="AS1318" s="7"/>
    </row>
    <row r="1319" spans="1:45" x14ac:dyDescent="0.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Q1319" s="7"/>
      <c r="R1319" s="7"/>
      <c r="S1319" s="7"/>
      <c r="T1319" s="7"/>
      <c r="U1319" s="7"/>
      <c r="V1319" s="7"/>
      <c r="AC1319" s="7"/>
      <c r="AD1319" s="7"/>
      <c r="AE1319" s="7"/>
      <c r="AF1319" s="7"/>
      <c r="AG1319" s="7"/>
      <c r="AO1319" s="7"/>
      <c r="AP1319" s="7"/>
      <c r="AQ1319" s="7"/>
      <c r="AR1319" s="7"/>
      <c r="AS1319" s="7"/>
    </row>
    <row r="1320" spans="1:45" x14ac:dyDescent="0.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Q1320" s="7"/>
      <c r="R1320" s="7"/>
      <c r="S1320" s="7"/>
      <c r="T1320" s="7"/>
      <c r="U1320" s="7"/>
      <c r="V1320" s="7"/>
      <c r="AC1320" s="7"/>
      <c r="AD1320" s="7"/>
      <c r="AE1320" s="7"/>
      <c r="AF1320" s="7"/>
      <c r="AG1320" s="7"/>
      <c r="AO1320" s="7"/>
      <c r="AP1320" s="7"/>
      <c r="AQ1320" s="7"/>
      <c r="AR1320" s="7"/>
      <c r="AS1320" s="7"/>
    </row>
    <row r="1321" spans="1:45" x14ac:dyDescent="0.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Q1321" s="7"/>
      <c r="R1321" s="7"/>
      <c r="S1321" s="7"/>
      <c r="T1321" s="7"/>
      <c r="U1321" s="7"/>
      <c r="V1321" s="7"/>
      <c r="AC1321" s="7"/>
      <c r="AD1321" s="7"/>
      <c r="AE1321" s="7"/>
      <c r="AF1321" s="7"/>
      <c r="AG1321" s="7"/>
      <c r="AO1321" s="7"/>
      <c r="AP1321" s="7"/>
      <c r="AQ1321" s="7"/>
      <c r="AR1321" s="7"/>
      <c r="AS1321" s="7"/>
    </row>
    <row r="1322" spans="1:45" x14ac:dyDescent="0.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Q1322" s="7"/>
      <c r="R1322" s="7"/>
      <c r="S1322" s="7"/>
      <c r="T1322" s="7"/>
      <c r="U1322" s="7"/>
      <c r="V1322" s="7"/>
      <c r="AC1322" s="7"/>
      <c r="AD1322" s="7"/>
      <c r="AE1322" s="7"/>
      <c r="AF1322" s="7"/>
      <c r="AG1322" s="7"/>
      <c r="AO1322" s="7"/>
      <c r="AP1322" s="7"/>
      <c r="AQ1322" s="7"/>
      <c r="AR1322" s="7"/>
      <c r="AS1322" s="7"/>
    </row>
    <row r="1323" spans="1:45" x14ac:dyDescent="0.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Q1323" s="7"/>
      <c r="R1323" s="7"/>
      <c r="S1323" s="7"/>
      <c r="T1323" s="7"/>
      <c r="U1323" s="7"/>
      <c r="V1323" s="7"/>
      <c r="AC1323" s="7"/>
      <c r="AD1323" s="7"/>
      <c r="AE1323" s="7"/>
      <c r="AF1323" s="7"/>
      <c r="AG1323" s="7"/>
      <c r="AO1323" s="7"/>
      <c r="AP1323" s="7"/>
      <c r="AQ1323" s="7"/>
      <c r="AR1323" s="7"/>
      <c r="AS1323" s="7"/>
    </row>
    <row r="1324" spans="1:45" x14ac:dyDescent="0.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Q1324" s="7"/>
      <c r="R1324" s="7"/>
      <c r="S1324" s="7"/>
      <c r="T1324" s="7"/>
      <c r="U1324" s="7"/>
      <c r="V1324" s="7"/>
      <c r="AC1324" s="7"/>
      <c r="AD1324" s="7"/>
      <c r="AE1324" s="7"/>
      <c r="AF1324" s="7"/>
      <c r="AG1324" s="7"/>
      <c r="AO1324" s="7"/>
      <c r="AP1324" s="7"/>
      <c r="AQ1324" s="7"/>
      <c r="AR1324" s="7"/>
      <c r="AS1324" s="7"/>
    </row>
    <row r="1325" spans="1:45" x14ac:dyDescent="0.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Q1325" s="7"/>
      <c r="R1325" s="7"/>
      <c r="S1325" s="7"/>
      <c r="T1325" s="7"/>
      <c r="U1325" s="7"/>
      <c r="V1325" s="7"/>
      <c r="AC1325" s="7"/>
      <c r="AD1325" s="7"/>
      <c r="AE1325" s="7"/>
      <c r="AF1325" s="7"/>
      <c r="AG1325" s="7"/>
      <c r="AO1325" s="7"/>
      <c r="AP1325" s="7"/>
      <c r="AQ1325" s="7"/>
      <c r="AR1325" s="7"/>
      <c r="AS1325" s="7"/>
    </row>
    <row r="1326" spans="1:45" x14ac:dyDescent="0.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Q1326" s="7"/>
      <c r="R1326" s="7"/>
      <c r="S1326" s="7"/>
      <c r="T1326" s="7"/>
      <c r="U1326" s="7"/>
      <c r="V1326" s="7"/>
      <c r="AC1326" s="7"/>
      <c r="AD1326" s="7"/>
      <c r="AE1326" s="7"/>
      <c r="AF1326" s="7"/>
      <c r="AG1326" s="7"/>
      <c r="AO1326" s="7"/>
      <c r="AP1326" s="7"/>
      <c r="AQ1326" s="7"/>
      <c r="AR1326" s="7"/>
      <c r="AS1326" s="7"/>
    </row>
    <row r="1327" spans="1:45" x14ac:dyDescent="0.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Q1327" s="7"/>
      <c r="R1327" s="7"/>
      <c r="S1327" s="7"/>
      <c r="T1327" s="7"/>
      <c r="U1327" s="7"/>
      <c r="V1327" s="7"/>
      <c r="AC1327" s="7"/>
      <c r="AD1327" s="7"/>
      <c r="AE1327" s="7"/>
      <c r="AF1327" s="7"/>
      <c r="AG1327" s="7"/>
      <c r="AO1327" s="7"/>
      <c r="AP1327" s="7"/>
      <c r="AQ1327" s="7"/>
      <c r="AR1327" s="7"/>
      <c r="AS1327" s="7"/>
    </row>
    <row r="1328" spans="1:45" x14ac:dyDescent="0.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Q1328" s="7"/>
      <c r="R1328" s="7"/>
      <c r="S1328" s="7"/>
      <c r="T1328" s="7"/>
      <c r="U1328" s="7"/>
      <c r="V1328" s="7"/>
      <c r="AC1328" s="7"/>
      <c r="AD1328" s="7"/>
      <c r="AE1328" s="7"/>
      <c r="AF1328" s="7"/>
      <c r="AG1328" s="7"/>
      <c r="AO1328" s="7"/>
      <c r="AP1328" s="7"/>
      <c r="AQ1328" s="7"/>
      <c r="AR1328" s="7"/>
      <c r="AS1328" s="7"/>
    </row>
    <row r="1329" spans="1:45" x14ac:dyDescent="0.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Q1329" s="7"/>
      <c r="R1329" s="7"/>
      <c r="S1329" s="7"/>
      <c r="T1329" s="7"/>
      <c r="U1329" s="7"/>
      <c r="V1329" s="7"/>
      <c r="AC1329" s="7"/>
      <c r="AD1329" s="7"/>
      <c r="AE1329" s="7"/>
      <c r="AF1329" s="7"/>
      <c r="AG1329" s="7"/>
      <c r="AO1329" s="7"/>
      <c r="AP1329" s="7"/>
      <c r="AQ1329" s="7"/>
      <c r="AR1329" s="7"/>
      <c r="AS1329" s="7"/>
    </row>
    <row r="1330" spans="1:45" x14ac:dyDescent="0.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Q1330" s="7"/>
      <c r="R1330" s="7"/>
      <c r="S1330" s="7"/>
      <c r="T1330" s="7"/>
      <c r="U1330" s="7"/>
      <c r="V1330" s="7"/>
      <c r="AC1330" s="7"/>
      <c r="AD1330" s="7"/>
      <c r="AE1330" s="7"/>
      <c r="AF1330" s="7"/>
      <c r="AG1330" s="7"/>
      <c r="AO1330" s="7"/>
      <c r="AP1330" s="7"/>
      <c r="AQ1330" s="7"/>
      <c r="AR1330" s="7"/>
      <c r="AS1330" s="7"/>
    </row>
    <row r="1331" spans="1:45" x14ac:dyDescent="0.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Q1331" s="7"/>
      <c r="R1331" s="7"/>
      <c r="S1331" s="7"/>
      <c r="T1331" s="7"/>
      <c r="U1331" s="7"/>
      <c r="V1331" s="7"/>
      <c r="AC1331" s="7"/>
      <c r="AD1331" s="7"/>
      <c r="AE1331" s="7"/>
      <c r="AF1331" s="7"/>
      <c r="AG1331" s="7"/>
      <c r="AO1331" s="7"/>
      <c r="AP1331" s="7"/>
      <c r="AQ1331" s="7"/>
      <c r="AR1331" s="7"/>
      <c r="AS1331" s="7"/>
    </row>
    <row r="1332" spans="1:45" x14ac:dyDescent="0.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Q1332" s="7"/>
      <c r="R1332" s="7"/>
      <c r="S1332" s="7"/>
      <c r="T1332" s="7"/>
      <c r="U1332" s="7"/>
      <c r="V1332" s="7"/>
      <c r="AC1332" s="7"/>
      <c r="AD1332" s="7"/>
      <c r="AE1332" s="7"/>
      <c r="AF1332" s="7"/>
      <c r="AG1332" s="7"/>
      <c r="AO1332" s="7"/>
      <c r="AP1332" s="7"/>
      <c r="AQ1332" s="7"/>
      <c r="AR1332" s="7"/>
      <c r="AS1332" s="7"/>
    </row>
    <row r="1333" spans="1:45" x14ac:dyDescent="0.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Q1333" s="7"/>
      <c r="R1333" s="7"/>
      <c r="S1333" s="7"/>
      <c r="T1333" s="7"/>
      <c r="U1333" s="7"/>
      <c r="V1333" s="7"/>
      <c r="AC1333" s="7"/>
      <c r="AD1333" s="7"/>
      <c r="AE1333" s="7"/>
      <c r="AF1333" s="7"/>
      <c r="AG1333" s="7"/>
      <c r="AO1333" s="7"/>
      <c r="AP1333" s="7"/>
      <c r="AQ1333" s="7"/>
      <c r="AR1333" s="7"/>
      <c r="AS1333" s="7"/>
    </row>
    <row r="1334" spans="1:45" x14ac:dyDescent="0.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Q1334" s="7"/>
      <c r="R1334" s="7"/>
      <c r="S1334" s="7"/>
      <c r="T1334" s="7"/>
      <c r="U1334" s="7"/>
      <c r="V1334" s="7"/>
      <c r="AC1334" s="7"/>
      <c r="AD1334" s="7"/>
      <c r="AE1334" s="7"/>
      <c r="AF1334" s="7"/>
      <c r="AG1334" s="7"/>
      <c r="AO1334" s="7"/>
      <c r="AP1334" s="7"/>
      <c r="AQ1334" s="7"/>
      <c r="AR1334" s="7"/>
      <c r="AS1334" s="7"/>
    </row>
    <row r="1335" spans="1:45" x14ac:dyDescent="0.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Q1335" s="7"/>
      <c r="R1335" s="7"/>
      <c r="S1335" s="7"/>
      <c r="T1335" s="7"/>
      <c r="U1335" s="7"/>
      <c r="V1335" s="7"/>
      <c r="AC1335" s="7"/>
      <c r="AD1335" s="7"/>
      <c r="AE1335" s="7"/>
      <c r="AF1335" s="7"/>
      <c r="AG1335" s="7"/>
      <c r="AO1335" s="7"/>
      <c r="AP1335" s="7"/>
      <c r="AQ1335" s="7"/>
      <c r="AR1335" s="7"/>
      <c r="AS1335" s="7"/>
    </row>
    <row r="1336" spans="1:45" x14ac:dyDescent="0.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Q1336" s="7"/>
      <c r="R1336" s="7"/>
      <c r="S1336" s="7"/>
      <c r="T1336" s="7"/>
      <c r="U1336" s="7"/>
      <c r="V1336" s="7"/>
      <c r="AC1336" s="7"/>
      <c r="AD1336" s="7"/>
      <c r="AE1336" s="7"/>
      <c r="AF1336" s="7"/>
      <c r="AG1336" s="7"/>
      <c r="AO1336" s="7"/>
      <c r="AP1336" s="7"/>
      <c r="AQ1336" s="7"/>
      <c r="AR1336" s="7"/>
      <c r="AS1336" s="7"/>
    </row>
    <row r="1337" spans="1:45" x14ac:dyDescent="0.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Q1337" s="7"/>
      <c r="R1337" s="7"/>
      <c r="S1337" s="7"/>
      <c r="T1337" s="7"/>
      <c r="U1337" s="7"/>
      <c r="V1337" s="7"/>
      <c r="AC1337" s="7"/>
      <c r="AD1337" s="7"/>
      <c r="AE1337" s="7"/>
      <c r="AF1337" s="7"/>
      <c r="AG1337" s="7"/>
      <c r="AO1337" s="7"/>
      <c r="AP1337" s="7"/>
      <c r="AQ1337" s="7"/>
      <c r="AR1337" s="7"/>
      <c r="AS1337" s="7"/>
    </row>
    <row r="1338" spans="1:45" x14ac:dyDescent="0.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Q1338" s="7"/>
      <c r="R1338" s="7"/>
      <c r="S1338" s="7"/>
      <c r="T1338" s="7"/>
      <c r="U1338" s="7"/>
      <c r="V1338" s="7"/>
      <c r="AC1338" s="7"/>
      <c r="AD1338" s="7"/>
      <c r="AE1338" s="7"/>
      <c r="AF1338" s="7"/>
      <c r="AG1338" s="7"/>
      <c r="AO1338" s="7"/>
      <c r="AP1338" s="7"/>
      <c r="AQ1338" s="7"/>
      <c r="AR1338" s="7"/>
      <c r="AS1338" s="7"/>
    </row>
    <row r="1339" spans="1:45" x14ac:dyDescent="0.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Q1339" s="7"/>
      <c r="R1339" s="7"/>
      <c r="S1339" s="7"/>
      <c r="T1339" s="7"/>
      <c r="U1339" s="7"/>
      <c r="V1339" s="7"/>
      <c r="AC1339" s="7"/>
      <c r="AD1339" s="7"/>
      <c r="AE1339" s="7"/>
      <c r="AF1339" s="7"/>
      <c r="AG1339" s="7"/>
      <c r="AO1339" s="7"/>
      <c r="AP1339" s="7"/>
      <c r="AQ1339" s="7"/>
      <c r="AR1339" s="7"/>
      <c r="AS1339" s="7"/>
    </row>
    <row r="1340" spans="1:45" x14ac:dyDescent="0.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Q1340" s="7"/>
      <c r="R1340" s="7"/>
      <c r="S1340" s="7"/>
      <c r="T1340" s="7"/>
      <c r="U1340" s="7"/>
      <c r="V1340" s="7"/>
      <c r="AC1340" s="7"/>
      <c r="AD1340" s="7"/>
      <c r="AE1340" s="7"/>
      <c r="AF1340" s="7"/>
      <c r="AG1340" s="7"/>
      <c r="AO1340" s="7"/>
      <c r="AP1340" s="7"/>
      <c r="AQ1340" s="7"/>
      <c r="AR1340" s="7"/>
      <c r="AS1340" s="7"/>
    </row>
    <row r="1341" spans="1:45" x14ac:dyDescent="0.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Q1341" s="7"/>
      <c r="R1341" s="7"/>
      <c r="S1341" s="7"/>
      <c r="T1341" s="7"/>
      <c r="U1341" s="7"/>
      <c r="V1341" s="7"/>
      <c r="AC1341" s="7"/>
      <c r="AD1341" s="7"/>
      <c r="AE1341" s="7"/>
      <c r="AF1341" s="7"/>
      <c r="AG1341" s="7"/>
      <c r="AO1341" s="7"/>
      <c r="AP1341" s="7"/>
      <c r="AQ1341" s="7"/>
      <c r="AR1341" s="7"/>
      <c r="AS1341" s="7"/>
    </row>
    <row r="1342" spans="1:45" x14ac:dyDescent="0.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Q1342" s="7"/>
      <c r="R1342" s="7"/>
      <c r="S1342" s="7"/>
      <c r="T1342" s="7"/>
      <c r="U1342" s="7"/>
      <c r="V1342" s="7"/>
      <c r="AC1342" s="7"/>
      <c r="AD1342" s="7"/>
      <c r="AE1342" s="7"/>
      <c r="AF1342" s="7"/>
      <c r="AG1342" s="7"/>
      <c r="AO1342" s="7"/>
      <c r="AP1342" s="7"/>
      <c r="AQ1342" s="7"/>
      <c r="AR1342" s="7"/>
      <c r="AS1342" s="7"/>
    </row>
    <row r="1343" spans="1:45" x14ac:dyDescent="0.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Q1343" s="7"/>
      <c r="R1343" s="7"/>
      <c r="S1343" s="7"/>
      <c r="T1343" s="7"/>
      <c r="U1343" s="7"/>
      <c r="V1343" s="7"/>
      <c r="AC1343" s="7"/>
      <c r="AD1343" s="7"/>
      <c r="AE1343" s="7"/>
      <c r="AF1343" s="7"/>
      <c r="AG1343" s="7"/>
      <c r="AO1343" s="7"/>
      <c r="AP1343" s="7"/>
      <c r="AQ1343" s="7"/>
      <c r="AR1343" s="7"/>
      <c r="AS1343" s="7"/>
    </row>
    <row r="1344" spans="1:45" x14ac:dyDescent="0.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Q1344" s="7"/>
      <c r="R1344" s="7"/>
      <c r="S1344" s="7"/>
      <c r="T1344" s="7"/>
      <c r="U1344" s="7"/>
      <c r="V1344" s="7"/>
      <c r="AC1344" s="7"/>
      <c r="AD1344" s="7"/>
      <c r="AE1344" s="7"/>
      <c r="AF1344" s="7"/>
      <c r="AG1344" s="7"/>
      <c r="AO1344" s="7"/>
      <c r="AP1344" s="7"/>
      <c r="AQ1344" s="7"/>
      <c r="AR1344" s="7"/>
      <c r="AS1344" s="7"/>
    </row>
    <row r="1345" spans="1:45" x14ac:dyDescent="0.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Q1345" s="7"/>
      <c r="R1345" s="7"/>
      <c r="S1345" s="7"/>
      <c r="T1345" s="7"/>
      <c r="U1345" s="7"/>
      <c r="V1345" s="7"/>
      <c r="AC1345" s="7"/>
      <c r="AD1345" s="7"/>
      <c r="AE1345" s="7"/>
      <c r="AF1345" s="7"/>
      <c r="AG1345" s="7"/>
      <c r="AO1345" s="7"/>
      <c r="AP1345" s="7"/>
      <c r="AQ1345" s="7"/>
      <c r="AR1345" s="7"/>
      <c r="AS1345" s="7"/>
    </row>
    <row r="1346" spans="1:45" x14ac:dyDescent="0.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Q1346" s="7"/>
      <c r="R1346" s="7"/>
      <c r="S1346" s="7"/>
      <c r="T1346" s="7"/>
      <c r="U1346" s="7"/>
      <c r="V1346" s="7"/>
      <c r="AC1346" s="7"/>
      <c r="AD1346" s="7"/>
      <c r="AE1346" s="7"/>
      <c r="AF1346" s="7"/>
      <c r="AG1346" s="7"/>
      <c r="AO1346" s="7"/>
      <c r="AP1346" s="7"/>
      <c r="AQ1346" s="7"/>
      <c r="AR1346" s="7"/>
      <c r="AS1346" s="7"/>
    </row>
    <row r="1347" spans="1:45" x14ac:dyDescent="0.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Q1347" s="7"/>
      <c r="R1347" s="7"/>
      <c r="S1347" s="7"/>
      <c r="T1347" s="7"/>
      <c r="U1347" s="7"/>
      <c r="V1347" s="7"/>
      <c r="AC1347" s="7"/>
      <c r="AD1347" s="7"/>
      <c r="AE1347" s="7"/>
      <c r="AF1347" s="7"/>
      <c r="AG1347" s="7"/>
      <c r="AO1347" s="7"/>
      <c r="AP1347" s="7"/>
      <c r="AQ1347" s="7"/>
      <c r="AR1347" s="7"/>
      <c r="AS1347" s="7"/>
    </row>
    <row r="1348" spans="1:45" x14ac:dyDescent="0.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Q1348" s="7"/>
      <c r="R1348" s="7"/>
      <c r="S1348" s="7"/>
      <c r="T1348" s="7"/>
      <c r="U1348" s="7"/>
      <c r="V1348" s="7"/>
      <c r="AC1348" s="7"/>
      <c r="AD1348" s="7"/>
      <c r="AE1348" s="7"/>
      <c r="AF1348" s="7"/>
      <c r="AG1348" s="7"/>
      <c r="AO1348" s="7"/>
      <c r="AP1348" s="7"/>
      <c r="AQ1348" s="7"/>
      <c r="AR1348" s="7"/>
      <c r="AS1348" s="7"/>
    </row>
    <row r="1349" spans="1:45" x14ac:dyDescent="0.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Q1349" s="7"/>
      <c r="R1349" s="7"/>
      <c r="S1349" s="7"/>
      <c r="T1349" s="7"/>
      <c r="U1349" s="7"/>
      <c r="V1349" s="7"/>
      <c r="AC1349" s="7"/>
      <c r="AD1349" s="7"/>
      <c r="AE1349" s="7"/>
      <c r="AF1349" s="7"/>
      <c r="AG1349" s="7"/>
      <c r="AO1349" s="7"/>
      <c r="AP1349" s="7"/>
      <c r="AQ1349" s="7"/>
      <c r="AR1349" s="7"/>
      <c r="AS1349" s="7"/>
    </row>
    <row r="1350" spans="1:45" x14ac:dyDescent="0.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Q1350" s="7"/>
      <c r="R1350" s="7"/>
      <c r="S1350" s="7"/>
      <c r="T1350" s="7"/>
      <c r="U1350" s="7"/>
      <c r="V1350" s="7"/>
      <c r="AC1350" s="7"/>
      <c r="AD1350" s="7"/>
      <c r="AE1350" s="7"/>
      <c r="AF1350" s="7"/>
      <c r="AG1350" s="7"/>
      <c r="AO1350" s="7"/>
      <c r="AP1350" s="7"/>
      <c r="AQ1350" s="7"/>
      <c r="AR1350" s="7"/>
      <c r="AS1350" s="7"/>
    </row>
    <row r="1351" spans="1:45" x14ac:dyDescent="0.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Q1351" s="7"/>
      <c r="R1351" s="7"/>
      <c r="S1351" s="7"/>
      <c r="T1351" s="7"/>
      <c r="U1351" s="7"/>
      <c r="V1351" s="7"/>
      <c r="AC1351" s="7"/>
      <c r="AD1351" s="7"/>
      <c r="AE1351" s="7"/>
      <c r="AF1351" s="7"/>
      <c r="AG1351" s="7"/>
      <c r="AO1351" s="7"/>
      <c r="AP1351" s="7"/>
      <c r="AQ1351" s="7"/>
      <c r="AR1351" s="7"/>
      <c r="AS1351" s="7"/>
    </row>
    <row r="1352" spans="1:45" x14ac:dyDescent="0.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Q1352" s="7"/>
      <c r="R1352" s="7"/>
      <c r="S1352" s="7"/>
      <c r="T1352" s="7"/>
      <c r="U1352" s="7"/>
      <c r="V1352" s="7"/>
      <c r="AC1352" s="7"/>
      <c r="AD1352" s="7"/>
      <c r="AE1352" s="7"/>
      <c r="AF1352" s="7"/>
      <c r="AG1352" s="7"/>
      <c r="AO1352" s="7"/>
      <c r="AP1352" s="7"/>
      <c r="AQ1352" s="7"/>
      <c r="AR1352" s="7"/>
      <c r="AS1352" s="7"/>
    </row>
    <row r="1353" spans="1:45" x14ac:dyDescent="0.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Q1353" s="7"/>
      <c r="R1353" s="7"/>
      <c r="S1353" s="7"/>
      <c r="T1353" s="7"/>
      <c r="U1353" s="7"/>
      <c r="V1353" s="7"/>
      <c r="AC1353" s="7"/>
      <c r="AD1353" s="7"/>
      <c r="AE1353" s="7"/>
      <c r="AF1353" s="7"/>
      <c r="AG1353" s="7"/>
      <c r="AO1353" s="7"/>
      <c r="AP1353" s="7"/>
      <c r="AQ1353" s="7"/>
      <c r="AR1353" s="7"/>
      <c r="AS1353" s="7"/>
    </row>
    <row r="1354" spans="1:45" x14ac:dyDescent="0.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Q1354" s="7"/>
      <c r="R1354" s="7"/>
      <c r="S1354" s="7"/>
      <c r="T1354" s="7"/>
      <c r="U1354" s="7"/>
      <c r="V1354" s="7"/>
      <c r="AC1354" s="7"/>
      <c r="AD1354" s="7"/>
      <c r="AE1354" s="7"/>
      <c r="AF1354" s="7"/>
      <c r="AG1354" s="7"/>
      <c r="AO1354" s="7"/>
      <c r="AP1354" s="7"/>
      <c r="AQ1354" s="7"/>
      <c r="AR1354" s="7"/>
      <c r="AS1354" s="7"/>
    </row>
    <row r="1355" spans="1:45" x14ac:dyDescent="0.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Q1355" s="7"/>
      <c r="R1355" s="7"/>
      <c r="S1355" s="7"/>
      <c r="T1355" s="7"/>
      <c r="U1355" s="7"/>
      <c r="V1355" s="7"/>
      <c r="AC1355" s="7"/>
      <c r="AD1355" s="7"/>
      <c r="AE1355" s="7"/>
      <c r="AF1355" s="7"/>
      <c r="AG1355" s="7"/>
      <c r="AO1355" s="7"/>
      <c r="AP1355" s="7"/>
      <c r="AQ1355" s="7"/>
      <c r="AR1355" s="7"/>
      <c r="AS1355" s="7"/>
    </row>
    <row r="1356" spans="1:45" x14ac:dyDescent="0.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Q1356" s="7"/>
      <c r="R1356" s="7"/>
      <c r="S1356" s="7"/>
      <c r="T1356" s="7"/>
      <c r="U1356" s="7"/>
      <c r="V1356" s="7"/>
      <c r="AC1356" s="7"/>
      <c r="AD1356" s="7"/>
      <c r="AE1356" s="7"/>
      <c r="AF1356" s="7"/>
      <c r="AG1356" s="7"/>
      <c r="AO1356" s="7"/>
      <c r="AP1356" s="7"/>
      <c r="AQ1356" s="7"/>
      <c r="AR1356" s="7"/>
      <c r="AS1356" s="7"/>
    </row>
    <row r="1357" spans="1:45" x14ac:dyDescent="0.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Q1357" s="7"/>
      <c r="R1357" s="7"/>
      <c r="S1357" s="7"/>
      <c r="T1357" s="7"/>
      <c r="U1357" s="7"/>
      <c r="V1357" s="7"/>
      <c r="AC1357" s="7"/>
      <c r="AD1357" s="7"/>
      <c r="AE1357" s="7"/>
      <c r="AF1357" s="7"/>
      <c r="AG1357" s="7"/>
      <c r="AO1357" s="7"/>
      <c r="AP1357" s="7"/>
      <c r="AQ1357" s="7"/>
      <c r="AR1357" s="7"/>
      <c r="AS1357" s="7"/>
    </row>
    <row r="1358" spans="1:45" x14ac:dyDescent="0.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Q1358" s="7"/>
      <c r="R1358" s="7"/>
      <c r="S1358" s="7"/>
      <c r="T1358" s="7"/>
      <c r="U1358" s="7"/>
      <c r="V1358" s="7"/>
      <c r="AC1358" s="7"/>
      <c r="AD1358" s="7"/>
      <c r="AE1358" s="7"/>
      <c r="AF1358" s="7"/>
      <c r="AG1358" s="7"/>
      <c r="AO1358" s="7"/>
      <c r="AP1358" s="7"/>
      <c r="AQ1358" s="7"/>
      <c r="AR1358" s="7"/>
      <c r="AS1358" s="7"/>
    </row>
    <row r="1359" spans="1:45" x14ac:dyDescent="0.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Q1359" s="7"/>
      <c r="R1359" s="7"/>
      <c r="S1359" s="7"/>
      <c r="T1359" s="7"/>
      <c r="U1359" s="7"/>
      <c r="V1359" s="7"/>
      <c r="AC1359" s="7"/>
      <c r="AD1359" s="7"/>
      <c r="AE1359" s="7"/>
      <c r="AF1359" s="7"/>
      <c r="AG1359" s="7"/>
      <c r="AO1359" s="7"/>
      <c r="AP1359" s="7"/>
      <c r="AQ1359" s="7"/>
      <c r="AR1359" s="7"/>
      <c r="AS1359" s="7"/>
    </row>
    <row r="1360" spans="1:45" x14ac:dyDescent="0.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Q1360" s="7"/>
      <c r="R1360" s="7"/>
      <c r="S1360" s="7"/>
      <c r="T1360" s="7"/>
      <c r="U1360" s="7"/>
      <c r="V1360" s="7"/>
      <c r="AC1360" s="7"/>
      <c r="AD1360" s="7"/>
      <c r="AE1360" s="7"/>
      <c r="AF1360" s="7"/>
      <c r="AG1360" s="7"/>
      <c r="AO1360" s="7"/>
      <c r="AP1360" s="7"/>
      <c r="AQ1360" s="7"/>
      <c r="AR1360" s="7"/>
      <c r="AS1360" s="7"/>
    </row>
    <row r="1361" spans="1:45" x14ac:dyDescent="0.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Q1361" s="7"/>
      <c r="R1361" s="7"/>
      <c r="S1361" s="7"/>
      <c r="T1361" s="7"/>
      <c r="U1361" s="7"/>
      <c r="V1361" s="7"/>
      <c r="AC1361" s="7"/>
      <c r="AD1361" s="7"/>
      <c r="AE1361" s="7"/>
      <c r="AF1361" s="7"/>
      <c r="AG1361" s="7"/>
      <c r="AO1361" s="7"/>
      <c r="AP1361" s="7"/>
      <c r="AQ1361" s="7"/>
      <c r="AR1361" s="7"/>
      <c r="AS1361" s="7"/>
    </row>
    <row r="1362" spans="1:45" x14ac:dyDescent="0.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Q1362" s="7"/>
      <c r="R1362" s="7"/>
      <c r="S1362" s="7"/>
      <c r="T1362" s="7"/>
      <c r="U1362" s="7"/>
      <c r="V1362" s="7"/>
      <c r="AC1362" s="7"/>
      <c r="AD1362" s="7"/>
      <c r="AE1362" s="7"/>
      <c r="AF1362" s="7"/>
      <c r="AG1362" s="7"/>
      <c r="AO1362" s="7"/>
      <c r="AP1362" s="7"/>
      <c r="AQ1362" s="7"/>
      <c r="AR1362" s="7"/>
      <c r="AS1362" s="7"/>
    </row>
    <row r="1363" spans="1:45" x14ac:dyDescent="0.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Q1363" s="7"/>
      <c r="R1363" s="7"/>
      <c r="S1363" s="7"/>
      <c r="T1363" s="7"/>
      <c r="U1363" s="7"/>
      <c r="V1363" s="7"/>
      <c r="AC1363" s="7"/>
      <c r="AD1363" s="7"/>
      <c r="AE1363" s="7"/>
      <c r="AF1363" s="7"/>
      <c r="AG1363" s="7"/>
      <c r="AO1363" s="7"/>
      <c r="AP1363" s="7"/>
      <c r="AQ1363" s="7"/>
      <c r="AR1363" s="7"/>
      <c r="AS1363" s="7"/>
    </row>
    <row r="1364" spans="1:45" x14ac:dyDescent="0.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Q1364" s="7"/>
      <c r="R1364" s="7"/>
      <c r="S1364" s="7"/>
      <c r="T1364" s="7"/>
      <c r="U1364" s="7"/>
      <c r="V1364" s="7"/>
      <c r="AC1364" s="7"/>
      <c r="AD1364" s="7"/>
      <c r="AE1364" s="7"/>
      <c r="AF1364" s="7"/>
      <c r="AG1364" s="7"/>
      <c r="AO1364" s="7"/>
      <c r="AP1364" s="7"/>
      <c r="AQ1364" s="7"/>
      <c r="AR1364" s="7"/>
      <c r="AS1364" s="7"/>
    </row>
    <row r="1365" spans="1:45" x14ac:dyDescent="0.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Q1365" s="7"/>
      <c r="R1365" s="7"/>
      <c r="S1365" s="7"/>
      <c r="T1365" s="7"/>
      <c r="U1365" s="7"/>
      <c r="V1365" s="7"/>
      <c r="AC1365" s="7"/>
      <c r="AD1365" s="7"/>
      <c r="AE1365" s="7"/>
      <c r="AF1365" s="7"/>
      <c r="AG1365" s="7"/>
      <c r="AO1365" s="7"/>
      <c r="AP1365" s="7"/>
      <c r="AQ1365" s="7"/>
      <c r="AR1365" s="7"/>
      <c r="AS1365" s="7"/>
    </row>
    <row r="1366" spans="1:45" x14ac:dyDescent="0.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Q1366" s="7"/>
      <c r="R1366" s="7"/>
      <c r="S1366" s="7"/>
      <c r="T1366" s="7"/>
      <c r="U1366" s="7"/>
      <c r="V1366" s="7"/>
      <c r="AC1366" s="7"/>
      <c r="AD1366" s="7"/>
      <c r="AE1366" s="7"/>
      <c r="AF1366" s="7"/>
      <c r="AG1366" s="7"/>
      <c r="AO1366" s="7"/>
      <c r="AP1366" s="7"/>
      <c r="AQ1366" s="7"/>
      <c r="AR1366" s="7"/>
      <c r="AS1366" s="7"/>
    </row>
    <row r="1367" spans="1:45" x14ac:dyDescent="0.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Q1367" s="7"/>
      <c r="R1367" s="7"/>
      <c r="S1367" s="7"/>
      <c r="T1367" s="7"/>
      <c r="U1367" s="7"/>
      <c r="V1367" s="7"/>
      <c r="AC1367" s="7"/>
      <c r="AD1367" s="7"/>
      <c r="AE1367" s="7"/>
      <c r="AF1367" s="7"/>
      <c r="AG1367" s="7"/>
      <c r="AO1367" s="7"/>
      <c r="AP1367" s="7"/>
      <c r="AQ1367" s="7"/>
      <c r="AR1367" s="7"/>
      <c r="AS1367" s="7"/>
    </row>
    <row r="1368" spans="1:45" x14ac:dyDescent="0.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Q1368" s="7"/>
      <c r="R1368" s="7"/>
      <c r="S1368" s="7"/>
      <c r="T1368" s="7"/>
      <c r="U1368" s="7"/>
      <c r="V1368" s="7"/>
      <c r="AC1368" s="7"/>
      <c r="AD1368" s="7"/>
      <c r="AE1368" s="7"/>
      <c r="AF1368" s="7"/>
      <c r="AG1368" s="7"/>
      <c r="AO1368" s="7"/>
      <c r="AP1368" s="7"/>
      <c r="AQ1368" s="7"/>
      <c r="AR1368" s="7"/>
      <c r="AS1368" s="7"/>
    </row>
    <row r="1369" spans="1:45" x14ac:dyDescent="0.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Q1369" s="7"/>
      <c r="R1369" s="7"/>
      <c r="S1369" s="7"/>
      <c r="T1369" s="7"/>
      <c r="U1369" s="7"/>
      <c r="V1369" s="7"/>
      <c r="AC1369" s="7"/>
      <c r="AD1369" s="7"/>
      <c r="AE1369" s="7"/>
      <c r="AF1369" s="7"/>
      <c r="AG1369" s="7"/>
      <c r="AO1369" s="7"/>
      <c r="AP1369" s="7"/>
      <c r="AQ1369" s="7"/>
      <c r="AR1369" s="7"/>
      <c r="AS1369" s="7"/>
    </row>
    <row r="1370" spans="1:45" x14ac:dyDescent="0.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Q1370" s="7"/>
      <c r="R1370" s="7"/>
      <c r="S1370" s="7"/>
      <c r="T1370" s="7"/>
      <c r="U1370" s="7"/>
      <c r="V1370" s="7"/>
      <c r="AC1370" s="7"/>
      <c r="AD1370" s="7"/>
      <c r="AE1370" s="7"/>
      <c r="AF1370" s="7"/>
      <c r="AG1370" s="7"/>
      <c r="AO1370" s="7"/>
      <c r="AP1370" s="7"/>
      <c r="AQ1370" s="7"/>
      <c r="AR1370" s="7"/>
      <c r="AS1370" s="7"/>
    </row>
    <row r="1371" spans="1:45" x14ac:dyDescent="0.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Q1371" s="7"/>
      <c r="R1371" s="7"/>
      <c r="S1371" s="7"/>
      <c r="T1371" s="7"/>
      <c r="U1371" s="7"/>
      <c r="V1371" s="7"/>
      <c r="AC1371" s="7"/>
      <c r="AD1371" s="7"/>
      <c r="AE1371" s="7"/>
      <c r="AF1371" s="7"/>
      <c r="AG1371" s="7"/>
      <c r="AO1371" s="7"/>
      <c r="AP1371" s="7"/>
      <c r="AQ1371" s="7"/>
      <c r="AR1371" s="7"/>
      <c r="AS1371" s="7"/>
    </row>
    <row r="1372" spans="1:45" x14ac:dyDescent="0.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Q1372" s="7"/>
      <c r="R1372" s="7"/>
      <c r="S1372" s="7"/>
      <c r="T1372" s="7"/>
      <c r="U1372" s="7"/>
      <c r="V1372" s="7"/>
      <c r="AC1372" s="7"/>
      <c r="AD1372" s="7"/>
      <c r="AE1372" s="7"/>
      <c r="AF1372" s="7"/>
      <c r="AG1372" s="7"/>
      <c r="AO1372" s="7"/>
      <c r="AP1372" s="7"/>
      <c r="AQ1372" s="7"/>
      <c r="AR1372" s="7"/>
      <c r="AS1372" s="7"/>
    </row>
    <row r="1373" spans="1:45" x14ac:dyDescent="0.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Q1373" s="7"/>
      <c r="R1373" s="7"/>
      <c r="S1373" s="7"/>
      <c r="T1373" s="7"/>
      <c r="U1373" s="7"/>
      <c r="V1373" s="7"/>
      <c r="AC1373" s="7"/>
      <c r="AD1373" s="7"/>
      <c r="AE1373" s="7"/>
      <c r="AF1373" s="7"/>
      <c r="AG1373" s="7"/>
      <c r="AO1373" s="7"/>
      <c r="AP1373" s="7"/>
      <c r="AQ1373" s="7"/>
      <c r="AR1373" s="7"/>
      <c r="AS1373" s="7"/>
    </row>
    <row r="1374" spans="1:45" x14ac:dyDescent="0.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Q1374" s="7"/>
      <c r="R1374" s="7"/>
      <c r="S1374" s="7"/>
      <c r="T1374" s="7"/>
      <c r="U1374" s="7"/>
      <c r="V1374" s="7"/>
      <c r="AC1374" s="7"/>
      <c r="AD1374" s="7"/>
      <c r="AE1374" s="7"/>
      <c r="AF1374" s="7"/>
      <c r="AG1374" s="7"/>
      <c r="AO1374" s="7"/>
      <c r="AP1374" s="7"/>
      <c r="AQ1374" s="7"/>
      <c r="AR1374" s="7"/>
      <c r="AS1374" s="7"/>
    </row>
    <row r="1375" spans="1:45" x14ac:dyDescent="0.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Q1375" s="7"/>
      <c r="R1375" s="7"/>
      <c r="S1375" s="7"/>
      <c r="T1375" s="7"/>
      <c r="U1375" s="7"/>
      <c r="V1375" s="7"/>
      <c r="AC1375" s="7"/>
      <c r="AD1375" s="7"/>
      <c r="AE1375" s="7"/>
      <c r="AF1375" s="7"/>
      <c r="AG1375" s="7"/>
      <c r="AO1375" s="7"/>
      <c r="AP1375" s="7"/>
      <c r="AQ1375" s="7"/>
      <c r="AR1375" s="7"/>
      <c r="AS1375" s="7"/>
    </row>
    <row r="1376" spans="1:45" x14ac:dyDescent="0.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Q1376" s="7"/>
      <c r="R1376" s="7"/>
      <c r="S1376" s="7"/>
      <c r="T1376" s="7"/>
      <c r="U1376" s="7"/>
      <c r="V1376" s="7"/>
      <c r="AC1376" s="7"/>
      <c r="AD1376" s="7"/>
      <c r="AE1376" s="7"/>
      <c r="AF1376" s="7"/>
      <c r="AG1376" s="7"/>
      <c r="AO1376" s="7"/>
      <c r="AP1376" s="7"/>
      <c r="AQ1376" s="7"/>
      <c r="AR1376" s="7"/>
      <c r="AS1376" s="7"/>
    </row>
    <row r="1377" spans="1:45" x14ac:dyDescent="0.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Q1377" s="7"/>
      <c r="R1377" s="7"/>
      <c r="S1377" s="7"/>
      <c r="T1377" s="7"/>
      <c r="U1377" s="7"/>
      <c r="V1377" s="7"/>
      <c r="AC1377" s="7"/>
      <c r="AD1377" s="7"/>
      <c r="AE1377" s="7"/>
      <c r="AF1377" s="7"/>
      <c r="AG1377" s="7"/>
      <c r="AO1377" s="7"/>
      <c r="AP1377" s="7"/>
      <c r="AQ1377" s="7"/>
      <c r="AR1377" s="7"/>
      <c r="AS1377" s="7"/>
    </row>
    <row r="1378" spans="1:45" x14ac:dyDescent="0.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Q1378" s="7"/>
      <c r="R1378" s="7"/>
      <c r="S1378" s="7"/>
      <c r="T1378" s="7"/>
      <c r="U1378" s="7"/>
      <c r="V1378" s="7"/>
      <c r="AC1378" s="7"/>
      <c r="AD1378" s="7"/>
      <c r="AE1378" s="7"/>
      <c r="AF1378" s="7"/>
      <c r="AG1378" s="7"/>
      <c r="AO1378" s="7"/>
      <c r="AP1378" s="7"/>
      <c r="AQ1378" s="7"/>
      <c r="AR1378" s="7"/>
      <c r="AS1378" s="7"/>
    </row>
    <row r="1379" spans="1:45" x14ac:dyDescent="0.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Q1379" s="7"/>
      <c r="R1379" s="7"/>
      <c r="S1379" s="7"/>
      <c r="T1379" s="7"/>
      <c r="U1379" s="7"/>
      <c r="V1379" s="7"/>
      <c r="AC1379" s="7"/>
      <c r="AD1379" s="7"/>
      <c r="AE1379" s="7"/>
      <c r="AF1379" s="7"/>
      <c r="AG1379" s="7"/>
      <c r="AO1379" s="7"/>
      <c r="AP1379" s="7"/>
      <c r="AQ1379" s="7"/>
      <c r="AR1379" s="7"/>
      <c r="AS1379" s="7"/>
    </row>
    <row r="1380" spans="1:45" x14ac:dyDescent="0.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Q1380" s="7"/>
      <c r="R1380" s="7"/>
      <c r="S1380" s="7"/>
      <c r="T1380" s="7"/>
      <c r="U1380" s="7"/>
      <c r="V1380" s="7"/>
      <c r="AC1380" s="7"/>
      <c r="AD1380" s="7"/>
      <c r="AE1380" s="7"/>
      <c r="AF1380" s="7"/>
      <c r="AG1380" s="7"/>
      <c r="AO1380" s="7"/>
      <c r="AP1380" s="7"/>
      <c r="AQ1380" s="7"/>
      <c r="AR1380" s="7"/>
      <c r="AS1380" s="7"/>
    </row>
    <row r="1381" spans="1:45" x14ac:dyDescent="0.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Q1381" s="7"/>
      <c r="R1381" s="7"/>
      <c r="S1381" s="7"/>
      <c r="T1381" s="7"/>
      <c r="U1381" s="7"/>
      <c r="V1381" s="7"/>
      <c r="AC1381" s="7"/>
      <c r="AD1381" s="7"/>
      <c r="AE1381" s="7"/>
      <c r="AF1381" s="7"/>
      <c r="AG1381" s="7"/>
      <c r="AO1381" s="7"/>
      <c r="AP1381" s="7"/>
      <c r="AQ1381" s="7"/>
      <c r="AR1381" s="7"/>
      <c r="AS1381" s="7"/>
    </row>
    <row r="1382" spans="1:45" x14ac:dyDescent="0.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Q1382" s="7"/>
      <c r="R1382" s="7"/>
      <c r="S1382" s="7"/>
      <c r="T1382" s="7"/>
      <c r="U1382" s="7"/>
      <c r="V1382" s="7"/>
      <c r="AC1382" s="7"/>
      <c r="AD1382" s="7"/>
      <c r="AE1382" s="7"/>
      <c r="AF1382" s="7"/>
      <c r="AG1382" s="7"/>
      <c r="AO1382" s="7"/>
      <c r="AP1382" s="7"/>
      <c r="AQ1382" s="7"/>
      <c r="AR1382" s="7"/>
      <c r="AS1382" s="7"/>
    </row>
    <row r="1383" spans="1:45" x14ac:dyDescent="0.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Q1383" s="7"/>
      <c r="R1383" s="7"/>
      <c r="S1383" s="7"/>
      <c r="T1383" s="7"/>
      <c r="U1383" s="7"/>
      <c r="V1383" s="7"/>
      <c r="AC1383" s="7"/>
      <c r="AD1383" s="7"/>
      <c r="AE1383" s="7"/>
      <c r="AF1383" s="7"/>
      <c r="AG1383" s="7"/>
      <c r="AO1383" s="7"/>
      <c r="AP1383" s="7"/>
      <c r="AQ1383" s="7"/>
      <c r="AR1383" s="7"/>
      <c r="AS1383" s="7"/>
    </row>
    <row r="1384" spans="1:45" x14ac:dyDescent="0.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Q1384" s="7"/>
      <c r="R1384" s="7"/>
      <c r="S1384" s="7"/>
      <c r="T1384" s="7"/>
      <c r="U1384" s="7"/>
      <c r="V1384" s="7"/>
      <c r="AC1384" s="7"/>
      <c r="AD1384" s="7"/>
      <c r="AE1384" s="7"/>
      <c r="AF1384" s="7"/>
      <c r="AG1384" s="7"/>
      <c r="AO1384" s="7"/>
      <c r="AP1384" s="7"/>
      <c r="AQ1384" s="7"/>
      <c r="AR1384" s="7"/>
      <c r="AS1384" s="7"/>
    </row>
    <row r="1385" spans="1:45" x14ac:dyDescent="0.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Q1385" s="7"/>
      <c r="R1385" s="7"/>
      <c r="S1385" s="7"/>
      <c r="T1385" s="7"/>
      <c r="U1385" s="7"/>
      <c r="V1385" s="7"/>
      <c r="AC1385" s="7"/>
      <c r="AD1385" s="7"/>
      <c r="AE1385" s="7"/>
      <c r="AF1385" s="7"/>
      <c r="AG1385" s="7"/>
      <c r="AO1385" s="7"/>
      <c r="AP1385" s="7"/>
      <c r="AQ1385" s="7"/>
      <c r="AR1385" s="7"/>
      <c r="AS1385" s="7"/>
    </row>
    <row r="1386" spans="1:45" x14ac:dyDescent="0.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Q1386" s="7"/>
      <c r="R1386" s="7"/>
      <c r="S1386" s="7"/>
      <c r="T1386" s="7"/>
      <c r="U1386" s="7"/>
      <c r="V1386" s="7"/>
      <c r="AC1386" s="7"/>
      <c r="AD1386" s="7"/>
      <c r="AE1386" s="7"/>
      <c r="AF1386" s="7"/>
      <c r="AG1386" s="7"/>
      <c r="AO1386" s="7"/>
      <c r="AP1386" s="7"/>
      <c r="AQ1386" s="7"/>
      <c r="AR1386" s="7"/>
      <c r="AS1386" s="7"/>
    </row>
    <row r="1387" spans="1:45" x14ac:dyDescent="0.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Q1387" s="7"/>
      <c r="R1387" s="7"/>
      <c r="S1387" s="7"/>
      <c r="T1387" s="7"/>
      <c r="U1387" s="7"/>
      <c r="V1387" s="7"/>
      <c r="AC1387" s="7"/>
      <c r="AD1387" s="7"/>
      <c r="AE1387" s="7"/>
      <c r="AF1387" s="7"/>
      <c r="AG1387" s="7"/>
      <c r="AO1387" s="7"/>
      <c r="AP1387" s="7"/>
      <c r="AQ1387" s="7"/>
      <c r="AR1387" s="7"/>
      <c r="AS1387" s="7"/>
    </row>
    <row r="1388" spans="1:45" x14ac:dyDescent="0.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Q1388" s="7"/>
      <c r="R1388" s="7"/>
      <c r="S1388" s="7"/>
      <c r="T1388" s="7"/>
      <c r="U1388" s="7"/>
      <c r="V1388" s="7"/>
      <c r="AC1388" s="7"/>
      <c r="AD1388" s="7"/>
      <c r="AE1388" s="7"/>
      <c r="AF1388" s="7"/>
      <c r="AG1388" s="7"/>
      <c r="AO1388" s="7"/>
      <c r="AP1388" s="7"/>
      <c r="AQ1388" s="7"/>
      <c r="AR1388" s="7"/>
      <c r="AS1388" s="7"/>
    </row>
    <row r="1389" spans="1:45" x14ac:dyDescent="0.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Q1389" s="7"/>
      <c r="R1389" s="7"/>
      <c r="S1389" s="7"/>
      <c r="T1389" s="7"/>
      <c r="U1389" s="7"/>
      <c r="V1389" s="7"/>
      <c r="AC1389" s="7"/>
      <c r="AD1389" s="7"/>
      <c r="AE1389" s="7"/>
      <c r="AF1389" s="7"/>
      <c r="AG1389" s="7"/>
      <c r="AO1389" s="7"/>
      <c r="AP1389" s="7"/>
      <c r="AQ1389" s="7"/>
      <c r="AR1389" s="7"/>
      <c r="AS1389" s="7"/>
    </row>
    <row r="1390" spans="1:45" x14ac:dyDescent="0.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Q1390" s="7"/>
      <c r="R1390" s="7"/>
      <c r="S1390" s="7"/>
      <c r="T1390" s="7"/>
      <c r="U1390" s="7"/>
      <c r="V1390" s="7"/>
      <c r="AC1390" s="7"/>
      <c r="AD1390" s="7"/>
      <c r="AE1390" s="7"/>
      <c r="AF1390" s="7"/>
      <c r="AG1390" s="7"/>
      <c r="AO1390" s="7"/>
      <c r="AP1390" s="7"/>
      <c r="AQ1390" s="7"/>
      <c r="AR1390" s="7"/>
      <c r="AS1390" s="7"/>
    </row>
    <row r="1391" spans="1:45" x14ac:dyDescent="0.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Q1391" s="7"/>
      <c r="R1391" s="7"/>
      <c r="S1391" s="7"/>
      <c r="T1391" s="7"/>
      <c r="U1391" s="7"/>
      <c r="V1391" s="7"/>
      <c r="AC1391" s="7"/>
      <c r="AD1391" s="7"/>
      <c r="AE1391" s="7"/>
      <c r="AF1391" s="7"/>
      <c r="AG1391" s="7"/>
      <c r="AO1391" s="7"/>
      <c r="AP1391" s="7"/>
      <c r="AQ1391" s="7"/>
      <c r="AR1391" s="7"/>
      <c r="AS1391" s="7"/>
    </row>
    <row r="1392" spans="1:45" x14ac:dyDescent="0.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Q1392" s="7"/>
      <c r="R1392" s="7"/>
      <c r="S1392" s="7"/>
      <c r="T1392" s="7"/>
      <c r="U1392" s="7"/>
      <c r="V1392" s="7"/>
      <c r="AC1392" s="7"/>
      <c r="AD1392" s="7"/>
      <c r="AE1392" s="7"/>
      <c r="AF1392" s="7"/>
      <c r="AG1392" s="7"/>
      <c r="AO1392" s="7"/>
      <c r="AP1392" s="7"/>
      <c r="AQ1392" s="7"/>
      <c r="AR1392" s="7"/>
      <c r="AS1392" s="7"/>
    </row>
    <row r="1393" spans="1:45" x14ac:dyDescent="0.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Q1393" s="7"/>
      <c r="R1393" s="7"/>
      <c r="S1393" s="7"/>
      <c r="T1393" s="7"/>
      <c r="U1393" s="7"/>
      <c r="V1393" s="7"/>
      <c r="AC1393" s="7"/>
      <c r="AD1393" s="7"/>
      <c r="AE1393" s="7"/>
      <c r="AF1393" s="7"/>
      <c r="AG1393" s="7"/>
      <c r="AO1393" s="7"/>
      <c r="AP1393" s="7"/>
      <c r="AQ1393" s="7"/>
      <c r="AR1393" s="7"/>
      <c r="AS1393" s="7"/>
    </row>
    <row r="1394" spans="1:45" x14ac:dyDescent="0.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Q1394" s="7"/>
      <c r="R1394" s="7"/>
      <c r="S1394" s="7"/>
      <c r="T1394" s="7"/>
      <c r="U1394" s="7"/>
      <c r="V1394" s="7"/>
      <c r="AC1394" s="7"/>
      <c r="AD1394" s="7"/>
      <c r="AE1394" s="7"/>
      <c r="AF1394" s="7"/>
      <c r="AG1394" s="7"/>
      <c r="AO1394" s="7"/>
      <c r="AP1394" s="7"/>
      <c r="AQ1394" s="7"/>
      <c r="AR1394" s="7"/>
      <c r="AS1394" s="7"/>
    </row>
    <row r="1395" spans="1:45" x14ac:dyDescent="0.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Q1395" s="7"/>
      <c r="R1395" s="7"/>
      <c r="S1395" s="7"/>
      <c r="T1395" s="7"/>
      <c r="U1395" s="7"/>
      <c r="V1395" s="7"/>
      <c r="AC1395" s="7"/>
      <c r="AD1395" s="7"/>
      <c r="AE1395" s="7"/>
      <c r="AF1395" s="7"/>
      <c r="AG1395" s="7"/>
      <c r="AO1395" s="7"/>
      <c r="AP1395" s="7"/>
      <c r="AQ1395" s="7"/>
      <c r="AR1395" s="7"/>
      <c r="AS1395" s="7"/>
    </row>
    <row r="1396" spans="1:45" x14ac:dyDescent="0.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Q1396" s="7"/>
      <c r="R1396" s="7"/>
      <c r="S1396" s="7"/>
      <c r="T1396" s="7"/>
      <c r="U1396" s="7"/>
      <c r="V1396" s="7"/>
      <c r="AC1396" s="7"/>
      <c r="AD1396" s="7"/>
      <c r="AE1396" s="7"/>
      <c r="AF1396" s="7"/>
      <c r="AG1396" s="7"/>
      <c r="AO1396" s="7"/>
      <c r="AP1396" s="7"/>
      <c r="AQ1396" s="7"/>
      <c r="AR1396" s="7"/>
      <c r="AS1396" s="7"/>
    </row>
    <row r="1397" spans="1:45" x14ac:dyDescent="0.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Q1397" s="7"/>
      <c r="R1397" s="7"/>
      <c r="S1397" s="7"/>
      <c r="T1397" s="7"/>
      <c r="U1397" s="7"/>
      <c r="V1397" s="7"/>
      <c r="AC1397" s="7"/>
      <c r="AD1397" s="7"/>
      <c r="AE1397" s="7"/>
      <c r="AF1397" s="7"/>
      <c r="AG1397" s="7"/>
      <c r="AO1397" s="7"/>
      <c r="AP1397" s="7"/>
      <c r="AQ1397" s="7"/>
      <c r="AR1397" s="7"/>
      <c r="AS1397" s="7"/>
    </row>
    <row r="1398" spans="1:45" x14ac:dyDescent="0.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Q1398" s="7"/>
      <c r="R1398" s="7"/>
      <c r="S1398" s="7"/>
      <c r="T1398" s="7"/>
      <c r="U1398" s="7"/>
      <c r="V1398" s="7"/>
      <c r="AC1398" s="7"/>
      <c r="AD1398" s="7"/>
      <c r="AE1398" s="7"/>
      <c r="AF1398" s="7"/>
      <c r="AG1398" s="7"/>
      <c r="AO1398" s="7"/>
      <c r="AP1398" s="7"/>
      <c r="AQ1398" s="7"/>
      <c r="AR1398" s="7"/>
      <c r="AS1398" s="7"/>
    </row>
    <row r="1399" spans="1:45" x14ac:dyDescent="0.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Q1399" s="7"/>
      <c r="R1399" s="7"/>
      <c r="S1399" s="7"/>
      <c r="T1399" s="7"/>
      <c r="U1399" s="7"/>
      <c r="V1399" s="7"/>
      <c r="AC1399" s="7"/>
      <c r="AD1399" s="7"/>
      <c r="AE1399" s="7"/>
      <c r="AF1399" s="7"/>
      <c r="AG1399" s="7"/>
      <c r="AO1399" s="7"/>
      <c r="AP1399" s="7"/>
      <c r="AQ1399" s="7"/>
      <c r="AR1399" s="7"/>
      <c r="AS1399" s="7"/>
    </row>
    <row r="1400" spans="1:45" x14ac:dyDescent="0.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Q1400" s="7"/>
      <c r="R1400" s="7"/>
      <c r="S1400" s="7"/>
      <c r="T1400" s="7"/>
      <c r="U1400" s="7"/>
      <c r="V1400" s="7"/>
      <c r="AC1400" s="7"/>
      <c r="AD1400" s="7"/>
      <c r="AE1400" s="7"/>
      <c r="AF1400" s="7"/>
      <c r="AG1400" s="7"/>
      <c r="AO1400" s="7"/>
      <c r="AP1400" s="7"/>
      <c r="AQ1400" s="7"/>
      <c r="AR1400" s="7"/>
      <c r="AS1400" s="7"/>
    </row>
    <row r="1401" spans="1:45" x14ac:dyDescent="0.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Q1401" s="7"/>
      <c r="R1401" s="7"/>
      <c r="S1401" s="7"/>
      <c r="T1401" s="7"/>
      <c r="U1401" s="7"/>
      <c r="V1401" s="7"/>
      <c r="AC1401" s="7"/>
      <c r="AD1401" s="7"/>
      <c r="AE1401" s="7"/>
      <c r="AF1401" s="7"/>
      <c r="AG1401" s="7"/>
      <c r="AO1401" s="7"/>
      <c r="AP1401" s="7"/>
      <c r="AQ1401" s="7"/>
      <c r="AR1401" s="7"/>
      <c r="AS1401" s="7"/>
    </row>
    <row r="1402" spans="1:45" x14ac:dyDescent="0.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Q1402" s="7"/>
      <c r="R1402" s="7"/>
      <c r="S1402" s="7"/>
      <c r="T1402" s="7"/>
      <c r="U1402" s="7"/>
      <c r="V1402" s="7"/>
      <c r="AC1402" s="7"/>
      <c r="AD1402" s="7"/>
      <c r="AE1402" s="7"/>
      <c r="AF1402" s="7"/>
      <c r="AG1402" s="7"/>
      <c r="AO1402" s="7"/>
      <c r="AP1402" s="7"/>
      <c r="AQ1402" s="7"/>
      <c r="AR1402" s="7"/>
      <c r="AS1402" s="7"/>
    </row>
    <row r="1403" spans="1:45" x14ac:dyDescent="0.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Q1403" s="7"/>
      <c r="R1403" s="7"/>
      <c r="S1403" s="7"/>
      <c r="T1403" s="7"/>
      <c r="U1403" s="7"/>
      <c r="V1403" s="7"/>
      <c r="AC1403" s="7"/>
      <c r="AD1403" s="7"/>
      <c r="AE1403" s="7"/>
      <c r="AF1403" s="7"/>
      <c r="AG1403" s="7"/>
      <c r="AO1403" s="7"/>
      <c r="AP1403" s="7"/>
      <c r="AQ1403" s="7"/>
      <c r="AR1403" s="7"/>
      <c r="AS1403" s="7"/>
    </row>
    <row r="1404" spans="1:45" x14ac:dyDescent="0.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Q1404" s="7"/>
      <c r="R1404" s="7"/>
      <c r="S1404" s="7"/>
      <c r="T1404" s="7"/>
      <c r="U1404" s="7"/>
      <c r="V1404" s="7"/>
      <c r="AC1404" s="7"/>
      <c r="AD1404" s="7"/>
      <c r="AE1404" s="7"/>
      <c r="AF1404" s="7"/>
      <c r="AG1404" s="7"/>
      <c r="AO1404" s="7"/>
      <c r="AP1404" s="7"/>
      <c r="AQ1404" s="7"/>
      <c r="AR1404" s="7"/>
      <c r="AS1404" s="7"/>
    </row>
    <row r="1405" spans="1:45" x14ac:dyDescent="0.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Q1405" s="7"/>
      <c r="R1405" s="7"/>
      <c r="S1405" s="7"/>
      <c r="T1405" s="7"/>
      <c r="U1405" s="7"/>
      <c r="V1405" s="7"/>
      <c r="AC1405" s="7"/>
      <c r="AD1405" s="7"/>
      <c r="AE1405" s="7"/>
      <c r="AF1405" s="7"/>
      <c r="AG1405" s="7"/>
      <c r="AO1405" s="7"/>
      <c r="AP1405" s="7"/>
      <c r="AQ1405" s="7"/>
      <c r="AR1405" s="7"/>
      <c r="AS1405" s="7"/>
    </row>
    <row r="1406" spans="1:45" x14ac:dyDescent="0.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Q1406" s="7"/>
      <c r="R1406" s="7"/>
      <c r="S1406" s="7"/>
      <c r="T1406" s="7"/>
      <c r="U1406" s="7"/>
      <c r="V1406" s="7"/>
      <c r="AC1406" s="7"/>
      <c r="AD1406" s="7"/>
      <c r="AE1406" s="7"/>
      <c r="AF1406" s="7"/>
      <c r="AG1406" s="7"/>
      <c r="AO1406" s="7"/>
      <c r="AP1406" s="7"/>
      <c r="AQ1406" s="7"/>
      <c r="AR1406" s="7"/>
      <c r="AS1406" s="7"/>
    </row>
    <row r="1407" spans="1:45" x14ac:dyDescent="0.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Q1407" s="7"/>
      <c r="R1407" s="7"/>
      <c r="S1407" s="7"/>
      <c r="T1407" s="7"/>
      <c r="U1407" s="7"/>
      <c r="V1407" s="7"/>
      <c r="AC1407" s="7"/>
      <c r="AD1407" s="7"/>
      <c r="AE1407" s="7"/>
      <c r="AF1407" s="7"/>
      <c r="AG1407" s="7"/>
      <c r="AO1407" s="7"/>
      <c r="AP1407" s="7"/>
      <c r="AQ1407" s="7"/>
      <c r="AR1407" s="7"/>
      <c r="AS1407" s="7"/>
    </row>
    <row r="1408" spans="1:45" x14ac:dyDescent="0.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Q1408" s="7"/>
      <c r="R1408" s="7"/>
      <c r="S1408" s="7"/>
      <c r="T1408" s="7"/>
      <c r="U1408" s="7"/>
      <c r="V1408" s="7"/>
      <c r="AC1408" s="7"/>
      <c r="AD1408" s="7"/>
      <c r="AE1408" s="7"/>
      <c r="AF1408" s="7"/>
      <c r="AG1408" s="7"/>
      <c r="AO1408" s="7"/>
      <c r="AP1408" s="7"/>
      <c r="AQ1408" s="7"/>
      <c r="AR1408" s="7"/>
      <c r="AS1408" s="7"/>
    </row>
    <row r="1409" spans="1:45" x14ac:dyDescent="0.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Q1409" s="7"/>
      <c r="R1409" s="7"/>
      <c r="S1409" s="7"/>
      <c r="T1409" s="7"/>
      <c r="U1409" s="7"/>
      <c r="V1409" s="7"/>
      <c r="AC1409" s="7"/>
      <c r="AD1409" s="7"/>
      <c r="AE1409" s="7"/>
      <c r="AF1409" s="7"/>
      <c r="AG1409" s="7"/>
      <c r="AO1409" s="7"/>
      <c r="AP1409" s="7"/>
      <c r="AQ1409" s="7"/>
      <c r="AR1409" s="7"/>
      <c r="AS1409" s="7"/>
    </row>
    <row r="1410" spans="1:45" x14ac:dyDescent="0.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Q1410" s="7"/>
      <c r="R1410" s="7"/>
      <c r="S1410" s="7"/>
      <c r="T1410" s="7"/>
      <c r="U1410" s="7"/>
      <c r="V1410" s="7"/>
      <c r="AC1410" s="7"/>
      <c r="AD1410" s="7"/>
      <c r="AE1410" s="7"/>
      <c r="AF1410" s="7"/>
      <c r="AG1410" s="7"/>
      <c r="AO1410" s="7"/>
      <c r="AP1410" s="7"/>
      <c r="AQ1410" s="7"/>
      <c r="AR1410" s="7"/>
      <c r="AS1410" s="7"/>
    </row>
    <row r="1411" spans="1:45" x14ac:dyDescent="0.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Q1411" s="7"/>
      <c r="R1411" s="7"/>
      <c r="S1411" s="7"/>
      <c r="T1411" s="7"/>
      <c r="U1411" s="7"/>
      <c r="V1411" s="7"/>
      <c r="AC1411" s="7"/>
      <c r="AD1411" s="7"/>
      <c r="AE1411" s="7"/>
      <c r="AF1411" s="7"/>
      <c r="AG1411" s="7"/>
      <c r="AO1411" s="7"/>
      <c r="AP1411" s="7"/>
      <c r="AQ1411" s="7"/>
      <c r="AR1411" s="7"/>
      <c r="AS1411" s="7"/>
    </row>
    <row r="1412" spans="1:45" x14ac:dyDescent="0.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Q1412" s="7"/>
      <c r="R1412" s="7"/>
      <c r="S1412" s="7"/>
      <c r="T1412" s="7"/>
      <c r="U1412" s="7"/>
      <c r="V1412" s="7"/>
      <c r="AC1412" s="7"/>
      <c r="AD1412" s="7"/>
      <c r="AE1412" s="7"/>
      <c r="AF1412" s="7"/>
      <c r="AG1412" s="7"/>
      <c r="AO1412" s="7"/>
      <c r="AP1412" s="7"/>
      <c r="AQ1412" s="7"/>
      <c r="AR1412" s="7"/>
      <c r="AS1412" s="7"/>
    </row>
    <row r="1413" spans="1:45" x14ac:dyDescent="0.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Q1413" s="7"/>
      <c r="R1413" s="7"/>
      <c r="S1413" s="7"/>
      <c r="T1413" s="7"/>
      <c r="U1413" s="7"/>
      <c r="V1413" s="7"/>
      <c r="AC1413" s="7"/>
      <c r="AD1413" s="7"/>
      <c r="AE1413" s="7"/>
      <c r="AF1413" s="7"/>
      <c r="AG1413" s="7"/>
      <c r="AO1413" s="7"/>
      <c r="AP1413" s="7"/>
      <c r="AQ1413" s="7"/>
      <c r="AR1413" s="7"/>
      <c r="AS1413" s="7"/>
    </row>
    <row r="1414" spans="1:45" x14ac:dyDescent="0.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Q1414" s="7"/>
      <c r="R1414" s="7"/>
      <c r="S1414" s="7"/>
      <c r="T1414" s="7"/>
      <c r="U1414" s="7"/>
      <c r="V1414" s="7"/>
      <c r="AC1414" s="7"/>
      <c r="AD1414" s="7"/>
      <c r="AE1414" s="7"/>
      <c r="AF1414" s="7"/>
      <c r="AG1414" s="7"/>
      <c r="AO1414" s="7"/>
      <c r="AP1414" s="7"/>
      <c r="AQ1414" s="7"/>
      <c r="AR1414" s="7"/>
      <c r="AS1414" s="7"/>
    </row>
    <row r="1415" spans="1:45" x14ac:dyDescent="0.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Q1415" s="7"/>
      <c r="R1415" s="7"/>
      <c r="S1415" s="7"/>
      <c r="T1415" s="7"/>
      <c r="U1415" s="7"/>
      <c r="V1415" s="7"/>
      <c r="AC1415" s="7"/>
      <c r="AD1415" s="7"/>
      <c r="AE1415" s="7"/>
      <c r="AF1415" s="7"/>
      <c r="AG1415" s="7"/>
      <c r="AO1415" s="7"/>
      <c r="AP1415" s="7"/>
      <c r="AQ1415" s="7"/>
      <c r="AR1415" s="7"/>
      <c r="AS1415" s="7"/>
    </row>
    <row r="1416" spans="1:45" x14ac:dyDescent="0.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Q1416" s="7"/>
      <c r="R1416" s="7"/>
      <c r="S1416" s="7"/>
      <c r="T1416" s="7"/>
      <c r="U1416" s="7"/>
      <c r="V1416" s="7"/>
      <c r="AC1416" s="7"/>
      <c r="AD1416" s="7"/>
      <c r="AE1416" s="7"/>
      <c r="AF1416" s="7"/>
      <c r="AG1416" s="7"/>
      <c r="AO1416" s="7"/>
      <c r="AP1416" s="7"/>
      <c r="AQ1416" s="7"/>
      <c r="AR1416" s="7"/>
      <c r="AS1416" s="7"/>
    </row>
    <row r="1417" spans="1:45" x14ac:dyDescent="0.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Q1417" s="7"/>
      <c r="R1417" s="7"/>
      <c r="S1417" s="7"/>
      <c r="T1417" s="7"/>
      <c r="U1417" s="7"/>
      <c r="V1417" s="7"/>
      <c r="AC1417" s="7"/>
      <c r="AD1417" s="7"/>
      <c r="AE1417" s="7"/>
      <c r="AF1417" s="7"/>
      <c r="AG1417" s="7"/>
      <c r="AO1417" s="7"/>
      <c r="AP1417" s="7"/>
      <c r="AQ1417" s="7"/>
      <c r="AR1417" s="7"/>
      <c r="AS1417" s="7"/>
    </row>
    <row r="1418" spans="1:45" x14ac:dyDescent="0.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Q1418" s="7"/>
      <c r="R1418" s="7"/>
      <c r="S1418" s="7"/>
      <c r="T1418" s="7"/>
      <c r="U1418" s="7"/>
      <c r="V1418" s="7"/>
      <c r="AC1418" s="7"/>
      <c r="AD1418" s="7"/>
      <c r="AE1418" s="7"/>
      <c r="AF1418" s="7"/>
      <c r="AG1418" s="7"/>
      <c r="AO1418" s="7"/>
      <c r="AP1418" s="7"/>
      <c r="AQ1418" s="7"/>
      <c r="AR1418" s="7"/>
      <c r="AS1418" s="7"/>
    </row>
    <row r="1419" spans="1:45" x14ac:dyDescent="0.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Q1419" s="7"/>
      <c r="R1419" s="7"/>
      <c r="S1419" s="7"/>
      <c r="T1419" s="7"/>
      <c r="U1419" s="7"/>
      <c r="V1419" s="7"/>
      <c r="AC1419" s="7"/>
      <c r="AD1419" s="7"/>
      <c r="AE1419" s="7"/>
      <c r="AF1419" s="7"/>
      <c r="AG1419" s="7"/>
      <c r="AO1419" s="7"/>
      <c r="AP1419" s="7"/>
      <c r="AQ1419" s="7"/>
      <c r="AR1419" s="7"/>
      <c r="AS1419" s="7"/>
    </row>
    <row r="1420" spans="1:45" x14ac:dyDescent="0.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Q1420" s="7"/>
      <c r="R1420" s="7"/>
      <c r="S1420" s="7"/>
      <c r="T1420" s="7"/>
      <c r="U1420" s="7"/>
      <c r="V1420" s="7"/>
      <c r="AC1420" s="7"/>
      <c r="AD1420" s="7"/>
      <c r="AE1420" s="7"/>
      <c r="AF1420" s="7"/>
      <c r="AG1420" s="7"/>
      <c r="AO1420" s="7"/>
      <c r="AP1420" s="7"/>
      <c r="AQ1420" s="7"/>
      <c r="AR1420" s="7"/>
      <c r="AS1420" s="7"/>
    </row>
    <row r="1421" spans="1:45" x14ac:dyDescent="0.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Q1421" s="7"/>
      <c r="R1421" s="7"/>
      <c r="S1421" s="7"/>
      <c r="T1421" s="7"/>
      <c r="U1421" s="7"/>
      <c r="V1421" s="7"/>
      <c r="AC1421" s="7"/>
      <c r="AD1421" s="7"/>
      <c r="AE1421" s="7"/>
      <c r="AF1421" s="7"/>
      <c r="AG1421" s="7"/>
      <c r="AO1421" s="7"/>
      <c r="AP1421" s="7"/>
      <c r="AQ1421" s="7"/>
      <c r="AR1421" s="7"/>
      <c r="AS1421" s="7"/>
    </row>
    <row r="1422" spans="1:45" x14ac:dyDescent="0.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Q1422" s="7"/>
      <c r="R1422" s="7"/>
      <c r="S1422" s="7"/>
      <c r="T1422" s="7"/>
      <c r="U1422" s="7"/>
      <c r="V1422" s="7"/>
      <c r="AC1422" s="7"/>
      <c r="AD1422" s="7"/>
      <c r="AE1422" s="7"/>
      <c r="AF1422" s="7"/>
      <c r="AG1422" s="7"/>
      <c r="AO1422" s="7"/>
      <c r="AP1422" s="7"/>
      <c r="AQ1422" s="7"/>
      <c r="AR1422" s="7"/>
      <c r="AS1422" s="7"/>
    </row>
    <row r="1423" spans="1:45" x14ac:dyDescent="0.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Q1423" s="7"/>
      <c r="R1423" s="7"/>
      <c r="S1423" s="7"/>
      <c r="T1423" s="7"/>
      <c r="U1423" s="7"/>
      <c r="V1423" s="7"/>
      <c r="AC1423" s="7"/>
      <c r="AD1423" s="7"/>
      <c r="AE1423" s="7"/>
      <c r="AF1423" s="7"/>
      <c r="AG1423" s="7"/>
      <c r="AO1423" s="7"/>
      <c r="AP1423" s="7"/>
      <c r="AQ1423" s="7"/>
      <c r="AR1423" s="7"/>
      <c r="AS1423" s="7"/>
    </row>
    <row r="1424" spans="1:45" x14ac:dyDescent="0.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Q1424" s="7"/>
      <c r="R1424" s="7"/>
      <c r="S1424" s="7"/>
      <c r="T1424" s="7"/>
      <c r="U1424" s="7"/>
      <c r="V1424" s="7"/>
      <c r="AC1424" s="7"/>
      <c r="AD1424" s="7"/>
      <c r="AE1424" s="7"/>
      <c r="AF1424" s="7"/>
      <c r="AG1424" s="7"/>
      <c r="AO1424" s="7"/>
      <c r="AP1424" s="7"/>
      <c r="AQ1424" s="7"/>
      <c r="AR1424" s="7"/>
      <c r="AS1424" s="7"/>
    </row>
    <row r="1425" spans="1:45" x14ac:dyDescent="0.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Q1425" s="7"/>
      <c r="R1425" s="7"/>
      <c r="S1425" s="7"/>
      <c r="T1425" s="7"/>
      <c r="U1425" s="7"/>
      <c r="V1425" s="7"/>
      <c r="AC1425" s="7"/>
      <c r="AD1425" s="7"/>
      <c r="AE1425" s="7"/>
      <c r="AF1425" s="7"/>
      <c r="AG1425" s="7"/>
      <c r="AO1425" s="7"/>
      <c r="AP1425" s="7"/>
      <c r="AQ1425" s="7"/>
      <c r="AR1425" s="7"/>
      <c r="AS1425" s="7"/>
    </row>
    <row r="1426" spans="1:45" x14ac:dyDescent="0.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Q1426" s="7"/>
      <c r="R1426" s="7"/>
      <c r="S1426" s="7"/>
      <c r="T1426" s="7"/>
      <c r="U1426" s="7"/>
      <c r="V1426" s="7"/>
      <c r="AC1426" s="7"/>
      <c r="AD1426" s="7"/>
      <c r="AE1426" s="7"/>
      <c r="AF1426" s="7"/>
      <c r="AG1426" s="7"/>
      <c r="AO1426" s="7"/>
      <c r="AP1426" s="7"/>
      <c r="AQ1426" s="7"/>
      <c r="AR1426" s="7"/>
      <c r="AS1426" s="7"/>
    </row>
    <row r="1427" spans="1:45" x14ac:dyDescent="0.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Q1427" s="7"/>
      <c r="R1427" s="7"/>
      <c r="S1427" s="7"/>
      <c r="T1427" s="7"/>
      <c r="U1427" s="7"/>
      <c r="V1427" s="7"/>
      <c r="AC1427" s="7"/>
      <c r="AD1427" s="7"/>
      <c r="AE1427" s="7"/>
      <c r="AF1427" s="7"/>
      <c r="AG1427" s="7"/>
      <c r="AO1427" s="7"/>
      <c r="AP1427" s="7"/>
      <c r="AQ1427" s="7"/>
      <c r="AR1427" s="7"/>
      <c r="AS1427" s="7"/>
    </row>
    <row r="1428" spans="1:45" x14ac:dyDescent="0.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Q1428" s="7"/>
      <c r="R1428" s="7"/>
      <c r="S1428" s="7"/>
      <c r="T1428" s="7"/>
      <c r="U1428" s="7"/>
      <c r="V1428" s="7"/>
      <c r="AC1428" s="7"/>
      <c r="AD1428" s="7"/>
      <c r="AE1428" s="7"/>
      <c r="AF1428" s="7"/>
      <c r="AG1428" s="7"/>
      <c r="AO1428" s="7"/>
      <c r="AP1428" s="7"/>
      <c r="AQ1428" s="7"/>
      <c r="AR1428" s="7"/>
      <c r="AS1428" s="7"/>
    </row>
    <row r="1429" spans="1:45" x14ac:dyDescent="0.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Q1429" s="7"/>
      <c r="R1429" s="7"/>
      <c r="S1429" s="7"/>
      <c r="T1429" s="7"/>
      <c r="U1429" s="7"/>
      <c r="V1429" s="7"/>
      <c r="AC1429" s="7"/>
      <c r="AD1429" s="7"/>
      <c r="AE1429" s="7"/>
      <c r="AF1429" s="7"/>
      <c r="AG1429" s="7"/>
      <c r="AO1429" s="7"/>
      <c r="AP1429" s="7"/>
      <c r="AQ1429" s="7"/>
      <c r="AR1429" s="7"/>
      <c r="AS1429" s="7"/>
    </row>
    <row r="1430" spans="1:45" x14ac:dyDescent="0.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Q1430" s="7"/>
      <c r="R1430" s="7"/>
      <c r="S1430" s="7"/>
      <c r="T1430" s="7"/>
      <c r="U1430" s="7"/>
      <c r="V1430" s="7"/>
      <c r="AC1430" s="7"/>
      <c r="AD1430" s="7"/>
      <c r="AE1430" s="7"/>
      <c r="AF1430" s="7"/>
      <c r="AG1430" s="7"/>
      <c r="AO1430" s="7"/>
      <c r="AP1430" s="7"/>
      <c r="AQ1430" s="7"/>
      <c r="AR1430" s="7"/>
      <c r="AS1430" s="7"/>
    </row>
    <row r="1431" spans="1:45" x14ac:dyDescent="0.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Q1431" s="7"/>
      <c r="R1431" s="7"/>
      <c r="S1431" s="7"/>
      <c r="T1431" s="7"/>
      <c r="U1431" s="7"/>
      <c r="V1431" s="7"/>
      <c r="AC1431" s="7"/>
      <c r="AD1431" s="7"/>
      <c r="AE1431" s="7"/>
      <c r="AF1431" s="7"/>
      <c r="AG1431" s="7"/>
      <c r="AO1431" s="7"/>
      <c r="AP1431" s="7"/>
      <c r="AQ1431" s="7"/>
      <c r="AR1431" s="7"/>
      <c r="AS1431" s="7"/>
    </row>
    <row r="1432" spans="1:45" x14ac:dyDescent="0.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Q1432" s="7"/>
      <c r="R1432" s="7"/>
      <c r="S1432" s="7"/>
      <c r="T1432" s="7"/>
      <c r="U1432" s="7"/>
      <c r="V1432" s="7"/>
      <c r="AC1432" s="7"/>
      <c r="AD1432" s="7"/>
      <c r="AE1432" s="7"/>
      <c r="AF1432" s="7"/>
      <c r="AG1432" s="7"/>
      <c r="AO1432" s="7"/>
      <c r="AP1432" s="7"/>
      <c r="AQ1432" s="7"/>
      <c r="AR1432" s="7"/>
      <c r="AS1432" s="7"/>
    </row>
    <row r="1433" spans="1:45" x14ac:dyDescent="0.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Q1433" s="7"/>
      <c r="R1433" s="7"/>
      <c r="S1433" s="7"/>
      <c r="T1433" s="7"/>
      <c r="U1433" s="7"/>
      <c r="V1433" s="7"/>
      <c r="AC1433" s="7"/>
      <c r="AD1433" s="7"/>
      <c r="AE1433" s="7"/>
      <c r="AF1433" s="7"/>
      <c r="AG1433" s="7"/>
      <c r="AO1433" s="7"/>
      <c r="AP1433" s="7"/>
      <c r="AQ1433" s="7"/>
      <c r="AR1433" s="7"/>
      <c r="AS1433" s="7"/>
    </row>
    <row r="1434" spans="1:45" x14ac:dyDescent="0.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Q1434" s="7"/>
      <c r="R1434" s="7"/>
      <c r="S1434" s="7"/>
      <c r="T1434" s="7"/>
      <c r="U1434" s="7"/>
      <c r="V1434" s="7"/>
      <c r="AC1434" s="7"/>
      <c r="AD1434" s="7"/>
      <c r="AE1434" s="7"/>
      <c r="AF1434" s="7"/>
      <c r="AG1434" s="7"/>
      <c r="AO1434" s="7"/>
      <c r="AP1434" s="7"/>
      <c r="AQ1434" s="7"/>
      <c r="AR1434" s="7"/>
      <c r="AS1434" s="7"/>
    </row>
    <row r="1435" spans="1:45" x14ac:dyDescent="0.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Q1435" s="7"/>
      <c r="R1435" s="7"/>
      <c r="S1435" s="7"/>
      <c r="T1435" s="7"/>
      <c r="U1435" s="7"/>
      <c r="V1435" s="7"/>
      <c r="AC1435" s="7"/>
      <c r="AD1435" s="7"/>
      <c r="AE1435" s="7"/>
      <c r="AF1435" s="7"/>
      <c r="AG1435" s="7"/>
      <c r="AO1435" s="7"/>
      <c r="AP1435" s="7"/>
      <c r="AQ1435" s="7"/>
      <c r="AR1435" s="7"/>
      <c r="AS1435" s="7"/>
    </row>
    <row r="1436" spans="1:45" x14ac:dyDescent="0.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Q1436" s="7"/>
      <c r="R1436" s="7"/>
      <c r="S1436" s="7"/>
      <c r="T1436" s="7"/>
      <c r="U1436" s="7"/>
      <c r="V1436" s="7"/>
      <c r="AC1436" s="7"/>
      <c r="AD1436" s="7"/>
      <c r="AE1436" s="7"/>
      <c r="AF1436" s="7"/>
      <c r="AG1436" s="7"/>
      <c r="AO1436" s="7"/>
      <c r="AP1436" s="7"/>
      <c r="AQ1436" s="7"/>
      <c r="AR1436" s="7"/>
      <c r="AS1436" s="7"/>
    </row>
    <row r="1437" spans="1:45" x14ac:dyDescent="0.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Q1437" s="7"/>
      <c r="R1437" s="7"/>
      <c r="S1437" s="7"/>
      <c r="T1437" s="7"/>
      <c r="U1437" s="7"/>
      <c r="V1437" s="7"/>
      <c r="AC1437" s="7"/>
      <c r="AD1437" s="7"/>
      <c r="AE1437" s="7"/>
      <c r="AF1437" s="7"/>
      <c r="AG1437" s="7"/>
      <c r="AO1437" s="7"/>
      <c r="AP1437" s="7"/>
      <c r="AQ1437" s="7"/>
      <c r="AR1437" s="7"/>
      <c r="AS1437" s="7"/>
    </row>
    <row r="1438" spans="1:45" x14ac:dyDescent="0.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Q1438" s="7"/>
      <c r="R1438" s="7"/>
      <c r="S1438" s="7"/>
      <c r="T1438" s="7"/>
      <c r="U1438" s="7"/>
      <c r="V1438" s="7"/>
      <c r="AC1438" s="7"/>
      <c r="AD1438" s="7"/>
      <c r="AE1438" s="7"/>
      <c r="AF1438" s="7"/>
      <c r="AG1438" s="7"/>
      <c r="AO1438" s="7"/>
      <c r="AP1438" s="7"/>
      <c r="AQ1438" s="7"/>
      <c r="AR1438" s="7"/>
      <c r="AS1438" s="7"/>
    </row>
    <row r="1439" spans="1:45" x14ac:dyDescent="0.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Q1439" s="7"/>
      <c r="R1439" s="7"/>
      <c r="S1439" s="7"/>
      <c r="T1439" s="7"/>
      <c r="U1439" s="7"/>
      <c r="V1439" s="7"/>
      <c r="AC1439" s="7"/>
      <c r="AD1439" s="7"/>
      <c r="AE1439" s="7"/>
      <c r="AF1439" s="7"/>
      <c r="AG1439" s="7"/>
      <c r="AO1439" s="7"/>
      <c r="AP1439" s="7"/>
      <c r="AQ1439" s="7"/>
      <c r="AR1439" s="7"/>
      <c r="AS1439" s="7"/>
    </row>
    <row r="1440" spans="1:45" x14ac:dyDescent="0.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Q1440" s="7"/>
      <c r="R1440" s="7"/>
      <c r="S1440" s="7"/>
      <c r="T1440" s="7"/>
      <c r="U1440" s="7"/>
      <c r="V1440" s="7"/>
      <c r="AC1440" s="7"/>
      <c r="AD1440" s="7"/>
      <c r="AE1440" s="7"/>
      <c r="AF1440" s="7"/>
      <c r="AG1440" s="7"/>
      <c r="AO1440" s="7"/>
      <c r="AP1440" s="7"/>
      <c r="AQ1440" s="7"/>
      <c r="AR1440" s="7"/>
      <c r="AS1440" s="7"/>
    </row>
    <row r="1441" spans="1:45" x14ac:dyDescent="0.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Q1441" s="7"/>
      <c r="R1441" s="7"/>
      <c r="S1441" s="7"/>
      <c r="T1441" s="7"/>
      <c r="U1441" s="7"/>
      <c r="V1441" s="7"/>
      <c r="AC1441" s="7"/>
      <c r="AD1441" s="7"/>
      <c r="AE1441" s="7"/>
      <c r="AF1441" s="7"/>
      <c r="AG1441" s="7"/>
      <c r="AO1441" s="7"/>
      <c r="AP1441" s="7"/>
      <c r="AQ1441" s="7"/>
      <c r="AR1441" s="7"/>
      <c r="AS1441" s="7"/>
    </row>
    <row r="1442" spans="1:45" x14ac:dyDescent="0.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Q1442" s="7"/>
      <c r="R1442" s="7"/>
      <c r="S1442" s="7"/>
      <c r="T1442" s="7"/>
      <c r="U1442" s="7"/>
      <c r="V1442" s="7"/>
      <c r="AC1442" s="7"/>
      <c r="AD1442" s="7"/>
      <c r="AE1442" s="7"/>
      <c r="AF1442" s="7"/>
      <c r="AG1442" s="7"/>
      <c r="AO1442" s="7"/>
      <c r="AP1442" s="7"/>
      <c r="AQ1442" s="7"/>
      <c r="AR1442" s="7"/>
      <c r="AS1442" s="7"/>
    </row>
    <row r="1443" spans="1:45" x14ac:dyDescent="0.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Q1443" s="7"/>
      <c r="R1443" s="7"/>
      <c r="S1443" s="7"/>
      <c r="T1443" s="7"/>
      <c r="U1443" s="7"/>
      <c r="V1443" s="7"/>
      <c r="AC1443" s="7"/>
      <c r="AD1443" s="7"/>
      <c r="AE1443" s="7"/>
      <c r="AF1443" s="7"/>
      <c r="AG1443" s="7"/>
      <c r="AO1443" s="7"/>
      <c r="AP1443" s="7"/>
      <c r="AQ1443" s="7"/>
      <c r="AR1443" s="7"/>
      <c r="AS1443" s="7"/>
    </row>
    <row r="1444" spans="1:45" x14ac:dyDescent="0.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Q1444" s="7"/>
      <c r="R1444" s="7"/>
      <c r="S1444" s="7"/>
      <c r="T1444" s="7"/>
      <c r="U1444" s="7"/>
      <c r="V1444" s="7"/>
      <c r="AC1444" s="7"/>
      <c r="AD1444" s="7"/>
      <c r="AE1444" s="7"/>
      <c r="AF1444" s="7"/>
      <c r="AG1444" s="7"/>
      <c r="AO1444" s="7"/>
      <c r="AP1444" s="7"/>
      <c r="AQ1444" s="7"/>
      <c r="AR1444" s="7"/>
      <c r="AS1444" s="7"/>
    </row>
    <row r="1445" spans="1:45" x14ac:dyDescent="0.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Q1445" s="7"/>
      <c r="R1445" s="7"/>
      <c r="S1445" s="7"/>
      <c r="T1445" s="7"/>
      <c r="U1445" s="7"/>
      <c r="V1445" s="7"/>
      <c r="AC1445" s="7"/>
      <c r="AD1445" s="7"/>
      <c r="AE1445" s="7"/>
      <c r="AF1445" s="7"/>
      <c r="AG1445" s="7"/>
      <c r="AO1445" s="7"/>
      <c r="AP1445" s="7"/>
      <c r="AQ1445" s="7"/>
      <c r="AR1445" s="7"/>
      <c r="AS1445" s="7"/>
    </row>
    <row r="1446" spans="1:45" x14ac:dyDescent="0.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Q1446" s="7"/>
      <c r="R1446" s="7"/>
      <c r="S1446" s="7"/>
      <c r="T1446" s="7"/>
      <c r="U1446" s="7"/>
      <c r="V1446" s="7"/>
      <c r="AC1446" s="7"/>
      <c r="AD1446" s="7"/>
      <c r="AE1446" s="7"/>
      <c r="AF1446" s="7"/>
      <c r="AG1446" s="7"/>
      <c r="AO1446" s="7"/>
      <c r="AP1446" s="7"/>
      <c r="AQ1446" s="7"/>
      <c r="AR1446" s="7"/>
      <c r="AS1446" s="7"/>
    </row>
    <row r="1447" spans="1:45" x14ac:dyDescent="0.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Q1447" s="7"/>
      <c r="R1447" s="7"/>
      <c r="S1447" s="7"/>
      <c r="T1447" s="7"/>
      <c r="U1447" s="7"/>
      <c r="V1447" s="7"/>
      <c r="AC1447" s="7"/>
      <c r="AD1447" s="7"/>
      <c r="AE1447" s="7"/>
      <c r="AF1447" s="7"/>
      <c r="AG1447" s="7"/>
      <c r="AO1447" s="7"/>
      <c r="AP1447" s="7"/>
      <c r="AQ1447" s="7"/>
      <c r="AR1447" s="7"/>
      <c r="AS1447" s="7"/>
    </row>
    <row r="1448" spans="1:45" x14ac:dyDescent="0.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Q1448" s="7"/>
      <c r="R1448" s="7"/>
      <c r="S1448" s="7"/>
      <c r="T1448" s="7"/>
      <c r="U1448" s="7"/>
      <c r="V1448" s="7"/>
      <c r="AC1448" s="7"/>
      <c r="AD1448" s="7"/>
      <c r="AE1448" s="7"/>
      <c r="AF1448" s="7"/>
      <c r="AG1448" s="7"/>
      <c r="AO1448" s="7"/>
      <c r="AP1448" s="7"/>
      <c r="AQ1448" s="7"/>
      <c r="AR1448" s="7"/>
      <c r="AS1448" s="7"/>
    </row>
    <row r="1449" spans="1:45" x14ac:dyDescent="0.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Q1449" s="7"/>
      <c r="R1449" s="7"/>
      <c r="S1449" s="7"/>
      <c r="T1449" s="7"/>
      <c r="U1449" s="7"/>
      <c r="V1449" s="7"/>
      <c r="AC1449" s="7"/>
      <c r="AD1449" s="7"/>
      <c r="AE1449" s="7"/>
      <c r="AF1449" s="7"/>
      <c r="AG1449" s="7"/>
      <c r="AO1449" s="7"/>
      <c r="AP1449" s="7"/>
      <c r="AQ1449" s="7"/>
      <c r="AR1449" s="7"/>
      <c r="AS1449" s="7"/>
    </row>
    <row r="1450" spans="1:45" x14ac:dyDescent="0.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Q1450" s="7"/>
      <c r="R1450" s="7"/>
      <c r="S1450" s="7"/>
      <c r="T1450" s="7"/>
      <c r="U1450" s="7"/>
      <c r="V1450" s="7"/>
      <c r="AC1450" s="7"/>
      <c r="AD1450" s="7"/>
      <c r="AE1450" s="7"/>
      <c r="AF1450" s="7"/>
      <c r="AG1450" s="7"/>
      <c r="AO1450" s="7"/>
      <c r="AP1450" s="7"/>
      <c r="AQ1450" s="7"/>
      <c r="AR1450" s="7"/>
      <c r="AS1450" s="7"/>
    </row>
    <row r="1451" spans="1:45" x14ac:dyDescent="0.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Q1451" s="7"/>
      <c r="R1451" s="7"/>
      <c r="S1451" s="7"/>
      <c r="T1451" s="7"/>
      <c r="U1451" s="7"/>
      <c r="V1451" s="7"/>
      <c r="AC1451" s="7"/>
      <c r="AD1451" s="7"/>
      <c r="AE1451" s="7"/>
      <c r="AF1451" s="7"/>
      <c r="AG1451" s="7"/>
      <c r="AO1451" s="7"/>
      <c r="AP1451" s="7"/>
      <c r="AQ1451" s="7"/>
      <c r="AR1451" s="7"/>
      <c r="AS1451" s="7"/>
    </row>
    <row r="1452" spans="1:45" x14ac:dyDescent="0.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Q1452" s="7"/>
      <c r="R1452" s="7"/>
      <c r="S1452" s="7"/>
      <c r="T1452" s="7"/>
      <c r="U1452" s="7"/>
      <c r="V1452" s="7"/>
      <c r="AC1452" s="7"/>
      <c r="AD1452" s="7"/>
      <c r="AE1452" s="7"/>
      <c r="AF1452" s="7"/>
      <c r="AG1452" s="7"/>
      <c r="AO1452" s="7"/>
      <c r="AP1452" s="7"/>
      <c r="AQ1452" s="7"/>
      <c r="AR1452" s="7"/>
      <c r="AS1452" s="7"/>
    </row>
    <row r="1453" spans="1:45" x14ac:dyDescent="0.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Q1453" s="7"/>
      <c r="R1453" s="7"/>
      <c r="S1453" s="7"/>
      <c r="T1453" s="7"/>
      <c r="U1453" s="7"/>
      <c r="V1453" s="7"/>
      <c r="AC1453" s="7"/>
      <c r="AD1453" s="7"/>
      <c r="AE1453" s="7"/>
      <c r="AF1453" s="7"/>
      <c r="AG1453" s="7"/>
      <c r="AO1453" s="7"/>
      <c r="AP1453" s="7"/>
      <c r="AQ1453" s="7"/>
      <c r="AR1453" s="7"/>
      <c r="AS1453" s="7"/>
    </row>
    <row r="1454" spans="1:45" x14ac:dyDescent="0.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Q1454" s="7"/>
      <c r="R1454" s="7"/>
      <c r="S1454" s="7"/>
      <c r="T1454" s="7"/>
      <c r="U1454" s="7"/>
      <c r="V1454" s="7"/>
      <c r="AC1454" s="7"/>
      <c r="AD1454" s="7"/>
      <c r="AE1454" s="7"/>
      <c r="AF1454" s="7"/>
      <c r="AG1454" s="7"/>
      <c r="AO1454" s="7"/>
      <c r="AP1454" s="7"/>
      <c r="AQ1454" s="7"/>
      <c r="AR1454" s="7"/>
      <c r="AS1454" s="7"/>
    </row>
    <row r="1455" spans="1:45" x14ac:dyDescent="0.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Q1455" s="7"/>
      <c r="R1455" s="7"/>
      <c r="S1455" s="7"/>
      <c r="T1455" s="7"/>
      <c r="U1455" s="7"/>
      <c r="V1455" s="7"/>
      <c r="AC1455" s="7"/>
      <c r="AD1455" s="7"/>
      <c r="AE1455" s="7"/>
      <c r="AF1455" s="7"/>
      <c r="AG1455" s="7"/>
      <c r="AO1455" s="7"/>
      <c r="AP1455" s="7"/>
      <c r="AQ1455" s="7"/>
      <c r="AR1455" s="7"/>
      <c r="AS1455" s="7"/>
    </row>
    <row r="1456" spans="1:45" x14ac:dyDescent="0.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Q1456" s="7"/>
      <c r="R1456" s="7"/>
      <c r="S1456" s="7"/>
      <c r="T1456" s="7"/>
      <c r="U1456" s="7"/>
      <c r="V1456" s="7"/>
      <c r="AC1456" s="7"/>
      <c r="AD1456" s="7"/>
      <c r="AE1456" s="7"/>
      <c r="AF1456" s="7"/>
      <c r="AG1456" s="7"/>
      <c r="AO1456" s="7"/>
      <c r="AP1456" s="7"/>
      <c r="AQ1456" s="7"/>
      <c r="AR1456" s="7"/>
      <c r="AS1456" s="7"/>
    </row>
    <row r="1457" spans="1:45" x14ac:dyDescent="0.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Q1457" s="7"/>
      <c r="R1457" s="7"/>
      <c r="S1457" s="7"/>
      <c r="T1457" s="7"/>
      <c r="U1457" s="7"/>
      <c r="V1457" s="7"/>
      <c r="AC1457" s="7"/>
      <c r="AD1457" s="7"/>
      <c r="AE1457" s="7"/>
      <c r="AF1457" s="7"/>
      <c r="AG1457" s="7"/>
      <c r="AO1457" s="7"/>
      <c r="AP1457" s="7"/>
      <c r="AQ1457" s="7"/>
      <c r="AR1457" s="7"/>
      <c r="AS1457" s="7"/>
    </row>
    <row r="1458" spans="1:45" x14ac:dyDescent="0.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Q1458" s="7"/>
      <c r="R1458" s="7"/>
      <c r="S1458" s="7"/>
      <c r="T1458" s="7"/>
      <c r="U1458" s="7"/>
      <c r="V1458" s="7"/>
      <c r="AC1458" s="7"/>
      <c r="AD1458" s="7"/>
      <c r="AE1458" s="7"/>
      <c r="AF1458" s="7"/>
      <c r="AG1458" s="7"/>
      <c r="AO1458" s="7"/>
      <c r="AP1458" s="7"/>
      <c r="AQ1458" s="7"/>
      <c r="AR1458" s="7"/>
      <c r="AS1458" s="7"/>
    </row>
    <row r="1459" spans="1:45" x14ac:dyDescent="0.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Q1459" s="7"/>
      <c r="R1459" s="7"/>
      <c r="S1459" s="7"/>
      <c r="T1459" s="7"/>
      <c r="U1459" s="7"/>
      <c r="V1459" s="7"/>
      <c r="AC1459" s="7"/>
      <c r="AD1459" s="7"/>
      <c r="AE1459" s="7"/>
      <c r="AF1459" s="7"/>
      <c r="AG1459" s="7"/>
      <c r="AO1459" s="7"/>
      <c r="AP1459" s="7"/>
      <c r="AQ1459" s="7"/>
      <c r="AR1459" s="7"/>
      <c r="AS1459" s="7"/>
    </row>
    <row r="1460" spans="1:45" x14ac:dyDescent="0.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Q1460" s="7"/>
      <c r="R1460" s="7"/>
      <c r="S1460" s="7"/>
      <c r="T1460" s="7"/>
      <c r="U1460" s="7"/>
      <c r="V1460" s="7"/>
      <c r="AC1460" s="7"/>
      <c r="AD1460" s="7"/>
      <c r="AE1460" s="7"/>
      <c r="AF1460" s="7"/>
      <c r="AG1460" s="7"/>
      <c r="AO1460" s="7"/>
      <c r="AP1460" s="7"/>
      <c r="AQ1460" s="7"/>
      <c r="AR1460" s="7"/>
      <c r="AS1460" s="7"/>
    </row>
    <row r="1461" spans="1:45" x14ac:dyDescent="0.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Q1461" s="7"/>
      <c r="R1461" s="7"/>
      <c r="S1461" s="7"/>
      <c r="T1461" s="7"/>
      <c r="U1461" s="7"/>
      <c r="V1461" s="7"/>
      <c r="AC1461" s="7"/>
      <c r="AD1461" s="7"/>
      <c r="AE1461" s="7"/>
      <c r="AF1461" s="7"/>
      <c r="AG1461" s="7"/>
      <c r="AO1461" s="7"/>
      <c r="AP1461" s="7"/>
      <c r="AQ1461" s="7"/>
      <c r="AR1461" s="7"/>
      <c r="AS1461" s="7"/>
    </row>
    <row r="1462" spans="1:45" x14ac:dyDescent="0.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Q1462" s="7"/>
      <c r="R1462" s="7"/>
      <c r="S1462" s="7"/>
      <c r="T1462" s="7"/>
      <c r="U1462" s="7"/>
      <c r="V1462" s="7"/>
      <c r="AC1462" s="7"/>
      <c r="AD1462" s="7"/>
      <c r="AE1462" s="7"/>
      <c r="AF1462" s="7"/>
      <c r="AG1462" s="7"/>
      <c r="AO1462" s="7"/>
      <c r="AP1462" s="7"/>
      <c r="AQ1462" s="7"/>
      <c r="AR1462" s="7"/>
      <c r="AS1462" s="7"/>
    </row>
    <row r="1463" spans="1:45" x14ac:dyDescent="0.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Q1463" s="7"/>
      <c r="R1463" s="7"/>
      <c r="S1463" s="7"/>
      <c r="T1463" s="7"/>
      <c r="U1463" s="7"/>
      <c r="V1463" s="7"/>
      <c r="AC1463" s="7"/>
      <c r="AD1463" s="7"/>
      <c r="AE1463" s="7"/>
      <c r="AF1463" s="7"/>
      <c r="AG1463" s="7"/>
      <c r="AO1463" s="7"/>
      <c r="AP1463" s="7"/>
      <c r="AQ1463" s="7"/>
      <c r="AR1463" s="7"/>
      <c r="AS1463" s="7"/>
    </row>
    <row r="1464" spans="1:45" x14ac:dyDescent="0.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Q1464" s="7"/>
      <c r="R1464" s="7"/>
      <c r="S1464" s="7"/>
      <c r="T1464" s="7"/>
      <c r="U1464" s="7"/>
      <c r="V1464" s="7"/>
      <c r="AC1464" s="7"/>
      <c r="AD1464" s="7"/>
      <c r="AE1464" s="7"/>
      <c r="AF1464" s="7"/>
      <c r="AG1464" s="7"/>
      <c r="AO1464" s="7"/>
      <c r="AP1464" s="7"/>
      <c r="AQ1464" s="7"/>
      <c r="AR1464" s="7"/>
      <c r="AS1464" s="7"/>
    </row>
    <row r="1465" spans="1:45" x14ac:dyDescent="0.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Q1465" s="7"/>
      <c r="R1465" s="7"/>
      <c r="S1465" s="7"/>
      <c r="T1465" s="7"/>
      <c r="U1465" s="7"/>
      <c r="V1465" s="7"/>
      <c r="AC1465" s="7"/>
      <c r="AD1465" s="7"/>
      <c r="AE1465" s="7"/>
      <c r="AF1465" s="7"/>
      <c r="AG1465" s="7"/>
      <c r="AO1465" s="7"/>
      <c r="AP1465" s="7"/>
      <c r="AQ1465" s="7"/>
      <c r="AR1465" s="7"/>
      <c r="AS1465" s="7"/>
    </row>
    <row r="1466" spans="1:45" x14ac:dyDescent="0.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Q1466" s="7"/>
      <c r="R1466" s="7"/>
      <c r="S1466" s="7"/>
      <c r="T1466" s="7"/>
      <c r="U1466" s="7"/>
      <c r="V1466" s="7"/>
      <c r="AC1466" s="7"/>
      <c r="AD1466" s="7"/>
      <c r="AE1466" s="7"/>
      <c r="AF1466" s="7"/>
      <c r="AG1466" s="7"/>
      <c r="AO1466" s="7"/>
      <c r="AP1466" s="7"/>
      <c r="AQ1466" s="7"/>
      <c r="AR1466" s="7"/>
      <c r="AS1466" s="7"/>
    </row>
    <row r="1467" spans="1:45" x14ac:dyDescent="0.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Q1467" s="7"/>
      <c r="R1467" s="7"/>
      <c r="S1467" s="7"/>
      <c r="T1467" s="7"/>
      <c r="U1467" s="7"/>
      <c r="V1467" s="7"/>
      <c r="AC1467" s="7"/>
      <c r="AD1467" s="7"/>
      <c r="AE1467" s="7"/>
      <c r="AF1467" s="7"/>
      <c r="AG1467" s="7"/>
      <c r="AO1467" s="7"/>
      <c r="AP1467" s="7"/>
      <c r="AQ1467" s="7"/>
      <c r="AR1467" s="7"/>
      <c r="AS1467" s="7"/>
    </row>
    <row r="1468" spans="1:45" x14ac:dyDescent="0.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Q1468" s="7"/>
      <c r="R1468" s="7"/>
      <c r="S1468" s="7"/>
      <c r="T1468" s="7"/>
      <c r="U1468" s="7"/>
      <c r="V1468" s="7"/>
      <c r="AC1468" s="7"/>
      <c r="AD1468" s="7"/>
      <c r="AE1468" s="7"/>
      <c r="AF1468" s="7"/>
      <c r="AG1468" s="7"/>
      <c r="AO1468" s="7"/>
      <c r="AP1468" s="7"/>
      <c r="AQ1468" s="7"/>
      <c r="AR1468" s="7"/>
      <c r="AS1468" s="7"/>
    </row>
    <row r="1469" spans="1:45" x14ac:dyDescent="0.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Q1469" s="7"/>
      <c r="R1469" s="7"/>
      <c r="S1469" s="7"/>
      <c r="T1469" s="7"/>
      <c r="U1469" s="7"/>
      <c r="V1469" s="7"/>
      <c r="AC1469" s="7"/>
      <c r="AD1469" s="7"/>
      <c r="AE1469" s="7"/>
      <c r="AF1469" s="7"/>
      <c r="AG1469" s="7"/>
      <c r="AO1469" s="7"/>
      <c r="AP1469" s="7"/>
      <c r="AQ1469" s="7"/>
      <c r="AR1469" s="7"/>
      <c r="AS1469" s="7"/>
    </row>
    <row r="1470" spans="1:45" x14ac:dyDescent="0.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Q1470" s="7"/>
      <c r="R1470" s="7"/>
      <c r="S1470" s="7"/>
      <c r="T1470" s="7"/>
      <c r="U1470" s="7"/>
      <c r="V1470" s="7"/>
      <c r="AC1470" s="7"/>
      <c r="AD1470" s="7"/>
      <c r="AE1470" s="7"/>
      <c r="AF1470" s="7"/>
      <c r="AG1470" s="7"/>
      <c r="AO1470" s="7"/>
      <c r="AP1470" s="7"/>
      <c r="AQ1470" s="7"/>
      <c r="AR1470" s="7"/>
      <c r="AS1470" s="7"/>
    </row>
    <row r="1471" spans="1:45" x14ac:dyDescent="0.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Q1471" s="7"/>
      <c r="R1471" s="7"/>
      <c r="S1471" s="7"/>
      <c r="T1471" s="7"/>
      <c r="U1471" s="7"/>
      <c r="V1471" s="7"/>
      <c r="AC1471" s="7"/>
      <c r="AD1471" s="7"/>
      <c r="AE1471" s="7"/>
      <c r="AF1471" s="7"/>
      <c r="AG1471" s="7"/>
      <c r="AO1471" s="7"/>
      <c r="AP1471" s="7"/>
      <c r="AQ1471" s="7"/>
      <c r="AR1471" s="7"/>
      <c r="AS1471" s="7"/>
    </row>
    <row r="1472" spans="1:45" x14ac:dyDescent="0.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Q1472" s="7"/>
      <c r="R1472" s="7"/>
      <c r="S1472" s="7"/>
      <c r="T1472" s="7"/>
      <c r="U1472" s="7"/>
      <c r="V1472" s="7"/>
      <c r="AC1472" s="7"/>
      <c r="AD1472" s="7"/>
      <c r="AE1472" s="7"/>
      <c r="AF1472" s="7"/>
      <c r="AG1472" s="7"/>
      <c r="AO1472" s="7"/>
      <c r="AP1472" s="7"/>
      <c r="AQ1472" s="7"/>
      <c r="AR1472" s="7"/>
      <c r="AS1472" s="7"/>
    </row>
    <row r="1473" spans="1:45" x14ac:dyDescent="0.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Q1473" s="7"/>
      <c r="R1473" s="7"/>
      <c r="S1473" s="7"/>
      <c r="T1473" s="7"/>
      <c r="U1473" s="7"/>
      <c r="V1473" s="7"/>
      <c r="AC1473" s="7"/>
      <c r="AD1473" s="7"/>
      <c r="AE1473" s="7"/>
      <c r="AF1473" s="7"/>
      <c r="AG1473" s="7"/>
      <c r="AO1473" s="7"/>
      <c r="AP1473" s="7"/>
      <c r="AQ1473" s="7"/>
      <c r="AR1473" s="7"/>
      <c r="AS1473" s="7"/>
    </row>
    <row r="1474" spans="1:45" x14ac:dyDescent="0.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Q1474" s="7"/>
      <c r="R1474" s="7"/>
      <c r="S1474" s="7"/>
      <c r="T1474" s="7"/>
      <c r="U1474" s="7"/>
      <c r="V1474" s="7"/>
      <c r="AC1474" s="7"/>
      <c r="AD1474" s="7"/>
      <c r="AE1474" s="7"/>
      <c r="AF1474" s="7"/>
      <c r="AG1474" s="7"/>
      <c r="AO1474" s="7"/>
      <c r="AP1474" s="7"/>
      <c r="AQ1474" s="7"/>
      <c r="AR1474" s="7"/>
      <c r="AS1474" s="7"/>
    </row>
    <row r="1475" spans="1:45" x14ac:dyDescent="0.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Q1475" s="7"/>
      <c r="R1475" s="7"/>
      <c r="S1475" s="7"/>
      <c r="T1475" s="7"/>
      <c r="U1475" s="7"/>
      <c r="V1475" s="7"/>
      <c r="AC1475" s="7"/>
      <c r="AD1475" s="7"/>
      <c r="AE1475" s="7"/>
      <c r="AF1475" s="7"/>
      <c r="AG1475" s="7"/>
      <c r="AO1475" s="7"/>
      <c r="AP1475" s="7"/>
      <c r="AQ1475" s="7"/>
      <c r="AR1475" s="7"/>
      <c r="AS1475" s="7"/>
    </row>
    <row r="1476" spans="1:45" x14ac:dyDescent="0.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Q1476" s="7"/>
      <c r="R1476" s="7"/>
      <c r="S1476" s="7"/>
      <c r="T1476" s="7"/>
      <c r="U1476" s="7"/>
      <c r="V1476" s="7"/>
      <c r="AC1476" s="7"/>
      <c r="AD1476" s="7"/>
      <c r="AE1476" s="7"/>
      <c r="AF1476" s="7"/>
      <c r="AG1476" s="7"/>
      <c r="AO1476" s="7"/>
      <c r="AP1476" s="7"/>
      <c r="AQ1476" s="7"/>
      <c r="AR1476" s="7"/>
      <c r="AS1476" s="7"/>
    </row>
    <row r="1477" spans="1:45" x14ac:dyDescent="0.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Q1477" s="7"/>
      <c r="R1477" s="7"/>
      <c r="S1477" s="7"/>
      <c r="T1477" s="7"/>
      <c r="U1477" s="7"/>
      <c r="V1477" s="7"/>
      <c r="AC1477" s="7"/>
      <c r="AD1477" s="7"/>
      <c r="AE1477" s="7"/>
      <c r="AF1477" s="7"/>
      <c r="AG1477" s="7"/>
      <c r="AO1477" s="7"/>
      <c r="AP1477" s="7"/>
      <c r="AQ1477" s="7"/>
      <c r="AR1477" s="7"/>
      <c r="AS1477" s="7"/>
    </row>
    <row r="1478" spans="1:45" x14ac:dyDescent="0.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Q1478" s="7"/>
      <c r="R1478" s="7"/>
      <c r="S1478" s="7"/>
      <c r="T1478" s="7"/>
      <c r="U1478" s="7"/>
      <c r="V1478" s="7"/>
      <c r="AC1478" s="7"/>
      <c r="AD1478" s="7"/>
      <c r="AE1478" s="7"/>
      <c r="AF1478" s="7"/>
      <c r="AG1478" s="7"/>
      <c r="AO1478" s="7"/>
      <c r="AP1478" s="7"/>
      <c r="AQ1478" s="7"/>
      <c r="AR1478" s="7"/>
      <c r="AS1478" s="7"/>
    </row>
    <row r="1479" spans="1:45" x14ac:dyDescent="0.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Q1479" s="7"/>
      <c r="R1479" s="7"/>
      <c r="S1479" s="7"/>
      <c r="T1479" s="7"/>
      <c r="U1479" s="7"/>
      <c r="V1479" s="7"/>
      <c r="AC1479" s="7"/>
      <c r="AD1479" s="7"/>
      <c r="AE1479" s="7"/>
      <c r="AF1479" s="7"/>
      <c r="AG1479" s="7"/>
      <c r="AO1479" s="7"/>
      <c r="AP1479" s="7"/>
      <c r="AQ1479" s="7"/>
      <c r="AR1479" s="7"/>
      <c r="AS1479" s="7"/>
    </row>
    <row r="1480" spans="1:45" x14ac:dyDescent="0.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Q1480" s="7"/>
      <c r="R1480" s="7"/>
      <c r="S1480" s="7"/>
      <c r="T1480" s="7"/>
      <c r="U1480" s="7"/>
      <c r="V1480" s="7"/>
      <c r="AC1480" s="7"/>
      <c r="AD1480" s="7"/>
      <c r="AE1480" s="7"/>
      <c r="AF1480" s="7"/>
      <c r="AG1480" s="7"/>
      <c r="AO1480" s="7"/>
      <c r="AP1480" s="7"/>
      <c r="AQ1480" s="7"/>
      <c r="AR1480" s="7"/>
      <c r="AS1480" s="7"/>
    </row>
    <row r="1481" spans="1:45" x14ac:dyDescent="0.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Q1481" s="7"/>
      <c r="R1481" s="7"/>
      <c r="S1481" s="7"/>
      <c r="T1481" s="7"/>
      <c r="U1481" s="7"/>
      <c r="V1481" s="7"/>
      <c r="AC1481" s="7"/>
      <c r="AD1481" s="7"/>
      <c r="AE1481" s="7"/>
      <c r="AF1481" s="7"/>
      <c r="AG1481" s="7"/>
      <c r="AO1481" s="7"/>
      <c r="AP1481" s="7"/>
      <c r="AQ1481" s="7"/>
      <c r="AR1481" s="7"/>
      <c r="AS1481" s="7"/>
    </row>
    <row r="1482" spans="1:45" x14ac:dyDescent="0.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Q1482" s="7"/>
      <c r="R1482" s="7"/>
      <c r="S1482" s="7"/>
      <c r="T1482" s="7"/>
      <c r="U1482" s="7"/>
      <c r="V1482" s="7"/>
      <c r="AC1482" s="7"/>
      <c r="AD1482" s="7"/>
      <c r="AE1482" s="7"/>
      <c r="AF1482" s="7"/>
      <c r="AG1482" s="7"/>
      <c r="AO1482" s="7"/>
      <c r="AP1482" s="7"/>
      <c r="AQ1482" s="7"/>
      <c r="AR1482" s="7"/>
      <c r="AS1482" s="7"/>
    </row>
    <row r="1483" spans="1:45" x14ac:dyDescent="0.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Q1483" s="7"/>
      <c r="R1483" s="7"/>
      <c r="S1483" s="7"/>
      <c r="T1483" s="7"/>
      <c r="U1483" s="7"/>
      <c r="V1483" s="7"/>
      <c r="AC1483" s="7"/>
      <c r="AD1483" s="7"/>
      <c r="AE1483" s="7"/>
      <c r="AF1483" s="7"/>
      <c r="AG1483" s="7"/>
      <c r="AO1483" s="7"/>
      <c r="AP1483" s="7"/>
      <c r="AQ1483" s="7"/>
      <c r="AR1483" s="7"/>
      <c r="AS1483" s="7"/>
    </row>
    <row r="1484" spans="1:45" x14ac:dyDescent="0.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Q1484" s="7"/>
      <c r="R1484" s="7"/>
      <c r="S1484" s="7"/>
      <c r="T1484" s="7"/>
      <c r="U1484" s="7"/>
      <c r="V1484" s="7"/>
      <c r="AC1484" s="7"/>
      <c r="AD1484" s="7"/>
      <c r="AE1484" s="7"/>
      <c r="AF1484" s="7"/>
      <c r="AG1484" s="7"/>
      <c r="AO1484" s="7"/>
      <c r="AP1484" s="7"/>
      <c r="AQ1484" s="7"/>
      <c r="AR1484" s="7"/>
      <c r="AS1484" s="7"/>
    </row>
    <row r="1485" spans="1:45" x14ac:dyDescent="0.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Q1485" s="7"/>
      <c r="R1485" s="7"/>
      <c r="S1485" s="7"/>
      <c r="T1485" s="7"/>
      <c r="U1485" s="7"/>
      <c r="V1485" s="7"/>
      <c r="AC1485" s="7"/>
      <c r="AD1485" s="7"/>
      <c r="AE1485" s="7"/>
      <c r="AF1485" s="7"/>
      <c r="AG1485" s="7"/>
      <c r="AO1485" s="7"/>
      <c r="AP1485" s="7"/>
      <c r="AQ1485" s="7"/>
      <c r="AR1485" s="7"/>
      <c r="AS1485" s="7"/>
    </row>
    <row r="1486" spans="1:45" x14ac:dyDescent="0.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Q1486" s="7"/>
      <c r="R1486" s="7"/>
      <c r="S1486" s="7"/>
      <c r="T1486" s="7"/>
      <c r="U1486" s="7"/>
      <c r="V1486" s="7"/>
      <c r="AC1486" s="7"/>
      <c r="AD1486" s="7"/>
      <c r="AE1486" s="7"/>
      <c r="AF1486" s="7"/>
      <c r="AG1486" s="7"/>
      <c r="AO1486" s="7"/>
      <c r="AP1486" s="7"/>
      <c r="AQ1486" s="7"/>
      <c r="AR1486" s="7"/>
      <c r="AS1486" s="7"/>
    </row>
    <row r="1487" spans="1:45" x14ac:dyDescent="0.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Q1487" s="7"/>
      <c r="R1487" s="7"/>
      <c r="S1487" s="7"/>
      <c r="T1487" s="7"/>
      <c r="U1487" s="7"/>
      <c r="V1487" s="7"/>
      <c r="AC1487" s="7"/>
      <c r="AD1487" s="7"/>
      <c r="AE1487" s="7"/>
      <c r="AF1487" s="7"/>
      <c r="AG1487" s="7"/>
      <c r="AO1487" s="7"/>
      <c r="AP1487" s="7"/>
      <c r="AQ1487" s="7"/>
      <c r="AR1487" s="7"/>
      <c r="AS1487" s="7"/>
    </row>
    <row r="1488" spans="1:45" x14ac:dyDescent="0.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Q1488" s="7"/>
      <c r="R1488" s="7"/>
      <c r="S1488" s="7"/>
      <c r="T1488" s="7"/>
      <c r="U1488" s="7"/>
      <c r="V1488" s="7"/>
      <c r="AC1488" s="7"/>
      <c r="AD1488" s="7"/>
      <c r="AE1488" s="7"/>
      <c r="AF1488" s="7"/>
      <c r="AG1488" s="7"/>
      <c r="AO1488" s="7"/>
      <c r="AP1488" s="7"/>
      <c r="AQ1488" s="7"/>
      <c r="AR1488" s="7"/>
      <c r="AS1488" s="7"/>
    </row>
    <row r="1489" spans="1:45" x14ac:dyDescent="0.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Q1489" s="7"/>
      <c r="R1489" s="7"/>
      <c r="S1489" s="7"/>
      <c r="T1489" s="7"/>
      <c r="U1489" s="7"/>
      <c r="V1489" s="7"/>
      <c r="AC1489" s="7"/>
      <c r="AD1489" s="7"/>
      <c r="AE1489" s="7"/>
      <c r="AF1489" s="7"/>
      <c r="AG1489" s="7"/>
      <c r="AO1489" s="7"/>
      <c r="AP1489" s="7"/>
      <c r="AQ1489" s="7"/>
      <c r="AR1489" s="7"/>
      <c r="AS1489" s="7"/>
    </row>
    <row r="1490" spans="1:45" x14ac:dyDescent="0.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Q1490" s="7"/>
      <c r="R1490" s="7"/>
      <c r="S1490" s="7"/>
      <c r="T1490" s="7"/>
      <c r="U1490" s="7"/>
      <c r="V1490" s="7"/>
      <c r="AC1490" s="7"/>
      <c r="AD1490" s="7"/>
      <c r="AE1490" s="7"/>
      <c r="AF1490" s="7"/>
      <c r="AG1490" s="7"/>
      <c r="AO1490" s="7"/>
      <c r="AP1490" s="7"/>
      <c r="AQ1490" s="7"/>
      <c r="AR1490" s="7"/>
      <c r="AS1490" s="7"/>
    </row>
    <row r="1491" spans="1:45" x14ac:dyDescent="0.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Q1491" s="7"/>
      <c r="R1491" s="7"/>
      <c r="S1491" s="7"/>
      <c r="T1491" s="7"/>
      <c r="U1491" s="7"/>
      <c r="V1491" s="7"/>
      <c r="AC1491" s="7"/>
      <c r="AD1491" s="7"/>
      <c r="AE1491" s="7"/>
      <c r="AF1491" s="7"/>
      <c r="AG1491" s="7"/>
      <c r="AO1491" s="7"/>
      <c r="AP1491" s="7"/>
      <c r="AQ1491" s="7"/>
      <c r="AR1491" s="7"/>
      <c r="AS1491" s="7"/>
    </row>
    <row r="1492" spans="1:45" x14ac:dyDescent="0.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Q1492" s="7"/>
      <c r="R1492" s="7"/>
      <c r="S1492" s="7"/>
      <c r="T1492" s="7"/>
      <c r="U1492" s="7"/>
      <c r="V1492" s="7"/>
      <c r="AC1492" s="7"/>
      <c r="AD1492" s="7"/>
      <c r="AE1492" s="7"/>
      <c r="AF1492" s="7"/>
      <c r="AG1492" s="7"/>
      <c r="AO1492" s="7"/>
      <c r="AP1492" s="7"/>
      <c r="AQ1492" s="7"/>
      <c r="AR1492" s="7"/>
      <c r="AS1492" s="7"/>
    </row>
    <row r="1493" spans="1:45" x14ac:dyDescent="0.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Q1493" s="7"/>
      <c r="R1493" s="7"/>
      <c r="S1493" s="7"/>
      <c r="T1493" s="7"/>
      <c r="U1493" s="7"/>
      <c r="V1493" s="7"/>
      <c r="AC1493" s="7"/>
      <c r="AD1493" s="7"/>
      <c r="AE1493" s="7"/>
      <c r="AF1493" s="7"/>
      <c r="AG1493" s="7"/>
      <c r="AO1493" s="7"/>
      <c r="AP1493" s="7"/>
      <c r="AQ1493" s="7"/>
      <c r="AR1493" s="7"/>
      <c r="AS1493" s="7"/>
    </row>
    <row r="1494" spans="1:45" x14ac:dyDescent="0.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Q1494" s="7"/>
      <c r="R1494" s="7"/>
      <c r="S1494" s="7"/>
      <c r="T1494" s="7"/>
      <c r="U1494" s="7"/>
      <c r="V1494" s="7"/>
      <c r="AC1494" s="7"/>
      <c r="AD1494" s="7"/>
      <c r="AE1494" s="7"/>
      <c r="AF1494" s="7"/>
      <c r="AG1494" s="7"/>
      <c r="AO1494" s="7"/>
      <c r="AP1494" s="7"/>
      <c r="AQ1494" s="7"/>
      <c r="AR1494" s="7"/>
      <c r="AS1494" s="7"/>
    </row>
    <row r="1495" spans="1:45" x14ac:dyDescent="0.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Q1495" s="7"/>
      <c r="R1495" s="7"/>
      <c r="S1495" s="7"/>
      <c r="T1495" s="7"/>
      <c r="U1495" s="7"/>
      <c r="V1495" s="7"/>
      <c r="AC1495" s="7"/>
      <c r="AD1495" s="7"/>
      <c r="AE1495" s="7"/>
      <c r="AF1495" s="7"/>
      <c r="AG1495" s="7"/>
      <c r="AO1495" s="7"/>
      <c r="AP1495" s="7"/>
      <c r="AQ1495" s="7"/>
      <c r="AR1495" s="7"/>
      <c r="AS1495" s="7"/>
    </row>
    <row r="1496" spans="1:45" x14ac:dyDescent="0.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Q1496" s="7"/>
      <c r="R1496" s="7"/>
      <c r="S1496" s="7"/>
      <c r="T1496" s="7"/>
      <c r="U1496" s="7"/>
      <c r="V1496" s="7"/>
      <c r="AC1496" s="7"/>
      <c r="AD1496" s="7"/>
      <c r="AE1496" s="7"/>
      <c r="AF1496" s="7"/>
      <c r="AG1496" s="7"/>
      <c r="AO1496" s="7"/>
      <c r="AP1496" s="7"/>
      <c r="AQ1496" s="7"/>
      <c r="AR1496" s="7"/>
      <c r="AS1496" s="7"/>
    </row>
    <row r="1497" spans="1:45" x14ac:dyDescent="0.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Q1497" s="7"/>
      <c r="R1497" s="7"/>
      <c r="S1497" s="7"/>
      <c r="T1497" s="7"/>
      <c r="U1497" s="7"/>
      <c r="V1497" s="7"/>
      <c r="AC1497" s="7"/>
      <c r="AD1497" s="7"/>
      <c r="AE1497" s="7"/>
      <c r="AF1497" s="7"/>
      <c r="AG1497" s="7"/>
      <c r="AO1497" s="7"/>
      <c r="AP1497" s="7"/>
      <c r="AQ1497" s="7"/>
      <c r="AR1497" s="7"/>
      <c r="AS1497" s="7"/>
    </row>
    <row r="1498" spans="1:45" x14ac:dyDescent="0.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Q1498" s="7"/>
      <c r="R1498" s="7"/>
      <c r="S1498" s="7"/>
      <c r="T1498" s="7"/>
      <c r="U1498" s="7"/>
      <c r="V1498" s="7"/>
      <c r="AC1498" s="7"/>
      <c r="AD1498" s="7"/>
      <c r="AE1498" s="7"/>
      <c r="AF1498" s="7"/>
      <c r="AG1498" s="7"/>
      <c r="AO1498" s="7"/>
      <c r="AP1498" s="7"/>
      <c r="AQ1498" s="7"/>
      <c r="AR1498" s="7"/>
      <c r="AS1498" s="7"/>
    </row>
    <row r="1499" spans="1:45" x14ac:dyDescent="0.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Q1499" s="7"/>
      <c r="R1499" s="7"/>
      <c r="S1499" s="7"/>
      <c r="T1499" s="7"/>
      <c r="U1499" s="7"/>
      <c r="V1499" s="7"/>
      <c r="AC1499" s="7"/>
      <c r="AD1499" s="7"/>
      <c r="AE1499" s="7"/>
      <c r="AF1499" s="7"/>
      <c r="AG1499" s="7"/>
      <c r="AO1499" s="7"/>
      <c r="AP1499" s="7"/>
      <c r="AQ1499" s="7"/>
      <c r="AR1499" s="7"/>
      <c r="AS1499" s="7"/>
    </row>
    <row r="1500" spans="1:45" x14ac:dyDescent="0.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Q1500" s="7"/>
      <c r="R1500" s="7"/>
      <c r="S1500" s="7"/>
      <c r="T1500" s="7"/>
      <c r="U1500" s="7"/>
      <c r="V1500" s="7"/>
      <c r="AC1500" s="7"/>
      <c r="AD1500" s="7"/>
      <c r="AE1500" s="7"/>
      <c r="AF1500" s="7"/>
      <c r="AG1500" s="7"/>
      <c r="AO1500" s="7"/>
      <c r="AP1500" s="7"/>
      <c r="AQ1500" s="7"/>
      <c r="AR1500" s="7"/>
      <c r="AS1500" s="7"/>
    </row>
    <row r="1501" spans="1:45" x14ac:dyDescent="0.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Q1501" s="7"/>
      <c r="R1501" s="7"/>
      <c r="S1501" s="7"/>
      <c r="T1501" s="7"/>
      <c r="U1501" s="7"/>
      <c r="V1501" s="7"/>
      <c r="AC1501" s="7"/>
      <c r="AD1501" s="7"/>
      <c r="AE1501" s="7"/>
      <c r="AF1501" s="7"/>
      <c r="AG1501" s="7"/>
      <c r="AO1501" s="7"/>
      <c r="AP1501" s="7"/>
      <c r="AQ1501" s="7"/>
      <c r="AR1501" s="7"/>
      <c r="AS1501" s="7"/>
    </row>
    <row r="1502" spans="1:45" x14ac:dyDescent="0.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Q1502" s="7"/>
      <c r="R1502" s="7"/>
      <c r="S1502" s="7"/>
      <c r="T1502" s="7"/>
      <c r="U1502" s="7"/>
      <c r="V1502" s="7"/>
      <c r="AC1502" s="7"/>
      <c r="AD1502" s="7"/>
      <c r="AE1502" s="7"/>
      <c r="AF1502" s="7"/>
      <c r="AG1502" s="7"/>
      <c r="AO1502" s="7"/>
      <c r="AP1502" s="7"/>
      <c r="AQ1502" s="7"/>
      <c r="AR1502" s="7"/>
      <c r="AS1502" s="7"/>
    </row>
    <row r="1503" spans="1:45" x14ac:dyDescent="0.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Q1503" s="7"/>
      <c r="R1503" s="7"/>
      <c r="S1503" s="7"/>
      <c r="T1503" s="7"/>
      <c r="U1503" s="7"/>
      <c r="V1503" s="7"/>
      <c r="AC1503" s="7"/>
      <c r="AD1503" s="7"/>
      <c r="AE1503" s="7"/>
      <c r="AF1503" s="7"/>
      <c r="AG1503" s="7"/>
      <c r="AO1503" s="7"/>
      <c r="AP1503" s="7"/>
      <c r="AQ1503" s="7"/>
      <c r="AR1503" s="7"/>
      <c r="AS1503" s="7"/>
    </row>
    <row r="1504" spans="1:45" x14ac:dyDescent="0.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Q1504" s="7"/>
      <c r="R1504" s="7"/>
      <c r="S1504" s="7"/>
      <c r="T1504" s="7"/>
      <c r="U1504" s="7"/>
      <c r="V1504" s="7"/>
      <c r="AC1504" s="7"/>
      <c r="AD1504" s="7"/>
      <c r="AE1504" s="7"/>
      <c r="AF1504" s="7"/>
      <c r="AG1504" s="7"/>
      <c r="AO1504" s="7"/>
      <c r="AP1504" s="7"/>
      <c r="AQ1504" s="7"/>
      <c r="AR1504" s="7"/>
      <c r="AS1504" s="7"/>
    </row>
    <row r="1505" spans="1:45" x14ac:dyDescent="0.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Q1505" s="7"/>
      <c r="R1505" s="7"/>
      <c r="S1505" s="7"/>
      <c r="T1505" s="7"/>
      <c r="U1505" s="7"/>
      <c r="V1505" s="7"/>
      <c r="AC1505" s="7"/>
      <c r="AD1505" s="7"/>
      <c r="AE1505" s="7"/>
      <c r="AF1505" s="7"/>
      <c r="AG1505" s="7"/>
      <c r="AO1505" s="7"/>
      <c r="AP1505" s="7"/>
      <c r="AQ1505" s="7"/>
      <c r="AR1505" s="7"/>
      <c r="AS1505" s="7"/>
    </row>
    <row r="1506" spans="1:45" x14ac:dyDescent="0.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Q1506" s="7"/>
      <c r="R1506" s="7"/>
      <c r="S1506" s="7"/>
      <c r="T1506" s="7"/>
      <c r="U1506" s="7"/>
      <c r="V1506" s="7"/>
      <c r="AC1506" s="7"/>
      <c r="AD1506" s="7"/>
      <c r="AE1506" s="7"/>
      <c r="AF1506" s="7"/>
      <c r="AG1506" s="7"/>
      <c r="AO1506" s="7"/>
      <c r="AP1506" s="7"/>
      <c r="AQ1506" s="7"/>
      <c r="AR1506" s="7"/>
      <c r="AS1506" s="7"/>
    </row>
    <row r="1507" spans="1:45" x14ac:dyDescent="0.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Q1507" s="7"/>
      <c r="R1507" s="7"/>
      <c r="S1507" s="7"/>
      <c r="T1507" s="7"/>
      <c r="U1507" s="7"/>
      <c r="V1507" s="7"/>
      <c r="AC1507" s="7"/>
      <c r="AD1507" s="7"/>
      <c r="AE1507" s="7"/>
      <c r="AF1507" s="7"/>
      <c r="AG1507" s="7"/>
      <c r="AO1507" s="7"/>
      <c r="AP1507" s="7"/>
      <c r="AQ1507" s="7"/>
      <c r="AR1507" s="7"/>
      <c r="AS1507" s="7"/>
    </row>
    <row r="1508" spans="1:45" x14ac:dyDescent="0.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Q1508" s="7"/>
      <c r="R1508" s="7"/>
      <c r="S1508" s="7"/>
      <c r="T1508" s="7"/>
      <c r="U1508" s="7"/>
      <c r="V1508" s="7"/>
      <c r="AC1508" s="7"/>
      <c r="AD1508" s="7"/>
      <c r="AE1508" s="7"/>
      <c r="AF1508" s="7"/>
      <c r="AG1508" s="7"/>
      <c r="AO1508" s="7"/>
      <c r="AP1508" s="7"/>
      <c r="AQ1508" s="7"/>
      <c r="AR1508" s="7"/>
      <c r="AS1508" s="7"/>
    </row>
    <row r="1509" spans="1:45" x14ac:dyDescent="0.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Q1509" s="7"/>
      <c r="R1509" s="7"/>
      <c r="S1509" s="7"/>
      <c r="T1509" s="7"/>
      <c r="U1509" s="7"/>
      <c r="V1509" s="7"/>
      <c r="AC1509" s="7"/>
      <c r="AD1509" s="7"/>
      <c r="AE1509" s="7"/>
      <c r="AF1509" s="7"/>
      <c r="AG1509" s="7"/>
      <c r="AO1509" s="7"/>
      <c r="AP1509" s="7"/>
      <c r="AQ1509" s="7"/>
      <c r="AR1509" s="7"/>
      <c r="AS1509" s="7"/>
    </row>
    <row r="1510" spans="1:45" x14ac:dyDescent="0.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Q1510" s="7"/>
      <c r="R1510" s="7"/>
      <c r="S1510" s="7"/>
      <c r="T1510" s="7"/>
      <c r="U1510" s="7"/>
      <c r="V1510" s="7"/>
      <c r="AC1510" s="7"/>
      <c r="AD1510" s="7"/>
      <c r="AE1510" s="7"/>
      <c r="AF1510" s="7"/>
      <c r="AG1510" s="7"/>
      <c r="AO1510" s="7"/>
      <c r="AP1510" s="7"/>
      <c r="AQ1510" s="7"/>
      <c r="AR1510" s="7"/>
      <c r="AS1510" s="7"/>
    </row>
    <row r="1511" spans="1:45" x14ac:dyDescent="0.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Q1511" s="7"/>
      <c r="R1511" s="7"/>
      <c r="S1511" s="7"/>
      <c r="T1511" s="7"/>
      <c r="U1511" s="7"/>
      <c r="V1511" s="7"/>
      <c r="AC1511" s="7"/>
      <c r="AD1511" s="7"/>
      <c r="AE1511" s="7"/>
      <c r="AF1511" s="7"/>
      <c r="AG1511" s="7"/>
      <c r="AO1511" s="7"/>
      <c r="AP1511" s="7"/>
      <c r="AQ1511" s="7"/>
      <c r="AR1511" s="7"/>
      <c r="AS1511" s="7"/>
    </row>
    <row r="1512" spans="1:45" x14ac:dyDescent="0.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Q1512" s="7"/>
      <c r="R1512" s="7"/>
      <c r="S1512" s="7"/>
      <c r="T1512" s="7"/>
      <c r="U1512" s="7"/>
      <c r="V1512" s="7"/>
      <c r="AC1512" s="7"/>
      <c r="AD1512" s="7"/>
      <c r="AE1512" s="7"/>
      <c r="AF1512" s="7"/>
      <c r="AG1512" s="7"/>
      <c r="AO1512" s="7"/>
      <c r="AP1512" s="7"/>
      <c r="AQ1512" s="7"/>
      <c r="AR1512" s="7"/>
      <c r="AS1512" s="7"/>
    </row>
    <row r="1513" spans="1:45" x14ac:dyDescent="0.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Q1513" s="7"/>
      <c r="R1513" s="7"/>
      <c r="S1513" s="7"/>
      <c r="T1513" s="7"/>
      <c r="U1513" s="7"/>
      <c r="V1513" s="7"/>
      <c r="AC1513" s="7"/>
      <c r="AD1513" s="7"/>
      <c r="AE1513" s="7"/>
      <c r="AF1513" s="7"/>
      <c r="AG1513" s="7"/>
      <c r="AO1513" s="7"/>
      <c r="AP1513" s="7"/>
      <c r="AQ1513" s="7"/>
      <c r="AR1513" s="7"/>
      <c r="AS1513" s="7"/>
    </row>
    <row r="1514" spans="1:45" x14ac:dyDescent="0.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Q1514" s="7"/>
      <c r="R1514" s="7"/>
      <c r="S1514" s="7"/>
      <c r="T1514" s="7"/>
      <c r="U1514" s="7"/>
      <c r="V1514" s="7"/>
      <c r="AC1514" s="7"/>
      <c r="AD1514" s="7"/>
      <c r="AE1514" s="7"/>
      <c r="AF1514" s="7"/>
      <c r="AG1514" s="7"/>
      <c r="AO1514" s="7"/>
      <c r="AP1514" s="7"/>
      <c r="AQ1514" s="7"/>
      <c r="AR1514" s="7"/>
      <c r="AS1514" s="7"/>
    </row>
    <row r="1515" spans="1:45" x14ac:dyDescent="0.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Q1515" s="7"/>
      <c r="R1515" s="7"/>
      <c r="S1515" s="7"/>
      <c r="T1515" s="7"/>
      <c r="U1515" s="7"/>
      <c r="V1515" s="7"/>
      <c r="AC1515" s="7"/>
      <c r="AD1515" s="7"/>
      <c r="AE1515" s="7"/>
      <c r="AF1515" s="7"/>
      <c r="AG1515" s="7"/>
      <c r="AO1515" s="7"/>
      <c r="AP1515" s="7"/>
      <c r="AQ1515" s="7"/>
      <c r="AR1515" s="7"/>
      <c r="AS1515" s="7"/>
    </row>
    <row r="1516" spans="1:45" x14ac:dyDescent="0.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Q1516" s="7"/>
      <c r="R1516" s="7"/>
      <c r="S1516" s="7"/>
      <c r="T1516" s="7"/>
      <c r="U1516" s="7"/>
      <c r="V1516" s="7"/>
      <c r="AC1516" s="7"/>
      <c r="AD1516" s="7"/>
      <c r="AE1516" s="7"/>
      <c r="AF1516" s="7"/>
      <c r="AG1516" s="7"/>
      <c r="AO1516" s="7"/>
      <c r="AP1516" s="7"/>
      <c r="AQ1516" s="7"/>
      <c r="AR1516" s="7"/>
      <c r="AS1516" s="7"/>
    </row>
    <row r="1517" spans="1:45" x14ac:dyDescent="0.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Q1517" s="7"/>
      <c r="R1517" s="7"/>
      <c r="S1517" s="7"/>
      <c r="T1517" s="7"/>
      <c r="U1517" s="7"/>
      <c r="V1517" s="7"/>
      <c r="AC1517" s="7"/>
      <c r="AD1517" s="7"/>
      <c r="AE1517" s="7"/>
      <c r="AF1517" s="7"/>
      <c r="AG1517" s="7"/>
      <c r="AO1517" s="7"/>
      <c r="AP1517" s="7"/>
      <c r="AQ1517" s="7"/>
      <c r="AR1517" s="7"/>
      <c r="AS1517" s="7"/>
    </row>
    <row r="1518" spans="1:45" x14ac:dyDescent="0.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Q1518" s="7"/>
      <c r="R1518" s="7"/>
      <c r="S1518" s="7"/>
      <c r="T1518" s="7"/>
      <c r="U1518" s="7"/>
      <c r="V1518" s="7"/>
      <c r="AC1518" s="7"/>
      <c r="AD1518" s="7"/>
      <c r="AE1518" s="7"/>
      <c r="AF1518" s="7"/>
      <c r="AG1518" s="7"/>
      <c r="AO1518" s="7"/>
      <c r="AP1518" s="7"/>
      <c r="AQ1518" s="7"/>
      <c r="AR1518" s="7"/>
      <c r="AS1518" s="7"/>
    </row>
    <row r="1519" spans="1:45" x14ac:dyDescent="0.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Q1519" s="7"/>
      <c r="R1519" s="7"/>
      <c r="S1519" s="7"/>
      <c r="T1519" s="7"/>
      <c r="U1519" s="7"/>
      <c r="V1519" s="7"/>
      <c r="AC1519" s="7"/>
      <c r="AD1519" s="7"/>
      <c r="AE1519" s="7"/>
      <c r="AF1519" s="7"/>
      <c r="AG1519" s="7"/>
      <c r="AO1519" s="7"/>
      <c r="AP1519" s="7"/>
      <c r="AQ1519" s="7"/>
      <c r="AR1519" s="7"/>
      <c r="AS1519" s="7"/>
    </row>
    <row r="1520" spans="1:45" x14ac:dyDescent="0.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Q1520" s="7"/>
      <c r="R1520" s="7"/>
      <c r="S1520" s="7"/>
      <c r="T1520" s="7"/>
      <c r="U1520" s="7"/>
      <c r="V1520" s="7"/>
      <c r="AC1520" s="7"/>
      <c r="AD1520" s="7"/>
      <c r="AE1520" s="7"/>
      <c r="AF1520" s="7"/>
      <c r="AG1520" s="7"/>
      <c r="AO1520" s="7"/>
      <c r="AP1520" s="7"/>
      <c r="AQ1520" s="7"/>
      <c r="AR1520" s="7"/>
      <c r="AS1520" s="7"/>
    </row>
    <row r="1521" spans="1:45" x14ac:dyDescent="0.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Q1521" s="7"/>
      <c r="R1521" s="7"/>
      <c r="S1521" s="7"/>
      <c r="T1521" s="7"/>
      <c r="U1521" s="7"/>
      <c r="V1521" s="7"/>
      <c r="AC1521" s="7"/>
      <c r="AD1521" s="7"/>
      <c r="AE1521" s="7"/>
      <c r="AF1521" s="7"/>
      <c r="AG1521" s="7"/>
      <c r="AO1521" s="7"/>
      <c r="AP1521" s="7"/>
      <c r="AQ1521" s="7"/>
      <c r="AR1521" s="7"/>
      <c r="AS1521" s="7"/>
    </row>
    <row r="1522" spans="1:45" x14ac:dyDescent="0.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Q1522" s="7"/>
      <c r="R1522" s="7"/>
      <c r="S1522" s="7"/>
      <c r="T1522" s="7"/>
      <c r="U1522" s="7"/>
      <c r="V1522" s="7"/>
      <c r="AC1522" s="7"/>
      <c r="AD1522" s="7"/>
      <c r="AE1522" s="7"/>
      <c r="AF1522" s="7"/>
      <c r="AG1522" s="7"/>
      <c r="AO1522" s="7"/>
      <c r="AP1522" s="7"/>
      <c r="AQ1522" s="7"/>
      <c r="AR1522" s="7"/>
      <c r="AS1522" s="7"/>
    </row>
    <row r="1523" spans="1:45" x14ac:dyDescent="0.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Q1523" s="7"/>
      <c r="R1523" s="7"/>
      <c r="S1523" s="7"/>
      <c r="T1523" s="7"/>
      <c r="U1523" s="7"/>
      <c r="V1523" s="7"/>
      <c r="AC1523" s="7"/>
      <c r="AD1523" s="7"/>
      <c r="AE1523" s="7"/>
      <c r="AF1523" s="7"/>
      <c r="AG1523" s="7"/>
      <c r="AO1523" s="7"/>
      <c r="AP1523" s="7"/>
      <c r="AQ1523" s="7"/>
      <c r="AR1523" s="7"/>
      <c r="AS1523" s="7"/>
    </row>
    <row r="1524" spans="1:45" x14ac:dyDescent="0.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Q1524" s="7"/>
      <c r="R1524" s="7"/>
      <c r="S1524" s="7"/>
      <c r="T1524" s="7"/>
      <c r="U1524" s="7"/>
      <c r="V1524" s="7"/>
      <c r="AC1524" s="7"/>
      <c r="AD1524" s="7"/>
      <c r="AE1524" s="7"/>
      <c r="AF1524" s="7"/>
      <c r="AG1524" s="7"/>
      <c r="AO1524" s="7"/>
      <c r="AP1524" s="7"/>
      <c r="AQ1524" s="7"/>
      <c r="AR1524" s="7"/>
      <c r="AS1524" s="7"/>
    </row>
    <row r="1525" spans="1:45" x14ac:dyDescent="0.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Q1525" s="7"/>
      <c r="R1525" s="7"/>
      <c r="S1525" s="7"/>
      <c r="T1525" s="7"/>
      <c r="U1525" s="7"/>
      <c r="V1525" s="7"/>
      <c r="AC1525" s="7"/>
      <c r="AD1525" s="7"/>
      <c r="AE1525" s="7"/>
      <c r="AF1525" s="7"/>
      <c r="AG1525" s="7"/>
      <c r="AO1525" s="7"/>
      <c r="AP1525" s="7"/>
      <c r="AQ1525" s="7"/>
      <c r="AR1525" s="7"/>
      <c r="AS1525" s="7"/>
    </row>
    <row r="1526" spans="1:45" x14ac:dyDescent="0.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Q1526" s="7"/>
      <c r="R1526" s="7"/>
      <c r="S1526" s="7"/>
      <c r="T1526" s="7"/>
      <c r="U1526" s="7"/>
      <c r="V1526" s="7"/>
      <c r="AC1526" s="7"/>
      <c r="AD1526" s="7"/>
      <c r="AE1526" s="7"/>
      <c r="AF1526" s="7"/>
      <c r="AG1526" s="7"/>
      <c r="AO1526" s="7"/>
      <c r="AP1526" s="7"/>
      <c r="AQ1526" s="7"/>
      <c r="AR1526" s="7"/>
      <c r="AS1526" s="7"/>
    </row>
    <row r="1527" spans="1:45" x14ac:dyDescent="0.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Q1527" s="7"/>
      <c r="R1527" s="7"/>
      <c r="S1527" s="7"/>
      <c r="T1527" s="7"/>
      <c r="U1527" s="7"/>
      <c r="V1527" s="7"/>
      <c r="AC1527" s="7"/>
      <c r="AD1527" s="7"/>
      <c r="AE1527" s="7"/>
      <c r="AF1527" s="7"/>
      <c r="AG1527" s="7"/>
      <c r="AO1527" s="7"/>
      <c r="AP1527" s="7"/>
      <c r="AQ1527" s="7"/>
      <c r="AR1527" s="7"/>
      <c r="AS1527" s="7"/>
    </row>
    <row r="1528" spans="1:45" x14ac:dyDescent="0.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Q1528" s="7"/>
      <c r="R1528" s="7"/>
      <c r="S1528" s="7"/>
      <c r="T1528" s="7"/>
      <c r="U1528" s="7"/>
      <c r="V1528" s="7"/>
      <c r="AC1528" s="7"/>
      <c r="AD1528" s="7"/>
      <c r="AE1528" s="7"/>
      <c r="AF1528" s="7"/>
      <c r="AG1528" s="7"/>
      <c r="AO1528" s="7"/>
      <c r="AP1528" s="7"/>
      <c r="AQ1528" s="7"/>
      <c r="AR1528" s="7"/>
      <c r="AS1528" s="7"/>
    </row>
    <row r="1529" spans="1:45" x14ac:dyDescent="0.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Q1529" s="7"/>
      <c r="R1529" s="7"/>
      <c r="S1529" s="7"/>
      <c r="T1529" s="7"/>
      <c r="U1529" s="7"/>
      <c r="V1529" s="7"/>
      <c r="AC1529" s="7"/>
      <c r="AD1529" s="7"/>
      <c r="AE1529" s="7"/>
      <c r="AF1529" s="7"/>
      <c r="AG1529" s="7"/>
      <c r="AO1529" s="7"/>
      <c r="AP1529" s="7"/>
      <c r="AQ1529" s="7"/>
      <c r="AR1529" s="7"/>
      <c r="AS1529" s="7"/>
    </row>
    <row r="1530" spans="1:45" x14ac:dyDescent="0.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Q1530" s="7"/>
      <c r="R1530" s="7"/>
      <c r="S1530" s="7"/>
      <c r="T1530" s="7"/>
      <c r="U1530" s="7"/>
      <c r="V1530" s="7"/>
      <c r="AC1530" s="7"/>
      <c r="AD1530" s="7"/>
      <c r="AE1530" s="7"/>
      <c r="AF1530" s="7"/>
      <c r="AG1530" s="7"/>
      <c r="AO1530" s="7"/>
      <c r="AP1530" s="7"/>
      <c r="AQ1530" s="7"/>
      <c r="AR1530" s="7"/>
      <c r="AS1530" s="7"/>
    </row>
    <row r="1531" spans="1:45" x14ac:dyDescent="0.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Q1531" s="7"/>
      <c r="R1531" s="7"/>
      <c r="S1531" s="7"/>
      <c r="T1531" s="7"/>
      <c r="U1531" s="7"/>
      <c r="V1531" s="7"/>
      <c r="AC1531" s="7"/>
      <c r="AD1531" s="7"/>
      <c r="AE1531" s="7"/>
      <c r="AF1531" s="7"/>
      <c r="AG1531" s="7"/>
      <c r="AO1531" s="7"/>
      <c r="AP1531" s="7"/>
      <c r="AQ1531" s="7"/>
      <c r="AR1531" s="7"/>
      <c r="AS1531" s="7"/>
    </row>
    <row r="1532" spans="1:45" x14ac:dyDescent="0.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Q1532" s="7"/>
      <c r="R1532" s="7"/>
      <c r="S1532" s="7"/>
      <c r="T1532" s="7"/>
      <c r="U1532" s="7"/>
      <c r="V1532" s="7"/>
      <c r="AC1532" s="7"/>
      <c r="AD1532" s="7"/>
      <c r="AE1532" s="7"/>
      <c r="AF1532" s="7"/>
      <c r="AG1532" s="7"/>
      <c r="AO1532" s="7"/>
      <c r="AP1532" s="7"/>
      <c r="AQ1532" s="7"/>
      <c r="AR1532" s="7"/>
      <c r="AS1532" s="7"/>
    </row>
    <row r="1533" spans="1:45" x14ac:dyDescent="0.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Q1533" s="7"/>
      <c r="R1533" s="7"/>
      <c r="S1533" s="7"/>
      <c r="T1533" s="7"/>
      <c r="U1533" s="7"/>
      <c r="V1533" s="7"/>
      <c r="AC1533" s="7"/>
      <c r="AD1533" s="7"/>
      <c r="AE1533" s="7"/>
      <c r="AF1533" s="7"/>
      <c r="AG1533" s="7"/>
      <c r="AO1533" s="7"/>
      <c r="AP1533" s="7"/>
      <c r="AQ1533" s="7"/>
      <c r="AR1533" s="7"/>
      <c r="AS1533" s="7"/>
    </row>
    <row r="1534" spans="1:45" x14ac:dyDescent="0.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Q1534" s="7"/>
      <c r="R1534" s="7"/>
      <c r="S1534" s="7"/>
      <c r="T1534" s="7"/>
      <c r="U1534" s="7"/>
      <c r="V1534" s="7"/>
      <c r="AC1534" s="7"/>
      <c r="AD1534" s="7"/>
      <c r="AE1534" s="7"/>
      <c r="AF1534" s="7"/>
      <c r="AG1534" s="7"/>
      <c r="AO1534" s="7"/>
      <c r="AP1534" s="7"/>
      <c r="AQ1534" s="7"/>
      <c r="AR1534" s="7"/>
      <c r="AS1534" s="7"/>
    </row>
    <row r="1535" spans="1:45" x14ac:dyDescent="0.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Q1535" s="7"/>
      <c r="R1535" s="7"/>
      <c r="S1535" s="7"/>
      <c r="T1535" s="7"/>
      <c r="U1535" s="7"/>
      <c r="V1535" s="7"/>
      <c r="AC1535" s="7"/>
      <c r="AD1535" s="7"/>
      <c r="AE1535" s="7"/>
      <c r="AF1535" s="7"/>
      <c r="AG1535" s="7"/>
      <c r="AO1535" s="7"/>
      <c r="AP1535" s="7"/>
      <c r="AQ1535" s="7"/>
      <c r="AR1535" s="7"/>
      <c r="AS1535" s="7"/>
    </row>
    <row r="1536" spans="1:45" x14ac:dyDescent="0.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Q1536" s="7"/>
      <c r="R1536" s="7"/>
      <c r="S1536" s="7"/>
      <c r="T1536" s="7"/>
      <c r="U1536" s="7"/>
      <c r="V1536" s="7"/>
      <c r="AC1536" s="7"/>
      <c r="AD1536" s="7"/>
      <c r="AE1536" s="7"/>
      <c r="AF1536" s="7"/>
      <c r="AG1536" s="7"/>
      <c r="AO1536" s="7"/>
      <c r="AP1536" s="7"/>
      <c r="AQ1536" s="7"/>
      <c r="AR1536" s="7"/>
      <c r="AS1536" s="7"/>
    </row>
    <row r="1537" spans="1:45" x14ac:dyDescent="0.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Q1537" s="7"/>
      <c r="R1537" s="7"/>
      <c r="S1537" s="7"/>
      <c r="T1537" s="7"/>
      <c r="U1537" s="7"/>
      <c r="V1537" s="7"/>
      <c r="AC1537" s="7"/>
      <c r="AD1537" s="7"/>
      <c r="AE1537" s="7"/>
      <c r="AF1537" s="7"/>
      <c r="AG1537" s="7"/>
      <c r="AO1537" s="7"/>
      <c r="AP1537" s="7"/>
      <c r="AQ1537" s="7"/>
      <c r="AR1537" s="7"/>
      <c r="AS1537" s="7"/>
    </row>
    <row r="1538" spans="1:45" x14ac:dyDescent="0.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Q1538" s="7"/>
      <c r="R1538" s="7"/>
      <c r="S1538" s="7"/>
      <c r="T1538" s="7"/>
      <c r="U1538" s="7"/>
      <c r="V1538" s="7"/>
      <c r="AC1538" s="7"/>
      <c r="AD1538" s="7"/>
      <c r="AE1538" s="7"/>
      <c r="AF1538" s="7"/>
      <c r="AG1538" s="7"/>
      <c r="AO1538" s="7"/>
      <c r="AP1538" s="7"/>
      <c r="AQ1538" s="7"/>
      <c r="AR1538" s="7"/>
      <c r="AS1538" s="7"/>
    </row>
    <row r="1539" spans="1:45" x14ac:dyDescent="0.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Q1539" s="7"/>
      <c r="R1539" s="7"/>
      <c r="S1539" s="7"/>
      <c r="T1539" s="7"/>
      <c r="U1539" s="7"/>
      <c r="V1539" s="7"/>
      <c r="AC1539" s="7"/>
      <c r="AD1539" s="7"/>
      <c r="AE1539" s="7"/>
      <c r="AF1539" s="7"/>
      <c r="AG1539" s="7"/>
      <c r="AO1539" s="7"/>
      <c r="AP1539" s="7"/>
      <c r="AQ1539" s="7"/>
      <c r="AR1539" s="7"/>
      <c r="AS1539" s="7"/>
    </row>
    <row r="1540" spans="1:45" x14ac:dyDescent="0.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Q1540" s="7"/>
      <c r="R1540" s="7"/>
      <c r="S1540" s="7"/>
      <c r="T1540" s="7"/>
      <c r="U1540" s="7"/>
      <c r="V1540" s="7"/>
      <c r="AC1540" s="7"/>
      <c r="AD1540" s="7"/>
      <c r="AE1540" s="7"/>
      <c r="AF1540" s="7"/>
      <c r="AG1540" s="7"/>
      <c r="AO1540" s="7"/>
      <c r="AP1540" s="7"/>
      <c r="AQ1540" s="7"/>
      <c r="AR1540" s="7"/>
      <c r="AS1540" s="7"/>
    </row>
    <row r="1541" spans="1:45" x14ac:dyDescent="0.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Q1541" s="7"/>
      <c r="R1541" s="7"/>
      <c r="S1541" s="7"/>
      <c r="T1541" s="7"/>
      <c r="U1541" s="7"/>
      <c r="V1541" s="7"/>
      <c r="AC1541" s="7"/>
      <c r="AD1541" s="7"/>
      <c r="AE1541" s="7"/>
      <c r="AF1541" s="7"/>
      <c r="AG1541" s="7"/>
      <c r="AO1541" s="7"/>
      <c r="AP1541" s="7"/>
      <c r="AQ1541" s="7"/>
      <c r="AR1541" s="7"/>
      <c r="AS1541" s="7"/>
    </row>
    <row r="1542" spans="1:45" x14ac:dyDescent="0.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Q1542" s="7"/>
      <c r="R1542" s="7"/>
      <c r="S1542" s="7"/>
      <c r="T1542" s="7"/>
      <c r="U1542" s="7"/>
      <c r="V1542" s="7"/>
      <c r="AC1542" s="7"/>
      <c r="AD1542" s="7"/>
      <c r="AE1542" s="7"/>
      <c r="AF1542" s="7"/>
      <c r="AG1542" s="7"/>
      <c r="AO1542" s="7"/>
      <c r="AP1542" s="7"/>
      <c r="AQ1542" s="7"/>
      <c r="AR1542" s="7"/>
      <c r="AS1542" s="7"/>
    </row>
    <row r="1543" spans="1:45" x14ac:dyDescent="0.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Q1543" s="7"/>
      <c r="R1543" s="7"/>
      <c r="S1543" s="7"/>
      <c r="T1543" s="7"/>
      <c r="U1543" s="7"/>
      <c r="V1543" s="7"/>
      <c r="AC1543" s="7"/>
      <c r="AD1543" s="7"/>
      <c r="AE1543" s="7"/>
      <c r="AF1543" s="7"/>
      <c r="AG1543" s="7"/>
      <c r="AO1543" s="7"/>
      <c r="AP1543" s="7"/>
      <c r="AQ1543" s="7"/>
      <c r="AR1543" s="7"/>
      <c r="AS1543" s="7"/>
    </row>
    <row r="1544" spans="1:45" x14ac:dyDescent="0.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Q1544" s="7"/>
      <c r="R1544" s="7"/>
      <c r="S1544" s="7"/>
      <c r="T1544" s="7"/>
      <c r="U1544" s="7"/>
      <c r="V1544" s="7"/>
      <c r="AC1544" s="7"/>
      <c r="AD1544" s="7"/>
      <c r="AE1544" s="7"/>
      <c r="AF1544" s="7"/>
      <c r="AG1544" s="7"/>
      <c r="AO1544" s="7"/>
      <c r="AP1544" s="7"/>
      <c r="AQ1544" s="7"/>
      <c r="AR1544" s="7"/>
      <c r="AS1544" s="7"/>
    </row>
    <row r="1545" spans="1:45" x14ac:dyDescent="0.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Q1545" s="7"/>
      <c r="R1545" s="7"/>
      <c r="S1545" s="7"/>
      <c r="T1545" s="7"/>
      <c r="U1545" s="7"/>
      <c r="V1545" s="7"/>
      <c r="AC1545" s="7"/>
      <c r="AD1545" s="7"/>
      <c r="AE1545" s="7"/>
      <c r="AF1545" s="7"/>
      <c r="AG1545" s="7"/>
      <c r="AO1545" s="7"/>
      <c r="AP1545" s="7"/>
      <c r="AQ1545" s="7"/>
      <c r="AR1545" s="7"/>
      <c r="AS1545" s="7"/>
    </row>
    <row r="1546" spans="1:45" x14ac:dyDescent="0.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Q1546" s="7"/>
      <c r="R1546" s="7"/>
      <c r="S1546" s="7"/>
      <c r="T1546" s="7"/>
      <c r="U1546" s="7"/>
      <c r="V1546" s="7"/>
      <c r="AC1546" s="7"/>
      <c r="AD1546" s="7"/>
      <c r="AE1546" s="7"/>
      <c r="AF1546" s="7"/>
      <c r="AG1546" s="7"/>
      <c r="AO1546" s="7"/>
      <c r="AP1546" s="7"/>
      <c r="AQ1546" s="7"/>
      <c r="AR1546" s="7"/>
      <c r="AS1546" s="7"/>
    </row>
    <row r="1547" spans="1:45" x14ac:dyDescent="0.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Q1547" s="7"/>
      <c r="R1547" s="7"/>
      <c r="S1547" s="7"/>
      <c r="T1547" s="7"/>
      <c r="U1547" s="7"/>
      <c r="V1547" s="7"/>
      <c r="AC1547" s="7"/>
      <c r="AD1547" s="7"/>
      <c r="AE1547" s="7"/>
      <c r="AF1547" s="7"/>
      <c r="AG1547" s="7"/>
      <c r="AO1547" s="7"/>
      <c r="AP1547" s="7"/>
      <c r="AQ1547" s="7"/>
      <c r="AR1547" s="7"/>
      <c r="AS1547" s="7"/>
    </row>
    <row r="1548" spans="1:45" x14ac:dyDescent="0.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Q1548" s="7"/>
      <c r="R1548" s="7"/>
      <c r="S1548" s="7"/>
      <c r="T1548" s="7"/>
      <c r="U1548" s="7"/>
      <c r="V1548" s="7"/>
      <c r="AC1548" s="7"/>
      <c r="AD1548" s="7"/>
      <c r="AE1548" s="7"/>
      <c r="AF1548" s="7"/>
      <c r="AG1548" s="7"/>
      <c r="AO1548" s="7"/>
      <c r="AP1548" s="7"/>
      <c r="AQ1548" s="7"/>
      <c r="AR1548" s="7"/>
      <c r="AS1548" s="7"/>
    </row>
    <row r="1549" spans="1:45" x14ac:dyDescent="0.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Q1549" s="7"/>
      <c r="R1549" s="7"/>
      <c r="S1549" s="7"/>
      <c r="T1549" s="7"/>
      <c r="U1549" s="7"/>
      <c r="V1549" s="7"/>
      <c r="AC1549" s="7"/>
      <c r="AD1549" s="7"/>
      <c r="AE1549" s="7"/>
      <c r="AF1549" s="7"/>
      <c r="AG1549" s="7"/>
      <c r="AO1549" s="7"/>
      <c r="AP1549" s="7"/>
      <c r="AQ1549" s="7"/>
      <c r="AR1549" s="7"/>
      <c r="AS1549" s="7"/>
    </row>
    <row r="1550" spans="1:45" x14ac:dyDescent="0.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Q1550" s="7"/>
      <c r="R1550" s="7"/>
      <c r="S1550" s="7"/>
      <c r="T1550" s="7"/>
      <c r="U1550" s="7"/>
      <c r="V1550" s="7"/>
      <c r="AC1550" s="7"/>
      <c r="AD1550" s="7"/>
      <c r="AE1550" s="7"/>
      <c r="AF1550" s="7"/>
      <c r="AG1550" s="7"/>
      <c r="AO1550" s="7"/>
      <c r="AP1550" s="7"/>
      <c r="AQ1550" s="7"/>
      <c r="AR1550" s="7"/>
      <c r="AS1550" s="7"/>
    </row>
    <row r="1551" spans="1:45" x14ac:dyDescent="0.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Q1551" s="7"/>
      <c r="R1551" s="7"/>
      <c r="S1551" s="7"/>
      <c r="T1551" s="7"/>
      <c r="U1551" s="7"/>
      <c r="V1551" s="7"/>
      <c r="AC1551" s="7"/>
      <c r="AD1551" s="7"/>
      <c r="AE1551" s="7"/>
      <c r="AF1551" s="7"/>
      <c r="AG1551" s="7"/>
      <c r="AO1551" s="7"/>
      <c r="AP1551" s="7"/>
      <c r="AQ1551" s="7"/>
      <c r="AR1551" s="7"/>
      <c r="AS1551" s="7"/>
    </row>
    <row r="1552" spans="1:45" x14ac:dyDescent="0.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Q1552" s="7"/>
      <c r="R1552" s="7"/>
      <c r="S1552" s="7"/>
      <c r="T1552" s="7"/>
      <c r="U1552" s="7"/>
      <c r="V1552" s="7"/>
      <c r="AC1552" s="7"/>
      <c r="AD1552" s="7"/>
      <c r="AE1552" s="7"/>
      <c r="AF1552" s="7"/>
      <c r="AG1552" s="7"/>
      <c r="AO1552" s="7"/>
      <c r="AP1552" s="7"/>
      <c r="AQ1552" s="7"/>
      <c r="AR1552" s="7"/>
      <c r="AS1552" s="7"/>
    </row>
    <row r="1553" spans="1:45" x14ac:dyDescent="0.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Q1553" s="7"/>
      <c r="R1553" s="7"/>
      <c r="S1553" s="7"/>
      <c r="T1553" s="7"/>
      <c r="U1553" s="7"/>
      <c r="V1553" s="7"/>
      <c r="AC1553" s="7"/>
      <c r="AD1553" s="7"/>
      <c r="AE1553" s="7"/>
      <c r="AF1553" s="7"/>
      <c r="AG1553" s="7"/>
      <c r="AO1553" s="7"/>
      <c r="AP1553" s="7"/>
      <c r="AQ1553" s="7"/>
      <c r="AR1553" s="7"/>
      <c r="AS1553" s="7"/>
    </row>
    <row r="1554" spans="1:45" x14ac:dyDescent="0.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Q1554" s="7"/>
      <c r="R1554" s="7"/>
      <c r="S1554" s="7"/>
      <c r="T1554" s="7"/>
      <c r="U1554" s="7"/>
      <c r="V1554" s="7"/>
      <c r="AC1554" s="7"/>
      <c r="AD1554" s="7"/>
      <c r="AE1554" s="7"/>
      <c r="AF1554" s="7"/>
      <c r="AG1554" s="7"/>
      <c r="AO1554" s="7"/>
      <c r="AP1554" s="7"/>
      <c r="AQ1554" s="7"/>
      <c r="AR1554" s="7"/>
      <c r="AS1554" s="7"/>
    </row>
    <row r="1555" spans="1:45" x14ac:dyDescent="0.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Q1555" s="7"/>
      <c r="R1555" s="7"/>
      <c r="S1555" s="7"/>
      <c r="T1555" s="7"/>
      <c r="U1555" s="7"/>
      <c r="V1555" s="7"/>
      <c r="AC1555" s="7"/>
      <c r="AD1555" s="7"/>
      <c r="AE1555" s="7"/>
      <c r="AF1555" s="7"/>
      <c r="AG1555" s="7"/>
      <c r="AO1555" s="7"/>
      <c r="AP1555" s="7"/>
      <c r="AQ1555" s="7"/>
      <c r="AR1555" s="7"/>
      <c r="AS1555" s="7"/>
    </row>
    <row r="1556" spans="1:45" x14ac:dyDescent="0.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Q1556" s="7"/>
      <c r="R1556" s="7"/>
      <c r="S1556" s="7"/>
      <c r="T1556" s="7"/>
      <c r="U1556" s="7"/>
      <c r="V1556" s="7"/>
      <c r="AC1556" s="7"/>
      <c r="AD1556" s="7"/>
      <c r="AE1556" s="7"/>
      <c r="AF1556" s="7"/>
      <c r="AG1556" s="7"/>
      <c r="AO1556" s="7"/>
      <c r="AP1556" s="7"/>
      <c r="AQ1556" s="7"/>
      <c r="AR1556" s="7"/>
      <c r="AS1556" s="7"/>
    </row>
    <row r="1557" spans="1:45" x14ac:dyDescent="0.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Q1557" s="7"/>
      <c r="R1557" s="7"/>
      <c r="S1557" s="7"/>
      <c r="T1557" s="7"/>
      <c r="U1557" s="7"/>
      <c r="V1557" s="7"/>
      <c r="AC1557" s="7"/>
      <c r="AD1557" s="7"/>
      <c r="AE1557" s="7"/>
      <c r="AF1557" s="7"/>
      <c r="AG1557" s="7"/>
      <c r="AO1557" s="7"/>
      <c r="AP1557" s="7"/>
      <c r="AQ1557" s="7"/>
      <c r="AR1557" s="7"/>
      <c r="AS1557" s="7"/>
    </row>
    <row r="1558" spans="1:45" x14ac:dyDescent="0.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Q1558" s="7"/>
      <c r="R1558" s="7"/>
      <c r="S1558" s="7"/>
      <c r="T1558" s="7"/>
      <c r="U1558" s="7"/>
      <c r="V1558" s="7"/>
      <c r="AC1558" s="7"/>
      <c r="AD1558" s="7"/>
      <c r="AE1558" s="7"/>
      <c r="AF1558" s="7"/>
      <c r="AG1558" s="7"/>
      <c r="AO1558" s="7"/>
      <c r="AP1558" s="7"/>
      <c r="AQ1558" s="7"/>
      <c r="AR1558" s="7"/>
      <c r="AS1558" s="7"/>
    </row>
    <row r="1559" spans="1:45" x14ac:dyDescent="0.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Q1559" s="7"/>
      <c r="R1559" s="7"/>
      <c r="S1559" s="7"/>
      <c r="T1559" s="7"/>
      <c r="U1559" s="7"/>
      <c r="V1559" s="7"/>
      <c r="AC1559" s="7"/>
      <c r="AD1559" s="7"/>
      <c r="AE1559" s="7"/>
      <c r="AF1559" s="7"/>
      <c r="AG1559" s="7"/>
      <c r="AO1559" s="7"/>
      <c r="AP1559" s="7"/>
      <c r="AQ1559" s="7"/>
      <c r="AR1559" s="7"/>
      <c r="AS1559" s="7"/>
    </row>
    <row r="1560" spans="1:45" x14ac:dyDescent="0.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Q1560" s="7"/>
      <c r="R1560" s="7"/>
      <c r="S1560" s="7"/>
      <c r="T1560" s="7"/>
      <c r="U1560" s="7"/>
      <c r="V1560" s="7"/>
      <c r="AC1560" s="7"/>
      <c r="AD1560" s="7"/>
      <c r="AE1560" s="7"/>
      <c r="AF1560" s="7"/>
      <c r="AG1560" s="7"/>
      <c r="AO1560" s="7"/>
      <c r="AP1560" s="7"/>
      <c r="AQ1560" s="7"/>
      <c r="AR1560" s="7"/>
      <c r="AS1560" s="7"/>
    </row>
    <row r="1561" spans="1:45" x14ac:dyDescent="0.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Q1561" s="7"/>
      <c r="R1561" s="7"/>
      <c r="S1561" s="7"/>
      <c r="T1561" s="7"/>
      <c r="U1561" s="7"/>
      <c r="V1561" s="7"/>
      <c r="AC1561" s="7"/>
      <c r="AD1561" s="7"/>
      <c r="AE1561" s="7"/>
      <c r="AF1561" s="7"/>
      <c r="AG1561" s="7"/>
      <c r="AO1561" s="7"/>
      <c r="AP1561" s="7"/>
      <c r="AQ1561" s="7"/>
      <c r="AR1561" s="7"/>
      <c r="AS1561" s="7"/>
    </row>
    <row r="1562" spans="1:45" x14ac:dyDescent="0.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Q1562" s="7"/>
      <c r="R1562" s="7"/>
      <c r="S1562" s="7"/>
      <c r="T1562" s="7"/>
      <c r="U1562" s="7"/>
      <c r="V1562" s="7"/>
      <c r="AC1562" s="7"/>
      <c r="AD1562" s="7"/>
      <c r="AE1562" s="7"/>
      <c r="AF1562" s="7"/>
      <c r="AG1562" s="7"/>
      <c r="AO1562" s="7"/>
      <c r="AP1562" s="7"/>
      <c r="AQ1562" s="7"/>
      <c r="AR1562" s="7"/>
      <c r="AS1562" s="7"/>
    </row>
    <row r="1563" spans="1:45" x14ac:dyDescent="0.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Q1563" s="7"/>
      <c r="R1563" s="7"/>
      <c r="S1563" s="7"/>
      <c r="T1563" s="7"/>
      <c r="U1563" s="7"/>
      <c r="V1563" s="7"/>
      <c r="AC1563" s="7"/>
      <c r="AD1563" s="7"/>
      <c r="AE1563" s="7"/>
      <c r="AF1563" s="7"/>
      <c r="AG1563" s="7"/>
      <c r="AO1563" s="7"/>
      <c r="AP1563" s="7"/>
      <c r="AQ1563" s="7"/>
      <c r="AR1563" s="7"/>
      <c r="AS1563" s="7"/>
    </row>
    <row r="1564" spans="1:45" x14ac:dyDescent="0.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Q1564" s="7"/>
      <c r="R1564" s="7"/>
      <c r="S1564" s="7"/>
      <c r="T1564" s="7"/>
      <c r="U1564" s="7"/>
      <c r="V1564" s="7"/>
      <c r="AC1564" s="7"/>
      <c r="AD1564" s="7"/>
      <c r="AE1564" s="7"/>
      <c r="AF1564" s="7"/>
      <c r="AG1564" s="7"/>
      <c r="AO1564" s="7"/>
      <c r="AP1564" s="7"/>
      <c r="AQ1564" s="7"/>
      <c r="AR1564" s="7"/>
      <c r="AS1564" s="7"/>
    </row>
    <row r="1565" spans="1:45" x14ac:dyDescent="0.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Q1565" s="7"/>
      <c r="R1565" s="7"/>
      <c r="S1565" s="7"/>
      <c r="T1565" s="7"/>
      <c r="U1565" s="7"/>
      <c r="V1565" s="7"/>
      <c r="AC1565" s="7"/>
      <c r="AD1565" s="7"/>
      <c r="AE1565" s="7"/>
      <c r="AF1565" s="7"/>
      <c r="AG1565" s="7"/>
      <c r="AO1565" s="7"/>
      <c r="AP1565" s="7"/>
      <c r="AQ1565" s="7"/>
      <c r="AR1565" s="7"/>
      <c r="AS1565" s="7"/>
    </row>
    <row r="1566" spans="1:45" x14ac:dyDescent="0.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Q1566" s="7"/>
      <c r="R1566" s="7"/>
      <c r="S1566" s="7"/>
      <c r="T1566" s="7"/>
      <c r="U1566" s="7"/>
      <c r="V1566" s="7"/>
      <c r="AC1566" s="7"/>
      <c r="AD1566" s="7"/>
      <c r="AE1566" s="7"/>
      <c r="AF1566" s="7"/>
      <c r="AG1566" s="7"/>
      <c r="AO1566" s="7"/>
      <c r="AP1566" s="7"/>
      <c r="AQ1566" s="7"/>
      <c r="AR1566" s="7"/>
      <c r="AS1566" s="7"/>
    </row>
    <row r="1567" spans="1:45" x14ac:dyDescent="0.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Q1567" s="7"/>
      <c r="R1567" s="7"/>
      <c r="S1567" s="7"/>
      <c r="T1567" s="7"/>
      <c r="U1567" s="7"/>
      <c r="V1567" s="7"/>
      <c r="AC1567" s="7"/>
      <c r="AD1567" s="7"/>
      <c r="AE1567" s="7"/>
      <c r="AF1567" s="7"/>
      <c r="AG1567" s="7"/>
      <c r="AO1567" s="7"/>
      <c r="AP1567" s="7"/>
      <c r="AQ1567" s="7"/>
      <c r="AR1567" s="7"/>
      <c r="AS1567" s="7"/>
    </row>
    <row r="1568" spans="1:45" x14ac:dyDescent="0.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Q1568" s="7"/>
      <c r="R1568" s="7"/>
      <c r="S1568" s="7"/>
      <c r="T1568" s="7"/>
      <c r="U1568" s="7"/>
      <c r="V1568" s="7"/>
      <c r="AC1568" s="7"/>
      <c r="AD1568" s="7"/>
      <c r="AE1568" s="7"/>
      <c r="AF1568" s="7"/>
      <c r="AG1568" s="7"/>
      <c r="AO1568" s="7"/>
      <c r="AP1568" s="7"/>
      <c r="AQ1568" s="7"/>
      <c r="AR1568" s="7"/>
      <c r="AS1568" s="7"/>
    </row>
    <row r="1569" spans="1:45" x14ac:dyDescent="0.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Q1569" s="7"/>
      <c r="R1569" s="7"/>
      <c r="S1569" s="7"/>
      <c r="T1569" s="7"/>
      <c r="U1569" s="7"/>
      <c r="V1569" s="7"/>
      <c r="AC1569" s="7"/>
      <c r="AD1569" s="7"/>
      <c r="AE1569" s="7"/>
      <c r="AF1569" s="7"/>
      <c r="AG1569" s="7"/>
      <c r="AO1569" s="7"/>
      <c r="AP1569" s="7"/>
      <c r="AQ1569" s="7"/>
      <c r="AR1569" s="7"/>
      <c r="AS1569" s="7"/>
    </row>
    <row r="1570" spans="1:45" x14ac:dyDescent="0.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Q1570" s="7"/>
      <c r="R1570" s="7"/>
      <c r="S1570" s="7"/>
      <c r="T1570" s="7"/>
      <c r="U1570" s="7"/>
      <c r="V1570" s="7"/>
      <c r="AC1570" s="7"/>
      <c r="AD1570" s="7"/>
      <c r="AE1570" s="7"/>
      <c r="AF1570" s="7"/>
      <c r="AG1570" s="7"/>
      <c r="AO1570" s="7"/>
      <c r="AP1570" s="7"/>
      <c r="AQ1570" s="7"/>
      <c r="AR1570" s="7"/>
      <c r="AS1570" s="7"/>
    </row>
    <row r="1571" spans="1:45" x14ac:dyDescent="0.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Q1571" s="7"/>
      <c r="R1571" s="7"/>
      <c r="S1571" s="7"/>
      <c r="T1571" s="7"/>
      <c r="U1571" s="7"/>
      <c r="V1571" s="7"/>
      <c r="AC1571" s="7"/>
      <c r="AD1571" s="7"/>
      <c r="AE1571" s="7"/>
      <c r="AF1571" s="7"/>
      <c r="AG1571" s="7"/>
      <c r="AO1571" s="7"/>
      <c r="AP1571" s="7"/>
      <c r="AQ1571" s="7"/>
      <c r="AR1571" s="7"/>
      <c r="AS1571" s="7"/>
    </row>
    <row r="1572" spans="1:45" x14ac:dyDescent="0.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Q1572" s="7"/>
      <c r="R1572" s="7"/>
      <c r="S1572" s="7"/>
      <c r="T1572" s="7"/>
      <c r="U1572" s="7"/>
      <c r="V1572" s="7"/>
      <c r="AC1572" s="7"/>
      <c r="AD1572" s="7"/>
      <c r="AE1572" s="7"/>
      <c r="AF1572" s="7"/>
      <c r="AG1572" s="7"/>
      <c r="AO1572" s="7"/>
      <c r="AP1572" s="7"/>
      <c r="AQ1572" s="7"/>
      <c r="AR1572" s="7"/>
      <c r="AS1572" s="7"/>
    </row>
    <row r="1573" spans="1:45" x14ac:dyDescent="0.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Q1573" s="7"/>
      <c r="R1573" s="7"/>
      <c r="S1573" s="7"/>
      <c r="T1573" s="7"/>
      <c r="U1573" s="7"/>
      <c r="V1573" s="7"/>
      <c r="AC1573" s="7"/>
      <c r="AD1573" s="7"/>
      <c r="AE1573" s="7"/>
      <c r="AF1573" s="7"/>
      <c r="AG1573" s="7"/>
      <c r="AO1573" s="7"/>
      <c r="AP1573" s="7"/>
      <c r="AQ1573" s="7"/>
      <c r="AR1573" s="7"/>
      <c r="AS1573" s="7"/>
    </row>
    <row r="1574" spans="1:45" x14ac:dyDescent="0.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Q1574" s="7"/>
      <c r="R1574" s="7"/>
      <c r="S1574" s="7"/>
      <c r="T1574" s="7"/>
      <c r="U1574" s="7"/>
      <c r="V1574" s="7"/>
      <c r="AC1574" s="7"/>
      <c r="AD1574" s="7"/>
      <c r="AE1574" s="7"/>
      <c r="AF1574" s="7"/>
      <c r="AG1574" s="7"/>
      <c r="AO1574" s="7"/>
      <c r="AP1574" s="7"/>
      <c r="AQ1574" s="7"/>
      <c r="AR1574" s="7"/>
      <c r="AS1574" s="7"/>
    </row>
    <row r="1575" spans="1:45" x14ac:dyDescent="0.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Q1575" s="7"/>
      <c r="R1575" s="7"/>
      <c r="S1575" s="7"/>
      <c r="T1575" s="7"/>
      <c r="U1575" s="7"/>
      <c r="V1575" s="7"/>
      <c r="AC1575" s="7"/>
      <c r="AD1575" s="7"/>
      <c r="AE1575" s="7"/>
      <c r="AF1575" s="7"/>
      <c r="AG1575" s="7"/>
      <c r="AO1575" s="7"/>
      <c r="AP1575" s="7"/>
      <c r="AQ1575" s="7"/>
      <c r="AR1575" s="7"/>
      <c r="AS1575" s="7"/>
    </row>
    <row r="1576" spans="1:45" x14ac:dyDescent="0.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Q1576" s="7"/>
      <c r="R1576" s="7"/>
      <c r="S1576" s="7"/>
      <c r="T1576" s="7"/>
      <c r="U1576" s="7"/>
      <c r="V1576" s="7"/>
      <c r="AC1576" s="7"/>
      <c r="AD1576" s="7"/>
      <c r="AE1576" s="7"/>
      <c r="AF1576" s="7"/>
      <c r="AG1576" s="7"/>
      <c r="AO1576" s="7"/>
      <c r="AP1576" s="7"/>
      <c r="AQ1576" s="7"/>
      <c r="AR1576" s="7"/>
      <c r="AS1576" s="7"/>
    </row>
    <row r="1577" spans="1:45" x14ac:dyDescent="0.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Q1577" s="7"/>
      <c r="R1577" s="7"/>
      <c r="S1577" s="7"/>
      <c r="T1577" s="7"/>
      <c r="U1577" s="7"/>
      <c r="V1577" s="7"/>
      <c r="AC1577" s="7"/>
      <c r="AD1577" s="7"/>
      <c r="AE1577" s="7"/>
      <c r="AF1577" s="7"/>
      <c r="AG1577" s="7"/>
      <c r="AO1577" s="7"/>
      <c r="AP1577" s="7"/>
      <c r="AQ1577" s="7"/>
      <c r="AR1577" s="7"/>
      <c r="AS1577" s="7"/>
    </row>
    <row r="1578" spans="1:45" x14ac:dyDescent="0.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Q1578" s="7"/>
      <c r="R1578" s="7"/>
      <c r="S1578" s="7"/>
      <c r="T1578" s="7"/>
      <c r="U1578" s="7"/>
      <c r="V1578" s="7"/>
      <c r="AC1578" s="7"/>
      <c r="AD1578" s="7"/>
      <c r="AE1578" s="7"/>
      <c r="AF1578" s="7"/>
      <c r="AG1578" s="7"/>
      <c r="AO1578" s="7"/>
      <c r="AP1578" s="7"/>
      <c r="AQ1578" s="7"/>
      <c r="AR1578" s="7"/>
      <c r="AS1578" s="7"/>
    </row>
    <row r="1579" spans="1:45" x14ac:dyDescent="0.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Q1579" s="7"/>
      <c r="R1579" s="7"/>
      <c r="S1579" s="7"/>
      <c r="T1579" s="7"/>
      <c r="U1579" s="7"/>
      <c r="V1579" s="7"/>
      <c r="AC1579" s="7"/>
      <c r="AD1579" s="7"/>
      <c r="AE1579" s="7"/>
      <c r="AF1579" s="7"/>
      <c r="AG1579" s="7"/>
      <c r="AO1579" s="7"/>
      <c r="AP1579" s="7"/>
      <c r="AQ1579" s="7"/>
      <c r="AR1579" s="7"/>
      <c r="AS1579" s="7"/>
    </row>
    <row r="1580" spans="1:45" x14ac:dyDescent="0.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Q1580" s="7"/>
      <c r="R1580" s="7"/>
      <c r="S1580" s="7"/>
      <c r="T1580" s="7"/>
      <c r="U1580" s="7"/>
      <c r="V1580" s="7"/>
      <c r="AC1580" s="7"/>
      <c r="AD1580" s="7"/>
      <c r="AE1580" s="7"/>
      <c r="AF1580" s="7"/>
      <c r="AG1580" s="7"/>
      <c r="AO1580" s="7"/>
      <c r="AP1580" s="7"/>
      <c r="AQ1580" s="7"/>
      <c r="AR1580" s="7"/>
      <c r="AS1580" s="7"/>
    </row>
    <row r="1581" spans="1:45" x14ac:dyDescent="0.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Q1581" s="7"/>
      <c r="R1581" s="7"/>
      <c r="S1581" s="7"/>
      <c r="T1581" s="7"/>
      <c r="U1581" s="7"/>
      <c r="V1581" s="7"/>
      <c r="AC1581" s="7"/>
      <c r="AD1581" s="7"/>
      <c r="AE1581" s="7"/>
      <c r="AF1581" s="7"/>
      <c r="AG1581" s="7"/>
      <c r="AO1581" s="7"/>
      <c r="AP1581" s="7"/>
      <c r="AQ1581" s="7"/>
      <c r="AR1581" s="7"/>
      <c r="AS1581" s="7"/>
    </row>
    <row r="1582" spans="1:45" x14ac:dyDescent="0.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Q1582" s="7"/>
      <c r="R1582" s="7"/>
      <c r="S1582" s="7"/>
      <c r="T1582" s="7"/>
      <c r="U1582" s="7"/>
      <c r="V1582" s="7"/>
      <c r="AC1582" s="7"/>
      <c r="AD1582" s="7"/>
      <c r="AE1582" s="7"/>
      <c r="AF1582" s="7"/>
      <c r="AG1582" s="7"/>
      <c r="AO1582" s="7"/>
      <c r="AP1582" s="7"/>
      <c r="AQ1582" s="7"/>
      <c r="AR1582" s="7"/>
      <c r="AS1582" s="7"/>
    </row>
    <row r="1583" spans="1:45" x14ac:dyDescent="0.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Q1583" s="7"/>
      <c r="R1583" s="7"/>
      <c r="S1583" s="7"/>
      <c r="T1583" s="7"/>
      <c r="U1583" s="7"/>
      <c r="V1583" s="7"/>
      <c r="AC1583" s="7"/>
      <c r="AD1583" s="7"/>
      <c r="AE1583" s="7"/>
      <c r="AF1583" s="7"/>
      <c r="AG1583" s="7"/>
      <c r="AO1583" s="7"/>
      <c r="AP1583" s="7"/>
      <c r="AQ1583" s="7"/>
      <c r="AR1583" s="7"/>
      <c r="AS1583" s="7"/>
    </row>
    <row r="1584" spans="1:45" x14ac:dyDescent="0.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Q1584" s="7"/>
      <c r="R1584" s="7"/>
      <c r="S1584" s="7"/>
      <c r="T1584" s="7"/>
      <c r="U1584" s="7"/>
      <c r="V1584" s="7"/>
      <c r="AC1584" s="7"/>
      <c r="AD1584" s="7"/>
      <c r="AE1584" s="7"/>
      <c r="AF1584" s="7"/>
      <c r="AG1584" s="7"/>
      <c r="AO1584" s="7"/>
      <c r="AP1584" s="7"/>
      <c r="AQ1584" s="7"/>
      <c r="AR1584" s="7"/>
      <c r="AS1584" s="7"/>
    </row>
    <row r="1585" spans="1:45" x14ac:dyDescent="0.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Q1585" s="7"/>
      <c r="R1585" s="7"/>
      <c r="S1585" s="7"/>
      <c r="T1585" s="7"/>
      <c r="U1585" s="7"/>
      <c r="V1585" s="7"/>
      <c r="AC1585" s="7"/>
      <c r="AD1585" s="7"/>
      <c r="AE1585" s="7"/>
      <c r="AF1585" s="7"/>
      <c r="AG1585" s="7"/>
      <c r="AO1585" s="7"/>
      <c r="AP1585" s="7"/>
      <c r="AQ1585" s="7"/>
      <c r="AR1585" s="7"/>
      <c r="AS1585" s="7"/>
    </row>
    <row r="1586" spans="1:45" x14ac:dyDescent="0.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Q1586" s="7"/>
      <c r="R1586" s="7"/>
      <c r="S1586" s="7"/>
      <c r="T1586" s="7"/>
      <c r="U1586" s="7"/>
      <c r="V1586" s="7"/>
      <c r="AC1586" s="7"/>
      <c r="AD1586" s="7"/>
      <c r="AE1586" s="7"/>
      <c r="AF1586" s="7"/>
      <c r="AG1586" s="7"/>
      <c r="AO1586" s="7"/>
      <c r="AP1586" s="7"/>
      <c r="AQ1586" s="7"/>
      <c r="AR1586" s="7"/>
      <c r="AS1586" s="7"/>
    </row>
    <row r="1587" spans="1:45" x14ac:dyDescent="0.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Q1587" s="7"/>
      <c r="R1587" s="7"/>
      <c r="S1587" s="7"/>
      <c r="T1587" s="7"/>
      <c r="U1587" s="7"/>
      <c r="V1587" s="7"/>
      <c r="AC1587" s="7"/>
      <c r="AD1587" s="7"/>
      <c r="AE1587" s="7"/>
      <c r="AF1587" s="7"/>
      <c r="AG1587" s="7"/>
      <c r="AO1587" s="7"/>
      <c r="AP1587" s="7"/>
      <c r="AQ1587" s="7"/>
      <c r="AR1587" s="7"/>
      <c r="AS1587" s="7"/>
    </row>
    <row r="1588" spans="1:45" x14ac:dyDescent="0.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Q1588" s="7"/>
      <c r="R1588" s="7"/>
      <c r="S1588" s="7"/>
      <c r="T1588" s="7"/>
      <c r="U1588" s="7"/>
      <c r="V1588" s="7"/>
      <c r="AC1588" s="7"/>
      <c r="AD1588" s="7"/>
      <c r="AE1588" s="7"/>
      <c r="AF1588" s="7"/>
      <c r="AG1588" s="7"/>
      <c r="AO1588" s="7"/>
      <c r="AP1588" s="7"/>
      <c r="AQ1588" s="7"/>
      <c r="AR1588" s="7"/>
      <c r="AS1588" s="7"/>
    </row>
    <row r="1589" spans="1:45" x14ac:dyDescent="0.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Q1589" s="7"/>
      <c r="R1589" s="7"/>
      <c r="S1589" s="7"/>
      <c r="T1589" s="7"/>
      <c r="U1589" s="7"/>
      <c r="V1589" s="7"/>
      <c r="AC1589" s="7"/>
      <c r="AD1589" s="7"/>
      <c r="AE1589" s="7"/>
      <c r="AF1589" s="7"/>
      <c r="AG1589" s="7"/>
      <c r="AO1589" s="7"/>
      <c r="AP1589" s="7"/>
      <c r="AQ1589" s="7"/>
      <c r="AR1589" s="7"/>
      <c r="AS1589" s="7"/>
    </row>
    <row r="1590" spans="1:45" x14ac:dyDescent="0.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Q1590" s="7"/>
      <c r="R1590" s="7"/>
      <c r="S1590" s="7"/>
      <c r="T1590" s="7"/>
      <c r="U1590" s="7"/>
      <c r="V1590" s="7"/>
      <c r="AC1590" s="7"/>
      <c r="AD1590" s="7"/>
      <c r="AE1590" s="7"/>
      <c r="AF1590" s="7"/>
      <c r="AG1590" s="7"/>
      <c r="AO1590" s="7"/>
      <c r="AP1590" s="7"/>
      <c r="AQ1590" s="7"/>
      <c r="AR1590" s="7"/>
      <c r="AS1590" s="7"/>
    </row>
    <row r="1591" spans="1:45" x14ac:dyDescent="0.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Q1591" s="7"/>
      <c r="R1591" s="7"/>
      <c r="S1591" s="7"/>
      <c r="T1591" s="7"/>
      <c r="U1591" s="7"/>
      <c r="V1591" s="7"/>
      <c r="AC1591" s="7"/>
      <c r="AD1591" s="7"/>
      <c r="AE1591" s="7"/>
      <c r="AF1591" s="7"/>
      <c r="AG1591" s="7"/>
      <c r="AO1591" s="7"/>
      <c r="AP1591" s="7"/>
      <c r="AQ1591" s="7"/>
      <c r="AR1591" s="7"/>
      <c r="AS1591" s="7"/>
    </row>
    <row r="1592" spans="1:45" x14ac:dyDescent="0.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Q1592" s="7"/>
      <c r="R1592" s="7"/>
      <c r="S1592" s="7"/>
      <c r="T1592" s="7"/>
      <c r="U1592" s="7"/>
      <c r="V1592" s="7"/>
      <c r="AC1592" s="7"/>
      <c r="AD1592" s="7"/>
      <c r="AE1592" s="7"/>
      <c r="AF1592" s="7"/>
      <c r="AG1592" s="7"/>
      <c r="AO1592" s="7"/>
      <c r="AP1592" s="7"/>
      <c r="AQ1592" s="7"/>
      <c r="AR1592" s="7"/>
      <c r="AS1592" s="7"/>
    </row>
    <row r="1593" spans="1:45" x14ac:dyDescent="0.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Q1593" s="7"/>
      <c r="R1593" s="7"/>
      <c r="S1593" s="7"/>
      <c r="T1593" s="7"/>
      <c r="U1593" s="7"/>
      <c r="V1593" s="7"/>
      <c r="AC1593" s="7"/>
      <c r="AD1593" s="7"/>
      <c r="AE1593" s="7"/>
      <c r="AF1593" s="7"/>
      <c r="AG1593" s="7"/>
      <c r="AO1593" s="7"/>
      <c r="AP1593" s="7"/>
      <c r="AQ1593" s="7"/>
      <c r="AR1593" s="7"/>
      <c r="AS1593" s="7"/>
    </row>
    <row r="1594" spans="1:45" x14ac:dyDescent="0.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Q1594" s="7"/>
      <c r="R1594" s="7"/>
      <c r="S1594" s="7"/>
      <c r="T1594" s="7"/>
      <c r="U1594" s="7"/>
      <c r="V1594" s="7"/>
      <c r="AC1594" s="7"/>
      <c r="AD1594" s="7"/>
      <c r="AE1594" s="7"/>
      <c r="AF1594" s="7"/>
      <c r="AG1594" s="7"/>
      <c r="AO1594" s="7"/>
      <c r="AP1594" s="7"/>
      <c r="AQ1594" s="7"/>
      <c r="AR1594" s="7"/>
      <c r="AS1594" s="7"/>
    </row>
    <row r="1595" spans="1:45" x14ac:dyDescent="0.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Q1595" s="7"/>
      <c r="R1595" s="7"/>
      <c r="S1595" s="7"/>
      <c r="T1595" s="7"/>
      <c r="U1595" s="7"/>
      <c r="V1595" s="7"/>
      <c r="AC1595" s="7"/>
      <c r="AD1595" s="7"/>
      <c r="AE1595" s="7"/>
      <c r="AF1595" s="7"/>
      <c r="AG1595" s="7"/>
      <c r="AO1595" s="7"/>
      <c r="AP1595" s="7"/>
      <c r="AQ1595" s="7"/>
      <c r="AR1595" s="7"/>
      <c r="AS1595" s="7"/>
    </row>
    <row r="1596" spans="1:45" x14ac:dyDescent="0.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Q1596" s="7"/>
      <c r="R1596" s="7"/>
      <c r="S1596" s="7"/>
      <c r="T1596" s="7"/>
      <c r="U1596" s="7"/>
      <c r="V1596" s="7"/>
      <c r="AC1596" s="7"/>
      <c r="AD1596" s="7"/>
      <c r="AE1596" s="7"/>
      <c r="AF1596" s="7"/>
      <c r="AG1596" s="7"/>
      <c r="AO1596" s="7"/>
      <c r="AP1596" s="7"/>
      <c r="AQ1596" s="7"/>
      <c r="AR1596" s="7"/>
      <c r="AS1596" s="7"/>
    </row>
    <row r="1597" spans="1:45" x14ac:dyDescent="0.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Q1597" s="7"/>
      <c r="R1597" s="7"/>
      <c r="S1597" s="7"/>
      <c r="T1597" s="7"/>
      <c r="U1597" s="7"/>
      <c r="V1597" s="7"/>
      <c r="AC1597" s="7"/>
      <c r="AD1597" s="7"/>
      <c r="AE1597" s="7"/>
      <c r="AF1597" s="7"/>
      <c r="AG1597" s="7"/>
      <c r="AO1597" s="7"/>
      <c r="AP1597" s="7"/>
      <c r="AQ1597" s="7"/>
      <c r="AR1597" s="7"/>
      <c r="AS1597" s="7"/>
    </row>
    <row r="1598" spans="1:45" x14ac:dyDescent="0.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Q1598" s="7"/>
      <c r="R1598" s="7"/>
      <c r="S1598" s="7"/>
      <c r="T1598" s="7"/>
      <c r="U1598" s="7"/>
      <c r="V1598" s="7"/>
      <c r="AC1598" s="7"/>
      <c r="AD1598" s="7"/>
      <c r="AE1598" s="7"/>
      <c r="AF1598" s="7"/>
      <c r="AG1598" s="7"/>
      <c r="AO1598" s="7"/>
      <c r="AP1598" s="7"/>
      <c r="AQ1598" s="7"/>
      <c r="AR1598" s="7"/>
      <c r="AS1598" s="7"/>
    </row>
    <row r="1599" spans="1:45" x14ac:dyDescent="0.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Q1599" s="7"/>
      <c r="R1599" s="7"/>
      <c r="S1599" s="7"/>
      <c r="T1599" s="7"/>
      <c r="U1599" s="7"/>
      <c r="V1599" s="7"/>
      <c r="AC1599" s="7"/>
      <c r="AD1599" s="7"/>
      <c r="AE1599" s="7"/>
      <c r="AF1599" s="7"/>
      <c r="AG1599" s="7"/>
      <c r="AO1599" s="7"/>
      <c r="AP1599" s="7"/>
      <c r="AQ1599" s="7"/>
      <c r="AR1599" s="7"/>
      <c r="AS1599" s="7"/>
    </row>
    <row r="1600" spans="1:45" x14ac:dyDescent="0.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Q1600" s="7"/>
      <c r="R1600" s="7"/>
      <c r="S1600" s="7"/>
      <c r="T1600" s="7"/>
      <c r="U1600" s="7"/>
      <c r="V1600" s="7"/>
      <c r="AC1600" s="7"/>
      <c r="AD1600" s="7"/>
      <c r="AE1600" s="7"/>
      <c r="AF1600" s="7"/>
      <c r="AG1600" s="7"/>
      <c r="AO1600" s="7"/>
      <c r="AP1600" s="7"/>
      <c r="AQ1600" s="7"/>
      <c r="AR1600" s="7"/>
      <c r="AS1600" s="7"/>
    </row>
    <row r="1601" spans="1:45" x14ac:dyDescent="0.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Q1601" s="7"/>
      <c r="R1601" s="7"/>
      <c r="S1601" s="7"/>
      <c r="T1601" s="7"/>
      <c r="U1601" s="7"/>
      <c r="V1601" s="7"/>
      <c r="AC1601" s="7"/>
      <c r="AD1601" s="7"/>
      <c r="AE1601" s="7"/>
      <c r="AF1601" s="7"/>
      <c r="AG1601" s="7"/>
      <c r="AO1601" s="7"/>
      <c r="AP1601" s="7"/>
      <c r="AQ1601" s="7"/>
      <c r="AR1601" s="7"/>
      <c r="AS1601" s="7"/>
    </row>
    <row r="1602" spans="1:45" x14ac:dyDescent="0.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Q1602" s="7"/>
      <c r="R1602" s="7"/>
      <c r="S1602" s="7"/>
      <c r="T1602" s="7"/>
      <c r="U1602" s="7"/>
      <c r="V1602" s="7"/>
      <c r="AC1602" s="7"/>
      <c r="AD1602" s="7"/>
      <c r="AE1602" s="7"/>
      <c r="AF1602" s="7"/>
      <c r="AG1602" s="7"/>
      <c r="AO1602" s="7"/>
      <c r="AP1602" s="7"/>
      <c r="AQ1602" s="7"/>
      <c r="AR1602" s="7"/>
      <c r="AS1602" s="7"/>
    </row>
    <row r="1603" spans="1:45" x14ac:dyDescent="0.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Q1603" s="7"/>
      <c r="R1603" s="7"/>
      <c r="S1603" s="7"/>
      <c r="T1603" s="7"/>
      <c r="U1603" s="7"/>
      <c r="V1603" s="7"/>
      <c r="AC1603" s="7"/>
      <c r="AD1603" s="7"/>
      <c r="AE1603" s="7"/>
      <c r="AF1603" s="7"/>
      <c r="AG1603" s="7"/>
      <c r="AO1603" s="7"/>
      <c r="AP1603" s="7"/>
      <c r="AQ1603" s="7"/>
      <c r="AR1603" s="7"/>
      <c r="AS1603" s="7"/>
    </row>
    <row r="1604" spans="1:45" x14ac:dyDescent="0.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Q1604" s="7"/>
      <c r="R1604" s="7"/>
      <c r="S1604" s="7"/>
      <c r="T1604" s="7"/>
      <c r="U1604" s="7"/>
      <c r="V1604" s="7"/>
      <c r="AC1604" s="7"/>
      <c r="AD1604" s="7"/>
      <c r="AE1604" s="7"/>
      <c r="AF1604" s="7"/>
      <c r="AG1604" s="7"/>
      <c r="AO1604" s="7"/>
      <c r="AP1604" s="7"/>
      <c r="AQ1604" s="7"/>
      <c r="AR1604" s="7"/>
      <c r="AS1604" s="7"/>
    </row>
    <row r="1605" spans="1:45" x14ac:dyDescent="0.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Q1605" s="7"/>
      <c r="R1605" s="7"/>
      <c r="S1605" s="7"/>
      <c r="T1605" s="7"/>
      <c r="U1605" s="7"/>
      <c r="V1605" s="7"/>
      <c r="AC1605" s="7"/>
      <c r="AD1605" s="7"/>
      <c r="AE1605" s="7"/>
      <c r="AF1605" s="7"/>
      <c r="AG1605" s="7"/>
      <c r="AO1605" s="7"/>
      <c r="AP1605" s="7"/>
      <c r="AQ1605" s="7"/>
      <c r="AR1605" s="7"/>
      <c r="AS1605" s="7"/>
    </row>
    <row r="1606" spans="1:45" x14ac:dyDescent="0.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Q1606" s="7"/>
      <c r="R1606" s="7"/>
      <c r="S1606" s="7"/>
      <c r="T1606" s="7"/>
      <c r="U1606" s="7"/>
      <c r="V1606" s="7"/>
      <c r="AC1606" s="7"/>
      <c r="AD1606" s="7"/>
      <c r="AE1606" s="7"/>
      <c r="AF1606" s="7"/>
      <c r="AG1606" s="7"/>
      <c r="AO1606" s="7"/>
      <c r="AP1606" s="7"/>
      <c r="AQ1606" s="7"/>
      <c r="AR1606" s="7"/>
      <c r="AS1606" s="7"/>
    </row>
    <row r="1607" spans="1:45" x14ac:dyDescent="0.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Q1607" s="7"/>
      <c r="R1607" s="7"/>
      <c r="S1607" s="7"/>
      <c r="T1607" s="7"/>
      <c r="U1607" s="7"/>
      <c r="V1607" s="7"/>
      <c r="AC1607" s="7"/>
      <c r="AD1607" s="7"/>
      <c r="AE1607" s="7"/>
      <c r="AF1607" s="7"/>
      <c r="AG1607" s="7"/>
      <c r="AO1607" s="7"/>
      <c r="AP1607" s="7"/>
      <c r="AQ1607" s="7"/>
      <c r="AR1607" s="7"/>
      <c r="AS1607" s="7"/>
    </row>
    <row r="1608" spans="1:45" x14ac:dyDescent="0.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Q1608" s="7"/>
      <c r="R1608" s="7"/>
      <c r="S1608" s="7"/>
      <c r="T1608" s="7"/>
      <c r="U1608" s="7"/>
      <c r="V1608" s="7"/>
      <c r="AC1608" s="7"/>
      <c r="AD1608" s="7"/>
      <c r="AE1608" s="7"/>
      <c r="AF1608" s="7"/>
      <c r="AG1608" s="7"/>
      <c r="AO1608" s="7"/>
      <c r="AP1608" s="7"/>
      <c r="AQ1608" s="7"/>
      <c r="AR1608" s="7"/>
      <c r="AS1608" s="7"/>
    </row>
    <row r="1609" spans="1:45" x14ac:dyDescent="0.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Q1609" s="7"/>
      <c r="R1609" s="7"/>
      <c r="S1609" s="7"/>
      <c r="T1609" s="7"/>
      <c r="U1609" s="7"/>
      <c r="V1609" s="7"/>
      <c r="AC1609" s="7"/>
      <c r="AD1609" s="7"/>
      <c r="AE1609" s="7"/>
      <c r="AF1609" s="7"/>
      <c r="AG1609" s="7"/>
      <c r="AO1609" s="7"/>
      <c r="AP1609" s="7"/>
      <c r="AQ1609" s="7"/>
      <c r="AR1609" s="7"/>
      <c r="AS1609" s="7"/>
    </row>
    <row r="1610" spans="1:45" x14ac:dyDescent="0.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Q1610" s="7"/>
      <c r="R1610" s="7"/>
      <c r="S1610" s="7"/>
      <c r="T1610" s="7"/>
      <c r="U1610" s="7"/>
      <c r="V1610" s="7"/>
      <c r="AC1610" s="7"/>
      <c r="AD1610" s="7"/>
      <c r="AE1610" s="7"/>
      <c r="AF1610" s="7"/>
      <c r="AG1610" s="7"/>
      <c r="AO1610" s="7"/>
      <c r="AP1610" s="7"/>
      <c r="AQ1610" s="7"/>
      <c r="AR1610" s="7"/>
      <c r="AS1610" s="7"/>
    </row>
    <row r="1611" spans="1:45" x14ac:dyDescent="0.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Q1611" s="7"/>
      <c r="R1611" s="7"/>
      <c r="S1611" s="7"/>
      <c r="T1611" s="7"/>
      <c r="U1611" s="7"/>
      <c r="V1611" s="7"/>
      <c r="AC1611" s="7"/>
      <c r="AD1611" s="7"/>
      <c r="AE1611" s="7"/>
      <c r="AF1611" s="7"/>
      <c r="AG1611" s="7"/>
      <c r="AO1611" s="7"/>
      <c r="AP1611" s="7"/>
      <c r="AQ1611" s="7"/>
      <c r="AR1611" s="7"/>
      <c r="AS1611" s="7"/>
    </row>
    <row r="1612" spans="1:45" x14ac:dyDescent="0.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Q1612" s="7"/>
      <c r="R1612" s="7"/>
      <c r="S1612" s="7"/>
      <c r="T1612" s="7"/>
      <c r="U1612" s="7"/>
      <c r="V1612" s="7"/>
      <c r="AC1612" s="7"/>
      <c r="AD1612" s="7"/>
      <c r="AE1612" s="7"/>
      <c r="AF1612" s="7"/>
      <c r="AG1612" s="7"/>
      <c r="AO1612" s="7"/>
      <c r="AP1612" s="7"/>
      <c r="AQ1612" s="7"/>
      <c r="AR1612" s="7"/>
      <c r="AS1612" s="7"/>
    </row>
    <row r="1613" spans="1:45" x14ac:dyDescent="0.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Q1613" s="7"/>
      <c r="R1613" s="7"/>
      <c r="S1613" s="7"/>
      <c r="T1613" s="7"/>
      <c r="U1613" s="7"/>
      <c r="V1613" s="7"/>
      <c r="AC1613" s="7"/>
      <c r="AD1613" s="7"/>
      <c r="AE1613" s="7"/>
      <c r="AF1613" s="7"/>
      <c r="AG1613" s="7"/>
      <c r="AO1613" s="7"/>
      <c r="AP1613" s="7"/>
      <c r="AQ1613" s="7"/>
      <c r="AR1613" s="7"/>
      <c r="AS1613" s="7"/>
    </row>
    <row r="1614" spans="1:45" x14ac:dyDescent="0.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Q1614" s="7"/>
      <c r="R1614" s="7"/>
      <c r="S1614" s="7"/>
      <c r="T1614" s="7"/>
      <c r="U1614" s="7"/>
      <c r="V1614" s="7"/>
      <c r="AC1614" s="7"/>
      <c r="AD1614" s="7"/>
      <c r="AE1614" s="7"/>
      <c r="AF1614" s="7"/>
      <c r="AG1614" s="7"/>
      <c r="AO1614" s="7"/>
      <c r="AP1614" s="7"/>
      <c r="AQ1614" s="7"/>
      <c r="AR1614" s="7"/>
      <c r="AS1614" s="7"/>
    </row>
    <row r="1615" spans="1:45" x14ac:dyDescent="0.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Q1615" s="7"/>
      <c r="R1615" s="7"/>
      <c r="S1615" s="7"/>
      <c r="T1615" s="7"/>
      <c r="U1615" s="7"/>
      <c r="V1615" s="7"/>
      <c r="AC1615" s="7"/>
      <c r="AD1615" s="7"/>
      <c r="AE1615" s="7"/>
      <c r="AF1615" s="7"/>
      <c r="AG1615" s="7"/>
      <c r="AO1615" s="7"/>
      <c r="AP1615" s="7"/>
      <c r="AQ1615" s="7"/>
      <c r="AR1615" s="7"/>
      <c r="AS1615" s="7"/>
    </row>
    <row r="1616" spans="1:45" x14ac:dyDescent="0.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Q1616" s="7"/>
      <c r="R1616" s="7"/>
      <c r="S1616" s="7"/>
      <c r="T1616" s="7"/>
      <c r="U1616" s="7"/>
      <c r="V1616" s="7"/>
      <c r="AC1616" s="7"/>
      <c r="AD1616" s="7"/>
      <c r="AE1616" s="7"/>
      <c r="AF1616" s="7"/>
      <c r="AG1616" s="7"/>
      <c r="AO1616" s="7"/>
      <c r="AP1616" s="7"/>
      <c r="AQ1616" s="7"/>
      <c r="AR1616" s="7"/>
      <c r="AS1616" s="7"/>
    </row>
    <row r="1617" spans="1:45" x14ac:dyDescent="0.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Q1617" s="7"/>
      <c r="R1617" s="7"/>
      <c r="S1617" s="7"/>
      <c r="T1617" s="7"/>
      <c r="U1617" s="7"/>
      <c r="V1617" s="7"/>
      <c r="AC1617" s="7"/>
      <c r="AD1617" s="7"/>
      <c r="AE1617" s="7"/>
      <c r="AF1617" s="7"/>
      <c r="AG1617" s="7"/>
      <c r="AO1617" s="7"/>
      <c r="AP1617" s="7"/>
      <c r="AQ1617" s="7"/>
      <c r="AR1617" s="7"/>
      <c r="AS1617" s="7"/>
    </row>
    <row r="1618" spans="1:45" x14ac:dyDescent="0.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Q1618" s="7"/>
      <c r="R1618" s="7"/>
      <c r="S1618" s="7"/>
      <c r="T1618" s="7"/>
      <c r="U1618" s="7"/>
      <c r="V1618" s="7"/>
      <c r="AC1618" s="7"/>
      <c r="AD1618" s="7"/>
      <c r="AE1618" s="7"/>
      <c r="AF1618" s="7"/>
      <c r="AG1618" s="7"/>
      <c r="AO1618" s="7"/>
      <c r="AP1618" s="7"/>
      <c r="AQ1618" s="7"/>
      <c r="AR1618" s="7"/>
      <c r="AS1618" s="7"/>
    </row>
    <row r="1619" spans="1:45" x14ac:dyDescent="0.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Q1619" s="7"/>
      <c r="R1619" s="7"/>
      <c r="S1619" s="7"/>
      <c r="T1619" s="7"/>
      <c r="U1619" s="7"/>
      <c r="V1619" s="7"/>
      <c r="AC1619" s="7"/>
      <c r="AD1619" s="7"/>
      <c r="AE1619" s="7"/>
      <c r="AF1619" s="7"/>
      <c r="AG1619" s="7"/>
      <c r="AO1619" s="7"/>
      <c r="AP1619" s="7"/>
      <c r="AQ1619" s="7"/>
      <c r="AR1619" s="7"/>
      <c r="AS1619" s="7"/>
    </row>
    <row r="1620" spans="1:45" x14ac:dyDescent="0.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Q1620" s="7"/>
      <c r="R1620" s="7"/>
      <c r="S1620" s="7"/>
      <c r="T1620" s="7"/>
      <c r="U1620" s="7"/>
      <c r="V1620" s="7"/>
      <c r="AC1620" s="7"/>
      <c r="AD1620" s="7"/>
      <c r="AE1620" s="7"/>
      <c r="AF1620" s="7"/>
      <c r="AG1620" s="7"/>
      <c r="AO1620" s="7"/>
      <c r="AP1620" s="7"/>
      <c r="AQ1620" s="7"/>
      <c r="AR1620" s="7"/>
      <c r="AS1620" s="7"/>
    </row>
    <row r="1621" spans="1:45" x14ac:dyDescent="0.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Q1621" s="7"/>
      <c r="R1621" s="7"/>
      <c r="S1621" s="7"/>
      <c r="T1621" s="7"/>
      <c r="U1621" s="7"/>
      <c r="V1621" s="7"/>
      <c r="AC1621" s="7"/>
      <c r="AD1621" s="7"/>
      <c r="AE1621" s="7"/>
      <c r="AF1621" s="7"/>
      <c r="AG1621" s="7"/>
      <c r="AO1621" s="7"/>
      <c r="AP1621" s="7"/>
      <c r="AQ1621" s="7"/>
      <c r="AR1621" s="7"/>
      <c r="AS1621" s="7"/>
    </row>
    <row r="1622" spans="1:45" x14ac:dyDescent="0.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Q1622" s="7"/>
      <c r="R1622" s="7"/>
      <c r="S1622" s="7"/>
      <c r="T1622" s="7"/>
      <c r="U1622" s="7"/>
      <c r="V1622" s="7"/>
      <c r="AC1622" s="7"/>
      <c r="AD1622" s="7"/>
      <c r="AE1622" s="7"/>
      <c r="AF1622" s="7"/>
      <c r="AG1622" s="7"/>
      <c r="AO1622" s="7"/>
      <c r="AP1622" s="7"/>
      <c r="AQ1622" s="7"/>
      <c r="AR1622" s="7"/>
      <c r="AS1622" s="7"/>
    </row>
    <row r="1623" spans="1:45" x14ac:dyDescent="0.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Q1623" s="7"/>
      <c r="R1623" s="7"/>
      <c r="S1623" s="7"/>
      <c r="T1623" s="7"/>
      <c r="U1623" s="7"/>
      <c r="V1623" s="7"/>
      <c r="AC1623" s="7"/>
      <c r="AD1623" s="7"/>
      <c r="AE1623" s="7"/>
      <c r="AF1623" s="7"/>
      <c r="AG1623" s="7"/>
      <c r="AO1623" s="7"/>
      <c r="AP1623" s="7"/>
      <c r="AQ1623" s="7"/>
      <c r="AR1623" s="7"/>
      <c r="AS1623" s="7"/>
    </row>
    <row r="1624" spans="1:45" x14ac:dyDescent="0.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Q1624" s="7"/>
      <c r="R1624" s="7"/>
      <c r="S1624" s="7"/>
      <c r="T1624" s="7"/>
      <c r="U1624" s="7"/>
      <c r="V1624" s="7"/>
      <c r="AC1624" s="7"/>
      <c r="AD1624" s="7"/>
      <c r="AE1624" s="7"/>
      <c r="AF1624" s="7"/>
      <c r="AG1624" s="7"/>
      <c r="AO1624" s="7"/>
      <c r="AP1624" s="7"/>
      <c r="AQ1624" s="7"/>
      <c r="AR1624" s="7"/>
      <c r="AS1624" s="7"/>
    </row>
    <row r="1625" spans="1:45" x14ac:dyDescent="0.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Q1625" s="7"/>
      <c r="R1625" s="7"/>
      <c r="S1625" s="7"/>
      <c r="T1625" s="7"/>
      <c r="U1625" s="7"/>
      <c r="V1625" s="7"/>
      <c r="AC1625" s="7"/>
      <c r="AD1625" s="7"/>
      <c r="AE1625" s="7"/>
      <c r="AF1625" s="7"/>
      <c r="AG1625" s="7"/>
      <c r="AO1625" s="7"/>
      <c r="AP1625" s="7"/>
      <c r="AQ1625" s="7"/>
      <c r="AR1625" s="7"/>
      <c r="AS1625" s="7"/>
    </row>
    <row r="1626" spans="1:45" x14ac:dyDescent="0.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Q1626" s="7"/>
      <c r="R1626" s="7"/>
      <c r="S1626" s="7"/>
      <c r="T1626" s="7"/>
      <c r="U1626" s="7"/>
      <c r="V1626" s="7"/>
      <c r="AC1626" s="7"/>
      <c r="AD1626" s="7"/>
      <c r="AE1626" s="7"/>
      <c r="AF1626" s="7"/>
      <c r="AG1626" s="7"/>
      <c r="AO1626" s="7"/>
      <c r="AP1626" s="7"/>
      <c r="AQ1626" s="7"/>
      <c r="AR1626" s="7"/>
      <c r="AS1626" s="7"/>
    </row>
    <row r="1627" spans="1:45" x14ac:dyDescent="0.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Q1627" s="7"/>
      <c r="R1627" s="7"/>
      <c r="S1627" s="7"/>
      <c r="T1627" s="7"/>
      <c r="U1627" s="7"/>
      <c r="V1627" s="7"/>
      <c r="AC1627" s="7"/>
      <c r="AD1627" s="7"/>
      <c r="AE1627" s="7"/>
      <c r="AF1627" s="7"/>
      <c r="AG1627" s="7"/>
      <c r="AO1627" s="7"/>
      <c r="AP1627" s="7"/>
      <c r="AQ1627" s="7"/>
      <c r="AR1627" s="7"/>
      <c r="AS1627" s="7"/>
    </row>
    <row r="1628" spans="1:45" x14ac:dyDescent="0.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Q1628" s="7"/>
      <c r="R1628" s="7"/>
      <c r="S1628" s="7"/>
      <c r="T1628" s="7"/>
      <c r="U1628" s="7"/>
      <c r="V1628" s="7"/>
      <c r="AC1628" s="7"/>
      <c r="AD1628" s="7"/>
      <c r="AE1628" s="7"/>
      <c r="AF1628" s="7"/>
      <c r="AG1628" s="7"/>
      <c r="AO1628" s="7"/>
      <c r="AP1628" s="7"/>
      <c r="AQ1628" s="7"/>
      <c r="AR1628" s="7"/>
      <c r="AS1628" s="7"/>
    </row>
    <row r="1629" spans="1:45" x14ac:dyDescent="0.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Q1629" s="7"/>
      <c r="R1629" s="7"/>
      <c r="S1629" s="7"/>
      <c r="T1629" s="7"/>
      <c r="U1629" s="7"/>
      <c r="V1629" s="7"/>
      <c r="AC1629" s="7"/>
      <c r="AD1629" s="7"/>
      <c r="AE1629" s="7"/>
      <c r="AF1629" s="7"/>
      <c r="AG1629" s="7"/>
      <c r="AO1629" s="7"/>
      <c r="AP1629" s="7"/>
      <c r="AQ1629" s="7"/>
      <c r="AR1629" s="7"/>
      <c r="AS1629" s="7"/>
    </row>
    <row r="1630" spans="1:45" x14ac:dyDescent="0.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Q1630" s="7"/>
      <c r="R1630" s="7"/>
      <c r="S1630" s="7"/>
      <c r="T1630" s="7"/>
      <c r="U1630" s="7"/>
      <c r="V1630" s="7"/>
      <c r="AC1630" s="7"/>
      <c r="AD1630" s="7"/>
      <c r="AE1630" s="7"/>
      <c r="AF1630" s="7"/>
      <c r="AG1630" s="7"/>
      <c r="AO1630" s="7"/>
      <c r="AP1630" s="7"/>
      <c r="AQ1630" s="7"/>
      <c r="AR1630" s="7"/>
      <c r="AS1630" s="7"/>
    </row>
    <row r="1631" spans="1:45" x14ac:dyDescent="0.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Q1631" s="7"/>
      <c r="R1631" s="7"/>
      <c r="S1631" s="7"/>
      <c r="T1631" s="7"/>
      <c r="U1631" s="7"/>
      <c r="V1631" s="7"/>
      <c r="AC1631" s="7"/>
      <c r="AD1631" s="7"/>
      <c r="AE1631" s="7"/>
      <c r="AF1631" s="7"/>
      <c r="AG1631" s="7"/>
      <c r="AO1631" s="7"/>
      <c r="AP1631" s="7"/>
      <c r="AQ1631" s="7"/>
      <c r="AR1631" s="7"/>
      <c r="AS1631" s="7"/>
    </row>
    <row r="1632" spans="1:45" x14ac:dyDescent="0.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Q1632" s="7"/>
      <c r="R1632" s="7"/>
      <c r="S1632" s="7"/>
      <c r="T1632" s="7"/>
      <c r="U1632" s="7"/>
      <c r="V1632" s="7"/>
      <c r="AC1632" s="7"/>
      <c r="AD1632" s="7"/>
      <c r="AE1632" s="7"/>
      <c r="AF1632" s="7"/>
      <c r="AG1632" s="7"/>
      <c r="AO1632" s="7"/>
      <c r="AP1632" s="7"/>
      <c r="AQ1632" s="7"/>
      <c r="AR1632" s="7"/>
      <c r="AS1632" s="7"/>
    </row>
    <row r="1633" spans="1:45" x14ac:dyDescent="0.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Q1633" s="7"/>
      <c r="R1633" s="7"/>
      <c r="S1633" s="7"/>
      <c r="T1633" s="7"/>
      <c r="U1633" s="7"/>
      <c r="V1633" s="7"/>
      <c r="AC1633" s="7"/>
      <c r="AD1633" s="7"/>
      <c r="AE1633" s="7"/>
      <c r="AF1633" s="7"/>
      <c r="AG1633" s="7"/>
      <c r="AO1633" s="7"/>
      <c r="AP1633" s="7"/>
      <c r="AQ1633" s="7"/>
      <c r="AR1633" s="7"/>
      <c r="AS1633" s="7"/>
    </row>
    <row r="1634" spans="1:45" x14ac:dyDescent="0.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Q1634" s="7"/>
      <c r="R1634" s="7"/>
      <c r="S1634" s="7"/>
      <c r="T1634" s="7"/>
      <c r="U1634" s="7"/>
      <c r="V1634" s="7"/>
      <c r="AC1634" s="7"/>
      <c r="AD1634" s="7"/>
      <c r="AE1634" s="7"/>
      <c r="AF1634" s="7"/>
      <c r="AG1634" s="7"/>
      <c r="AO1634" s="7"/>
      <c r="AP1634" s="7"/>
      <c r="AQ1634" s="7"/>
      <c r="AR1634" s="7"/>
      <c r="AS1634" s="7"/>
    </row>
    <row r="1635" spans="1:45" x14ac:dyDescent="0.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Q1635" s="7"/>
      <c r="R1635" s="7"/>
      <c r="S1635" s="7"/>
      <c r="T1635" s="7"/>
      <c r="U1635" s="7"/>
      <c r="V1635" s="7"/>
      <c r="AC1635" s="7"/>
      <c r="AD1635" s="7"/>
      <c r="AE1635" s="7"/>
      <c r="AF1635" s="7"/>
      <c r="AG1635" s="7"/>
      <c r="AO1635" s="7"/>
      <c r="AP1635" s="7"/>
      <c r="AQ1635" s="7"/>
      <c r="AR1635" s="7"/>
      <c r="AS1635" s="7"/>
    </row>
    <row r="1636" spans="1:45" x14ac:dyDescent="0.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Q1636" s="7"/>
      <c r="R1636" s="7"/>
      <c r="S1636" s="7"/>
      <c r="T1636" s="7"/>
      <c r="U1636" s="7"/>
      <c r="V1636" s="7"/>
      <c r="AC1636" s="7"/>
      <c r="AD1636" s="7"/>
      <c r="AE1636" s="7"/>
      <c r="AF1636" s="7"/>
      <c r="AG1636" s="7"/>
      <c r="AO1636" s="7"/>
      <c r="AP1636" s="7"/>
      <c r="AQ1636" s="7"/>
      <c r="AR1636" s="7"/>
      <c r="AS1636" s="7"/>
    </row>
    <row r="1637" spans="1:45" x14ac:dyDescent="0.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Q1637" s="7"/>
      <c r="R1637" s="7"/>
      <c r="S1637" s="7"/>
      <c r="T1637" s="7"/>
      <c r="U1637" s="7"/>
      <c r="V1637" s="7"/>
      <c r="AC1637" s="7"/>
      <c r="AD1637" s="7"/>
      <c r="AE1637" s="7"/>
      <c r="AF1637" s="7"/>
      <c r="AG1637" s="7"/>
      <c r="AO1637" s="7"/>
      <c r="AP1637" s="7"/>
      <c r="AQ1637" s="7"/>
      <c r="AR1637" s="7"/>
      <c r="AS1637" s="7"/>
    </row>
    <row r="1638" spans="1:45" x14ac:dyDescent="0.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Q1638" s="7"/>
      <c r="R1638" s="7"/>
      <c r="S1638" s="7"/>
      <c r="T1638" s="7"/>
      <c r="U1638" s="7"/>
      <c r="V1638" s="7"/>
      <c r="AC1638" s="7"/>
      <c r="AD1638" s="7"/>
      <c r="AE1638" s="7"/>
      <c r="AF1638" s="7"/>
      <c r="AG1638" s="7"/>
      <c r="AO1638" s="7"/>
      <c r="AP1638" s="7"/>
      <c r="AQ1638" s="7"/>
      <c r="AR1638" s="7"/>
      <c r="AS1638" s="7"/>
    </row>
    <row r="1639" spans="1:45" x14ac:dyDescent="0.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Q1639" s="7"/>
      <c r="R1639" s="7"/>
      <c r="S1639" s="7"/>
      <c r="T1639" s="7"/>
      <c r="U1639" s="7"/>
      <c r="V1639" s="7"/>
      <c r="AC1639" s="7"/>
      <c r="AD1639" s="7"/>
      <c r="AE1639" s="7"/>
      <c r="AF1639" s="7"/>
      <c r="AG1639" s="7"/>
      <c r="AO1639" s="7"/>
      <c r="AP1639" s="7"/>
      <c r="AQ1639" s="7"/>
      <c r="AR1639" s="7"/>
      <c r="AS1639" s="7"/>
    </row>
    <row r="1640" spans="1:45" x14ac:dyDescent="0.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Q1640" s="7"/>
      <c r="R1640" s="7"/>
      <c r="S1640" s="7"/>
      <c r="T1640" s="7"/>
      <c r="U1640" s="7"/>
      <c r="V1640" s="7"/>
      <c r="AC1640" s="7"/>
      <c r="AD1640" s="7"/>
      <c r="AE1640" s="7"/>
      <c r="AF1640" s="7"/>
      <c r="AG1640" s="7"/>
      <c r="AO1640" s="7"/>
      <c r="AP1640" s="7"/>
      <c r="AQ1640" s="7"/>
      <c r="AR1640" s="7"/>
      <c r="AS1640" s="7"/>
    </row>
    <row r="1641" spans="1:45" x14ac:dyDescent="0.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Q1641" s="7"/>
      <c r="R1641" s="7"/>
      <c r="S1641" s="7"/>
      <c r="T1641" s="7"/>
      <c r="U1641" s="7"/>
      <c r="V1641" s="7"/>
      <c r="AC1641" s="7"/>
      <c r="AD1641" s="7"/>
      <c r="AE1641" s="7"/>
      <c r="AF1641" s="7"/>
      <c r="AG1641" s="7"/>
      <c r="AO1641" s="7"/>
      <c r="AP1641" s="7"/>
      <c r="AQ1641" s="7"/>
      <c r="AR1641" s="7"/>
      <c r="AS1641" s="7"/>
    </row>
    <row r="1642" spans="1:45" x14ac:dyDescent="0.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Q1642" s="7"/>
      <c r="R1642" s="7"/>
      <c r="S1642" s="7"/>
      <c r="T1642" s="7"/>
      <c r="U1642" s="7"/>
      <c r="V1642" s="7"/>
      <c r="AC1642" s="7"/>
      <c r="AD1642" s="7"/>
      <c r="AE1642" s="7"/>
      <c r="AF1642" s="7"/>
      <c r="AG1642" s="7"/>
      <c r="AO1642" s="7"/>
      <c r="AP1642" s="7"/>
      <c r="AQ1642" s="7"/>
      <c r="AR1642" s="7"/>
      <c r="AS1642" s="7"/>
    </row>
    <row r="1643" spans="1:45" x14ac:dyDescent="0.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Q1643" s="7"/>
      <c r="R1643" s="7"/>
      <c r="S1643" s="7"/>
      <c r="T1643" s="7"/>
      <c r="U1643" s="7"/>
      <c r="V1643" s="7"/>
      <c r="AC1643" s="7"/>
      <c r="AD1643" s="7"/>
      <c r="AE1643" s="7"/>
      <c r="AF1643" s="7"/>
      <c r="AG1643" s="7"/>
      <c r="AO1643" s="7"/>
      <c r="AP1643" s="7"/>
      <c r="AQ1643" s="7"/>
      <c r="AR1643" s="7"/>
      <c r="AS1643" s="7"/>
    </row>
    <row r="1644" spans="1:45" x14ac:dyDescent="0.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Q1644" s="7"/>
      <c r="R1644" s="7"/>
      <c r="S1644" s="7"/>
      <c r="T1644" s="7"/>
      <c r="U1644" s="7"/>
      <c r="V1644" s="7"/>
      <c r="AC1644" s="7"/>
      <c r="AD1644" s="7"/>
      <c r="AE1644" s="7"/>
      <c r="AF1644" s="7"/>
      <c r="AG1644" s="7"/>
      <c r="AO1644" s="7"/>
      <c r="AP1644" s="7"/>
      <c r="AQ1644" s="7"/>
      <c r="AR1644" s="7"/>
      <c r="AS1644" s="7"/>
    </row>
    <row r="1645" spans="1:45" x14ac:dyDescent="0.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Q1645" s="7"/>
      <c r="R1645" s="7"/>
      <c r="S1645" s="7"/>
      <c r="T1645" s="7"/>
      <c r="U1645" s="7"/>
      <c r="V1645" s="7"/>
      <c r="AC1645" s="7"/>
      <c r="AD1645" s="7"/>
      <c r="AE1645" s="7"/>
      <c r="AF1645" s="7"/>
      <c r="AG1645" s="7"/>
      <c r="AO1645" s="7"/>
      <c r="AP1645" s="7"/>
      <c r="AQ1645" s="7"/>
      <c r="AR1645" s="7"/>
      <c r="AS1645" s="7"/>
    </row>
    <row r="1646" spans="1:45" x14ac:dyDescent="0.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Q1646" s="7"/>
      <c r="R1646" s="7"/>
      <c r="S1646" s="7"/>
      <c r="T1646" s="7"/>
      <c r="U1646" s="7"/>
      <c r="V1646" s="7"/>
      <c r="AC1646" s="7"/>
      <c r="AD1646" s="7"/>
      <c r="AE1646" s="7"/>
      <c r="AF1646" s="7"/>
      <c r="AG1646" s="7"/>
      <c r="AO1646" s="7"/>
      <c r="AP1646" s="7"/>
      <c r="AQ1646" s="7"/>
      <c r="AR1646" s="7"/>
      <c r="AS1646" s="7"/>
    </row>
    <row r="1647" spans="1:45" x14ac:dyDescent="0.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Q1647" s="7"/>
      <c r="R1647" s="7"/>
      <c r="S1647" s="7"/>
      <c r="T1647" s="7"/>
      <c r="U1647" s="7"/>
      <c r="V1647" s="7"/>
      <c r="AC1647" s="7"/>
      <c r="AD1647" s="7"/>
      <c r="AE1647" s="7"/>
      <c r="AF1647" s="7"/>
      <c r="AG1647" s="7"/>
      <c r="AO1647" s="7"/>
      <c r="AP1647" s="7"/>
      <c r="AQ1647" s="7"/>
      <c r="AR1647" s="7"/>
      <c r="AS1647" s="7"/>
    </row>
    <row r="1648" spans="1:45" x14ac:dyDescent="0.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Q1648" s="7"/>
      <c r="R1648" s="7"/>
      <c r="S1648" s="7"/>
      <c r="T1648" s="7"/>
      <c r="U1648" s="7"/>
      <c r="V1648" s="7"/>
      <c r="AC1648" s="7"/>
      <c r="AD1648" s="7"/>
      <c r="AE1648" s="7"/>
      <c r="AF1648" s="7"/>
      <c r="AG1648" s="7"/>
      <c r="AO1648" s="7"/>
      <c r="AP1648" s="7"/>
      <c r="AQ1648" s="7"/>
      <c r="AR1648" s="7"/>
      <c r="AS1648" s="7"/>
    </row>
    <row r="1649" spans="1:45" x14ac:dyDescent="0.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Q1649" s="7"/>
      <c r="R1649" s="7"/>
      <c r="S1649" s="7"/>
      <c r="T1649" s="7"/>
      <c r="U1649" s="7"/>
      <c r="V1649" s="7"/>
      <c r="AC1649" s="7"/>
      <c r="AD1649" s="7"/>
      <c r="AE1649" s="7"/>
      <c r="AF1649" s="7"/>
      <c r="AG1649" s="7"/>
      <c r="AO1649" s="7"/>
      <c r="AP1649" s="7"/>
      <c r="AQ1649" s="7"/>
      <c r="AR1649" s="7"/>
      <c r="AS1649" s="7"/>
    </row>
    <row r="1650" spans="1:45" x14ac:dyDescent="0.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Q1650" s="7"/>
      <c r="R1650" s="7"/>
      <c r="S1650" s="7"/>
      <c r="T1650" s="7"/>
      <c r="U1650" s="7"/>
      <c r="V1650" s="7"/>
      <c r="AC1650" s="7"/>
      <c r="AD1650" s="7"/>
      <c r="AE1650" s="7"/>
      <c r="AF1650" s="7"/>
      <c r="AG1650" s="7"/>
      <c r="AO1650" s="7"/>
      <c r="AP1650" s="7"/>
      <c r="AQ1650" s="7"/>
      <c r="AR1650" s="7"/>
      <c r="AS1650" s="7"/>
    </row>
    <row r="1651" spans="1:45" x14ac:dyDescent="0.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Q1651" s="7"/>
      <c r="R1651" s="7"/>
      <c r="S1651" s="7"/>
      <c r="T1651" s="7"/>
      <c r="U1651" s="7"/>
      <c r="V1651" s="7"/>
      <c r="AC1651" s="7"/>
      <c r="AD1651" s="7"/>
      <c r="AE1651" s="7"/>
      <c r="AF1651" s="7"/>
      <c r="AG1651" s="7"/>
      <c r="AO1651" s="7"/>
      <c r="AP1651" s="7"/>
      <c r="AQ1651" s="7"/>
      <c r="AR1651" s="7"/>
      <c r="AS1651" s="7"/>
    </row>
    <row r="1652" spans="1:45" x14ac:dyDescent="0.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Q1652" s="7"/>
      <c r="R1652" s="7"/>
      <c r="S1652" s="7"/>
      <c r="T1652" s="7"/>
      <c r="U1652" s="7"/>
      <c r="V1652" s="7"/>
      <c r="AC1652" s="7"/>
      <c r="AD1652" s="7"/>
      <c r="AE1652" s="7"/>
      <c r="AF1652" s="7"/>
      <c r="AG1652" s="7"/>
      <c r="AO1652" s="7"/>
      <c r="AP1652" s="7"/>
      <c r="AQ1652" s="7"/>
      <c r="AR1652" s="7"/>
      <c r="AS1652" s="7"/>
    </row>
    <row r="1653" spans="1:45" x14ac:dyDescent="0.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Q1653" s="7"/>
      <c r="R1653" s="7"/>
      <c r="S1653" s="7"/>
      <c r="T1653" s="7"/>
      <c r="U1653" s="7"/>
      <c r="V1653" s="7"/>
      <c r="AC1653" s="7"/>
      <c r="AD1653" s="7"/>
      <c r="AE1653" s="7"/>
      <c r="AF1653" s="7"/>
      <c r="AG1653" s="7"/>
      <c r="AO1653" s="7"/>
      <c r="AP1653" s="7"/>
      <c r="AQ1653" s="7"/>
      <c r="AR1653" s="7"/>
      <c r="AS1653" s="7"/>
    </row>
    <row r="1654" spans="1:45" x14ac:dyDescent="0.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Q1654" s="7"/>
      <c r="R1654" s="7"/>
      <c r="S1654" s="7"/>
      <c r="T1654" s="7"/>
      <c r="U1654" s="7"/>
      <c r="V1654" s="7"/>
      <c r="AC1654" s="7"/>
      <c r="AD1654" s="7"/>
      <c r="AE1654" s="7"/>
      <c r="AF1654" s="7"/>
      <c r="AG1654" s="7"/>
      <c r="AO1654" s="7"/>
      <c r="AP1654" s="7"/>
      <c r="AQ1654" s="7"/>
      <c r="AR1654" s="7"/>
      <c r="AS1654" s="7"/>
    </row>
    <row r="1655" spans="1:45" x14ac:dyDescent="0.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Q1655" s="7"/>
      <c r="R1655" s="7"/>
      <c r="S1655" s="7"/>
      <c r="T1655" s="7"/>
      <c r="U1655" s="7"/>
      <c r="V1655" s="7"/>
      <c r="AC1655" s="7"/>
      <c r="AD1655" s="7"/>
      <c r="AE1655" s="7"/>
      <c r="AF1655" s="7"/>
      <c r="AG1655" s="7"/>
      <c r="AO1655" s="7"/>
      <c r="AP1655" s="7"/>
      <c r="AQ1655" s="7"/>
      <c r="AR1655" s="7"/>
      <c r="AS1655" s="7"/>
    </row>
    <row r="1656" spans="1:45" x14ac:dyDescent="0.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Q1656" s="7"/>
      <c r="R1656" s="7"/>
      <c r="S1656" s="7"/>
      <c r="T1656" s="7"/>
      <c r="U1656" s="7"/>
      <c r="V1656" s="7"/>
      <c r="AC1656" s="7"/>
      <c r="AD1656" s="7"/>
      <c r="AE1656" s="7"/>
      <c r="AF1656" s="7"/>
      <c r="AG1656" s="7"/>
      <c r="AO1656" s="7"/>
      <c r="AP1656" s="7"/>
      <c r="AQ1656" s="7"/>
      <c r="AR1656" s="7"/>
      <c r="AS1656" s="7"/>
    </row>
    <row r="1657" spans="1:45" x14ac:dyDescent="0.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Q1657" s="7"/>
      <c r="R1657" s="7"/>
      <c r="S1657" s="7"/>
      <c r="T1657" s="7"/>
      <c r="U1657" s="7"/>
      <c r="V1657" s="7"/>
      <c r="AC1657" s="7"/>
      <c r="AD1657" s="7"/>
      <c r="AE1657" s="7"/>
      <c r="AF1657" s="7"/>
      <c r="AG1657" s="7"/>
      <c r="AO1657" s="7"/>
      <c r="AP1657" s="7"/>
      <c r="AQ1657" s="7"/>
      <c r="AR1657" s="7"/>
      <c r="AS1657" s="7"/>
    </row>
    <row r="1658" spans="1:45" x14ac:dyDescent="0.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Q1658" s="7"/>
      <c r="R1658" s="7"/>
      <c r="S1658" s="7"/>
      <c r="T1658" s="7"/>
      <c r="U1658" s="7"/>
      <c r="V1658" s="7"/>
      <c r="AC1658" s="7"/>
      <c r="AD1658" s="7"/>
      <c r="AE1658" s="7"/>
      <c r="AF1658" s="7"/>
      <c r="AG1658" s="7"/>
      <c r="AO1658" s="7"/>
      <c r="AP1658" s="7"/>
      <c r="AQ1658" s="7"/>
      <c r="AR1658" s="7"/>
      <c r="AS1658" s="7"/>
    </row>
    <row r="1659" spans="1:45" x14ac:dyDescent="0.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Q1659" s="7"/>
      <c r="R1659" s="7"/>
      <c r="S1659" s="7"/>
      <c r="T1659" s="7"/>
      <c r="U1659" s="7"/>
      <c r="V1659" s="7"/>
      <c r="AC1659" s="7"/>
      <c r="AD1659" s="7"/>
      <c r="AE1659" s="7"/>
      <c r="AF1659" s="7"/>
      <c r="AG1659" s="7"/>
      <c r="AO1659" s="7"/>
      <c r="AP1659" s="7"/>
      <c r="AQ1659" s="7"/>
      <c r="AR1659" s="7"/>
      <c r="AS1659" s="7"/>
    </row>
    <row r="1660" spans="1:45" x14ac:dyDescent="0.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Q1660" s="7"/>
      <c r="R1660" s="7"/>
      <c r="S1660" s="7"/>
      <c r="T1660" s="7"/>
      <c r="U1660" s="7"/>
      <c r="V1660" s="7"/>
      <c r="AC1660" s="7"/>
      <c r="AD1660" s="7"/>
      <c r="AE1660" s="7"/>
      <c r="AF1660" s="7"/>
      <c r="AG1660" s="7"/>
      <c r="AO1660" s="7"/>
      <c r="AP1660" s="7"/>
      <c r="AQ1660" s="7"/>
      <c r="AR1660" s="7"/>
      <c r="AS1660" s="7"/>
    </row>
    <row r="1661" spans="1:45" x14ac:dyDescent="0.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Q1661" s="7"/>
      <c r="R1661" s="7"/>
      <c r="S1661" s="7"/>
      <c r="T1661" s="7"/>
      <c r="U1661" s="7"/>
      <c r="V1661" s="7"/>
      <c r="AC1661" s="7"/>
      <c r="AD1661" s="7"/>
      <c r="AE1661" s="7"/>
      <c r="AF1661" s="7"/>
      <c r="AG1661" s="7"/>
      <c r="AO1661" s="7"/>
      <c r="AP1661" s="7"/>
      <c r="AQ1661" s="7"/>
      <c r="AR1661" s="7"/>
      <c r="AS1661" s="7"/>
    </row>
    <row r="1662" spans="1:45" x14ac:dyDescent="0.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Q1662" s="7"/>
      <c r="R1662" s="7"/>
      <c r="S1662" s="7"/>
      <c r="T1662" s="7"/>
      <c r="U1662" s="7"/>
      <c r="V1662" s="7"/>
      <c r="AC1662" s="7"/>
      <c r="AD1662" s="7"/>
      <c r="AE1662" s="7"/>
      <c r="AF1662" s="7"/>
      <c r="AG1662" s="7"/>
      <c r="AO1662" s="7"/>
      <c r="AP1662" s="7"/>
      <c r="AQ1662" s="7"/>
      <c r="AR1662" s="7"/>
      <c r="AS1662" s="7"/>
    </row>
    <row r="1663" spans="1:45" x14ac:dyDescent="0.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Q1663" s="7"/>
      <c r="R1663" s="7"/>
      <c r="S1663" s="7"/>
      <c r="T1663" s="7"/>
      <c r="U1663" s="7"/>
      <c r="V1663" s="7"/>
      <c r="AC1663" s="7"/>
      <c r="AD1663" s="7"/>
      <c r="AE1663" s="7"/>
      <c r="AF1663" s="7"/>
      <c r="AG1663" s="7"/>
      <c r="AO1663" s="7"/>
      <c r="AP1663" s="7"/>
      <c r="AQ1663" s="7"/>
      <c r="AR1663" s="7"/>
      <c r="AS1663" s="7"/>
    </row>
    <row r="1664" spans="1:45" x14ac:dyDescent="0.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Q1664" s="7"/>
      <c r="R1664" s="7"/>
      <c r="S1664" s="7"/>
      <c r="T1664" s="7"/>
      <c r="U1664" s="7"/>
      <c r="V1664" s="7"/>
      <c r="AC1664" s="7"/>
      <c r="AD1664" s="7"/>
      <c r="AE1664" s="7"/>
      <c r="AF1664" s="7"/>
      <c r="AG1664" s="7"/>
      <c r="AO1664" s="7"/>
      <c r="AP1664" s="7"/>
      <c r="AQ1664" s="7"/>
      <c r="AR1664" s="7"/>
      <c r="AS1664" s="7"/>
    </row>
    <row r="1665" spans="1:45" x14ac:dyDescent="0.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Q1665" s="7"/>
      <c r="R1665" s="7"/>
      <c r="S1665" s="7"/>
      <c r="T1665" s="7"/>
      <c r="U1665" s="7"/>
      <c r="V1665" s="7"/>
      <c r="AC1665" s="7"/>
      <c r="AD1665" s="7"/>
      <c r="AE1665" s="7"/>
      <c r="AF1665" s="7"/>
      <c r="AG1665" s="7"/>
      <c r="AO1665" s="7"/>
      <c r="AP1665" s="7"/>
      <c r="AQ1665" s="7"/>
      <c r="AR1665" s="7"/>
      <c r="AS1665" s="7"/>
    </row>
    <row r="1666" spans="1:45" x14ac:dyDescent="0.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Q1666" s="7"/>
      <c r="R1666" s="7"/>
      <c r="S1666" s="7"/>
      <c r="T1666" s="7"/>
      <c r="U1666" s="7"/>
      <c r="V1666" s="7"/>
      <c r="AC1666" s="7"/>
      <c r="AD1666" s="7"/>
      <c r="AE1666" s="7"/>
      <c r="AF1666" s="7"/>
      <c r="AG1666" s="7"/>
      <c r="AO1666" s="7"/>
      <c r="AP1666" s="7"/>
      <c r="AQ1666" s="7"/>
      <c r="AR1666" s="7"/>
      <c r="AS1666" s="7"/>
    </row>
    <row r="1667" spans="1:45" x14ac:dyDescent="0.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Q1667" s="7"/>
      <c r="R1667" s="7"/>
      <c r="S1667" s="7"/>
      <c r="T1667" s="7"/>
      <c r="U1667" s="7"/>
      <c r="V1667" s="7"/>
      <c r="AC1667" s="7"/>
      <c r="AD1667" s="7"/>
      <c r="AE1667" s="7"/>
      <c r="AF1667" s="7"/>
      <c r="AG1667" s="7"/>
      <c r="AO1667" s="7"/>
      <c r="AP1667" s="7"/>
      <c r="AQ1667" s="7"/>
      <c r="AR1667" s="7"/>
      <c r="AS1667" s="7"/>
    </row>
    <row r="1668" spans="1:45" x14ac:dyDescent="0.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Q1668" s="7"/>
      <c r="R1668" s="7"/>
      <c r="S1668" s="7"/>
      <c r="T1668" s="7"/>
      <c r="U1668" s="7"/>
      <c r="V1668" s="7"/>
      <c r="AC1668" s="7"/>
      <c r="AD1668" s="7"/>
      <c r="AE1668" s="7"/>
      <c r="AF1668" s="7"/>
      <c r="AG1668" s="7"/>
      <c r="AO1668" s="7"/>
      <c r="AP1668" s="7"/>
      <c r="AQ1668" s="7"/>
      <c r="AR1668" s="7"/>
      <c r="AS1668" s="7"/>
    </row>
    <row r="1669" spans="1:45" x14ac:dyDescent="0.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Q1669" s="7"/>
      <c r="R1669" s="7"/>
      <c r="S1669" s="7"/>
      <c r="T1669" s="7"/>
      <c r="U1669" s="7"/>
      <c r="V1669" s="7"/>
      <c r="AC1669" s="7"/>
      <c r="AD1669" s="7"/>
      <c r="AE1669" s="7"/>
      <c r="AF1669" s="7"/>
      <c r="AG1669" s="7"/>
      <c r="AO1669" s="7"/>
      <c r="AP1669" s="7"/>
      <c r="AQ1669" s="7"/>
      <c r="AR1669" s="7"/>
      <c r="AS1669" s="7"/>
    </row>
    <row r="1670" spans="1:45" x14ac:dyDescent="0.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Q1670" s="7"/>
      <c r="R1670" s="7"/>
      <c r="S1670" s="7"/>
      <c r="T1670" s="7"/>
      <c r="U1670" s="7"/>
      <c r="V1670" s="7"/>
      <c r="AC1670" s="7"/>
      <c r="AD1670" s="7"/>
      <c r="AE1670" s="7"/>
      <c r="AF1670" s="7"/>
      <c r="AG1670" s="7"/>
      <c r="AO1670" s="7"/>
      <c r="AP1670" s="7"/>
      <c r="AQ1670" s="7"/>
      <c r="AR1670" s="7"/>
      <c r="AS1670" s="7"/>
    </row>
    <row r="1671" spans="1:45" x14ac:dyDescent="0.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Q1671" s="7"/>
      <c r="R1671" s="7"/>
      <c r="S1671" s="7"/>
      <c r="T1671" s="7"/>
      <c r="U1671" s="7"/>
      <c r="V1671" s="7"/>
      <c r="AC1671" s="7"/>
      <c r="AD1671" s="7"/>
      <c r="AE1671" s="7"/>
      <c r="AF1671" s="7"/>
      <c r="AG1671" s="7"/>
      <c r="AO1671" s="7"/>
      <c r="AP1671" s="7"/>
      <c r="AQ1671" s="7"/>
      <c r="AR1671" s="7"/>
      <c r="AS1671" s="7"/>
    </row>
    <row r="1672" spans="1:45" x14ac:dyDescent="0.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Q1672" s="7"/>
      <c r="R1672" s="7"/>
      <c r="S1672" s="7"/>
      <c r="T1672" s="7"/>
      <c r="U1672" s="7"/>
      <c r="V1672" s="7"/>
      <c r="AC1672" s="7"/>
      <c r="AD1672" s="7"/>
      <c r="AE1672" s="7"/>
      <c r="AF1672" s="7"/>
      <c r="AG1672" s="7"/>
      <c r="AO1672" s="7"/>
      <c r="AP1672" s="7"/>
      <c r="AQ1672" s="7"/>
      <c r="AR1672" s="7"/>
      <c r="AS1672" s="7"/>
    </row>
    <row r="1673" spans="1:45" x14ac:dyDescent="0.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Q1673" s="7"/>
      <c r="R1673" s="7"/>
      <c r="S1673" s="7"/>
      <c r="T1673" s="7"/>
      <c r="U1673" s="7"/>
      <c r="V1673" s="7"/>
      <c r="AC1673" s="7"/>
      <c r="AD1673" s="7"/>
      <c r="AE1673" s="7"/>
      <c r="AF1673" s="7"/>
      <c r="AG1673" s="7"/>
      <c r="AO1673" s="7"/>
      <c r="AP1673" s="7"/>
      <c r="AQ1673" s="7"/>
      <c r="AR1673" s="7"/>
      <c r="AS1673" s="7"/>
    </row>
    <row r="1674" spans="1:45" x14ac:dyDescent="0.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Q1674" s="7"/>
      <c r="R1674" s="7"/>
      <c r="S1674" s="7"/>
      <c r="T1674" s="7"/>
      <c r="U1674" s="7"/>
      <c r="V1674" s="7"/>
      <c r="AC1674" s="7"/>
      <c r="AD1674" s="7"/>
      <c r="AE1674" s="7"/>
      <c r="AF1674" s="7"/>
      <c r="AG1674" s="7"/>
      <c r="AO1674" s="7"/>
      <c r="AP1674" s="7"/>
      <c r="AQ1674" s="7"/>
      <c r="AR1674" s="7"/>
      <c r="AS1674" s="7"/>
    </row>
    <row r="1675" spans="1:45" x14ac:dyDescent="0.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Q1675" s="7"/>
      <c r="R1675" s="7"/>
      <c r="S1675" s="7"/>
      <c r="T1675" s="7"/>
      <c r="U1675" s="7"/>
      <c r="V1675" s="7"/>
      <c r="AC1675" s="7"/>
      <c r="AD1675" s="7"/>
      <c r="AE1675" s="7"/>
      <c r="AF1675" s="7"/>
      <c r="AG1675" s="7"/>
      <c r="AO1675" s="7"/>
      <c r="AP1675" s="7"/>
      <c r="AQ1675" s="7"/>
      <c r="AR1675" s="7"/>
      <c r="AS1675" s="7"/>
    </row>
    <row r="1676" spans="1:45" x14ac:dyDescent="0.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Q1676" s="7"/>
      <c r="R1676" s="7"/>
      <c r="S1676" s="7"/>
      <c r="T1676" s="7"/>
      <c r="U1676" s="7"/>
      <c r="V1676" s="7"/>
      <c r="AC1676" s="7"/>
      <c r="AD1676" s="7"/>
      <c r="AE1676" s="7"/>
      <c r="AF1676" s="7"/>
      <c r="AG1676" s="7"/>
      <c r="AO1676" s="7"/>
      <c r="AP1676" s="7"/>
      <c r="AQ1676" s="7"/>
      <c r="AR1676" s="7"/>
      <c r="AS1676" s="7"/>
    </row>
    <row r="1677" spans="1:45" x14ac:dyDescent="0.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Q1677" s="7"/>
      <c r="R1677" s="7"/>
      <c r="S1677" s="7"/>
      <c r="T1677" s="7"/>
      <c r="U1677" s="7"/>
      <c r="V1677" s="7"/>
      <c r="AC1677" s="7"/>
      <c r="AD1677" s="7"/>
      <c r="AE1677" s="7"/>
      <c r="AF1677" s="7"/>
      <c r="AG1677" s="7"/>
      <c r="AO1677" s="7"/>
      <c r="AP1677" s="7"/>
      <c r="AQ1677" s="7"/>
      <c r="AR1677" s="7"/>
      <c r="AS1677" s="7"/>
    </row>
    <row r="1678" spans="1:45" x14ac:dyDescent="0.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Q1678" s="7"/>
      <c r="R1678" s="7"/>
      <c r="S1678" s="7"/>
      <c r="T1678" s="7"/>
      <c r="U1678" s="7"/>
      <c r="V1678" s="7"/>
      <c r="AC1678" s="7"/>
      <c r="AD1678" s="7"/>
      <c r="AE1678" s="7"/>
      <c r="AF1678" s="7"/>
      <c r="AG1678" s="7"/>
      <c r="AO1678" s="7"/>
      <c r="AP1678" s="7"/>
      <c r="AQ1678" s="7"/>
      <c r="AR1678" s="7"/>
      <c r="AS1678" s="7"/>
    </row>
    <row r="1679" spans="1:45" x14ac:dyDescent="0.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Q1679" s="7"/>
      <c r="R1679" s="7"/>
      <c r="S1679" s="7"/>
      <c r="T1679" s="7"/>
      <c r="U1679" s="7"/>
      <c r="V1679" s="7"/>
      <c r="AC1679" s="7"/>
      <c r="AD1679" s="7"/>
      <c r="AE1679" s="7"/>
      <c r="AF1679" s="7"/>
      <c r="AG1679" s="7"/>
      <c r="AO1679" s="7"/>
      <c r="AP1679" s="7"/>
      <c r="AQ1679" s="7"/>
      <c r="AR1679" s="7"/>
      <c r="AS1679" s="7"/>
    </row>
    <row r="1680" spans="1:45" x14ac:dyDescent="0.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Q1680" s="7"/>
      <c r="R1680" s="7"/>
      <c r="S1680" s="7"/>
      <c r="T1680" s="7"/>
      <c r="U1680" s="7"/>
      <c r="V1680" s="7"/>
      <c r="AC1680" s="7"/>
      <c r="AD1680" s="7"/>
      <c r="AE1680" s="7"/>
      <c r="AF1680" s="7"/>
      <c r="AG1680" s="7"/>
      <c r="AO1680" s="7"/>
      <c r="AP1680" s="7"/>
      <c r="AQ1680" s="7"/>
      <c r="AR1680" s="7"/>
      <c r="AS1680" s="7"/>
    </row>
    <row r="1681" spans="1:45" x14ac:dyDescent="0.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Q1681" s="7"/>
      <c r="R1681" s="7"/>
      <c r="S1681" s="7"/>
      <c r="T1681" s="7"/>
      <c r="U1681" s="7"/>
      <c r="V1681" s="7"/>
      <c r="AC1681" s="7"/>
      <c r="AD1681" s="7"/>
      <c r="AE1681" s="7"/>
      <c r="AF1681" s="7"/>
      <c r="AG1681" s="7"/>
      <c r="AO1681" s="7"/>
      <c r="AP1681" s="7"/>
      <c r="AQ1681" s="7"/>
      <c r="AR1681" s="7"/>
      <c r="AS1681" s="7"/>
    </row>
    <row r="1682" spans="1:45" x14ac:dyDescent="0.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Q1682" s="7"/>
      <c r="R1682" s="7"/>
      <c r="S1682" s="7"/>
      <c r="T1682" s="7"/>
      <c r="U1682" s="7"/>
      <c r="V1682" s="7"/>
      <c r="AC1682" s="7"/>
      <c r="AD1682" s="7"/>
      <c r="AE1682" s="7"/>
      <c r="AF1682" s="7"/>
      <c r="AG1682" s="7"/>
      <c r="AO1682" s="7"/>
      <c r="AP1682" s="7"/>
      <c r="AQ1682" s="7"/>
      <c r="AR1682" s="7"/>
      <c r="AS1682" s="7"/>
    </row>
    <row r="1683" spans="1:45" x14ac:dyDescent="0.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Q1683" s="7"/>
      <c r="R1683" s="7"/>
      <c r="S1683" s="7"/>
      <c r="T1683" s="7"/>
      <c r="U1683" s="7"/>
      <c r="V1683" s="7"/>
      <c r="AC1683" s="7"/>
      <c r="AD1683" s="7"/>
      <c r="AE1683" s="7"/>
      <c r="AF1683" s="7"/>
      <c r="AG1683" s="7"/>
      <c r="AO1683" s="7"/>
      <c r="AP1683" s="7"/>
      <c r="AQ1683" s="7"/>
      <c r="AR1683" s="7"/>
      <c r="AS1683" s="7"/>
    </row>
    <row r="1684" spans="1:45" x14ac:dyDescent="0.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Q1684" s="7"/>
      <c r="R1684" s="7"/>
      <c r="S1684" s="7"/>
      <c r="T1684" s="7"/>
      <c r="U1684" s="7"/>
      <c r="V1684" s="7"/>
      <c r="AC1684" s="7"/>
      <c r="AD1684" s="7"/>
      <c r="AE1684" s="7"/>
      <c r="AF1684" s="7"/>
      <c r="AG1684" s="7"/>
      <c r="AO1684" s="7"/>
      <c r="AP1684" s="7"/>
      <c r="AQ1684" s="7"/>
      <c r="AR1684" s="7"/>
      <c r="AS1684" s="7"/>
    </row>
    <row r="1685" spans="1:45" x14ac:dyDescent="0.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Q1685" s="7"/>
      <c r="R1685" s="7"/>
      <c r="S1685" s="7"/>
      <c r="T1685" s="7"/>
      <c r="U1685" s="7"/>
      <c r="V1685" s="7"/>
      <c r="AC1685" s="7"/>
      <c r="AD1685" s="7"/>
      <c r="AE1685" s="7"/>
      <c r="AF1685" s="7"/>
      <c r="AG1685" s="7"/>
      <c r="AO1685" s="7"/>
      <c r="AP1685" s="7"/>
      <c r="AQ1685" s="7"/>
      <c r="AR1685" s="7"/>
      <c r="AS1685" s="7"/>
    </row>
    <row r="1686" spans="1:45" x14ac:dyDescent="0.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Q1686" s="7"/>
      <c r="R1686" s="7"/>
      <c r="S1686" s="7"/>
      <c r="T1686" s="7"/>
      <c r="U1686" s="7"/>
      <c r="V1686" s="7"/>
      <c r="AC1686" s="7"/>
      <c r="AD1686" s="7"/>
      <c r="AE1686" s="7"/>
      <c r="AF1686" s="7"/>
      <c r="AG1686" s="7"/>
      <c r="AO1686" s="7"/>
      <c r="AP1686" s="7"/>
      <c r="AQ1686" s="7"/>
      <c r="AR1686" s="7"/>
      <c r="AS1686" s="7"/>
    </row>
    <row r="1687" spans="1:45" x14ac:dyDescent="0.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Q1687" s="7"/>
      <c r="R1687" s="7"/>
      <c r="S1687" s="7"/>
      <c r="T1687" s="7"/>
      <c r="U1687" s="7"/>
      <c r="V1687" s="7"/>
      <c r="AC1687" s="7"/>
      <c r="AD1687" s="7"/>
      <c r="AE1687" s="7"/>
      <c r="AF1687" s="7"/>
      <c r="AG1687" s="7"/>
      <c r="AO1687" s="7"/>
      <c r="AP1687" s="7"/>
      <c r="AQ1687" s="7"/>
      <c r="AR1687" s="7"/>
      <c r="AS1687" s="7"/>
    </row>
    <row r="1688" spans="1:45" x14ac:dyDescent="0.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Q1688" s="7"/>
      <c r="R1688" s="7"/>
      <c r="S1688" s="7"/>
      <c r="T1688" s="7"/>
      <c r="U1688" s="7"/>
      <c r="V1688" s="7"/>
      <c r="AC1688" s="7"/>
      <c r="AD1688" s="7"/>
      <c r="AE1688" s="7"/>
      <c r="AF1688" s="7"/>
      <c r="AG1688" s="7"/>
      <c r="AO1688" s="7"/>
      <c r="AP1688" s="7"/>
      <c r="AQ1688" s="7"/>
      <c r="AR1688" s="7"/>
      <c r="AS1688" s="7"/>
    </row>
    <row r="1689" spans="1:45" x14ac:dyDescent="0.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Q1689" s="7"/>
      <c r="R1689" s="7"/>
      <c r="S1689" s="7"/>
      <c r="T1689" s="7"/>
      <c r="U1689" s="7"/>
      <c r="V1689" s="7"/>
      <c r="AC1689" s="7"/>
      <c r="AD1689" s="7"/>
      <c r="AE1689" s="7"/>
      <c r="AF1689" s="7"/>
      <c r="AG1689" s="7"/>
      <c r="AO1689" s="7"/>
      <c r="AP1689" s="7"/>
      <c r="AQ1689" s="7"/>
      <c r="AR1689" s="7"/>
      <c r="AS1689" s="7"/>
    </row>
    <row r="1690" spans="1:45" x14ac:dyDescent="0.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Q1690" s="7"/>
      <c r="R1690" s="7"/>
      <c r="S1690" s="7"/>
      <c r="T1690" s="7"/>
      <c r="U1690" s="7"/>
      <c r="V1690" s="7"/>
      <c r="AC1690" s="7"/>
      <c r="AD1690" s="7"/>
      <c r="AE1690" s="7"/>
      <c r="AF1690" s="7"/>
      <c r="AG1690" s="7"/>
      <c r="AO1690" s="7"/>
      <c r="AP1690" s="7"/>
      <c r="AQ1690" s="7"/>
      <c r="AR1690" s="7"/>
      <c r="AS1690" s="7"/>
    </row>
    <row r="1691" spans="1:45" x14ac:dyDescent="0.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Q1691" s="7"/>
      <c r="R1691" s="7"/>
      <c r="S1691" s="7"/>
      <c r="T1691" s="7"/>
      <c r="U1691" s="7"/>
      <c r="V1691" s="7"/>
      <c r="AC1691" s="7"/>
      <c r="AD1691" s="7"/>
      <c r="AE1691" s="7"/>
      <c r="AF1691" s="7"/>
      <c r="AG1691" s="7"/>
      <c r="AO1691" s="7"/>
      <c r="AP1691" s="7"/>
      <c r="AQ1691" s="7"/>
      <c r="AR1691" s="7"/>
      <c r="AS1691" s="7"/>
    </row>
    <row r="1692" spans="1:45" x14ac:dyDescent="0.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Q1692" s="7"/>
      <c r="R1692" s="7"/>
      <c r="S1692" s="7"/>
      <c r="T1692" s="7"/>
      <c r="U1692" s="7"/>
      <c r="V1692" s="7"/>
      <c r="AC1692" s="7"/>
      <c r="AD1692" s="7"/>
      <c r="AE1692" s="7"/>
      <c r="AF1692" s="7"/>
      <c r="AG1692" s="7"/>
      <c r="AO1692" s="7"/>
      <c r="AP1692" s="7"/>
      <c r="AQ1692" s="7"/>
      <c r="AR1692" s="7"/>
      <c r="AS1692" s="7"/>
    </row>
    <row r="1693" spans="1:45" x14ac:dyDescent="0.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Q1693" s="7"/>
      <c r="R1693" s="7"/>
      <c r="S1693" s="7"/>
      <c r="T1693" s="7"/>
      <c r="U1693" s="7"/>
      <c r="V1693" s="7"/>
      <c r="AC1693" s="7"/>
      <c r="AD1693" s="7"/>
      <c r="AE1693" s="7"/>
      <c r="AF1693" s="7"/>
      <c r="AG1693" s="7"/>
      <c r="AO1693" s="7"/>
      <c r="AP1693" s="7"/>
      <c r="AQ1693" s="7"/>
      <c r="AR1693" s="7"/>
      <c r="AS1693" s="7"/>
    </row>
    <row r="1694" spans="1:45" x14ac:dyDescent="0.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Q1694" s="7"/>
      <c r="R1694" s="7"/>
      <c r="S1694" s="7"/>
      <c r="T1694" s="7"/>
      <c r="U1694" s="7"/>
      <c r="V1694" s="7"/>
      <c r="AC1694" s="7"/>
      <c r="AD1694" s="7"/>
      <c r="AE1694" s="7"/>
      <c r="AF1694" s="7"/>
      <c r="AG1694" s="7"/>
      <c r="AO1694" s="7"/>
      <c r="AP1694" s="7"/>
      <c r="AQ1694" s="7"/>
      <c r="AR1694" s="7"/>
      <c r="AS1694" s="7"/>
    </row>
    <row r="1695" spans="1:45" x14ac:dyDescent="0.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Q1695" s="7"/>
      <c r="R1695" s="7"/>
      <c r="S1695" s="7"/>
      <c r="T1695" s="7"/>
      <c r="U1695" s="7"/>
      <c r="V1695" s="7"/>
      <c r="AC1695" s="7"/>
      <c r="AD1695" s="7"/>
      <c r="AE1695" s="7"/>
      <c r="AF1695" s="7"/>
      <c r="AG1695" s="7"/>
      <c r="AO1695" s="7"/>
      <c r="AP1695" s="7"/>
      <c r="AQ1695" s="7"/>
      <c r="AR1695" s="7"/>
      <c r="AS1695" s="7"/>
    </row>
    <row r="1696" spans="1:45" x14ac:dyDescent="0.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Q1696" s="7"/>
      <c r="R1696" s="7"/>
      <c r="S1696" s="7"/>
      <c r="T1696" s="7"/>
      <c r="U1696" s="7"/>
      <c r="V1696" s="7"/>
      <c r="AC1696" s="7"/>
      <c r="AD1696" s="7"/>
      <c r="AE1696" s="7"/>
      <c r="AF1696" s="7"/>
      <c r="AG1696" s="7"/>
      <c r="AO1696" s="7"/>
      <c r="AP1696" s="7"/>
      <c r="AQ1696" s="7"/>
      <c r="AR1696" s="7"/>
      <c r="AS1696" s="7"/>
    </row>
    <row r="1697" spans="1:45" x14ac:dyDescent="0.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Q1697" s="7"/>
      <c r="R1697" s="7"/>
      <c r="S1697" s="7"/>
      <c r="T1697" s="7"/>
      <c r="U1697" s="7"/>
      <c r="V1697" s="7"/>
      <c r="AC1697" s="7"/>
      <c r="AD1697" s="7"/>
      <c r="AE1697" s="7"/>
      <c r="AF1697" s="7"/>
      <c r="AG1697" s="7"/>
      <c r="AO1697" s="7"/>
      <c r="AP1697" s="7"/>
      <c r="AQ1697" s="7"/>
      <c r="AR1697" s="7"/>
      <c r="AS1697" s="7"/>
    </row>
    <row r="1698" spans="1:45" x14ac:dyDescent="0.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Q1698" s="7"/>
      <c r="R1698" s="7"/>
      <c r="S1698" s="7"/>
      <c r="T1698" s="7"/>
      <c r="U1698" s="7"/>
      <c r="V1698" s="7"/>
      <c r="AC1698" s="7"/>
      <c r="AD1698" s="7"/>
      <c r="AE1698" s="7"/>
      <c r="AF1698" s="7"/>
      <c r="AG1698" s="7"/>
      <c r="AO1698" s="7"/>
      <c r="AP1698" s="7"/>
      <c r="AQ1698" s="7"/>
      <c r="AR1698" s="7"/>
      <c r="AS1698" s="7"/>
    </row>
    <row r="1699" spans="1:45" x14ac:dyDescent="0.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Q1699" s="7"/>
      <c r="R1699" s="7"/>
      <c r="S1699" s="7"/>
      <c r="T1699" s="7"/>
      <c r="U1699" s="7"/>
      <c r="V1699" s="7"/>
      <c r="AC1699" s="7"/>
      <c r="AD1699" s="7"/>
      <c r="AE1699" s="7"/>
      <c r="AF1699" s="7"/>
      <c r="AG1699" s="7"/>
      <c r="AO1699" s="7"/>
      <c r="AP1699" s="7"/>
      <c r="AQ1699" s="7"/>
      <c r="AR1699" s="7"/>
      <c r="AS1699" s="7"/>
    </row>
    <row r="1700" spans="1:45" x14ac:dyDescent="0.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Q1700" s="7"/>
      <c r="R1700" s="7"/>
      <c r="S1700" s="7"/>
      <c r="T1700" s="7"/>
      <c r="U1700" s="7"/>
      <c r="V1700" s="7"/>
      <c r="AC1700" s="7"/>
      <c r="AD1700" s="7"/>
      <c r="AE1700" s="7"/>
      <c r="AF1700" s="7"/>
      <c r="AG1700" s="7"/>
      <c r="AO1700" s="7"/>
      <c r="AP1700" s="7"/>
      <c r="AQ1700" s="7"/>
      <c r="AR1700" s="7"/>
      <c r="AS1700" s="7"/>
    </row>
    <row r="1701" spans="1:45" x14ac:dyDescent="0.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Q1701" s="7"/>
      <c r="R1701" s="7"/>
      <c r="S1701" s="7"/>
      <c r="T1701" s="7"/>
      <c r="U1701" s="7"/>
      <c r="V1701" s="7"/>
      <c r="AC1701" s="7"/>
      <c r="AD1701" s="7"/>
      <c r="AE1701" s="7"/>
      <c r="AF1701" s="7"/>
      <c r="AG1701" s="7"/>
      <c r="AO1701" s="7"/>
      <c r="AP1701" s="7"/>
      <c r="AQ1701" s="7"/>
      <c r="AR1701" s="7"/>
      <c r="AS1701" s="7"/>
    </row>
    <row r="1702" spans="1:45" x14ac:dyDescent="0.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Q1702" s="7"/>
      <c r="R1702" s="7"/>
      <c r="S1702" s="7"/>
      <c r="T1702" s="7"/>
      <c r="U1702" s="7"/>
      <c r="V1702" s="7"/>
      <c r="AC1702" s="7"/>
      <c r="AD1702" s="7"/>
      <c r="AE1702" s="7"/>
      <c r="AF1702" s="7"/>
      <c r="AG1702" s="7"/>
      <c r="AO1702" s="7"/>
      <c r="AP1702" s="7"/>
      <c r="AQ1702" s="7"/>
      <c r="AR1702" s="7"/>
      <c r="AS1702" s="7"/>
    </row>
    <row r="1703" spans="1:45" x14ac:dyDescent="0.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Q1703" s="7"/>
      <c r="R1703" s="7"/>
      <c r="S1703" s="7"/>
      <c r="T1703" s="7"/>
      <c r="U1703" s="7"/>
      <c r="V1703" s="7"/>
      <c r="AC1703" s="7"/>
      <c r="AD1703" s="7"/>
      <c r="AE1703" s="7"/>
      <c r="AF1703" s="7"/>
      <c r="AG1703" s="7"/>
      <c r="AO1703" s="7"/>
      <c r="AP1703" s="7"/>
      <c r="AQ1703" s="7"/>
      <c r="AR1703" s="7"/>
      <c r="AS1703" s="7"/>
    </row>
    <row r="1704" spans="1:45" x14ac:dyDescent="0.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Q1704" s="7"/>
      <c r="R1704" s="7"/>
      <c r="S1704" s="7"/>
      <c r="T1704" s="7"/>
      <c r="U1704" s="7"/>
      <c r="V1704" s="7"/>
      <c r="AC1704" s="7"/>
      <c r="AD1704" s="7"/>
      <c r="AE1704" s="7"/>
      <c r="AF1704" s="7"/>
      <c r="AG1704" s="7"/>
      <c r="AO1704" s="7"/>
      <c r="AP1704" s="7"/>
      <c r="AQ1704" s="7"/>
      <c r="AR1704" s="7"/>
      <c r="AS1704" s="7"/>
    </row>
    <row r="1705" spans="1:45" x14ac:dyDescent="0.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Q1705" s="7"/>
      <c r="R1705" s="7"/>
      <c r="S1705" s="7"/>
      <c r="T1705" s="7"/>
      <c r="U1705" s="7"/>
      <c r="V1705" s="7"/>
      <c r="AC1705" s="7"/>
      <c r="AD1705" s="7"/>
      <c r="AE1705" s="7"/>
      <c r="AF1705" s="7"/>
      <c r="AG1705" s="7"/>
      <c r="AO1705" s="7"/>
      <c r="AP1705" s="7"/>
      <c r="AQ1705" s="7"/>
      <c r="AR1705" s="7"/>
      <c r="AS1705" s="7"/>
    </row>
    <row r="1706" spans="1:45" x14ac:dyDescent="0.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Q1706" s="7"/>
      <c r="R1706" s="7"/>
      <c r="S1706" s="7"/>
      <c r="T1706" s="7"/>
      <c r="U1706" s="7"/>
      <c r="V1706" s="7"/>
      <c r="AC1706" s="7"/>
      <c r="AD1706" s="7"/>
      <c r="AE1706" s="7"/>
      <c r="AF1706" s="7"/>
      <c r="AG1706" s="7"/>
      <c r="AO1706" s="7"/>
      <c r="AP1706" s="7"/>
      <c r="AQ1706" s="7"/>
      <c r="AR1706" s="7"/>
      <c r="AS1706" s="7"/>
    </row>
    <row r="1707" spans="1:45" x14ac:dyDescent="0.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Q1707" s="7"/>
      <c r="R1707" s="7"/>
      <c r="S1707" s="7"/>
      <c r="T1707" s="7"/>
      <c r="U1707" s="7"/>
      <c r="V1707" s="7"/>
      <c r="AC1707" s="7"/>
      <c r="AD1707" s="7"/>
      <c r="AE1707" s="7"/>
      <c r="AF1707" s="7"/>
      <c r="AG1707" s="7"/>
      <c r="AO1707" s="7"/>
      <c r="AP1707" s="7"/>
      <c r="AQ1707" s="7"/>
      <c r="AR1707" s="7"/>
      <c r="AS1707" s="7"/>
    </row>
    <row r="1708" spans="1:45" x14ac:dyDescent="0.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Q1708" s="7"/>
      <c r="R1708" s="7"/>
      <c r="S1708" s="7"/>
      <c r="T1708" s="7"/>
      <c r="U1708" s="7"/>
      <c r="V1708" s="7"/>
      <c r="AC1708" s="7"/>
      <c r="AD1708" s="7"/>
      <c r="AE1708" s="7"/>
      <c r="AF1708" s="7"/>
      <c r="AG1708" s="7"/>
      <c r="AO1708" s="7"/>
      <c r="AP1708" s="7"/>
      <c r="AQ1708" s="7"/>
      <c r="AR1708" s="7"/>
      <c r="AS1708" s="7"/>
    </row>
    <row r="1709" spans="1:45" x14ac:dyDescent="0.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Q1709" s="7"/>
      <c r="R1709" s="7"/>
      <c r="S1709" s="7"/>
      <c r="T1709" s="7"/>
      <c r="U1709" s="7"/>
      <c r="V1709" s="7"/>
      <c r="AC1709" s="7"/>
      <c r="AD1709" s="7"/>
      <c r="AE1709" s="7"/>
      <c r="AF1709" s="7"/>
      <c r="AG1709" s="7"/>
      <c r="AO1709" s="7"/>
      <c r="AP1709" s="7"/>
      <c r="AQ1709" s="7"/>
      <c r="AR1709" s="7"/>
      <c r="AS1709" s="7"/>
    </row>
    <row r="1710" spans="1:45" x14ac:dyDescent="0.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Q1710" s="7"/>
      <c r="R1710" s="7"/>
      <c r="S1710" s="7"/>
      <c r="T1710" s="7"/>
      <c r="U1710" s="7"/>
      <c r="V1710" s="7"/>
      <c r="AC1710" s="7"/>
      <c r="AD1710" s="7"/>
      <c r="AE1710" s="7"/>
      <c r="AF1710" s="7"/>
      <c r="AG1710" s="7"/>
      <c r="AO1710" s="7"/>
      <c r="AP1710" s="7"/>
      <c r="AQ1710" s="7"/>
      <c r="AR1710" s="7"/>
      <c r="AS1710" s="7"/>
    </row>
    <row r="1711" spans="1:45" x14ac:dyDescent="0.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Q1711" s="7"/>
      <c r="R1711" s="7"/>
      <c r="S1711" s="7"/>
      <c r="T1711" s="7"/>
      <c r="U1711" s="7"/>
      <c r="V1711" s="7"/>
      <c r="AC1711" s="7"/>
      <c r="AD1711" s="7"/>
      <c r="AE1711" s="7"/>
      <c r="AF1711" s="7"/>
      <c r="AG1711" s="7"/>
      <c r="AO1711" s="7"/>
      <c r="AP1711" s="7"/>
      <c r="AQ1711" s="7"/>
      <c r="AR1711" s="7"/>
      <c r="AS1711" s="7"/>
    </row>
    <row r="1712" spans="1:45" x14ac:dyDescent="0.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Q1712" s="7"/>
      <c r="R1712" s="7"/>
      <c r="S1712" s="7"/>
      <c r="T1712" s="7"/>
      <c r="U1712" s="7"/>
      <c r="V1712" s="7"/>
      <c r="AC1712" s="7"/>
      <c r="AD1712" s="7"/>
      <c r="AE1712" s="7"/>
      <c r="AF1712" s="7"/>
      <c r="AG1712" s="7"/>
      <c r="AO1712" s="7"/>
      <c r="AP1712" s="7"/>
      <c r="AQ1712" s="7"/>
      <c r="AR1712" s="7"/>
      <c r="AS1712" s="7"/>
    </row>
    <row r="1713" spans="1:45" x14ac:dyDescent="0.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Q1713" s="7"/>
      <c r="R1713" s="7"/>
      <c r="S1713" s="7"/>
      <c r="T1713" s="7"/>
      <c r="U1713" s="7"/>
      <c r="V1713" s="7"/>
      <c r="AC1713" s="7"/>
      <c r="AD1713" s="7"/>
      <c r="AE1713" s="7"/>
      <c r="AF1713" s="7"/>
      <c r="AG1713" s="7"/>
      <c r="AO1713" s="7"/>
      <c r="AP1713" s="7"/>
      <c r="AQ1713" s="7"/>
      <c r="AR1713" s="7"/>
      <c r="AS1713" s="7"/>
    </row>
    <row r="1714" spans="1:45" x14ac:dyDescent="0.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Q1714" s="7"/>
      <c r="R1714" s="7"/>
      <c r="S1714" s="7"/>
      <c r="T1714" s="7"/>
      <c r="U1714" s="7"/>
      <c r="V1714" s="7"/>
      <c r="AC1714" s="7"/>
      <c r="AD1714" s="7"/>
      <c r="AE1714" s="7"/>
      <c r="AF1714" s="7"/>
      <c r="AG1714" s="7"/>
      <c r="AO1714" s="7"/>
      <c r="AP1714" s="7"/>
      <c r="AQ1714" s="7"/>
      <c r="AR1714" s="7"/>
      <c r="AS1714" s="7"/>
    </row>
    <row r="1715" spans="1:45" x14ac:dyDescent="0.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Q1715" s="7"/>
      <c r="R1715" s="7"/>
      <c r="S1715" s="7"/>
      <c r="T1715" s="7"/>
      <c r="U1715" s="7"/>
      <c r="V1715" s="7"/>
      <c r="AC1715" s="7"/>
      <c r="AD1715" s="7"/>
      <c r="AE1715" s="7"/>
      <c r="AF1715" s="7"/>
      <c r="AG1715" s="7"/>
      <c r="AO1715" s="7"/>
      <c r="AP1715" s="7"/>
      <c r="AQ1715" s="7"/>
      <c r="AR1715" s="7"/>
      <c r="AS1715" s="7"/>
    </row>
    <row r="1716" spans="1:45" x14ac:dyDescent="0.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Q1716" s="7"/>
      <c r="R1716" s="7"/>
      <c r="S1716" s="7"/>
      <c r="T1716" s="7"/>
      <c r="U1716" s="7"/>
      <c r="V1716" s="7"/>
      <c r="AC1716" s="7"/>
      <c r="AD1716" s="7"/>
      <c r="AE1716" s="7"/>
      <c r="AF1716" s="7"/>
      <c r="AG1716" s="7"/>
      <c r="AO1716" s="7"/>
      <c r="AP1716" s="7"/>
      <c r="AQ1716" s="7"/>
      <c r="AR1716" s="7"/>
      <c r="AS1716" s="7"/>
    </row>
    <row r="1717" spans="1:45" x14ac:dyDescent="0.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Q1717" s="7"/>
      <c r="R1717" s="7"/>
      <c r="S1717" s="7"/>
      <c r="T1717" s="7"/>
      <c r="U1717" s="7"/>
      <c r="V1717" s="7"/>
      <c r="AC1717" s="7"/>
      <c r="AD1717" s="7"/>
      <c r="AE1717" s="7"/>
      <c r="AF1717" s="7"/>
      <c r="AG1717" s="7"/>
      <c r="AO1717" s="7"/>
      <c r="AP1717" s="7"/>
      <c r="AQ1717" s="7"/>
      <c r="AR1717" s="7"/>
      <c r="AS1717" s="7"/>
    </row>
    <row r="1718" spans="1:45" x14ac:dyDescent="0.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Q1718" s="7"/>
      <c r="R1718" s="7"/>
      <c r="S1718" s="7"/>
      <c r="T1718" s="7"/>
      <c r="U1718" s="7"/>
      <c r="V1718" s="7"/>
      <c r="AC1718" s="7"/>
      <c r="AD1718" s="7"/>
      <c r="AE1718" s="7"/>
      <c r="AF1718" s="7"/>
      <c r="AG1718" s="7"/>
      <c r="AO1718" s="7"/>
      <c r="AP1718" s="7"/>
      <c r="AQ1718" s="7"/>
      <c r="AR1718" s="7"/>
      <c r="AS1718" s="7"/>
    </row>
    <row r="1719" spans="1:45" x14ac:dyDescent="0.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Q1719" s="7"/>
      <c r="R1719" s="7"/>
      <c r="S1719" s="7"/>
      <c r="T1719" s="7"/>
      <c r="U1719" s="7"/>
      <c r="V1719" s="7"/>
      <c r="AC1719" s="7"/>
      <c r="AD1719" s="7"/>
      <c r="AE1719" s="7"/>
      <c r="AF1719" s="7"/>
      <c r="AG1719" s="7"/>
      <c r="AO1719" s="7"/>
      <c r="AP1719" s="7"/>
      <c r="AQ1719" s="7"/>
      <c r="AR1719" s="7"/>
      <c r="AS1719" s="7"/>
    </row>
    <row r="1720" spans="1:45" x14ac:dyDescent="0.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Q1720" s="7"/>
      <c r="R1720" s="7"/>
      <c r="S1720" s="7"/>
      <c r="T1720" s="7"/>
      <c r="U1720" s="7"/>
      <c r="V1720" s="7"/>
      <c r="AC1720" s="7"/>
      <c r="AD1720" s="7"/>
      <c r="AE1720" s="7"/>
      <c r="AF1720" s="7"/>
      <c r="AG1720" s="7"/>
      <c r="AO1720" s="7"/>
      <c r="AP1720" s="7"/>
      <c r="AQ1720" s="7"/>
      <c r="AR1720" s="7"/>
      <c r="AS1720" s="7"/>
    </row>
    <row r="1721" spans="1:45" x14ac:dyDescent="0.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Q1721" s="7"/>
      <c r="R1721" s="7"/>
      <c r="S1721" s="7"/>
      <c r="T1721" s="7"/>
      <c r="U1721" s="7"/>
      <c r="V1721" s="7"/>
      <c r="AC1721" s="7"/>
      <c r="AD1721" s="7"/>
      <c r="AE1721" s="7"/>
      <c r="AF1721" s="7"/>
      <c r="AG1721" s="7"/>
      <c r="AO1721" s="7"/>
      <c r="AP1721" s="7"/>
      <c r="AQ1721" s="7"/>
      <c r="AR1721" s="7"/>
      <c r="AS1721" s="7"/>
    </row>
    <row r="1722" spans="1:45" x14ac:dyDescent="0.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Q1722" s="7"/>
      <c r="R1722" s="7"/>
      <c r="S1722" s="7"/>
      <c r="T1722" s="7"/>
      <c r="U1722" s="7"/>
      <c r="V1722" s="7"/>
      <c r="AC1722" s="7"/>
      <c r="AD1722" s="7"/>
      <c r="AE1722" s="7"/>
      <c r="AF1722" s="7"/>
      <c r="AG1722" s="7"/>
      <c r="AO1722" s="7"/>
      <c r="AP1722" s="7"/>
      <c r="AQ1722" s="7"/>
      <c r="AR1722" s="7"/>
      <c r="AS1722" s="7"/>
    </row>
    <row r="1723" spans="1:45" x14ac:dyDescent="0.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Q1723" s="7"/>
      <c r="R1723" s="7"/>
      <c r="S1723" s="7"/>
      <c r="T1723" s="7"/>
      <c r="U1723" s="7"/>
      <c r="V1723" s="7"/>
      <c r="AC1723" s="7"/>
      <c r="AD1723" s="7"/>
      <c r="AE1723" s="7"/>
      <c r="AF1723" s="7"/>
      <c r="AG1723" s="7"/>
      <c r="AO1723" s="7"/>
      <c r="AP1723" s="7"/>
      <c r="AQ1723" s="7"/>
      <c r="AR1723" s="7"/>
      <c r="AS1723" s="7"/>
    </row>
    <row r="1724" spans="1:45" x14ac:dyDescent="0.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Q1724" s="7"/>
      <c r="R1724" s="7"/>
      <c r="S1724" s="7"/>
      <c r="T1724" s="7"/>
      <c r="U1724" s="7"/>
      <c r="V1724" s="7"/>
      <c r="AC1724" s="7"/>
      <c r="AD1724" s="7"/>
      <c r="AE1724" s="7"/>
      <c r="AF1724" s="7"/>
      <c r="AG1724" s="7"/>
      <c r="AO1724" s="7"/>
      <c r="AP1724" s="7"/>
      <c r="AQ1724" s="7"/>
      <c r="AR1724" s="7"/>
      <c r="AS1724" s="7"/>
    </row>
    <row r="1725" spans="1:45" x14ac:dyDescent="0.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Q1725" s="7"/>
      <c r="R1725" s="7"/>
      <c r="S1725" s="7"/>
      <c r="T1725" s="7"/>
      <c r="U1725" s="7"/>
      <c r="V1725" s="7"/>
      <c r="AC1725" s="7"/>
      <c r="AD1725" s="7"/>
      <c r="AE1725" s="7"/>
      <c r="AF1725" s="7"/>
      <c r="AG1725" s="7"/>
      <c r="AO1725" s="7"/>
      <c r="AP1725" s="7"/>
      <c r="AQ1725" s="7"/>
      <c r="AR1725" s="7"/>
      <c r="AS1725" s="7"/>
    </row>
    <row r="1726" spans="1:45" x14ac:dyDescent="0.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Q1726" s="7"/>
      <c r="R1726" s="7"/>
      <c r="S1726" s="7"/>
      <c r="T1726" s="7"/>
      <c r="U1726" s="7"/>
      <c r="V1726" s="7"/>
      <c r="AC1726" s="7"/>
      <c r="AD1726" s="7"/>
      <c r="AE1726" s="7"/>
      <c r="AF1726" s="7"/>
      <c r="AG1726" s="7"/>
      <c r="AO1726" s="7"/>
      <c r="AP1726" s="7"/>
      <c r="AQ1726" s="7"/>
      <c r="AR1726" s="7"/>
      <c r="AS1726" s="7"/>
    </row>
    <row r="1727" spans="1:45" x14ac:dyDescent="0.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Q1727" s="7"/>
      <c r="R1727" s="7"/>
      <c r="S1727" s="7"/>
      <c r="T1727" s="7"/>
      <c r="U1727" s="7"/>
      <c r="V1727" s="7"/>
      <c r="AC1727" s="7"/>
      <c r="AD1727" s="7"/>
      <c r="AE1727" s="7"/>
      <c r="AF1727" s="7"/>
      <c r="AG1727" s="7"/>
      <c r="AO1727" s="7"/>
      <c r="AP1727" s="7"/>
      <c r="AQ1727" s="7"/>
      <c r="AR1727" s="7"/>
      <c r="AS1727" s="7"/>
    </row>
    <row r="1728" spans="1:45" x14ac:dyDescent="0.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Q1728" s="7"/>
      <c r="R1728" s="7"/>
      <c r="S1728" s="7"/>
      <c r="T1728" s="7"/>
      <c r="U1728" s="7"/>
      <c r="V1728" s="7"/>
      <c r="AC1728" s="7"/>
      <c r="AD1728" s="7"/>
      <c r="AE1728" s="7"/>
      <c r="AF1728" s="7"/>
      <c r="AG1728" s="7"/>
      <c r="AO1728" s="7"/>
      <c r="AP1728" s="7"/>
      <c r="AQ1728" s="7"/>
      <c r="AR1728" s="7"/>
      <c r="AS1728" s="7"/>
    </row>
    <row r="1729" spans="1:45" x14ac:dyDescent="0.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Q1729" s="7"/>
      <c r="R1729" s="7"/>
      <c r="S1729" s="7"/>
      <c r="T1729" s="7"/>
      <c r="U1729" s="7"/>
      <c r="V1729" s="7"/>
      <c r="AC1729" s="7"/>
      <c r="AD1729" s="7"/>
      <c r="AE1729" s="7"/>
      <c r="AF1729" s="7"/>
      <c r="AG1729" s="7"/>
      <c r="AO1729" s="7"/>
      <c r="AP1729" s="7"/>
      <c r="AQ1729" s="7"/>
      <c r="AR1729" s="7"/>
      <c r="AS1729" s="7"/>
    </row>
    <row r="1730" spans="1:45" x14ac:dyDescent="0.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Q1730" s="7"/>
      <c r="R1730" s="7"/>
      <c r="S1730" s="7"/>
      <c r="T1730" s="7"/>
      <c r="U1730" s="7"/>
      <c r="V1730" s="7"/>
      <c r="AC1730" s="7"/>
      <c r="AD1730" s="7"/>
      <c r="AE1730" s="7"/>
      <c r="AF1730" s="7"/>
      <c r="AG1730" s="7"/>
      <c r="AO1730" s="7"/>
      <c r="AP1730" s="7"/>
      <c r="AQ1730" s="7"/>
      <c r="AR1730" s="7"/>
      <c r="AS1730" s="7"/>
    </row>
    <row r="1731" spans="1:45" x14ac:dyDescent="0.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Q1731" s="7"/>
      <c r="R1731" s="7"/>
      <c r="S1731" s="7"/>
      <c r="T1731" s="7"/>
      <c r="U1731" s="7"/>
      <c r="V1731" s="7"/>
      <c r="AC1731" s="7"/>
      <c r="AD1731" s="7"/>
      <c r="AE1731" s="7"/>
      <c r="AF1731" s="7"/>
      <c r="AG1731" s="7"/>
      <c r="AO1731" s="7"/>
      <c r="AP1731" s="7"/>
      <c r="AQ1731" s="7"/>
      <c r="AR1731" s="7"/>
      <c r="AS1731" s="7"/>
    </row>
    <row r="1732" spans="1:45" x14ac:dyDescent="0.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Q1732" s="7"/>
      <c r="R1732" s="7"/>
      <c r="S1732" s="7"/>
      <c r="T1732" s="7"/>
      <c r="U1732" s="7"/>
      <c r="V1732" s="7"/>
      <c r="AC1732" s="7"/>
      <c r="AD1732" s="7"/>
      <c r="AE1732" s="7"/>
      <c r="AF1732" s="7"/>
      <c r="AG1732" s="7"/>
      <c r="AO1732" s="7"/>
      <c r="AP1732" s="7"/>
      <c r="AQ1732" s="7"/>
      <c r="AR1732" s="7"/>
      <c r="AS1732" s="7"/>
    </row>
    <row r="1733" spans="1:45" x14ac:dyDescent="0.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Q1733" s="7"/>
      <c r="R1733" s="7"/>
      <c r="S1733" s="7"/>
      <c r="T1733" s="7"/>
      <c r="U1733" s="7"/>
      <c r="V1733" s="7"/>
      <c r="AC1733" s="7"/>
      <c r="AD1733" s="7"/>
      <c r="AE1733" s="7"/>
      <c r="AF1733" s="7"/>
      <c r="AG1733" s="7"/>
      <c r="AO1733" s="7"/>
      <c r="AP1733" s="7"/>
      <c r="AQ1733" s="7"/>
      <c r="AR1733" s="7"/>
      <c r="AS1733" s="7"/>
    </row>
    <row r="1734" spans="1:45" x14ac:dyDescent="0.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Q1734" s="7"/>
      <c r="R1734" s="7"/>
      <c r="S1734" s="7"/>
      <c r="T1734" s="7"/>
      <c r="U1734" s="7"/>
      <c r="V1734" s="7"/>
      <c r="AC1734" s="7"/>
      <c r="AD1734" s="7"/>
      <c r="AE1734" s="7"/>
      <c r="AF1734" s="7"/>
      <c r="AG1734" s="7"/>
      <c r="AO1734" s="7"/>
      <c r="AP1734" s="7"/>
      <c r="AQ1734" s="7"/>
      <c r="AR1734" s="7"/>
      <c r="AS1734" s="7"/>
    </row>
    <row r="1735" spans="1:45" x14ac:dyDescent="0.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Q1735" s="7"/>
      <c r="R1735" s="7"/>
      <c r="S1735" s="7"/>
      <c r="T1735" s="7"/>
      <c r="U1735" s="7"/>
      <c r="V1735" s="7"/>
      <c r="AC1735" s="7"/>
      <c r="AD1735" s="7"/>
      <c r="AE1735" s="7"/>
      <c r="AF1735" s="7"/>
      <c r="AG1735" s="7"/>
      <c r="AO1735" s="7"/>
      <c r="AP1735" s="7"/>
      <c r="AQ1735" s="7"/>
      <c r="AR1735" s="7"/>
      <c r="AS1735" s="7"/>
    </row>
    <row r="1736" spans="1:45" x14ac:dyDescent="0.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Q1736" s="7"/>
      <c r="R1736" s="7"/>
      <c r="S1736" s="7"/>
      <c r="T1736" s="7"/>
      <c r="U1736" s="7"/>
      <c r="V1736" s="7"/>
      <c r="AC1736" s="7"/>
      <c r="AD1736" s="7"/>
      <c r="AE1736" s="7"/>
      <c r="AF1736" s="7"/>
      <c r="AG1736" s="7"/>
      <c r="AO1736" s="7"/>
      <c r="AP1736" s="7"/>
      <c r="AQ1736" s="7"/>
      <c r="AR1736" s="7"/>
      <c r="AS1736" s="7"/>
    </row>
    <row r="1737" spans="1:45" x14ac:dyDescent="0.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Q1737" s="7"/>
      <c r="R1737" s="7"/>
      <c r="S1737" s="7"/>
      <c r="T1737" s="7"/>
      <c r="U1737" s="7"/>
      <c r="V1737" s="7"/>
      <c r="AC1737" s="7"/>
      <c r="AD1737" s="7"/>
      <c r="AE1737" s="7"/>
      <c r="AF1737" s="7"/>
      <c r="AG1737" s="7"/>
      <c r="AO1737" s="7"/>
      <c r="AP1737" s="7"/>
      <c r="AQ1737" s="7"/>
      <c r="AR1737" s="7"/>
      <c r="AS1737" s="7"/>
    </row>
    <row r="1738" spans="1:45" x14ac:dyDescent="0.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Q1738" s="7"/>
      <c r="R1738" s="7"/>
      <c r="S1738" s="7"/>
      <c r="T1738" s="7"/>
      <c r="U1738" s="7"/>
      <c r="V1738" s="7"/>
      <c r="AC1738" s="7"/>
      <c r="AD1738" s="7"/>
      <c r="AE1738" s="7"/>
      <c r="AF1738" s="7"/>
      <c r="AG1738" s="7"/>
      <c r="AO1738" s="7"/>
      <c r="AP1738" s="7"/>
      <c r="AQ1738" s="7"/>
      <c r="AR1738" s="7"/>
      <c r="AS1738" s="7"/>
    </row>
    <row r="1739" spans="1:45" x14ac:dyDescent="0.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Q1739" s="7"/>
      <c r="R1739" s="7"/>
      <c r="S1739" s="7"/>
      <c r="T1739" s="7"/>
      <c r="U1739" s="7"/>
      <c r="V1739" s="7"/>
      <c r="AC1739" s="7"/>
      <c r="AD1739" s="7"/>
      <c r="AE1739" s="7"/>
      <c r="AF1739" s="7"/>
      <c r="AG1739" s="7"/>
      <c r="AO1739" s="7"/>
      <c r="AP1739" s="7"/>
      <c r="AQ1739" s="7"/>
      <c r="AR1739" s="7"/>
      <c r="AS1739" s="7"/>
    </row>
    <row r="1740" spans="1:45" x14ac:dyDescent="0.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Q1740" s="7"/>
      <c r="R1740" s="7"/>
      <c r="S1740" s="7"/>
      <c r="T1740" s="7"/>
      <c r="U1740" s="7"/>
      <c r="V1740" s="7"/>
      <c r="AC1740" s="7"/>
      <c r="AD1740" s="7"/>
      <c r="AE1740" s="7"/>
      <c r="AF1740" s="7"/>
      <c r="AG1740" s="7"/>
      <c r="AO1740" s="7"/>
      <c r="AP1740" s="7"/>
      <c r="AQ1740" s="7"/>
      <c r="AR1740" s="7"/>
      <c r="AS1740" s="7"/>
    </row>
    <row r="1741" spans="1:45" x14ac:dyDescent="0.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Q1741" s="7"/>
      <c r="R1741" s="7"/>
      <c r="S1741" s="7"/>
      <c r="T1741" s="7"/>
      <c r="U1741" s="7"/>
      <c r="V1741" s="7"/>
      <c r="AC1741" s="7"/>
      <c r="AD1741" s="7"/>
      <c r="AE1741" s="7"/>
      <c r="AF1741" s="7"/>
      <c r="AG1741" s="7"/>
      <c r="AO1741" s="7"/>
      <c r="AP1741" s="7"/>
      <c r="AQ1741" s="7"/>
      <c r="AR1741" s="7"/>
      <c r="AS1741" s="7"/>
    </row>
    <row r="1742" spans="1:45" x14ac:dyDescent="0.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Q1742" s="7"/>
      <c r="R1742" s="7"/>
      <c r="S1742" s="7"/>
      <c r="T1742" s="7"/>
      <c r="U1742" s="7"/>
      <c r="V1742" s="7"/>
      <c r="AC1742" s="7"/>
      <c r="AD1742" s="7"/>
      <c r="AE1742" s="7"/>
      <c r="AF1742" s="7"/>
      <c r="AG1742" s="7"/>
      <c r="AO1742" s="7"/>
      <c r="AP1742" s="7"/>
      <c r="AQ1742" s="7"/>
      <c r="AR1742" s="7"/>
      <c r="AS1742" s="7"/>
    </row>
    <row r="1743" spans="1:45" x14ac:dyDescent="0.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Q1743" s="7"/>
      <c r="R1743" s="7"/>
      <c r="S1743" s="7"/>
      <c r="T1743" s="7"/>
      <c r="U1743" s="7"/>
      <c r="V1743" s="7"/>
      <c r="AC1743" s="7"/>
      <c r="AD1743" s="7"/>
      <c r="AE1743" s="7"/>
      <c r="AF1743" s="7"/>
      <c r="AG1743" s="7"/>
      <c r="AO1743" s="7"/>
      <c r="AP1743" s="7"/>
      <c r="AQ1743" s="7"/>
      <c r="AR1743" s="7"/>
      <c r="AS1743" s="7"/>
    </row>
    <row r="1744" spans="1:45" x14ac:dyDescent="0.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Q1744" s="7"/>
      <c r="R1744" s="7"/>
      <c r="S1744" s="7"/>
      <c r="T1744" s="7"/>
      <c r="U1744" s="7"/>
      <c r="V1744" s="7"/>
      <c r="AC1744" s="7"/>
      <c r="AD1744" s="7"/>
      <c r="AE1744" s="7"/>
      <c r="AF1744" s="7"/>
      <c r="AG1744" s="7"/>
      <c r="AO1744" s="7"/>
      <c r="AP1744" s="7"/>
      <c r="AQ1744" s="7"/>
      <c r="AR1744" s="7"/>
      <c r="AS1744" s="7"/>
    </row>
    <row r="1745" spans="1:45" x14ac:dyDescent="0.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Q1745" s="7"/>
      <c r="R1745" s="7"/>
      <c r="S1745" s="7"/>
      <c r="T1745" s="7"/>
      <c r="U1745" s="7"/>
      <c r="V1745" s="7"/>
      <c r="AC1745" s="7"/>
      <c r="AD1745" s="7"/>
      <c r="AE1745" s="7"/>
      <c r="AF1745" s="7"/>
      <c r="AG1745" s="7"/>
      <c r="AO1745" s="7"/>
      <c r="AP1745" s="7"/>
      <c r="AQ1745" s="7"/>
      <c r="AR1745" s="7"/>
      <c r="AS1745" s="7"/>
    </row>
    <row r="1746" spans="1:45" x14ac:dyDescent="0.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Q1746" s="7"/>
      <c r="R1746" s="7"/>
      <c r="S1746" s="7"/>
      <c r="T1746" s="7"/>
      <c r="U1746" s="7"/>
      <c r="V1746" s="7"/>
      <c r="AC1746" s="7"/>
      <c r="AD1746" s="7"/>
      <c r="AE1746" s="7"/>
      <c r="AF1746" s="7"/>
      <c r="AG1746" s="7"/>
      <c r="AO1746" s="7"/>
      <c r="AP1746" s="7"/>
      <c r="AQ1746" s="7"/>
      <c r="AR1746" s="7"/>
      <c r="AS1746" s="7"/>
    </row>
    <row r="1747" spans="1:45" x14ac:dyDescent="0.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Q1747" s="7"/>
      <c r="R1747" s="7"/>
      <c r="S1747" s="7"/>
      <c r="T1747" s="7"/>
      <c r="U1747" s="7"/>
      <c r="V1747" s="7"/>
      <c r="AC1747" s="7"/>
      <c r="AD1747" s="7"/>
      <c r="AE1747" s="7"/>
      <c r="AF1747" s="7"/>
      <c r="AG1747" s="7"/>
      <c r="AO1747" s="7"/>
      <c r="AP1747" s="7"/>
      <c r="AQ1747" s="7"/>
      <c r="AR1747" s="7"/>
      <c r="AS1747" s="7"/>
    </row>
    <row r="1748" spans="1:45" x14ac:dyDescent="0.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Q1748" s="7"/>
      <c r="R1748" s="7"/>
      <c r="S1748" s="7"/>
      <c r="T1748" s="7"/>
      <c r="U1748" s="7"/>
      <c r="V1748" s="7"/>
      <c r="AC1748" s="7"/>
      <c r="AD1748" s="7"/>
      <c r="AE1748" s="7"/>
      <c r="AF1748" s="7"/>
      <c r="AG1748" s="7"/>
      <c r="AO1748" s="7"/>
      <c r="AP1748" s="7"/>
      <c r="AQ1748" s="7"/>
      <c r="AR1748" s="7"/>
      <c r="AS1748" s="7"/>
    </row>
    <row r="1749" spans="1:45" x14ac:dyDescent="0.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Q1749" s="7"/>
      <c r="R1749" s="7"/>
      <c r="S1749" s="7"/>
      <c r="T1749" s="7"/>
      <c r="U1749" s="7"/>
      <c r="V1749" s="7"/>
      <c r="AC1749" s="7"/>
      <c r="AD1749" s="7"/>
      <c r="AE1749" s="7"/>
      <c r="AF1749" s="7"/>
      <c r="AG1749" s="7"/>
      <c r="AO1749" s="7"/>
      <c r="AP1749" s="7"/>
      <c r="AQ1749" s="7"/>
      <c r="AR1749" s="7"/>
      <c r="AS1749" s="7"/>
    </row>
    <row r="1750" spans="1:45" x14ac:dyDescent="0.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Q1750" s="7"/>
      <c r="R1750" s="7"/>
      <c r="S1750" s="7"/>
      <c r="T1750" s="7"/>
      <c r="U1750" s="7"/>
      <c r="V1750" s="7"/>
      <c r="AC1750" s="7"/>
      <c r="AD1750" s="7"/>
      <c r="AE1750" s="7"/>
      <c r="AF1750" s="7"/>
      <c r="AG1750" s="7"/>
      <c r="AO1750" s="7"/>
      <c r="AP1750" s="7"/>
      <c r="AQ1750" s="7"/>
      <c r="AR1750" s="7"/>
      <c r="AS1750" s="7"/>
    </row>
    <row r="1751" spans="1:45" x14ac:dyDescent="0.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Q1751" s="7"/>
      <c r="R1751" s="7"/>
      <c r="S1751" s="7"/>
      <c r="T1751" s="7"/>
      <c r="U1751" s="7"/>
      <c r="V1751" s="7"/>
      <c r="AC1751" s="7"/>
      <c r="AD1751" s="7"/>
      <c r="AE1751" s="7"/>
      <c r="AF1751" s="7"/>
      <c r="AG1751" s="7"/>
      <c r="AO1751" s="7"/>
      <c r="AP1751" s="7"/>
      <c r="AQ1751" s="7"/>
      <c r="AR1751" s="7"/>
      <c r="AS1751" s="7"/>
    </row>
    <row r="1752" spans="1:45" x14ac:dyDescent="0.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Q1752" s="7"/>
      <c r="R1752" s="7"/>
      <c r="S1752" s="7"/>
      <c r="T1752" s="7"/>
      <c r="U1752" s="7"/>
      <c r="V1752" s="7"/>
      <c r="AC1752" s="7"/>
      <c r="AD1752" s="7"/>
      <c r="AE1752" s="7"/>
      <c r="AF1752" s="7"/>
      <c r="AG1752" s="7"/>
      <c r="AO1752" s="7"/>
      <c r="AP1752" s="7"/>
      <c r="AQ1752" s="7"/>
      <c r="AR1752" s="7"/>
      <c r="AS1752" s="7"/>
    </row>
    <row r="1753" spans="1:45" x14ac:dyDescent="0.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Q1753" s="7"/>
      <c r="R1753" s="7"/>
      <c r="S1753" s="7"/>
      <c r="T1753" s="7"/>
      <c r="U1753" s="7"/>
      <c r="V1753" s="7"/>
      <c r="AC1753" s="7"/>
      <c r="AD1753" s="7"/>
      <c r="AE1753" s="7"/>
      <c r="AF1753" s="7"/>
      <c r="AG1753" s="7"/>
      <c r="AO1753" s="7"/>
      <c r="AP1753" s="7"/>
      <c r="AQ1753" s="7"/>
      <c r="AR1753" s="7"/>
      <c r="AS1753" s="7"/>
    </row>
    <row r="1754" spans="1:45" x14ac:dyDescent="0.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Q1754" s="7"/>
      <c r="R1754" s="7"/>
      <c r="S1754" s="7"/>
      <c r="T1754" s="7"/>
      <c r="U1754" s="7"/>
      <c r="V1754" s="7"/>
      <c r="AC1754" s="7"/>
      <c r="AD1754" s="7"/>
      <c r="AE1754" s="7"/>
      <c r="AF1754" s="7"/>
      <c r="AG1754" s="7"/>
      <c r="AO1754" s="7"/>
      <c r="AP1754" s="7"/>
      <c r="AQ1754" s="7"/>
      <c r="AR1754" s="7"/>
      <c r="AS1754" s="7"/>
    </row>
    <row r="1755" spans="1:45" x14ac:dyDescent="0.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Q1755" s="7"/>
      <c r="R1755" s="7"/>
      <c r="S1755" s="7"/>
      <c r="T1755" s="7"/>
      <c r="U1755" s="7"/>
      <c r="V1755" s="7"/>
      <c r="AC1755" s="7"/>
      <c r="AD1755" s="7"/>
      <c r="AE1755" s="7"/>
      <c r="AF1755" s="7"/>
      <c r="AG1755" s="7"/>
      <c r="AO1755" s="7"/>
      <c r="AP1755" s="7"/>
      <c r="AQ1755" s="7"/>
      <c r="AR1755" s="7"/>
      <c r="AS1755" s="7"/>
    </row>
    <row r="1756" spans="1:45" x14ac:dyDescent="0.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Q1756" s="7"/>
      <c r="R1756" s="7"/>
      <c r="S1756" s="7"/>
      <c r="T1756" s="7"/>
      <c r="U1756" s="7"/>
      <c r="V1756" s="7"/>
      <c r="AC1756" s="7"/>
      <c r="AD1756" s="7"/>
      <c r="AE1756" s="7"/>
      <c r="AF1756" s="7"/>
      <c r="AG1756" s="7"/>
      <c r="AO1756" s="7"/>
      <c r="AP1756" s="7"/>
      <c r="AQ1756" s="7"/>
      <c r="AR1756" s="7"/>
      <c r="AS1756" s="7"/>
    </row>
    <row r="1757" spans="1:45" x14ac:dyDescent="0.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Q1757" s="7"/>
      <c r="R1757" s="7"/>
      <c r="S1757" s="7"/>
      <c r="T1757" s="7"/>
      <c r="U1757" s="7"/>
      <c r="V1757" s="7"/>
      <c r="AC1757" s="7"/>
      <c r="AD1757" s="7"/>
      <c r="AE1757" s="7"/>
      <c r="AF1757" s="7"/>
      <c r="AG1757" s="7"/>
      <c r="AO1757" s="7"/>
      <c r="AP1757" s="7"/>
      <c r="AQ1757" s="7"/>
      <c r="AR1757" s="7"/>
      <c r="AS1757" s="7"/>
    </row>
    <row r="1758" spans="1:45" x14ac:dyDescent="0.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Q1758" s="7"/>
      <c r="R1758" s="7"/>
      <c r="S1758" s="7"/>
      <c r="T1758" s="7"/>
      <c r="U1758" s="7"/>
      <c r="V1758" s="7"/>
      <c r="AC1758" s="7"/>
      <c r="AD1758" s="7"/>
      <c r="AE1758" s="7"/>
      <c r="AF1758" s="7"/>
      <c r="AG1758" s="7"/>
      <c r="AO1758" s="7"/>
      <c r="AP1758" s="7"/>
      <c r="AQ1758" s="7"/>
      <c r="AR1758" s="7"/>
      <c r="AS1758" s="7"/>
    </row>
    <row r="1759" spans="1:45" x14ac:dyDescent="0.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Q1759" s="7"/>
      <c r="R1759" s="7"/>
      <c r="S1759" s="7"/>
      <c r="T1759" s="7"/>
      <c r="U1759" s="7"/>
      <c r="V1759" s="7"/>
      <c r="AC1759" s="7"/>
      <c r="AD1759" s="7"/>
      <c r="AE1759" s="7"/>
      <c r="AF1759" s="7"/>
      <c r="AG1759" s="7"/>
      <c r="AO1759" s="7"/>
      <c r="AP1759" s="7"/>
      <c r="AQ1759" s="7"/>
      <c r="AR1759" s="7"/>
      <c r="AS1759" s="7"/>
    </row>
    <row r="1760" spans="1:45" x14ac:dyDescent="0.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Q1760" s="7"/>
      <c r="R1760" s="7"/>
      <c r="S1760" s="7"/>
      <c r="T1760" s="7"/>
      <c r="U1760" s="7"/>
      <c r="V1760" s="7"/>
      <c r="AC1760" s="7"/>
      <c r="AD1760" s="7"/>
      <c r="AE1760" s="7"/>
      <c r="AF1760" s="7"/>
      <c r="AG1760" s="7"/>
      <c r="AO1760" s="7"/>
      <c r="AP1760" s="7"/>
      <c r="AQ1760" s="7"/>
      <c r="AR1760" s="7"/>
      <c r="AS1760" s="7"/>
    </row>
    <row r="1761" spans="1:45" x14ac:dyDescent="0.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Q1761" s="7"/>
      <c r="R1761" s="7"/>
      <c r="S1761" s="7"/>
      <c r="T1761" s="7"/>
      <c r="U1761" s="7"/>
      <c r="V1761" s="7"/>
      <c r="AC1761" s="7"/>
      <c r="AD1761" s="7"/>
      <c r="AE1761" s="7"/>
      <c r="AF1761" s="7"/>
      <c r="AG1761" s="7"/>
      <c r="AO1761" s="7"/>
      <c r="AP1761" s="7"/>
      <c r="AQ1761" s="7"/>
      <c r="AR1761" s="7"/>
      <c r="AS1761" s="7"/>
    </row>
    <row r="1762" spans="1:45" x14ac:dyDescent="0.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Q1762" s="7"/>
      <c r="R1762" s="7"/>
      <c r="S1762" s="7"/>
      <c r="T1762" s="7"/>
      <c r="U1762" s="7"/>
      <c r="V1762" s="7"/>
      <c r="AC1762" s="7"/>
      <c r="AD1762" s="7"/>
      <c r="AE1762" s="7"/>
      <c r="AF1762" s="7"/>
      <c r="AG1762" s="7"/>
      <c r="AO1762" s="7"/>
      <c r="AP1762" s="7"/>
      <c r="AQ1762" s="7"/>
      <c r="AR1762" s="7"/>
      <c r="AS1762" s="7"/>
    </row>
    <row r="1763" spans="1:45" x14ac:dyDescent="0.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Q1763" s="7"/>
      <c r="R1763" s="7"/>
      <c r="S1763" s="7"/>
      <c r="T1763" s="7"/>
      <c r="U1763" s="7"/>
      <c r="V1763" s="7"/>
      <c r="AC1763" s="7"/>
      <c r="AD1763" s="7"/>
      <c r="AE1763" s="7"/>
      <c r="AF1763" s="7"/>
      <c r="AG1763" s="7"/>
      <c r="AO1763" s="7"/>
      <c r="AP1763" s="7"/>
      <c r="AQ1763" s="7"/>
      <c r="AR1763" s="7"/>
      <c r="AS1763" s="7"/>
    </row>
    <row r="1764" spans="1:45" x14ac:dyDescent="0.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Q1764" s="7"/>
      <c r="R1764" s="7"/>
      <c r="S1764" s="7"/>
      <c r="T1764" s="7"/>
      <c r="U1764" s="7"/>
      <c r="V1764" s="7"/>
      <c r="AC1764" s="7"/>
      <c r="AD1764" s="7"/>
      <c r="AE1764" s="7"/>
      <c r="AF1764" s="7"/>
      <c r="AG1764" s="7"/>
      <c r="AO1764" s="7"/>
      <c r="AP1764" s="7"/>
      <c r="AQ1764" s="7"/>
      <c r="AR1764" s="7"/>
      <c r="AS1764" s="7"/>
    </row>
    <row r="1765" spans="1:45" x14ac:dyDescent="0.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Q1765" s="7"/>
      <c r="R1765" s="7"/>
      <c r="S1765" s="7"/>
      <c r="T1765" s="7"/>
      <c r="U1765" s="7"/>
      <c r="V1765" s="7"/>
      <c r="AC1765" s="7"/>
      <c r="AD1765" s="7"/>
      <c r="AE1765" s="7"/>
      <c r="AF1765" s="7"/>
      <c r="AG1765" s="7"/>
      <c r="AO1765" s="7"/>
      <c r="AP1765" s="7"/>
      <c r="AQ1765" s="7"/>
      <c r="AR1765" s="7"/>
      <c r="AS1765" s="7"/>
    </row>
    <row r="1766" spans="1:45" x14ac:dyDescent="0.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Q1766" s="7"/>
      <c r="R1766" s="7"/>
      <c r="S1766" s="7"/>
      <c r="T1766" s="7"/>
      <c r="U1766" s="7"/>
      <c r="V1766" s="7"/>
      <c r="AC1766" s="7"/>
      <c r="AD1766" s="7"/>
      <c r="AE1766" s="7"/>
      <c r="AF1766" s="7"/>
      <c r="AG1766" s="7"/>
      <c r="AO1766" s="7"/>
      <c r="AP1766" s="7"/>
      <c r="AQ1766" s="7"/>
      <c r="AR1766" s="7"/>
      <c r="AS1766" s="7"/>
    </row>
    <row r="1767" spans="1:45" x14ac:dyDescent="0.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Q1767" s="7"/>
      <c r="R1767" s="7"/>
      <c r="S1767" s="7"/>
      <c r="T1767" s="7"/>
      <c r="U1767" s="7"/>
      <c r="V1767" s="7"/>
      <c r="AC1767" s="7"/>
      <c r="AD1767" s="7"/>
      <c r="AE1767" s="7"/>
      <c r="AF1767" s="7"/>
      <c r="AG1767" s="7"/>
      <c r="AO1767" s="7"/>
      <c r="AP1767" s="7"/>
      <c r="AQ1767" s="7"/>
      <c r="AR1767" s="7"/>
      <c r="AS1767" s="7"/>
    </row>
    <row r="1768" spans="1:45" x14ac:dyDescent="0.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Q1768" s="7"/>
      <c r="R1768" s="7"/>
      <c r="S1768" s="7"/>
      <c r="T1768" s="7"/>
      <c r="U1768" s="7"/>
      <c r="V1768" s="7"/>
      <c r="AC1768" s="7"/>
      <c r="AD1768" s="7"/>
      <c r="AE1768" s="7"/>
      <c r="AF1768" s="7"/>
      <c r="AG1768" s="7"/>
      <c r="AO1768" s="7"/>
      <c r="AP1768" s="7"/>
      <c r="AQ1768" s="7"/>
      <c r="AR1768" s="7"/>
      <c r="AS1768" s="7"/>
    </row>
    <row r="1769" spans="1:45" x14ac:dyDescent="0.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Q1769" s="7"/>
      <c r="R1769" s="7"/>
      <c r="S1769" s="7"/>
      <c r="T1769" s="7"/>
      <c r="U1769" s="7"/>
      <c r="V1769" s="7"/>
      <c r="AC1769" s="7"/>
      <c r="AD1769" s="7"/>
      <c r="AE1769" s="7"/>
      <c r="AF1769" s="7"/>
      <c r="AG1769" s="7"/>
      <c r="AO1769" s="7"/>
      <c r="AP1769" s="7"/>
      <c r="AQ1769" s="7"/>
      <c r="AR1769" s="7"/>
      <c r="AS1769" s="7"/>
    </row>
    <row r="1770" spans="1:45" x14ac:dyDescent="0.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Q1770" s="7"/>
      <c r="R1770" s="7"/>
      <c r="S1770" s="7"/>
      <c r="T1770" s="7"/>
      <c r="U1770" s="7"/>
      <c r="V1770" s="7"/>
      <c r="AC1770" s="7"/>
      <c r="AD1770" s="7"/>
      <c r="AE1770" s="7"/>
      <c r="AF1770" s="7"/>
      <c r="AG1770" s="7"/>
      <c r="AO1770" s="7"/>
      <c r="AP1770" s="7"/>
      <c r="AQ1770" s="7"/>
      <c r="AR1770" s="7"/>
      <c r="AS1770" s="7"/>
    </row>
    <row r="1771" spans="1:45" x14ac:dyDescent="0.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Q1771" s="7"/>
      <c r="R1771" s="7"/>
      <c r="S1771" s="7"/>
      <c r="T1771" s="7"/>
      <c r="U1771" s="7"/>
      <c r="V1771" s="7"/>
      <c r="AC1771" s="7"/>
      <c r="AD1771" s="7"/>
      <c r="AE1771" s="7"/>
      <c r="AF1771" s="7"/>
      <c r="AG1771" s="7"/>
      <c r="AO1771" s="7"/>
      <c r="AP1771" s="7"/>
      <c r="AQ1771" s="7"/>
      <c r="AR1771" s="7"/>
      <c r="AS1771" s="7"/>
    </row>
    <row r="1772" spans="1:45" x14ac:dyDescent="0.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Q1772" s="7"/>
      <c r="R1772" s="7"/>
      <c r="S1772" s="7"/>
      <c r="T1772" s="7"/>
      <c r="U1772" s="7"/>
      <c r="V1772" s="7"/>
      <c r="AC1772" s="7"/>
      <c r="AD1772" s="7"/>
      <c r="AE1772" s="7"/>
      <c r="AF1772" s="7"/>
      <c r="AG1772" s="7"/>
      <c r="AO1772" s="7"/>
      <c r="AP1772" s="7"/>
      <c r="AQ1772" s="7"/>
      <c r="AR1772" s="7"/>
      <c r="AS1772" s="7"/>
    </row>
    <row r="1773" spans="1:45" x14ac:dyDescent="0.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Q1773" s="7"/>
      <c r="R1773" s="7"/>
      <c r="S1773" s="7"/>
      <c r="T1773" s="7"/>
      <c r="U1773" s="7"/>
      <c r="V1773" s="7"/>
      <c r="AC1773" s="7"/>
      <c r="AD1773" s="7"/>
      <c r="AE1773" s="7"/>
      <c r="AF1773" s="7"/>
      <c r="AG1773" s="7"/>
      <c r="AO1773" s="7"/>
      <c r="AP1773" s="7"/>
      <c r="AQ1773" s="7"/>
      <c r="AR1773" s="7"/>
      <c r="AS1773" s="7"/>
    </row>
    <row r="1774" spans="1:45" x14ac:dyDescent="0.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Q1774" s="7"/>
      <c r="R1774" s="7"/>
      <c r="S1774" s="7"/>
      <c r="T1774" s="7"/>
      <c r="U1774" s="7"/>
      <c r="V1774" s="7"/>
      <c r="AC1774" s="7"/>
      <c r="AD1774" s="7"/>
      <c r="AE1774" s="7"/>
      <c r="AF1774" s="7"/>
      <c r="AG1774" s="7"/>
      <c r="AO1774" s="7"/>
      <c r="AP1774" s="7"/>
      <c r="AQ1774" s="7"/>
      <c r="AR1774" s="7"/>
      <c r="AS1774" s="7"/>
    </row>
    <row r="1775" spans="1:45" x14ac:dyDescent="0.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Q1775" s="7"/>
      <c r="R1775" s="7"/>
      <c r="S1775" s="7"/>
      <c r="T1775" s="7"/>
      <c r="U1775" s="7"/>
      <c r="V1775" s="7"/>
      <c r="AC1775" s="7"/>
      <c r="AD1775" s="7"/>
      <c r="AE1775" s="7"/>
      <c r="AF1775" s="7"/>
      <c r="AG1775" s="7"/>
      <c r="AO1775" s="7"/>
      <c r="AP1775" s="7"/>
      <c r="AQ1775" s="7"/>
      <c r="AR1775" s="7"/>
      <c r="AS1775" s="7"/>
    </row>
    <row r="1776" spans="1:45" x14ac:dyDescent="0.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Q1776" s="7"/>
      <c r="R1776" s="7"/>
      <c r="S1776" s="7"/>
      <c r="T1776" s="7"/>
      <c r="U1776" s="7"/>
      <c r="V1776" s="7"/>
      <c r="AC1776" s="7"/>
      <c r="AD1776" s="7"/>
      <c r="AE1776" s="7"/>
      <c r="AF1776" s="7"/>
      <c r="AG1776" s="7"/>
      <c r="AO1776" s="7"/>
      <c r="AP1776" s="7"/>
      <c r="AQ1776" s="7"/>
      <c r="AR1776" s="7"/>
      <c r="AS1776" s="7"/>
    </row>
    <row r="1777" spans="1:45" x14ac:dyDescent="0.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Q1777" s="7"/>
      <c r="R1777" s="7"/>
      <c r="S1777" s="7"/>
      <c r="T1777" s="7"/>
      <c r="U1777" s="7"/>
      <c r="V1777" s="7"/>
      <c r="AC1777" s="7"/>
      <c r="AD1777" s="7"/>
      <c r="AE1777" s="7"/>
      <c r="AF1777" s="7"/>
      <c r="AG1777" s="7"/>
      <c r="AO1777" s="7"/>
      <c r="AP1777" s="7"/>
      <c r="AQ1777" s="7"/>
      <c r="AR1777" s="7"/>
      <c r="AS1777" s="7"/>
    </row>
    <row r="1778" spans="1:45" x14ac:dyDescent="0.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Q1778" s="7"/>
      <c r="R1778" s="7"/>
      <c r="S1778" s="7"/>
      <c r="T1778" s="7"/>
      <c r="U1778" s="7"/>
      <c r="V1778" s="7"/>
      <c r="AC1778" s="7"/>
      <c r="AD1778" s="7"/>
      <c r="AE1778" s="7"/>
      <c r="AF1778" s="7"/>
      <c r="AG1778" s="7"/>
      <c r="AO1778" s="7"/>
      <c r="AP1778" s="7"/>
      <c r="AQ1778" s="7"/>
      <c r="AR1778" s="7"/>
      <c r="AS1778" s="7"/>
    </row>
    <row r="1779" spans="1:45" x14ac:dyDescent="0.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Q1779" s="7"/>
      <c r="R1779" s="7"/>
      <c r="S1779" s="7"/>
      <c r="T1779" s="7"/>
      <c r="U1779" s="7"/>
      <c r="V1779" s="7"/>
      <c r="AC1779" s="7"/>
      <c r="AD1779" s="7"/>
      <c r="AE1779" s="7"/>
      <c r="AF1779" s="7"/>
      <c r="AG1779" s="7"/>
      <c r="AO1779" s="7"/>
      <c r="AP1779" s="7"/>
      <c r="AQ1779" s="7"/>
      <c r="AR1779" s="7"/>
      <c r="AS1779" s="7"/>
    </row>
    <row r="1780" spans="1:45" x14ac:dyDescent="0.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Q1780" s="7"/>
      <c r="R1780" s="7"/>
      <c r="S1780" s="7"/>
      <c r="T1780" s="7"/>
      <c r="U1780" s="7"/>
      <c r="V1780" s="7"/>
      <c r="AC1780" s="7"/>
      <c r="AD1780" s="7"/>
      <c r="AE1780" s="7"/>
      <c r="AF1780" s="7"/>
      <c r="AG1780" s="7"/>
      <c r="AO1780" s="7"/>
      <c r="AP1780" s="7"/>
      <c r="AQ1780" s="7"/>
      <c r="AR1780" s="7"/>
      <c r="AS1780" s="7"/>
    </row>
    <row r="1781" spans="1:45" x14ac:dyDescent="0.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Q1781" s="7"/>
      <c r="R1781" s="7"/>
      <c r="S1781" s="7"/>
      <c r="T1781" s="7"/>
      <c r="U1781" s="7"/>
      <c r="V1781" s="7"/>
      <c r="AC1781" s="7"/>
      <c r="AD1781" s="7"/>
      <c r="AE1781" s="7"/>
      <c r="AF1781" s="7"/>
      <c r="AG1781" s="7"/>
      <c r="AO1781" s="7"/>
      <c r="AP1781" s="7"/>
      <c r="AQ1781" s="7"/>
      <c r="AR1781" s="7"/>
      <c r="AS1781" s="7"/>
    </row>
    <row r="1782" spans="1:45" x14ac:dyDescent="0.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Q1782" s="7"/>
      <c r="R1782" s="7"/>
      <c r="S1782" s="7"/>
      <c r="T1782" s="7"/>
      <c r="U1782" s="7"/>
      <c r="V1782" s="7"/>
      <c r="AC1782" s="7"/>
      <c r="AD1782" s="7"/>
      <c r="AE1782" s="7"/>
      <c r="AF1782" s="7"/>
      <c r="AG1782" s="7"/>
      <c r="AO1782" s="7"/>
      <c r="AP1782" s="7"/>
      <c r="AQ1782" s="7"/>
      <c r="AR1782" s="7"/>
      <c r="AS1782" s="7"/>
    </row>
    <row r="1783" spans="1:45" x14ac:dyDescent="0.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Q1783" s="7"/>
      <c r="R1783" s="7"/>
      <c r="S1783" s="7"/>
      <c r="T1783" s="7"/>
      <c r="U1783" s="7"/>
      <c r="V1783" s="7"/>
      <c r="AC1783" s="7"/>
      <c r="AD1783" s="7"/>
      <c r="AE1783" s="7"/>
      <c r="AF1783" s="7"/>
      <c r="AG1783" s="7"/>
      <c r="AO1783" s="7"/>
      <c r="AP1783" s="7"/>
      <c r="AQ1783" s="7"/>
      <c r="AR1783" s="7"/>
      <c r="AS1783" s="7"/>
    </row>
    <row r="1784" spans="1:45" x14ac:dyDescent="0.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Q1784" s="7"/>
      <c r="R1784" s="7"/>
      <c r="S1784" s="7"/>
      <c r="T1784" s="7"/>
      <c r="U1784" s="7"/>
      <c r="V1784" s="7"/>
      <c r="AC1784" s="7"/>
      <c r="AD1784" s="7"/>
      <c r="AE1784" s="7"/>
      <c r="AF1784" s="7"/>
      <c r="AG1784" s="7"/>
      <c r="AO1784" s="7"/>
      <c r="AP1784" s="7"/>
      <c r="AQ1784" s="7"/>
      <c r="AR1784" s="7"/>
      <c r="AS1784" s="7"/>
    </row>
    <row r="1785" spans="1:45" x14ac:dyDescent="0.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Q1785" s="7"/>
      <c r="R1785" s="7"/>
      <c r="S1785" s="7"/>
      <c r="T1785" s="7"/>
      <c r="U1785" s="7"/>
      <c r="V1785" s="7"/>
      <c r="AC1785" s="7"/>
      <c r="AD1785" s="7"/>
      <c r="AE1785" s="7"/>
      <c r="AF1785" s="7"/>
      <c r="AG1785" s="7"/>
      <c r="AO1785" s="7"/>
      <c r="AP1785" s="7"/>
      <c r="AQ1785" s="7"/>
      <c r="AR1785" s="7"/>
      <c r="AS1785" s="7"/>
    </row>
    <row r="1786" spans="1:45" x14ac:dyDescent="0.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Q1786" s="7"/>
      <c r="R1786" s="7"/>
      <c r="S1786" s="7"/>
      <c r="T1786" s="7"/>
      <c r="U1786" s="7"/>
      <c r="V1786" s="7"/>
      <c r="AC1786" s="7"/>
      <c r="AD1786" s="7"/>
      <c r="AE1786" s="7"/>
      <c r="AF1786" s="7"/>
      <c r="AG1786" s="7"/>
      <c r="AO1786" s="7"/>
      <c r="AP1786" s="7"/>
      <c r="AQ1786" s="7"/>
      <c r="AR1786" s="7"/>
      <c r="AS1786" s="7"/>
    </row>
    <row r="1787" spans="1:45" x14ac:dyDescent="0.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Q1787" s="7"/>
      <c r="R1787" s="7"/>
      <c r="S1787" s="7"/>
      <c r="T1787" s="7"/>
      <c r="U1787" s="7"/>
      <c r="V1787" s="7"/>
      <c r="AC1787" s="7"/>
      <c r="AD1787" s="7"/>
      <c r="AE1787" s="7"/>
      <c r="AF1787" s="7"/>
      <c r="AG1787" s="7"/>
      <c r="AO1787" s="7"/>
      <c r="AP1787" s="7"/>
      <c r="AQ1787" s="7"/>
      <c r="AR1787" s="7"/>
      <c r="AS1787" s="7"/>
    </row>
    <row r="1788" spans="1:45" x14ac:dyDescent="0.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Q1788" s="7"/>
      <c r="R1788" s="7"/>
      <c r="S1788" s="7"/>
      <c r="T1788" s="7"/>
      <c r="U1788" s="7"/>
      <c r="V1788" s="7"/>
      <c r="AC1788" s="7"/>
      <c r="AD1788" s="7"/>
      <c r="AE1788" s="7"/>
      <c r="AF1788" s="7"/>
      <c r="AG1788" s="7"/>
      <c r="AO1788" s="7"/>
      <c r="AP1788" s="7"/>
      <c r="AQ1788" s="7"/>
      <c r="AR1788" s="7"/>
      <c r="AS1788" s="7"/>
    </row>
    <row r="1789" spans="1:45" x14ac:dyDescent="0.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Q1789" s="7"/>
      <c r="R1789" s="7"/>
      <c r="S1789" s="7"/>
      <c r="T1789" s="7"/>
      <c r="U1789" s="7"/>
      <c r="V1789" s="7"/>
      <c r="AC1789" s="7"/>
      <c r="AD1789" s="7"/>
      <c r="AE1789" s="7"/>
      <c r="AF1789" s="7"/>
      <c r="AG1789" s="7"/>
      <c r="AO1789" s="7"/>
      <c r="AP1789" s="7"/>
      <c r="AQ1789" s="7"/>
      <c r="AR1789" s="7"/>
      <c r="AS1789" s="7"/>
    </row>
    <row r="1790" spans="1:45" x14ac:dyDescent="0.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Q1790" s="7"/>
      <c r="R1790" s="7"/>
      <c r="S1790" s="7"/>
      <c r="T1790" s="7"/>
      <c r="U1790" s="7"/>
      <c r="V1790" s="7"/>
      <c r="AC1790" s="7"/>
      <c r="AD1790" s="7"/>
      <c r="AE1790" s="7"/>
      <c r="AF1790" s="7"/>
      <c r="AG1790" s="7"/>
      <c r="AO1790" s="7"/>
      <c r="AP1790" s="7"/>
      <c r="AQ1790" s="7"/>
      <c r="AR1790" s="7"/>
      <c r="AS1790" s="7"/>
    </row>
    <row r="1791" spans="1:45" x14ac:dyDescent="0.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Q1791" s="7"/>
      <c r="R1791" s="7"/>
      <c r="S1791" s="7"/>
      <c r="T1791" s="7"/>
      <c r="U1791" s="7"/>
      <c r="V1791" s="7"/>
      <c r="AC1791" s="7"/>
      <c r="AD1791" s="7"/>
      <c r="AE1791" s="7"/>
      <c r="AF1791" s="7"/>
      <c r="AG1791" s="7"/>
      <c r="AO1791" s="7"/>
      <c r="AP1791" s="7"/>
      <c r="AQ1791" s="7"/>
      <c r="AR1791" s="7"/>
      <c r="AS1791" s="7"/>
    </row>
    <row r="1792" spans="1:45" x14ac:dyDescent="0.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Q1792" s="7"/>
      <c r="R1792" s="7"/>
      <c r="S1792" s="7"/>
      <c r="T1792" s="7"/>
      <c r="U1792" s="7"/>
      <c r="V1792" s="7"/>
      <c r="AC1792" s="7"/>
      <c r="AD1792" s="7"/>
      <c r="AE1792" s="7"/>
      <c r="AF1792" s="7"/>
      <c r="AG1792" s="7"/>
      <c r="AO1792" s="7"/>
      <c r="AP1792" s="7"/>
      <c r="AQ1792" s="7"/>
      <c r="AR1792" s="7"/>
      <c r="AS1792" s="7"/>
    </row>
    <row r="1793" spans="1:45" x14ac:dyDescent="0.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Q1793" s="7"/>
      <c r="R1793" s="7"/>
      <c r="S1793" s="7"/>
      <c r="T1793" s="7"/>
      <c r="U1793" s="7"/>
      <c r="V1793" s="7"/>
      <c r="AC1793" s="7"/>
      <c r="AD1793" s="7"/>
      <c r="AE1793" s="7"/>
      <c r="AF1793" s="7"/>
      <c r="AG1793" s="7"/>
      <c r="AO1793" s="7"/>
      <c r="AP1793" s="7"/>
      <c r="AQ1793" s="7"/>
      <c r="AR1793" s="7"/>
      <c r="AS1793" s="7"/>
    </row>
    <row r="1794" spans="1:45" x14ac:dyDescent="0.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Q1794" s="7"/>
      <c r="R1794" s="7"/>
      <c r="S1794" s="7"/>
      <c r="T1794" s="7"/>
      <c r="U1794" s="7"/>
      <c r="V1794" s="7"/>
      <c r="AC1794" s="7"/>
      <c r="AD1794" s="7"/>
      <c r="AE1794" s="7"/>
      <c r="AF1794" s="7"/>
      <c r="AG1794" s="7"/>
      <c r="AO1794" s="7"/>
      <c r="AP1794" s="7"/>
      <c r="AQ1794" s="7"/>
      <c r="AR1794" s="7"/>
      <c r="AS1794" s="7"/>
    </row>
    <row r="1795" spans="1:45" x14ac:dyDescent="0.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Q1795" s="7"/>
      <c r="R1795" s="7"/>
      <c r="S1795" s="7"/>
      <c r="T1795" s="7"/>
      <c r="U1795" s="7"/>
      <c r="V1795" s="7"/>
      <c r="AC1795" s="7"/>
      <c r="AD1795" s="7"/>
      <c r="AE1795" s="7"/>
      <c r="AF1795" s="7"/>
      <c r="AG1795" s="7"/>
      <c r="AO1795" s="7"/>
      <c r="AP1795" s="7"/>
      <c r="AQ1795" s="7"/>
      <c r="AR1795" s="7"/>
      <c r="AS1795" s="7"/>
    </row>
    <row r="1796" spans="1:45" x14ac:dyDescent="0.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Q1796" s="7"/>
      <c r="R1796" s="7"/>
      <c r="S1796" s="7"/>
      <c r="T1796" s="7"/>
      <c r="U1796" s="7"/>
      <c r="V1796" s="7"/>
      <c r="AC1796" s="7"/>
      <c r="AD1796" s="7"/>
      <c r="AE1796" s="7"/>
      <c r="AF1796" s="7"/>
      <c r="AG1796" s="7"/>
      <c r="AO1796" s="7"/>
      <c r="AP1796" s="7"/>
      <c r="AQ1796" s="7"/>
      <c r="AR1796" s="7"/>
      <c r="AS1796" s="7"/>
    </row>
    <row r="1797" spans="1:45" x14ac:dyDescent="0.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Q1797" s="7"/>
      <c r="R1797" s="7"/>
      <c r="S1797" s="7"/>
      <c r="T1797" s="7"/>
      <c r="U1797" s="7"/>
      <c r="V1797" s="7"/>
      <c r="AC1797" s="7"/>
      <c r="AD1797" s="7"/>
      <c r="AE1797" s="7"/>
      <c r="AF1797" s="7"/>
      <c r="AG1797" s="7"/>
      <c r="AO1797" s="7"/>
      <c r="AP1797" s="7"/>
      <c r="AQ1797" s="7"/>
      <c r="AR1797" s="7"/>
      <c r="AS1797" s="7"/>
    </row>
    <row r="1798" spans="1:45" x14ac:dyDescent="0.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Q1798" s="7"/>
      <c r="R1798" s="7"/>
      <c r="S1798" s="7"/>
      <c r="T1798" s="7"/>
      <c r="U1798" s="7"/>
      <c r="V1798" s="7"/>
      <c r="AC1798" s="7"/>
      <c r="AD1798" s="7"/>
      <c r="AE1798" s="7"/>
      <c r="AF1798" s="7"/>
      <c r="AG1798" s="7"/>
      <c r="AO1798" s="7"/>
      <c r="AP1798" s="7"/>
      <c r="AQ1798" s="7"/>
      <c r="AR1798" s="7"/>
      <c r="AS1798" s="7"/>
    </row>
    <row r="1799" spans="1:45" x14ac:dyDescent="0.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Q1799" s="7"/>
      <c r="R1799" s="7"/>
      <c r="S1799" s="7"/>
      <c r="T1799" s="7"/>
      <c r="U1799" s="7"/>
      <c r="V1799" s="7"/>
      <c r="AC1799" s="7"/>
      <c r="AD1799" s="7"/>
      <c r="AE1799" s="7"/>
      <c r="AF1799" s="7"/>
      <c r="AG1799" s="7"/>
      <c r="AO1799" s="7"/>
      <c r="AP1799" s="7"/>
      <c r="AQ1799" s="7"/>
      <c r="AR1799" s="7"/>
      <c r="AS1799" s="7"/>
    </row>
    <row r="1800" spans="1:45" x14ac:dyDescent="0.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Q1800" s="7"/>
      <c r="R1800" s="7"/>
      <c r="S1800" s="7"/>
      <c r="T1800" s="7"/>
      <c r="U1800" s="7"/>
      <c r="V1800" s="7"/>
      <c r="AC1800" s="7"/>
      <c r="AD1800" s="7"/>
      <c r="AE1800" s="7"/>
      <c r="AF1800" s="7"/>
      <c r="AG1800" s="7"/>
      <c r="AO1800" s="7"/>
      <c r="AP1800" s="7"/>
      <c r="AQ1800" s="7"/>
      <c r="AR1800" s="7"/>
      <c r="AS1800" s="7"/>
    </row>
    <row r="1801" spans="1:45" x14ac:dyDescent="0.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Q1801" s="7"/>
      <c r="R1801" s="7"/>
      <c r="S1801" s="7"/>
      <c r="T1801" s="7"/>
      <c r="U1801" s="7"/>
      <c r="V1801" s="7"/>
      <c r="AC1801" s="7"/>
      <c r="AD1801" s="7"/>
      <c r="AE1801" s="7"/>
      <c r="AF1801" s="7"/>
      <c r="AG1801" s="7"/>
      <c r="AO1801" s="7"/>
      <c r="AP1801" s="7"/>
      <c r="AQ1801" s="7"/>
      <c r="AR1801" s="7"/>
      <c r="AS1801" s="7"/>
    </row>
    <row r="1802" spans="1:45" x14ac:dyDescent="0.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Q1802" s="7"/>
      <c r="R1802" s="7"/>
      <c r="S1802" s="7"/>
      <c r="T1802" s="7"/>
      <c r="U1802" s="7"/>
      <c r="V1802" s="7"/>
      <c r="AC1802" s="7"/>
      <c r="AD1802" s="7"/>
      <c r="AE1802" s="7"/>
      <c r="AF1802" s="7"/>
      <c r="AG1802" s="7"/>
      <c r="AO1802" s="7"/>
      <c r="AP1802" s="7"/>
      <c r="AQ1802" s="7"/>
      <c r="AR1802" s="7"/>
      <c r="AS1802" s="7"/>
    </row>
    <row r="1803" spans="1:45" x14ac:dyDescent="0.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Q1803" s="7"/>
      <c r="R1803" s="7"/>
      <c r="S1803" s="7"/>
      <c r="T1803" s="7"/>
      <c r="U1803" s="7"/>
      <c r="V1803" s="7"/>
      <c r="AC1803" s="7"/>
      <c r="AD1803" s="7"/>
      <c r="AE1803" s="7"/>
      <c r="AF1803" s="7"/>
      <c r="AG1803" s="7"/>
      <c r="AO1803" s="7"/>
      <c r="AP1803" s="7"/>
      <c r="AQ1803" s="7"/>
      <c r="AR1803" s="7"/>
      <c r="AS1803" s="7"/>
    </row>
    <row r="1804" spans="1:45" x14ac:dyDescent="0.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Q1804" s="7"/>
      <c r="R1804" s="7"/>
      <c r="S1804" s="7"/>
      <c r="T1804" s="7"/>
      <c r="U1804" s="7"/>
      <c r="V1804" s="7"/>
      <c r="AC1804" s="7"/>
      <c r="AD1804" s="7"/>
      <c r="AE1804" s="7"/>
      <c r="AF1804" s="7"/>
      <c r="AG1804" s="7"/>
      <c r="AO1804" s="7"/>
      <c r="AP1804" s="7"/>
      <c r="AQ1804" s="7"/>
      <c r="AR1804" s="7"/>
      <c r="AS1804" s="7"/>
    </row>
    <row r="1805" spans="1:45" x14ac:dyDescent="0.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Q1805" s="7"/>
      <c r="R1805" s="7"/>
      <c r="S1805" s="7"/>
      <c r="T1805" s="7"/>
      <c r="U1805" s="7"/>
      <c r="V1805" s="7"/>
      <c r="AC1805" s="7"/>
      <c r="AD1805" s="7"/>
      <c r="AE1805" s="7"/>
      <c r="AF1805" s="7"/>
      <c r="AG1805" s="7"/>
      <c r="AO1805" s="7"/>
      <c r="AP1805" s="7"/>
      <c r="AQ1805" s="7"/>
      <c r="AR1805" s="7"/>
      <c r="AS1805" s="7"/>
    </row>
    <row r="1806" spans="1:45" x14ac:dyDescent="0.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Q1806" s="7"/>
      <c r="R1806" s="7"/>
      <c r="S1806" s="7"/>
      <c r="T1806" s="7"/>
      <c r="U1806" s="7"/>
      <c r="V1806" s="7"/>
      <c r="AC1806" s="7"/>
      <c r="AD1806" s="7"/>
      <c r="AE1806" s="7"/>
      <c r="AF1806" s="7"/>
      <c r="AG1806" s="7"/>
      <c r="AO1806" s="7"/>
      <c r="AP1806" s="7"/>
      <c r="AQ1806" s="7"/>
      <c r="AR1806" s="7"/>
      <c r="AS1806" s="7"/>
    </row>
    <row r="1807" spans="1:45" x14ac:dyDescent="0.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Q1807" s="7"/>
      <c r="R1807" s="7"/>
      <c r="S1807" s="7"/>
      <c r="T1807" s="7"/>
      <c r="U1807" s="7"/>
      <c r="V1807" s="7"/>
      <c r="AC1807" s="7"/>
      <c r="AD1807" s="7"/>
      <c r="AE1807" s="7"/>
      <c r="AF1807" s="7"/>
      <c r="AG1807" s="7"/>
      <c r="AO1807" s="7"/>
      <c r="AP1807" s="7"/>
      <c r="AQ1807" s="7"/>
      <c r="AR1807" s="7"/>
      <c r="AS1807" s="7"/>
    </row>
    <row r="1808" spans="1:45" x14ac:dyDescent="0.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Q1808" s="7"/>
      <c r="R1808" s="7"/>
      <c r="S1808" s="7"/>
      <c r="T1808" s="7"/>
      <c r="U1808" s="7"/>
      <c r="V1808" s="7"/>
      <c r="AC1808" s="7"/>
      <c r="AD1808" s="7"/>
      <c r="AE1808" s="7"/>
      <c r="AF1808" s="7"/>
      <c r="AG1808" s="7"/>
      <c r="AO1808" s="7"/>
      <c r="AP1808" s="7"/>
      <c r="AQ1808" s="7"/>
      <c r="AR1808" s="7"/>
      <c r="AS1808" s="7"/>
    </row>
    <row r="1809" spans="1:45" x14ac:dyDescent="0.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Q1809" s="7"/>
      <c r="R1809" s="7"/>
      <c r="S1809" s="7"/>
      <c r="T1809" s="7"/>
      <c r="U1809" s="7"/>
      <c r="V1809" s="7"/>
      <c r="AC1809" s="7"/>
      <c r="AD1809" s="7"/>
      <c r="AE1809" s="7"/>
      <c r="AF1809" s="7"/>
      <c r="AG1809" s="7"/>
      <c r="AO1809" s="7"/>
      <c r="AP1809" s="7"/>
      <c r="AQ1809" s="7"/>
      <c r="AR1809" s="7"/>
      <c r="AS1809" s="7"/>
    </row>
    <row r="1810" spans="1:45" x14ac:dyDescent="0.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Q1810" s="7"/>
      <c r="R1810" s="7"/>
      <c r="S1810" s="7"/>
      <c r="T1810" s="7"/>
      <c r="U1810" s="7"/>
      <c r="V1810" s="7"/>
      <c r="AC1810" s="7"/>
      <c r="AD1810" s="7"/>
      <c r="AE1810" s="7"/>
      <c r="AF1810" s="7"/>
      <c r="AG1810" s="7"/>
      <c r="AO1810" s="7"/>
      <c r="AP1810" s="7"/>
      <c r="AQ1810" s="7"/>
      <c r="AR1810" s="7"/>
      <c r="AS1810" s="7"/>
    </row>
    <row r="1811" spans="1:45" x14ac:dyDescent="0.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Q1811" s="7"/>
      <c r="R1811" s="7"/>
      <c r="S1811" s="7"/>
      <c r="T1811" s="7"/>
      <c r="U1811" s="7"/>
      <c r="V1811" s="7"/>
      <c r="AC1811" s="7"/>
      <c r="AD1811" s="7"/>
      <c r="AE1811" s="7"/>
      <c r="AF1811" s="7"/>
      <c r="AG1811" s="7"/>
      <c r="AO1811" s="7"/>
      <c r="AP1811" s="7"/>
      <c r="AQ1811" s="7"/>
      <c r="AR1811" s="7"/>
      <c r="AS1811" s="7"/>
    </row>
    <row r="1812" spans="1:45" x14ac:dyDescent="0.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Q1812" s="7"/>
      <c r="R1812" s="7"/>
      <c r="S1812" s="7"/>
      <c r="T1812" s="7"/>
      <c r="U1812" s="7"/>
      <c r="V1812" s="7"/>
      <c r="AC1812" s="7"/>
      <c r="AD1812" s="7"/>
      <c r="AE1812" s="7"/>
      <c r="AF1812" s="7"/>
      <c r="AG1812" s="7"/>
      <c r="AO1812" s="7"/>
      <c r="AP1812" s="7"/>
      <c r="AQ1812" s="7"/>
      <c r="AR1812" s="7"/>
      <c r="AS1812" s="7"/>
    </row>
    <row r="1813" spans="1:45" x14ac:dyDescent="0.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Q1813" s="7"/>
      <c r="R1813" s="7"/>
      <c r="S1813" s="7"/>
      <c r="T1813" s="7"/>
      <c r="U1813" s="7"/>
      <c r="V1813" s="7"/>
      <c r="AC1813" s="7"/>
      <c r="AD1813" s="7"/>
      <c r="AE1813" s="7"/>
      <c r="AF1813" s="7"/>
      <c r="AG1813" s="7"/>
      <c r="AO1813" s="7"/>
      <c r="AP1813" s="7"/>
      <c r="AQ1813" s="7"/>
      <c r="AR1813" s="7"/>
      <c r="AS1813" s="7"/>
    </row>
    <row r="1814" spans="1:45" x14ac:dyDescent="0.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Q1814" s="7"/>
      <c r="R1814" s="7"/>
      <c r="S1814" s="7"/>
      <c r="T1814" s="7"/>
      <c r="U1814" s="7"/>
      <c r="V1814" s="7"/>
      <c r="AC1814" s="7"/>
      <c r="AD1814" s="7"/>
      <c r="AE1814" s="7"/>
      <c r="AF1814" s="7"/>
      <c r="AG1814" s="7"/>
      <c r="AO1814" s="7"/>
      <c r="AP1814" s="7"/>
      <c r="AQ1814" s="7"/>
      <c r="AR1814" s="7"/>
      <c r="AS1814" s="7"/>
    </row>
    <row r="1815" spans="1:45" x14ac:dyDescent="0.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Q1815" s="7"/>
      <c r="R1815" s="7"/>
      <c r="S1815" s="7"/>
      <c r="T1815" s="7"/>
      <c r="U1815" s="7"/>
      <c r="V1815" s="7"/>
      <c r="AC1815" s="7"/>
      <c r="AD1815" s="7"/>
      <c r="AE1815" s="7"/>
      <c r="AF1815" s="7"/>
      <c r="AG1815" s="7"/>
      <c r="AO1815" s="7"/>
      <c r="AP1815" s="7"/>
      <c r="AQ1815" s="7"/>
      <c r="AR1815" s="7"/>
      <c r="AS1815" s="7"/>
    </row>
    <row r="1816" spans="1:45" x14ac:dyDescent="0.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Q1816" s="7"/>
      <c r="R1816" s="7"/>
      <c r="S1816" s="7"/>
      <c r="T1816" s="7"/>
      <c r="U1816" s="7"/>
      <c r="V1816" s="7"/>
      <c r="AC1816" s="7"/>
      <c r="AD1816" s="7"/>
      <c r="AE1816" s="7"/>
      <c r="AF1816" s="7"/>
      <c r="AG1816" s="7"/>
      <c r="AO1816" s="7"/>
      <c r="AP1816" s="7"/>
      <c r="AQ1816" s="7"/>
      <c r="AR1816" s="7"/>
      <c r="AS1816" s="7"/>
    </row>
    <row r="1817" spans="1:45" x14ac:dyDescent="0.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Q1817" s="7"/>
      <c r="R1817" s="7"/>
      <c r="S1817" s="7"/>
      <c r="T1817" s="7"/>
      <c r="U1817" s="7"/>
      <c r="V1817" s="7"/>
      <c r="AC1817" s="7"/>
      <c r="AD1817" s="7"/>
      <c r="AE1817" s="7"/>
      <c r="AF1817" s="7"/>
      <c r="AG1817" s="7"/>
      <c r="AO1817" s="7"/>
      <c r="AP1817" s="7"/>
      <c r="AQ1817" s="7"/>
      <c r="AR1817" s="7"/>
      <c r="AS1817" s="7"/>
    </row>
    <row r="1818" spans="1:45" x14ac:dyDescent="0.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Q1818" s="7"/>
      <c r="R1818" s="7"/>
      <c r="S1818" s="7"/>
      <c r="T1818" s="7"/>
      <c r="U1818" s="7"/>
      <c r="V1818" s="7"/>
      <c r="AC1818" s="7"/>
      <c r="AD1818" s="7"/>
      <c r="AE1818" s="7"/>
      <c r="AF1818" s="7"/>
      <c r="AG1818" s="7"/>
      <c r="AO1818" s="7"/>
      <c r="AP1818" s="7"/>
      <c r="AQ1818" s="7"/>
      <c r="AR1818" s="7"/>
      <c r="AS1818" s="7"/>
    </row>
    <row r="1819" spans="1:45" x14ac:dyDescent="0.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Q1819" s="7"/>
      <c r="R1819" s="7"/>
      <c r="S1819" s="7"/>
      <c r="T1819" s="7"/>
      <c r="U1819" s="7"/>
      <c r="V1819" s="7"/>
      <c r="AC1819" s="7"/>
      <c r="AD1819" s="7"/>
      <c r="AE1819" s="7"/>
      <c r="AF1819" s="7"/>
      <c r="AG1819" s="7"/>
      <c r="AO1819" s="7"/>
      <c r="AP1819" s="7"/>
      <c r="AQ1819" s="7"/>
      <c r="AR1819" s="7"/>
      <c r="AS1819" s="7"/>
    </row>
    <row r="1820" spans="1:45" x14ac:dyDescent="0.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Q1820" s="7"/>
      <c r="R1820" s="7"/>
      <c r="S1820" s="7"/>
      <c r="T1820" s="7"/>
      <c r="U1820" s="7"/>
      <c r="V1820" s="7"/>
      <c r="AC1820" s="7"/>
      <c r="AD1820" s="7"/>
      <c r="AE1820" s="7"/>
      <c r="AF1820" s="7"/>
      <c r="AG1820" s="7"/>
      <c r="AO1820" s="7"/>
      <c r="AP1820" s="7"/>
      <c r="AQ1820" s="7"/>
      <c r="AR1820" s="7"/>
      <c r="AS1820" s="7"/>
    </row>
    <row r="1821" spans="1:45" x14ac:dyDescent="0.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Q1821" s="7"/>
      <c r="R1821" s="7"/>
      <c r="S1821" s="7"/>
      <c r="T1821" s="7"/>
      <c r="U1821" s="7"/>
      <c r="V1821" s="7"/>
      <c r="AC1821" s="7"/>
      <c r="AD1821" s="7"/>
      <c r="AE1821" s="7"/>
      <c r="AF1821" s="7"/>
      <c r="AG1821" s="7"/>
      <c r="AO1821" s="7"/>
      <c r="AP1821" s="7"/>
      <c r="AQ1821" s="7"/>
      <c r="AR1821" s="7"/>
      <c r="AS1821" s="7"/>
    </row>
    <row r="1822" spans="1:45" x14ac:dyDescent="0.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Q1822" s="7"/>
      <c r="R1822" s="7"/>
      <c r="S1822" s="7"/>
      <c r="T1822" s="7"/>
      <c r="U1822" s="7"/>
      <c r="V1822" s="7"/>
      <c r="AC1822" s="7"/>
      <c r="AD1822" s="7"/>
      <c r="AE1822" s="7"/>
      <c r="AF1822" s="7"/>
      <c r="AG1822" s="7"/>
      <c r="AO1822" s="7"/>
      <c r="AP1822" s="7"/>
      <c r="AQ1822" s="7"/>
      <c r="AR1822" s="7"/>
      <c r="AS1822" s="7"/>
    </row>
    <row r="1823" spans="1:45" x14ac:dyDescent="0.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Q1823" s="7"/>
      <c r="R1823" s="7"/>
      <c r="S1823" s="7"/>
      <c r="T1823" s="7"/>
      <c r="U1823" s="7"/>
      <c r="V1823" s="7"/>
      <c r="AC1823" s="7"/>
      <c r="AD1823" s="7"/>
      <c r="AE1823" s="7"/>
      <c r="AF1823" s="7"/>
      <c r="AG1823" s="7"/>
      <c r="AO1823" s="7"/>
      <c r="AP1823" s="7"/>
      <c r="AQ1823" s="7"/>
      <c r="AR1823" s="7"/>
      <c r="AS1823" s="7"/>
    </row>
    <row r="1824" spans="1:45" x14ac:dyDescent="0.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Q1824" s="7"/>
      <c r="R1824" s="7"/>
      <c r="S1824" s="7"/>
      <c r="T1824" s="7"/>
      <c r="U1824" s="7"/>
      <c r="V1824" s="7"/>
      <c r="AC1824" s="7"/>
      <c r="AD1824" s="7"/>
      <c r="AE1824" s="7"/>
      <c r="AF1824" s="7"/>
      <c r="AG1824" s="7"/>
      <c r="AO1824" s="7"/>
      <c r="AP1824" s="7"/>
      <c r="AQ1824" s="7"/>
      <c r="AR1824" s="7"/>
      <c r="AS1824" s="7"/>
    </row>
    <row r="1825" spans="1:45" x14ac:dyDescent="0.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Q1825" s="7"/>
      <c r="R1825" s="7"/>
      <c r="S1825" s="7"/>
      <c r="T1825" s="7"/>
      <c r="U1825" s="7"/>
      <c r="V1825" s="7"/>
      <c r="AC1825" s="7"/>
      <c r="AD1825" s="7"/>
      <c r="AE1825" s="7"/>
      <c r="AF1825" s="7"/>
      <c r="AG1825" s="7"/>
      <c r="AO1825" s="7"/>
      <c r="AP1825" s="7"/>
      <c r="AQ1825" s="7"/>
      <c r="AR1825" s="7"/>
      <c r="AS1825" s="7"/>
    </row>
    <row r="1826" spans="1:45" x14ac:dyDescent="0.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Q1826" s="7"/>
      <c r="R1826" s="7"/>
      <c r="S1826" s="7"/>
      <c r="T1826" s="7"/>
      <c r="U1826" s="7"/>
      <c r="V1826" s="7"/>
      <c r="AC1826" s="7"/>
      <c r="AD1826" s="7"/>
      <c r="AE1826" s="7"/>
      <c r="AF1826" s="7"/>
      <c r="AG1826" s="7"/>
      <c r="AO1826" s="7"/>
      <c r="AP1826" s="7"/>
      <c r="AQ1826" s="7"/>
      <c r="AR1826" s="7"/>
      <c r="AS1826" s="7"/>
    </row>
    <row r="1827" spans="1:45" x14ac:dyDescent="0.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Q1827" s="7"/>
      <c r="R1827" s="7"/>
      <c r="S1827" s="7"/>
      <c r="T1827" s="7"/>
      <c r="U1827" s="7"/>
      <c r="V1827" s="7"/>
      <c r="AC1827" s="7"/>
      <c r="AD1827" s="7"/>
      <c r="AE1827" s="7"/>
      <c r="AF1827" s="7"/>
      <c r="AG1827" s="7"/>
      <c r="AO1827" s="7"/>
      <c r="AP1827" s="7"/>
      <c r="AQ1827" s="7"/>
      <c r="AR1827" s="7"/>
      <c r="AS1827" s="7"/>
    </row>
    <row r="1828" spans="1:45" x14ac:dyDescent="0.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Q1828" s="7"/>
      <c r="R1828" s="7"/>
      <c r="S1828" s="7"/>
      <c r="T1828" s="7"/>
      <c r="U1828" s="7"/>
      <c r="V1828" s="7"/>
      <c r="AC1828" s="7"/>
      <c r="AD1828" s="7"/>
      <c r="AE1828" s="7"/>
      <c r="AF1828" s="7"/>
      <c r="AG1828" s="7"/>
      <c r="AO1828" s="7"/>
      <c r="AP1828" s="7"/>
      <c r="AQ1828" s="7"/>
      <c r="AR1828" s="7"/>
      <c r="AS1828" s="7"/>
    </row>
    <row r="1829" spans="1:45" x14ac:dyDescent="0.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Q1829" s="7"/>
      <c r="R1829" s="7"/>
      <c r="S1829" s="7"/>
      <c r="T1829" s="7"/>
      <c r="U1829" s="7"/>
      <c r="V1829" s="7"/>
      <c r="AC1829" s="7"/>
      <c r="AD1829" s="7"/>
      <c r="AE1829" s="7"/>
      <c r="AF1829" s="7"/>
      <c r="AG1829" s="7"/>
      <c r="AO1829" s="7"/>
      <c r="AP1829" s="7"/>
      <c r="AQ1829" s="7"/>
      <c r="AR1829" s="7"/>
      <c r="AS1829" s="7"/>
    </row>
    <row r="1830" spans="1:45" x14ac:dyDescent="0.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Q1830" s="7"/>
      <c r="R1830" s="7"/>
      <c r="S1830" s="7"/>
      <c r="T1830" s="7"/>
      <c r="U1830" s="7"/>
      <c r="V1830" s="7"/>
      <c r="AC1830" s="7"/>
      <c r="AD1830" s="7"/>
      <c r="AE1830" s="7"/>
      <c r="AF1830" s="7"/>
      <c r="AG1830" s="7"/>
      <c r="AO1830" s="7"/>
      <c r="AP1830" s="7"/>
      <c r="AQ1830" s="7"/>
      <c r="AR1830" s="7"/>
      <c r="AS1830" s="7"/>
    </row>
    <row r="1831" spans="1:45" x14ac:dyDescent="0.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Q1831" s="7"/>
      <c r="R1831" s="7"/>
      <c r="S1831" s="7"/>
      <c r="T1831" s="7"/>
      <c r="U1831" s="7"/>
      <c r="V1831" s="7"/>
      <c r="AC1831" s="7"/>
      <c r="AD1831" s="7"/>
      <c r="AE1831" s="7"/>
      <c r="AF1831" s="7"/>
      <c r="AG1831" s="7"/>
      <c r="AO1831" s="7"/>
      <c r="AP1831" s="7"/>
      <c r="AQ1831" s="7"/>
      <c r="AR1831" s="7"/>
      <c r="AS1831" s="7"/>
    </row>
    <row r="1832" spans="1:45" x14ac:dyDescent="0.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Q1832" s="7"/>
      <c r="R1832" s="7"/>
      <c r="S1832" s="7"/>
      <c r="T1832" s="7"/>
      <c r="U1832" s="7"/>
      <c r="V1832" s="7"/>
      <c r="AC1832" s="7"/>
      <c r="AD1832" s="7"/>
      <c r="AE1832" s="7"/>
      <c r="AF1832" s="7"/>
      <c r="AG1832" s="7"/>
      <c r="AO1832" s="7"/>
      <c r="AP1832" s="7"/>
      <c r="AQ1832" s="7"/>
      <c r="AR1832" s="7"/>
      <c r="AS1832" s="7"/>
    </row>
    <row r="1833" spans="1:45" x14ac:dyDescent="0.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Q1833" s="7"/>
      <c r="R1833" s="7"/>
      <c r="S1833" s="7"/>
      <c r="T1833" s="7"/>
      <c r="U1833" s="7"/>
      <c r="V1833" s="7"/>
      <c r="AC1833" s="7"/>
      <c r="AD1833" s="7"/>
      <c r="AE1833" s="7"/>
      <c r="AF1833" s="7"/>
      <c r="AG1833" s="7"/>
      <c r="AO1833" s="7"/>
      <c r="AP1833" s="7"/>
      <c r="AQ1833" s="7"/>
      <c r="AR1833" s="7"/>
      <c r="AS1833" s="7"/>
    </row>
    <row r="1834" spans="1:45" x14ac:dyDescent="0.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Q1834" s="7"/>
      <c r="R1834" s="7"/>
      <c r="S1834" s="7"/>
      <c r="T1834" s="7"/>
      <c r="U1834" s="7"/>
      <c r="V1834" s="7"/>
      <c r="AC1834" s="7"/>
      <c r="AD1834" s="7"/>
      <c r="AE1834" s="7"/>
      <c r="AF1834" s="7"/>
      <c r="AG1834" s="7"/>
      <c r="AO1834" s="7"/>
      <c r="AP1834" s="7"/>
      <c r="AQ1834" s="7"/>
      <c r="AR1834" s="7"/>
      <c r="AS1834" s="7"/>
    </row>
    <row r="1835" spans="1:45" x14ac:dyDescent="0.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Q1835" s="7"/>
      <c r="R1835" s="7"/>
      <c r="S1835" s="7"/>
      <c r="T1835" s="7"/>
      <c r="U1835" s="7"/>
      <c r="V1835" s="7"/>
      <c r="AC1835" s="7"/>
      <c r="AD1835" s="7"/>
      <c r="AE1835" s="7"/>
      <c r="AF1835" s="7"/>
      <c r="AG1835" s="7"/>
      <c r="AO1835" s="7"/>
      <c r="AP1835" s="7"/>
      <c r="AQ1835" s="7"/>
      <c r="AR1835" s="7"/>
      <c r="AS1835" s="7"/>
    </row>
    <row r="1836" spans="1:45" x14ac:dyDescent="0.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Q1836" s="7"/>
      <c r="R1836" s="7"/>
      <c r="S1836" s="7"/>
      <c r="T1836" s="7"/>
      <c r="U1836" s="7"/>
      <c r="V1836" s="7"/>
      <c r="AC1836" s="7"/>
      <c r="AD1836" s="7"/>
      <c r="AE1836" s="7"/>
      <c r="AF1836" s="7"/>
      <c r="AG1836" s="7"/>
      <c r="AO1836" s="7"/>
      <c r="AP1836" s="7"/>
      <c r="AQ1836" s="7"/>
      <c r="AR1836" s="7"/>
      <c r="AS1836" s="7"/>
    </row>
    <row r="1837" spans="1:45" x14ac:dyDescent="0.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Q1837" s="7"/>
      <c r="R1837" s="7"/>
      <c r="S1837" s="7"/>
      <c r="T1837" s="7"/>
      <c r="U1837" s="7"/>
      <c r="V1837" s="7"/>
      <c r="AC1837" s="7"/>
      <c r="AD1837" s="7"/>
      <c r="AE1837" s="7"/>
      <c r="AF1837" s="7"/>
      <c r="AG1837" s="7"/>
      <c r="AO1837" s="7"/>
      <c r="AP1837" s="7"/>
      <c r="AQ1837" s="7"/>
      <c r="AR1837" s="7"/>
      <c r="AS1837" s="7"/>
    </row>
    <row r="1838" spans="1:45" x14ac:dyDescent="0.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Q1838" s="7"/>
      <c r="R1838" s="7"/>
      <c r="S1838" s="7"/>
      <c r="T1838" s="7"/>
      <c r="U1838" s="7"/>
      <c r="V1838" s="7"/>
      <c r="AC1838" s="7"/>
      <c r="AD1838" s="7"/>
      <c r="AE1838" s="7"/>
      <c r="AF1838" s="7"/>
      <c r="AG1838" s="7"/>
      <c r="AO1838" s="7"/>
      <c r="AP1838" s="7"/>
      <c r="AQ1838" s="7"/>
      <c r="AR1838" s="7"/>
      <c r="AS1838" s="7"/>
    </row>
    <row r="1839" spans="1:45" x14ac:dyDescent="0.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Q1839" s="7"/>
      <c r="R1839" s="7"/>
      <c r="S1839" s="7"/>
      <c r="T1839" s="7"/>
      <c r="U1839" s="7"/>
      <c r="V1839" s="7"/>
      <c r="AC1839" s="7"/>
      <c r="AD1839" s="7"/>
      <c r="AE1839" s="7"/>
      <c r="AF1839" s="7"/>
      <c r="AG1839" s="7"/>
      <c r="AO1839" s="7"/>
      <c r="AP1839" s="7"/>
      <c r="AQ1839" s="7"/>
      <c r="AR1839" s="7"/>
      <c r="AS1839" s="7"/>
    </row>
    <row r="1840" spans="1:45" x14ac:dyDescent="0.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Q1840" s="7"/>
      <c r="R1840" s="7"/>
      <c r="S1840" s="7"/>
      <c r="T1840" s="7"/>
      <c r="U1840" s="7"/>
      <c r="V1840" s="7"/>
      <c r="AC1840" s="7"/>
      <c r="AD1840" s="7"/>
      <c r="AE1840" s="7"/>
      <c r="AF1840" s="7"/>
      <c r="AG1840" s="7"/>
      <c r="AO1840" s="7"/>
      <c r="AP1840" s="7"/>
      <c r="AQ1840" s="7"/>
      <c r="AR1840" s="7"/>
      <c r="AS1840" s="7"/>
    </row>
    <row r="1841" spans="1:45" x14ac:dyDescent="0.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Q1841" s="7"/>
      <c r="R1841" s="7"/>
      <c r="S1841" s="7"/>
      <c r="T1841" s="7"/>
      <c r="U1841" s="7"/>
      <c r="V1841" s="7"/>
      <c r="AC1841" s="7"/>
      <c r="AD1841" s="7"/>
      <c r="AE1841" s="7"/>
      <c r="AF1841" s="7"/>
      <c r="AG1841" s="7"/>
      <c r="AO1841" s="7"/>
      <c r="AP1841" s="7"/>
      <c r="AQ1841" s="7"/>
      <c r="AR1841" s="7"/>
      <c r="AS1841" s="7"/>
    </row>
    <row r="1842" spans="1:45" x14ac:dyDescent="0.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Q1842" s="7"/>
      <c r="R1842" s="7"/>
      <c r="S1842" s="7"/>
      <c r="T1842" s="7"/>
      <c r="U1842" s="7"/>
      <c r="V1842" s="7"/>
      <c r="AC1842" s="7"/>
      <c r="AD1842" s="7"/>
      <c r="AE1842" s="7"/>
      <c r="AF1842" s="7"/>
      <c r="AG1842" s="7"/>
      <c r="AO1842" s="7"/>
      <c r="AP1842" s="7"/>
      <c r="AQ1842" s="7"/>
      <c r="AR1842" s="7"/>
      <c r="AS1842" s="7"/>
    </row>
    <row r="1843" spans="1:45" x14ac:dyDescent="0.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Q1843" s="7"/>
      <c r="R1843" s="7"/>
      <c r="S1843" s="7"/>
      <c r="T1843" s="7"/>
      <c r="U1843" s="7"/>
      <c r="V1843" s="7"/>
      <c r="AC1843" s="7"/>
      <c r="AD1843" s="7"/>
      <c r="AE1843" s="7"/>
      <c r="AF1843" s="7"/>
      <c r="AG1843" s="7"/>
      <c r="AO1843" s="7"/>
      <c r="AP1843" s="7"/>
      <c r="AQ1843" s="7"/>
      <c r="AR1843" s="7"/>
      <c r="AS1843" s="7"/>
    </row>
    <row r="1844" spans="1:45" x14ac:dyDescent="0.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Q1844" s="7"/>
      <c r="R1844" s="7"/>
      <c r="S1844" s="7"/>
      <c r="T1844" s="7"/>
      <c r="U1844" s="7"/>
      <c r="V1844" s="7"/>
      <c r="AC1844" s="7"/>
      <c r="AD1844" s="7"/>
      <c r="AE1844" s="7"/>
      <c r="AF1844" s="7"/>
      <c r="AG1844" s="7"/>
      <c r="AO1844" s="7"/>
      <c r="AP1844" s="7"/>
      <c r="AQ1844" s="7"/>
      <c r="AR1844" s="7"/>
      <c r="AS1844" s="7"/>
    </row>
    <row r="1845" spans="1:45" x14ac:dyDescent="0.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Q1845" s="7"/>
      <c r="R1845" s="7"/>
      <c r="S1845" s="7"/>
      <c r="T1845" s="7"/>
      <c r="U1845" s="7"/>
      <c r="V1845" s="7"/>
      <c r="AC1845" s="7"/>
      <c r="AD1845" s="7"/>
      <c r="AE1845" s="7"/>
      <c r="AF1845" s="7"/>
      <c r="AG1845" s="7"/>
      <c r="AO1845" s="7"/>
      <c r="AP1845" s="7"/>
      <c r="AQ1845" s="7"/>
      <c r="AR1845" s="7"/>
      <c r="AS1845" s="7"/>
    </row>
    <row r="1846" spans="1:45" x14ac:dyDescent="0.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Q1846" s="7"/>
      <c r="R1846" s="7"/>
      <c r="S1846" s="7"/>
      <c r="T1846" s="7"/>
      <c r="U1846" s="7"/>
      <c r="V1846" s="7"/>
      <c r="AC1846" s="7"/>
      <c r="AD1846" s="7"/>
      <c r="AE1846" s="7"/>
      <c r="AF1846" s="7"/>
      <c r="AG1846" s="7"/>
      <c r="AO1846" s="7"/>
      <c r="AP1846" s="7"/>
      <c r="AQ1846" s="7"/>
      <c r="AR1846" s="7"/>
      <c r="AS1846" s="7"/>
    </row>
    <row r="1847" spans="1:45" x14ac:dyDescent="0.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Q1847" s="7"/>
      <c r="R1847" s="7"/>
      <c r="S1847" s="7"/>
      <c r="T1847" s="7"/>
      <c r="U1847" s="7"/>
      <c r="V1847" s="7"/>
      <c r="AC1847" s="7"/>
      <c r="AD1847" s="7"/>
      <c r="AE1847" s="7"/>
      <c r="AF1847" s="7"/>
      <c r="AG1847" s="7"/>
      <c r="AO1847" s="7"/>
      <c r="AP1847" s="7"/>
      <c r="AQ1847" s="7"/>
      <c r="AR1847" s="7"/>
      <c r="AS1847" s="7"/>
    </row>
    <row r="1848" spans="1:45" x14ac:dyDescent="0.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Q1848" s="7"/>
      <c r="R1848" s="7"/>
      <c r="S1848" s="7"/>
      <c r="T1848" s="7"/>
      <c r="U1848" s="7"/>
      <c r="V1848" s="7"/>
      <c r="AC1848" s="7"/>
      <c r="AD1848" s="7"/>
      <c r="AE1848" s="7"/>
      <c r="AF1848" s="7"/>
      <c r="AG1848" s="7"/>
      <c r="AO1848" s="7"/>
      <c r="AP1848" s="7"/>
      <c r="AQ1848" s="7"/>
      <c r="AR1848" s="7"/>
      <c r="AS1848" s="7"/>
    </row>
    <row r="1849" spans="1:45" x14ac:dyDescent="0.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Q1849" s="7"/>
      <c r="R1849" s="7"/>
      <c r="S1849" s="7"/>
      <c r="T1849" s="7"/>
      <c r="U1849" s="7"/>
      <c r="V1849" s="7"/>
      <c r="AC1849" s="7"/>
      <c r="AD1849" s="7"/>
      <c r="AE1849" s="7"/>
      <c r="AF1849" s="7"/>
      <c r="AG1849" s="7"/>
      <c r="AO1849" s="7"/>
      <c r="AP1849" s="7"/>
      <c r="AQ1849" s="7"/>
      <c r="AR1849" s="7"/>
      <c r="AS1849" s="7"/>
    </row>
    <row r="1850" spans="1:45" x14ac:dyDescent="0.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Q1850" s="7"/>
      <c r="R1850" s="7"/>
      <c r="S1850" s="7"/>
      <c r="T1850" s="7"/>
      <c r="U1850" s="7"/>
      <c r="V1850" s="7"/>
      <c r="AC1850" s="7"/>
      <c r="AD1850" s="7"/>
      <c r="AE1850" s="7"/>
      <c r="AF1850" s="7"/>
      <c r="AG1850" s="7"/>
      <c r="AO1850" s="7"/>
      <c r="AP1850" s="7"/>
      <c r="AQ1850" s="7"/>
      <c r="AR1850" s="7"/>
      <c r="AS1850" s="7"/>
    </row>
    <row r="1851" spans="1:45" x14ac:dyDescent="0.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Q1851" s="7"/>
      <c r="R1851" s="7"/>
      <c r="S1851" s="7"/>
      <c r="T1851" s="7"/>
      <c r="U1851" s="7"/>
      <c r="V1851" s="7"/>
      <c r="AC1851" s="7"/>
      <c r="AD1851" s="7"/>
      <c r="AE1851" s="7"/>
      <c r="AF1851" s="7"/>
      <c r="AG1851" s="7"/>
      <c r="AO1851" s="7"/>
      <c r="AP1851" s="7"/>
      <c r="AQ1851" s="7"/>
      <c r="AR1851" s="7"/>
      <c r="AS1851" s="7"/>
    </row>
    <row r="1852" spans="1:45" x14ac:dyDescent="0.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Q1852" s="7"/>
      <c r="R1852" s="7"/>
      <c r="S1852" s="7"/>
      <c r="T1852" s="7"/>
      <c r="U1852" s="7"/>
      <c r="V1852" s="7"/>
      <c r="AC1852" s="7"/>
      <c r="AD1852" s="7"/>
      <c r="AE1852" s="7"/>
      <c r="AF1852" s="7"/>
      <c r="AG1852" s="7"/>
      <c r="AO1852" s="7"/>
      <c r="AP1852" s="7"/>
      <c r="AQ1852" s="7"/>
      <c r="AR1852" s="7"/>
      <c r="AS1852" s="7"/>
    </row>
    <row r="1853" spans="1:45" x14ac:dyDescent="0.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Q1853" s="7"/>
      <c r="R1853" s="7"/>
      <c r="S1853" s="7"/>
      <c r="T1853" s="7"/>
      <c r="U1853" s="7"/>
      <c r="V1853" s="7"/>
      <c r="AC1853" s="7"/>
      <c r="AD1853" s="7"/>
      <c r="AE1853" s="7"/>
      <c r="AF1853" s="7"/>
      <c r="AG1853" s="7"/>
      <c r="AO1853" s="7"/>
      <c r="AP1853" s="7"/>
      <c r="AQ1853" s="7"/>
      <c r="AR1853" s="7"/>
      <c r="AS1853" s="7"/>
    </row>
    <row r="1854" spans="1:45" x14ac:dyDescent="0.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Q1854" s="7"/>
      <c r="R1854" s="7"/>
      <c r="S1854" s="7"/>
      <c r="T1854" s="7"/>
      <c r="U1854" s="7"/>
      <c r="V1854" s="7"/>
      <c r="AC1854" s="7"/>
      <c r="AD1854" s="7"/>
      <c r="AE1854" s="7"/>
      <c r="AF1854" s="7"/>
      <c r="AG1854" s="7"/>
      <c r="AO1854" s="7"/>
      <c r="AP1854" s="7"/>
      <c r="AQ1854" s="7"/>
      <c r="AR1854" s="7"/>
      <c r="AS1854" s="7"/>
    </row>
    <row r="1855" spans="1:45" x14ac:dyDescent="0.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Q1855" s="7"/>
      <c r="R1855" s="7"/>
      <c r="S1855" s="7"/>
      <c r="T1855" s="7"/>
      <c r="U1855" s="7"/>
      <c r="V1855" s="7"/>
      <c r="AC1855" s="7"/>
      <c r="AD1855" s="7"/>
      <c r="AE1855" s="7"/>
      <c r="AF1855" s="7"/>
      <c r="AG1855" s="7"/>
      <c r="AO1855" s="7"/>
      <c r="AP1855" s="7"/>
      <c r="AQ1855" s="7"/>
      <c r="AR1855" s="7"/>
      <c r="AS1855" s="7"/>
    </row>
    <row r="1856" spans="1:45" x14ac:dyDescent="0.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Q1856" s="7"/>
      <c r="R1856" s="7"/>
      <c r="S1856" s="7"/>
      <c r="T1856" s="7"/>
      <c r="U1856" s="7"/>
      <c r="V1856" s="7"/>
      <c r="AC1856" s="7"/>
      <c r="AD1856" s="7"/>
      <c r="AE1856" s="7"/>
      <c r="AF1856" s="7"/>
      <c r="AG1856" s="7"/>
      <c r="AO1856" s="7"/>
      <c r="AP1856" s="7"/>
      <c r="AQ1856" s="7"/>
      <c r="AR1856" s="7"/>
      <c r="AS1856" s="7"/>
    </row>
    <row r="1857" spans="1:45" x14ac:dyDescent="0.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Q1857" s="7"/>
      <c r="R1857" s="7"/>
      <c r="S1857" s="7"/>
      <c r="T1857" s="7"/>
      <c r="U1857" s="7"/>
      <c r="V1857" s="7"/>
      <c r="AC1857" s="7"/>
      <c r="AD1857" s="7"/>
      <c r="AE1857" s="7"/>
      <c r="AF1857" s="7"/>
      <c r="AG1857" s="7"/>
      <c r="AO1857" s="7"/>
      <c r="AP1857" s="7"/>
      <c r="AQ1857" s="7"/>
      <c r="AR1857" s="7"/>
      <c r="AS1857" s="7"/>
    </row>
    <row r="1858" spans="1:45" x14ac:dyDescent="0.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Q1858" s="7"/>
      <c r="R1858" s="7"/>
      <c r="S1858" s="7"/>
      <c r="T1858" s="7"/>
      <c r="U1858" s="7"/>
      <c r="V1858" s="7"/>
      <c r="AC1858" s="7"/>
      <c r="AD1858" s="7"/>
      <c r="AE1858" s="7"/>
      <c r="AF1858" s="7"/>
      <c r="AG1858" s="7"/>
      <c r="AO1858" s="7"/>
      <c r="AP1858" s="7"/>
      <c r="AQ1858" s="7"/>
      <c r="AR1858" s="7"/>
      <c r="AS1858" s="7"/>
    </row>
    <row r="1859" spans="1:45" x14ac:dyDescent="0.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Q1859" s="7"/>
      <c r="R1859" s="7"/>
      <c r="S1859" s="7"/>
      <c r="T1859" s="7"/>
      <c r="U1859" s="7"/>
      <c r="V1859" s="7"/>
      <c r="AC1859" s="7"/>
      <c r="AD1859" s="7"/>
      <c r="AE1859" s="7"/>
      <c r="AF1859" s="7"/>
      <c r="AG1859" s="7"/>
      <c r="AO1859" s="7"/>
      <c r="AP1859" s="7"/>
      <c r="AQ1859" s="7"/>
      <c r="AR1859" s="7"/>
      <c r="AS1859" s="7"/>
    </row>
    <row r="1860" spans="1:45" x14ac:dyDescent="0.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Q1860" s="7"/>
      <c r="R1860" s="7"/>
      <c r="S1860" s="7"/>
      <c r="T1860" s="7"/>
      <c r="U1860" s="7"/>
      <c r="V1860" s="7"/>
      <c r="AC1860" s="7"/>
      <c r="AD1860" s="7"/>
      <c r="AE1860" s="7"/>
      <c r="AF1860" s="7"/>
      <c r="AG1860" s="7"/>
      <c r="AO1860" s="7"/>
      <c r="AP1860" s="7"/>
      <c r="AQ1860" s="7"/>
      <c r="AR1860" s="7"/>
      <c r="AS1860" s="7"/>
    </row>
    <row r="1861" spans="1:45" x14ac:dyDescent="0.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Q1861" s="7"/>
      <c r="R1861" s="7"/>
      <c r="S1861" s="7"/>
      <c r="T1861" s="7"/>
      <c r="U1861" s="7"/>
      <c r="V1861" s="7"/>
      <c r="AC1861" s="7"/>
      <c r="AD1861" s="7"/>
      <c r="AE1861" s="7"/>
      <c r="AF1861" s="7"/>
      <c r="AG1861" s="7"/>
      <c r="AO1861" s="7"/>
      <c r="AP1861" s="7"/>
      <c r="AQ1861" s="7"/>
      <c r="AR1861" s="7"/>
      <c r="AS1861" s="7"/>
    </row>
    <row r="1862" spans="1:45" x14ac:dyDescent="0.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Q1862" s="7"/>
      <c r="R1862" s="7"/>
      <c r="S1862" s="7"/>
      <c r="T1862" s="7"/>
      <c r="U1862" s="7"/>
      <c r="V1862" s="7"/>
      <c r="AC1862" s="7"/>
      <c r="AD1862" s="7"/>
      <c r="AE1862" s="7"/>
      <c r="AF1862" s="7"/>
      <c r="AG1862" s="7"/>
      <c r="AO1862" s="7"/>
      <c r="AP1862" s="7"/>
      <c r="AQ1862" s="7"/>
      <c r="AR1862" s="7"/>
      <c r="AS1862" s="7"/>
    </row>
    <row r="1863" spans="1:45" x14ac:dyDescent="0.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Q1863" s="7"/>
      <c r="R1863" s="7"/>
      <c r="S1863" s="7"/>
      <c r="T1863" s="7"/>
      <c r="U1863" s="7"/>
      <c r="V1863" s="7"/>
      <c r="AC1863" s="7"/>
      <c r="AD1863" s="7"/>
      <c r="AE1863" s="7"/>
      <c r="AF1863" s="7"/>
      <c r="AG1863" s="7"/>
      <c r="AO1863" s="7"/>
      <c r="AP1863" s="7"/>
      <c r="AQ1863" s="7"/>
      <c r="AR1863" s="7"/>
      <c r="AS1863" s="7"/>
    </row>
    <row r="1864" spans="1:45" x14ac:dyDescent="0.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Q1864" s="7"/>
      <c r="R1864" s="7"/>
      <c r="S1864" s="7"/>
      <c r="T1864" s="7"/>
      <c r="U1864" s="7"/>
      <c r="V1864" s="7"/>
      <c r="AC1864" s="7"/>
      <c r="AD1864" s="7"/>
      <c r="AE1864" s="7"/>
      <c r="AF1864" s="7"/>
      <c r="AG1864" s="7"/>
      <c r="AO1864" s="7"/>
      <c r="AP1864" s="7"/>
      <c r="AQ1864" s="7"/>
      <c r="AR1864" s="7"/>
      <c r="AS1864" s="7"/>
    </row>
    <row r="1865" spans="1:45" x14ac:dyDescent="0.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Q1865" s="7"/>
      <c r="R1865" s="7"/>
      <c r="S1865" s="7"/>
      <c r="T1865" s="7"/>
      <c r="U1865" s="7"/>
      <c r="V1865" s="7"/>
      <c r="AC1865" s="7"/>
      <c r="AD1865" s="7"/>
      <c r="AE1865" s="7"/>
      <c r="AF1865" s="7"/>
      <c r="AG1865" s="7"/>
      <c r="AO1865" s="7"/>
      <c r="AP1865" s="7"/>
      <c r="AQ1865" s="7"/>
      <c r="AR1865" s="7"/>
      <c r="AS1865" s="7"/>
    </row>
    <row r="1866" spans="1:45" x14ac:dyDescent="0.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Q1866" s="7"/>
      <c r="R1866" s="7"/>
      <c r="S1866" s="7"/>
      <c r="T1866" s="7"/>
      <c r="U1866" s="7"/>
      <c r="V1866" s="7"/>
      <c r="AC1866" s="7"/>
      <c r="AD1866" s="7"/>
      <c r="AE1866" s="7"/>
      <c r="AF1866" s="7"/>
      <c r="AG1866" s="7"/>
      <c r="AO1866" s="7"/>
      <c r="AP1866" s="7"/>
      <c r="AQ1866" s="7"/>
      <c r="AR1866" s="7"/>
      <c r="AS1866" s="7"/>
    </row>
    <row r="1867" spans="1:45" x14ac:dyDescent="0.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Q1867" s="7"/>
      <c r="R1867" s="7"/>
      <c r="S1867" s="7"/>
      <c r="T1867" s="7"/>
      <c r="U1867" s="7"/>
      <c r="V1867" s="7"/>
      <c r="AC1867" s="7"/>
      <c r="AD1867" s="7"/>
      <c r="AE1867" s="7"/>
      <c r="AF1867" s="7"/>
      <c r="AG1867" s="7"/>
      <c r="AO1867" s="7"/>
      <c r="AP1867" s="7"/>
      <c r="AQ1867" s="7"/>
      <c r="AR1867" s="7"/>
      <c r="AS1867" s="7"/>
    </row>
    <row r="1868" spans="1:45" x14ac:dyDescent="0.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Q1868" s="7"/>
      <c r="R1868" s="7"/>
      <c r="S1868" s="7"/>
      <c r="T1868" s="7"/>
      <c r="U1868" s="7"/>
      <c r="V1868" s="7"/>
      <c r="AC1868" s="7"/>
      <c r="AD1868" s="7"/>
      <c r="AE1868" s="7"/>
      <c r="AF1868" s="7"/>
      <c r="AG1868" s="7"/>
      <c r="AO1868" s="7"/>
      <c r="AP1868" s="7"/>
      <c r="AQ1868" s="7"/>
      <c r="AR1868" s="7"/>
      <c r="AS1868" s="7"/>
    </row>
    <row r="1869" spans="1:45" x14ac:dyDescent="0.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Q1869" s="7"/>
      <c r="R1869" s="7"/>
      <c r="S1869" s="7"/>
      <c r="T1869" s="7"/>
      <c r="U1869" s="7"/>
      <c r="V1869" s="7"/>
      <c r="AC1869" s="7"/>
      <c r="AD1869" s="7"/>
      <c r="AE1869" s="7"/>
      <c r="AF1869" s="7"/>
      <c r="AG1869" s="7"/>
      <c r="AO1869" s="7"/>
      <c r="AP1869" s="7"/>
      <c r="AQ1869" s="7"/>
      <c r="AR1869" s="7"/>
      <c r="AS1869" s="7"/>
    </row>
    <row r="1870" spans="1:45" x14ac:dyDescent="0.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Q1870" s="7"/>
      <c r="R1870" s="7"/>
      <c r="S1870" s="7"/>
      <c r="T1870" s="7"/>
      <c r="U1870" s="7"/>
      <c r="V1870" s="7"/>
      <c r="AC1870" s="7"/>
      <c r="AD1870" s="7"/>
      <c r="AE1870" s="7"/>
      <c r="AF1870" s="7"/>
      <c r="AG1870" s="7"/>
      <c r="AO1870" s="7"/>
      <c r="AP1870" s="7"/>
      <c r="AQ1870" s="7"/>
      <c r="AR1870" s="7"/>
      <c r="AS1870" s="7"/>
    </row>
    <row r="1871" spans="1:45" x14ac:dyDescent="0.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Q1871" s="7"/>
      <c r="R1871" s="7"/>
      <c r="S1871" s="7"/>
      <c r="T1871" s="7"/>
      <c r="U1871" s="7"/>
      <c r="V1871" s="7"/>
      <c r="AC1871" s="7"/>
      <c r="AD1871" s="7"/>
      <c r="AE1871" s="7"/>
      <c r="AF1871" s="7"/>
      <c r="AG1871" s="7"/>
      <c r="AO1871" s="7"/>
      <c r="AP1871" s="7"/>
      <c r="AQ1871" s="7"/>
      <c r="AR1871" s="7"/>
      <c r="AS1871" s="7"/>
    </row>
    <row r="1872" spans="1:45" x14ac:dyDescent="0.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Q1872" s="7"/>
      <c r="R1872" s="7"/>
      <c r="S1872" s="7"/>
      <c r="T1872" s="7"/>
      <c r="U1872" s="7"/>
      <c r="V1872" s="7"/>
      <c r="AC1872" s="7"/>
      <c r="AD1872" s="7"/>
      <c r="AE1872" s="7"/>
      <c r="AF1872" s="7"/>
      <c r="AG1872" s="7"/>
      <c r="AO1872" s="7"/>
      <c r="AP1872" s="7"/>
      <c r="AQ1872" s="7"/>
      <c r="AR1872" s="7"/>
      <c r="AS1872" s="7"/>
    </row>
    <row r="1873" spans="1:45" x14ac:dyDescent="0.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Q1873" s="7"/>
      <c r="R1873" s="7"/>
      <c r="S1873" s="7"/>
      <c r="T1873" s="7"/>
      <c r="U1873" s="7"/>
      <c r="V1873" s="7"/>
      <c r="AC1873" s="7"/>
      <c r="AD1873" s="7"/>
      <c r="AE1873" s="7"/>
      <c r="AF1873" s="7"/>
      <c r="AG1873" s="7"/>
      <c r="AO1873" s="7"/>
      <c r="AP1873" s="7"/>
      <c r="AQ1873" s="7"/>
      <c r="AR1873" s="7"/>
      <c r="AS1873" s="7"/>
    </row>
    <row r="1874" spans="1:45" x14ac:dyDescent="0.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Q1874" s="7"/>
      <c r="R1874" s="7"/>
      <c r="S1874" s="7"/>
      <c r="T1874" s="7"/>
      <c r="U1874" s="7"/>
      <c r="V1874" s="7"/>
      <c r="AC1874" s="7"/>
      <c r="AD1874" s="7"/>
      <c r="AE1874" s="7"/>
      <c r="AF1874" s="7"/>
      <c r="AG1874" s="7"/>
      <c r="AO1874" s="7"/>
      <c r="AP1874" s="7"/>
      <c r="AQ1874" s="7"/>
      <c r="AR1874" s="7"/>
      <c r="AS1874" s="7"/>
    </row>
    <row r="1875" spans="1:45" x14ac:dyDescent="0.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Q1875" s="7"/>
      <c r="R1875" s="7"/>
      <c r="S1875" s="7"/>
      <c r="T1875" s="7"/>
      <c r="U1875" s="7"/>
      <c r="V1875" s="7"/>
      <c r="AC1875" s="7"/>
      <c r="AD1875" s="7"/>
      <c r="AE1875" s="7"/>
      <c r="AF1875" s="7"/>
      <c r="AG1875" s="7"/>
      <c r="AO1875" s="7"/>
      <c r="AP1875" s="7"/>
      <c r="AQ1875" s="7"/>
      <c r="AR1875" s="7"/>
      <c r="AS1875" s="7"/>
    </row>
    <row r="1876" spans="1:45" x14ac:dyDescent="0.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Q1876" s="7"/>
      <c r="R1876" s="7"/>
      <c r="S1876" s="7"/>
      <c r="T1876" s="7"/>
      <c r="U1876" s="7"/>
      <c r="V1876" s="7"/>
      <c r="AC1876" s="7"/>
      <c r="AD1876" s="7"/>
      <c r="AE1876" s="7"/>
      <c r="AF1876" s="7"/>
      <c r="AG1876" s="7"/>
      <c r="AO1876" s="7"/>
      <c r="AP1876" s="7"/>
      <c r="AQ1876" s="7"/>
      <c r="AR1876" s="7"/>
      <c r="AS1876" s="7"/>
    </row>
    <row r="1877" spans="1:45" x14ac:dyDescent="0.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Q1877" s="7"/>
      <c r="R1877" s="7"/>
      <c r="S1877" s="7"/>
      <c r="T1877" s="7"/>
      <c r="U1877" s="7"/>
      <c r="V1877" s="7"/>
      <c r="AC1877" s="7"/>
      <c r="AD1877" s="7"/>
      <c r="AE1877" s="7"/>
      <c r="AF1877" s="7"/>
      <c r="AG1877" s="7"/>
      <c r="AO1877" s="7"/>
      <c r="AP1877" s="7"/>
      <c r="AQ1877" s="7"/>
      <c r="AR1877" s="7"/>
      <c r="AS1877" s="7"/>
    </row>
    <row r="1878" spans="1:45" x14ac:dyDescent="0.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Q1878" s="7"/>
      <c r="R1878" s="7"/>
      <c r="S1878" s="7"/>
      <c r="T1878" s="7"/>
      <c r="U1878" s="7"/>
      <c r="V1878" s="7"/>
      <c r="AC1878" s="7"/>
      <c r="AD1878" s="7"/>
      <c r="AE1878" s="7"/>
      <c r="AF1878" s="7"/>
      <c r="AG1878" s="7"/>
      <c r="AO1878" s="7"/>
      <c r="AP1878" s="7"/>
      <c r="AQ1878" s="7"/>
      <c r="AR1878" s="7"/>
      <c r="AS1878" s="7"/>
    </row>
    <row r="1879" spans="1:45" x14ac:dyDescent="0.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Q1879" s="7"/>
      <c r="R1879" s="7"/>
      <c r="S1879" s="7"/>
      <c r="T1879" s="7"/>
      <c r="U1879" s="7"/>
      <c r="V1879" s="7"/>
      <c r="AC1879" s="7"/>
      <c r="AD1879" s="7"/>
      <c r="AE1879" s="7"/>
      <c r="AF1879" s="7"/>
      <c r="AG1879" s="7"/>
      <c r="AO1879" s="7"/>
      <c r="AP1879" s="7"/>
      <c r="AQ1879" s="7"/>
      <c r="AR1879" s="7"/>
      <c r="AS1879" s="7"/>
    </row>
    <row r="1880" spans="1:45" x14ac:dyDescent="0.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Q1880" s="7"/>
      <c r="R1880" s="7"/>
      <c r="S1880" s="7"/>
      <c r="T1880" s="7"/>
      <c r="U1880" s="7"/>
      <c r="V1880" s="7"/>
      <c r="AC1880" s="7"/>
      <c r="AD1880" s="7"/>
      <c r="AE1880" s="7"/>
      <c r="AF1880" s="7"/>
      <c r="AG1880" s="7"/>
      <c r="AO1880" s="7"/>
      <c r="AP1880" s="7"/>
      <c r="AQ1880" s="7"/>
      <c r="AR1880" s="7"/>
      <c r="AS1880" s="7"/>
    </row>
    <row r="1881" spans="1:45" x14ac:dyDescent="0.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Q1881" s="7"/>
      <c r="R1881" s="7"/>
      <c r="S1881" s="7"/>
      <c r="T1881" s="7"/>
      <c r="U1881" s="7"/>
      <c r="V1881" s="7"/>
      <c r="AC1881" s="7"/>
      <c r="AD1881" s="7"/>
      <c r="AE1881" s="7"/>
      <c r="AF1881" s="7"/>
      <c r="AG1881" s="7"/>
      <c r="AO1881" s="7"/>
      <c r="AP1881" s="7"/>
      <c r="AQ1881" s="7"/>
      <c r="AR1881" s="7"/>
      <c r="AS1881" s="7"/>
    </row>
    <row r="1882" spans="1:45" x14ac:dyDescent="0.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Q1882" s="7"/>
      <c r="R1882" s="7"/>
      <c r="S1882" s="7"/>
      <c r="T1882" s="7"/>
      <c r="U1882" s="7"/>
      <c r="V1882" s="7"/>
      <c r="AC1882" s="7"/>
      <c r="AD1882" s="7"/>
      <c r="AE1882" s="7"/>
      <c r="AF1882" s="7"/>
      <c r="AG1882" s="7"/>
      <c r="AO1882" s="7"/>
      <c r="AP1882" s="7"/>
      <c r="AQ1882" s="7"/>
      <c r="AR1882" s="7"/>
      <c r="AS1882" s="7"/>
    </row>
    <row r="1883" spans="1:45" x14ac:dyDescent="0.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Q1883" s="7"/>
      <c r="R1883" s="7"/>
      <c r="S1883" s="7"/>
      <c r="T1883" s="7"/>
      <c r="U1883" s="7"/>
      <c r="V1883" s="7"/>
      <c r="AC1883" s="7"/>
      <c r="AD1883" s="7"/>
      <c r="AE1883" s="7"/>
      <c r="AF1883" s="7"/>
      <c r="AG1883" s="7"/>
      <c r="AO1883" s="7"/>
      <c r="AP1883" s="7"/>
      <c r="AQ1883" s="7"/>
      <c r="AR1883" s="7"/>
      <c r="AS1883" s="7"/>
    </row>
    <row r="1884" spans="1:45" x14ac:dyDescent="0.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Q1884" s="7"/>
      <c r="R1884" s="7"/>
      <c r="S1884" s="7"/>
      <c r="T1884" s="7"/>
      <c r="U1884" s="7"/>
      <c r="V1884" s="7"/>
      <c r="AC1884" s="7"/>
      <c r="AD1884" s="7"/>
      <c r="AE1884" s="7"/>
      <c r="AF1884" s="7"/>
      <c r="AG1884" s="7"/>
      <c r="AO1884" s="7"/>
      <c r="AP1884" s="7"/>
      <c r="AQ1884" s="7"/>
      <c r="AR1884" s="7"/>
      <c r="AS1884" s="7"/>
    </row>
    <row r="1885" spans="1:45" x14ac:dyDescent="0.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Q1885" s="7"/>
      <c r="R1885" s="7"/>
      <c r="S1885" s="7"/>
      <c r="T1885" s="7"/>
      <c r="U1885" s="7"/>
      <c r="V1885" s="7"/>
      <c r="AC1885" s="7"/>
      <c r="AD1885" s="7"/>
      <c r="AE1885" s="7"/>
      <c r="AF1885" s="7"/>
      <c r="AG1885" s="7"/>
      <c r="AO1885" s="7"/>
      <c r="AP1885" s="7"/>
      <c r="AQ1885" s="7"/>
      <c r="AR1885" s="7"/>
      <c r="AS1885" s="7"/>
    </row>
    <row r="1886" spans="1:45" x14ac:dyDescent="0.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Q1886" s="7"/>
      <c r="R1886" s="7"/>
      <c r="S1886" s="7"/>
      <c r="T1886" s="7"/>
      <c r="U1886" s="7"/>
      <c r="V1886" s="7"/>
      <c r="AC1886" s="7"/>
      <c r="AD1886" s="7"/>
      <c r="AE1886" s="7"/>
      <c r="AF1886" s="7"/>
      <c r="AG1886" s="7"/>
      <c r="AO1886" s="7"/>
      <c r="AP1886" s="7"/>
      <c r="AQ1886" s="7"/>
      <c r="AR1886" s="7"/>
      <c r="AS1886" s="7"/>
    </row>
    <row r="1887" spans="1:45" x14ac:dyDescent="0.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Q1887" s="7"/>
      <c r="R1887" s="7"/>
      <c r="S1887" s="7"/>
      <c r="T1887" s="7"/>
      <c r="U1887" s="7"/>
      <c r="V1887" s="7"/>
      <c r="AC1887" s="7"/>
      <c r="AD1887" s="7"/>
      <c r="AE1887" s="7"/>
      <c r="AF1887" s="7"/>
      <c r="AG1887" s="7"/>
      <c r="AO1887" s="7"/>
      <c r="AP1887" s="7"/>
      <c r="AQ1887" s="7"/>
      <c r="AR1887" s="7"/>
      <c r="AS1887" s="7"/>
    </row>
    <row r="1888" spans="1:45" x14ac:dyDescent="0.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Q1888" s="7"/>
      <c r="R1888" s="7"/>
      <c r="S1888" s="7"/>
      <c r="T1888" s="7"/>
      <c r="U1888" s="7"/>
      <c r="V1888" s="7"/>
      <c r="AC1888" s="7"/>
      <c r="AD1888" s="7"/>
      <c r="AE1888" s="7"/>
      <c r="AF1888" s="7"/>
      <c r="AG1888" s="7"/>
      <c r="AO1888" s="7"/>
      <c r="AP1888" s="7"/>
      <c r="AQ1888" s="7"/>
      <c r="AR1888" s="7"/>
      <c r="AS1888" s="7"/>
    </row>
    <row r="1889" spans="1:45" x14ac:dyDescent="0.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Q1889" s="7"/>
      <c r="R1889" s="7"/>
      <c r="S1889" s="7"/>
      <c r="T1889" s="7"/>
      <c r="U1889" s="7"/>
      <c r="V1889" s="7"/>
      <c r="AC1889" s="7"/>
      <c r="AD1889" s="7"/>
      <c r="AE1889" s="7"/>
      <c r="AF1889" s="7"/>
      <c r="AG1889" s="7"/>
      <c r="AO1889" s="7"/>
      <c r="AP1889" s="7"/>
      <c r="AQ1889" s="7"/>
      <c r="AR1889" s="7"/>
      <c r="AS1889" s="7"/>
    </row>
    <row r="1890" spans="1:45" x14ac:dyDescent="0.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Q1890" s="7"/>
      <c r="R1890" s="7"/>
      <c r="S1890" s="7"/>
      <c r="T1890" s="7"/>
      <c r="U1890" s="7"/>
      <c r="V1890" s="7"/>
      <c r="AC1890" s="7"/>
      <c r="AD1890" s="7"/>
      <c r="AE1890" s="7"/>
      <c r="AF1890" s="7"/>
      <c r="AG1890" s="7"/>
      <c r="AO1890" s="7"/>
      <c r="AP1890" s="7"/>
      <c r="AQ1890" s="7"/>
      <c r="AR1890" s="7"/>
      <c r="AS1890" s="7"/>
    </row>
    <row r="1891" spans="1:45" x14ac:dyDescent="0.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Q1891" s="7"/>
      <c r="R1891" s="7"/>
      <c r="S1891" s="7"/>
      <c r="T1891" s="7"/>
      <c r="U1891" s="7"/>
      <c r="V1891" s="7"/>
      <c r="AC1891" s="7"/>
      <c r="AD1891" s="7"/>
      <c r="AE1891" s="7"/>
      <c r="AF1891" s="7"/>
      <c r="AG1891" s="7"/>
      <c r="AO1891" s="7"/>
      <c r="AP1891" s="7"/>
      <c r="AQ1891" s="7"/>
      <c r="AR1891" s="7"/>
      <c r="AS1891" s="7"/>
    </row>
    <row r="1892" spans="1:45" x14ac:dyDescent="0.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Q1892" s="7"/>
      <c r="R1892" s="7"/>
      <c r="S1892" s="7"/>
      <c r="T1892" s="7"/>
      <c r="U1892" s="7"/>
      <c r="V1892" s="7"/>
      <c r="AC1892" s="7"/>
      <c r="AD1892" s="7"/>
      <c r="AE1892" s="7"/>
      <c r="AF1892" s="7"/>
      <c r="AG1892" s="7"/>
      <c r="AO1892" s="7"/>
      <c r="AP1892" s="7"/>
      <c r="AQ1892" s="7"/>
      <c r="AR1892" s="7"/>
      <c r="AS1892" s="7"/>
    </row>
    <row r="1893" spans="1:45" x14ac:dyDescent="0.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Q1893" s="7"/>
      <c r="R1893" s="7"/>
      <c r="S1893" s="7"/>
      <c r="T1893" s="7"/>
      <c r="U1893" s="7"/>
      <c r="V1893" s="7"/>
      <c r="AC1893" s="7"/>
      <c r="AD1893" s="7"/>
      <c r="AE1893" s="7"/>
      <c r="AF1893" s="7"/>
      <c r="AG1893" s="7"/>
      <c r="AO1893" s="7"/>
      <c r="AP1893" s="7"/>
      <c r="AQ1893" s="7"/>
      <c r="AR1893" s="7"/>
      <c r="AS1893" s="7"/>
    </row>
    <row r="1894" spans="1:45" x14ac:dyDescent="0.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Q1894" s="7"/>
      <c r="R1894" s="7"/>
      <c r="S1894" s="7"/>
      <c r="T1894" s="7"/>
      <c r="U1894" s="7"/>
      <c r="V1894" s="7"/>
      <c r="AC1894" s="7"/>
      <c r="AD1894" s="7"/>
      <c r="AE1894" s="7"/>
      <c r="AF1894" s="7"/>
      <c r="AG1894" s="7"/>
      <c r="AO1894" s="7"/>
      <c r="AP1894" s="7"/>
      <c r="AQ1894" s="7"/>
      <c r="AR1894" s="7"/>
      <c r="AS1894" s="7"/>
    </row>
    <row r="1895" spans="1:45" x14ac:dyDescent="0.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Q1895" s="7"/>
      <c r="R1895" s="7"/>
      <c r="S1895" s="7"/>
      <c r="T1895" s="7"/>
      <c r="U1895" s="7"/>
      <c r="V1895" s="7"/>
      <c r="AC1895" s="7"/>
      <c r="AD1895" s="7"/>
      <c r="AE1895" s="7"/>
      <c r="AF1895" s="7"/>
      <c r="AG1895" s="7"/>
      <c r="AO1895" s="7"/>
      <c r="AP1895" s="7"/>
      <c r="AQ1895" s="7"/>
      <c r="AR1895" s="7"/>
      <c r="AS1895" s="7"/>
    </row>
    <row r="1896" spans="1:45" x14ac:dyDescent="0.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Q1896" s="7"/>
      <c r="R1896" s="7"/>
      <c r="S1896" s="7"/>
      <c r="T1896" s="7"/>
      <c r="U1896" s="7"/>
      <c r="V1896" s="7"/>
      <c r="AC1896" s="7"/>
      <c r="AD1896" s="7"/>
      <c r="AE1896" s="7"/>
      <c r="AF1896" s="7"/>
      <c r="AG1896" s="7"/>
      <c r="AO1896" s="7"/>
      <c r="AP1896" s="7"/>
      <c r="AQ1896" s="7"/>
      <c r="AR1896" s="7"/>
      <c r="AS1896" s="7"/>
    </row>
    <row r="1897" spans="1:45" x14ac:dyDescent="0.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Q1897" s="7"/>
      <c r="R1897" s="7"/>
      <c r="S1897" s="7"/>
      <c r="T1897" s="7"/>
      <c r="U1897" s="7"/>
      <c r="V1897" s="7"/>
      <c r="AC1897" s="7"/>
      <c r="AD1897" s="7"/>
      <c r="AE1897" s="7"/>
      <c r="AF1897" s="7"/>
      <c r="AG1897" s="7"/>
      <c r="AO1897" s="7"/>
      <c r="AP1897" s="7"/>
      <c r="AQ1897" s="7"/>
      <c r="AR1897" s="7"/>
      <c r="AS1897" s="7"/>
    </row>
    <row r="1898" spans="1:45" x14ac:dyDescent="0.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Q1898" s="7"/>
      <c r="R1898" s="7"/>
      <c r="S1898" s="7"/>
      <c r="T1898" s="7"/>
      <c r="U1898" s="7"/>
      <c r="V1898" s="7"/>
      <c r="AC1898" s="7"/>
      <c r="AD1898" s="7"/>
      <c r="AE1898" s="7"/>
      <c r="AF1898" s="7"/>
      <c r="AG1898" s="7"/>
      <c r="AO1898" s="7"/>
      <c r="AP1898" s="7"/>
      <c r="AQ1898" s="7"/>
      <c r="AR1898" s="7"/>
      <c r="AS1898" s="7"/>
    </row>
    <row r="1899" spans="1:45" x14ac:dyDescent="0.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Q1899" s="7"/>
      <c r="R1899" s="7"/>
      <c r="S1899" s="7"/>
      <c r="T1899" s="7"/>
      <c r="U1899" s="7"/>
      <c r="V1899" s="7"/>
      <c r="AC1899" s="7"/>
      <c r="AD1899" s="7"/>
      <c r="AE1899" s="7"/>
      <c r="AF1899" s="7"/>
      <c r="AG1899" s="7"/>
      <c r="AO1899" s="7"/>
      <c r="AP1899" s="7"/>
      <c r="AQ1899" s="7"/>
      <c r="AR1899" s="7"/>
      <c r="AS1899" s="7"/>
    </row>
    <row r="1900" spans="1:45" x14ac:dyDescent="0.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Q1900" s="7"/>
      <c r="R1900" s="7"/>
      <c r="S1900" s="7"/>
      <c r="T1900" s="7"/>
      <c r="U1900" s="7"/>
      <c r="V1900" s="7"/>
      <c r="AC1900" s="7"/>
      <c r="AD1900" s="7"/>
      <c r="AE1900" s="7"/>
      <c r="AF1900" s="7"/>
      <c r="AG1900" s="7"/>
      <c r="AO1900" s="7"/>
      <c r="AP1900" s="7"/>
      <c r="AQ1900" s="7"/>
      <c r="AR1900" s="7"/>
      <c r="AS1900" s="7"/>
    </row>
    <row r="1901" spans="1:45" x14ac:dyDescent="0.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Q1901" s="7"/>
      <c r="R1901" s="7"/>
      <c r="S1901" s="7"/>
      <c r="T1901" s="7"/>
      <c r="U1901" s="7"/>
      <c r="V1901" s="7"/>
      <c r="AC1901" s="7"/>
      <c r="AD1901" s="7"/>
      <c r="AE1901" s="7"/>
      <c r="AF1901" s="7"/>
      <c r="AG1901" s="7"/>
      <c r="AO1901" s="7"/>
      <c r="AP1901" s="7"/>
      <c r="AQ1901" s="7"/>
      <c r="AR1901" s="7"/>
      <c r="AS1901" s="7"/>
    </row>
    <row r="1902" spans="1:45" x14ac:dyDescent="0.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Q1902" s="7"/>
      <c r="R1902" s="7"/>
      <c r="S1902" s="7"/>
      <c r="T1902" s="7"/>
      <c r="U1902" s="7"/>
      <c r="V1902" s="7"/>
      <c r="AC1902" s="7"/>
      <c r="AD1902" s="7"/>
      <c r="AE1902" s="7"/>
      <c r="AF1902" s="7"/>
      <c r="AG1902" s="7"/>
      <c r="AO1902" s="7"/>
      <c r="AP1902" s="7"/>
      <c r="AQ1902" s="7"/>
      <c r="AR1902" s="7"/>
      <c r="AS1902" s="7"/>
    </row>
    <row r="1903" spans="1:45" x14ac:dyDescent="0.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Q1903" s="7"/>
      <c r="R1903" s="7"/>
      <c r="S1903" s="7"/>
      <c r="T1903" s="7"/>
      <c r="U1903" s="7"/>
      <c r="V1903" s="7"/>
      <c r="AC1903" s="7"/>
      <c r="AD1903" s="7"/>
      <c r="AE1903" s="7"/>
      <c r="AF1903" s="7"/>
      <c r="AG1903" s="7"/>
      <c r="AO1903" s="7"/>
      <c r="AP1903" s="7"/>
      <c r="AQ1903" s="7"/>
      <c r="AR1903" s="7"/>
      <c r="AS1903" s="7"/>
    </row>
    <row r="1904" spans="1:45" x14ac:dyDescent="0.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Q1904" s="7"/>
      <c r="R1904" s="7"/>
      <c r="S1904" s="7"/>
      <c r="T1904" s="7"/>
      <c r="U1904" s="7"/>
      <c r="V1904" s="7"/>
      <c r="AC1904" s="7"/>
      <c r="AD1904" s="7"/>
      <c r="AE1904" s="7"/>
      <c r="AF1904" s="7"/>
      <c r="AG1904" s="7"/>
      <c r="AO1904" s="7"/>
      <c r="AP1904" s="7"/>
      <c r="AQ1904" s="7"/>
      <c r="AR1904" s="7"/>
      <c r="AS1904" s="7"/>
    </row>
    <row r="1905" spans="1:45" x14ac:dyDescent="0.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Q1905" s="7"/>
      <c r="R1905" s="7"/>
      <c r="S1905" s="7"/>
      <c r="T1905" s="7"/>
      <c r="U1905" s="7"/>
      <c r="V1905" s="7"/>
      <c r="AC1905" s="7"/>
      <c r="AD1905" s="7"/>
      <c r="AE1905" s="7"/>
      <c r="AF1905" s="7"/>
      <c r="AG1905" s="7"/>
      <c r="AO1905" s="7"/>
      <c r="AP1905" s="7"/>
      <c r="AQ1905" s="7"/>
      <c r="AR1905" s="7"/>
      <c r="AS1905" s="7"/>
    </row>
    <row r="1906" spans="1:45" x14ac:dyDescent="0.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Q1906" s="7"/>
      <c r="R1906" s="7"/>
      <c r="S1906" s="7"/>
      <c r="T1906" s="7"/>
      <c r="U1906" s="7"/>
      <c r="V1906" s="7"/>
      <c r="AC1906" s="7"/>
      <c r="AD1906" s="7"/>
      <c r="AE1906" s="7"/>
      <c r="AF1906" s="7"/>
      <c r="AG1906" s="7"/>
      <c r="AO1906" s="7"/>
      <c r="AP1906" s="7"/>
      <c r="AQ1906" s="7"/>
      <c r="AR1906" s="7"/>
      <c r="AS1906" s="7"/>
    </row>
    <row r="1907" spans="1:45" x14ac:dyDescent="0.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Q1907" s="7"/>
      <c r="R1907" s="7"/>
      <c r="S1907" s="7"/>
      <c r="T1907" s="7"/>
      <c r="U1907" s="7"/>
      <c r="V1907" s="7"/>
      <c r="AC1907" s="7"/>
      <c r="AD1907" s="7"/>
      <c r="AE1907" s="7"/>
      <c r="AF1907" s="7"/>
      <c r="AG1907" s="7"/>
      <c r="AO1907" s="7"/>
      <c r="AP1907" s="7"/>
      <c r="AQ1907" s="7"/>
      <c r="AR1907" s="7"/>
      <c r="AS1907" s="7"/>
    </row>
    <row r="1908" spans="1:45" x14ac:dyDescent="0.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Q1908" s="7"/>
      <c r="R1908" s="7"/>
      <c r="S1908" s="7"/>
      <c r="T1908" s="7"/>
      <c r="U1908" s="7"/>
      <c r="V1908" s="7"/>
      <c r="AC1908" s="7"/>
      <c r="AD1908" s="7"/>
      <c r="AE1908" s="7"/>
      <c r="AF1908" s="7"/>
      <c r="AG1908" s="7"/>
      <c r="AO1908" s="7"/>
      <c r="AP1908" s="7"/>
      <c r="AQ1908" s="7"/>
      <c r="AR1908" s="7"/>
      <c r="AS1908" s="7"/>
    </row>
    <row r="1909" spans="1:45" x14ac:dyDescent="0.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Q1909" s="7"/>
      <c r="R1909" s="7"/>
      <c r="S1909" s="7"/>
      <c r="T1909" s="7"/>
      <c r="U1909" s="7"/>
      <c r="V1909" s="7"/>
      <c r="AC1909" s="7"/>
      <c r="AD1909" s="7"/>
      <c r="AE1909" s="7"/>
      <c r="AF1909" s="7"/>
      <c r="AG1909" s="7"/>
      <c r="AO1909" s="7"/>
      <c r="AP1909" s="7"/>
      <c r="AQ1909" s="7"/>
      <c r="AR1909" s="7"/>
      <c r="AS1909" s="7"/>
    </row>
    <row r="1910" spans="1:45" x14ac:dyDescent="0.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Q1910" s="7"/>
      <c r="R1910" s="7"/>
      <c r="S1910" s="7"/>
      <c r="T1910" s="7"/>
      <c r="U1910" s="7"/>
      <c r="V1910" s="7"/>
      <c r="AC1910" s="7"/>
      <c r="AD1910" s="7"/>
      <c r="AE1910" s="7"/>
      <c r="AF1910" s="7"/>
      <c r="AG1910" s="7"/>
      <c r="AO1910" s="7"/>
      <c r="AP1910" s="7"/>
      <c r="AQ1910" s="7"/>
      <c r="AR1910" s="7"/>
      <c r="AS1910" s="7"/>
    </row>
    <row r="1911" spans="1:45" x14ac:dyDescent="0.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Q1911" s="7"/>
      <c r="R1911" s="7"/>
      <c r="S1911" s="7"/>
      <c r="T1911" s="7"/>
      <c r="U1911" s="7"/>
      <c r="V1911" s="7"/>
      <c r="AC1911" s="7"/>
      <c r="AD1911" s="7"/>
      <c r="AE1911" s="7"/>
      <c r="AF1911" s="7"/>
      <c r="AG1911" s="7"/>
      <c r="AO1911" s="7"/>
      <c r="AP1911" s="7"/>
      <c r="AQ1911" s="7"/>
      <c r="AR1911" s="7"/>
      <c r="AS1911" s="7"/>
    </row>
    <row r="1912" spans="1:45" x14ac:dyDescent="0.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Q1912" s="7"/>
      <c r="R1912" s="7"/>
      <c r="S1912" s="7"/>
      <c r="T1912" s="7"/>
      <c r="U1912" s="7"/>
      <c r="V1912" s="7"/>
      <c r="AC1912" s="7"/>
      <c r="AD1912" s="7"/>
      <c r="AE1912" s="7"/>
      <c r="AF1912" s="7"/>
      <c r="AG1912" s="7"/>
      <c r="AO1912" s="7"/>
      <c r="AP1912" s="7"/>
      <c r="AQ1912" s="7"/>
      <c r="AR1912" s="7"/>
      <c r="AS1912" s="7"/>
    </row>
    <row r="1913" spans="1:45" x14ac:dyDescent="0.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Q1913" s="7"/>
      <c r="R1913" s="7"/>
      <c r="S1913" s="7"/>
      <c r="T1913" s="7"/>
      <c r="U1913" s="7"/>
      <c r="V1913" s="7"/>
      <c r="AC1913" s="7"/>
      <c r="AD1913" s="7"/>
      <c r="AE1913" s="7"/>
      <c r="AF1913" s="7"/>
      <c r="AG1913" s="7"/>
      <c r="AO1913" s="7"/>
      <c r="AP1913" s="7"/>
      <c r="AQ1913" s="7"/>
      <c r="AR1913" s="7"/>
      <c r="AS1913" s="7"/>
    </row>
    <row r="1914" spans="1:45" x14ac:dyDescent="0.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Q1914" s="7"/>
      <c r="R1914" s="7"/>
      <c r="S1914" s="7"/>
      <c r="T1914" s="7"/>
      <c r="U1914" s="7"/>
      <c r="V1914" s="7"/>
      <c r="AC1914" s="7"/>
      <c r="AD1914" s="7"/>
      <c r="AE1914" s="7"/>
      <c r="AF1914" s="7"/>
      <c r="AG1914" s="7"/>
      <c r="AO1914" s="7"/>
      <c r="AP1914" s="7"/>
      <c r="AQ1914" s="7"/>
      <c r="AR1914" s="7"/>
      <c r="AS1914" s="7"/>
    </row>
    <row r="1915" spans="1:45" x14ac:dyDescent="0.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Q1915" s="7"/>
      <c r="R1915" s="7"/>
      <c r="S1915" s="7"/>
      <c r="T1915" s="7"/>
      <c r="U1915" s="7"/>
      <c r="V1915" s="7"/>
      <c r="AC1915" s="7"/>
      <c r="AD1915" s="7"/>
      <c r="AE1915" s="7"/>
      <c r="AF1915" s="7"/>
      <c r="AG1915" s="7"/>
      <c r="AO1915" s="7"/>
      <c r="AP1915" s="7"/>
      <c r="AQ1915" s="7"/>
      <c r="AR1915" s="7"/>
      <c r="AS1915" s="7"/>
    </row>
    <row r="1916" spans="1:45" x14ac:dyDescent="0.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Q1916" s="7"/>
      <c r="R1916" s="7"/>
      <c r="S1916" s="7"/>
      <c r="T1916" s="7"/>
      <c r="U1916" s="7"/>
      <c r="V1916" s="7"/>
      <c r="AC1916" s="7"/>
      <c r="AD1916" s="7"/>
      <c r="AE1916" s="7"/>
      <c r="AF1916" s="7"/>
      <c r="AG1916" s="7"/>
      <c r="AO1916" s="7"/>
      <c r="AP1916" s="7"/>
      <c r="AQ1916" s="7"/>
      <c r="AR1916" s="7"/>
      <c r="AS1916" s="7"/>
    </row>
    <row r="1917" spans="1:45" x14ac:dyDescent="0.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Q1917" s="7"/>
      <c r="R1917" s="7"/>
      <c r="S1917" s="7"/>
      <c r="T1917" s="7"/>
      <c r="U1917" s="7"/>
      <c r="V1917" s="7"/>
      <c r="AC1917" s="7"/>
      <c r="AD1917" s="7"/>
      <c r="AE1917" s="7"/>
      <c r="AF1917" s="7"/>
      <c r="AG1917" s="7"/>
      <c r="AO1917" s="7"/>
      <c r="AP1917" s="7"/>
      <c r="AQ1917" s="7"/>
      <c r="AR1917" s="7"/>
      <c r="AS1917" s="7"/>
    </row>
    <row r="1918" spans="1:45" x14ac:dyDescent="0.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Q1918" s="7"/>
      <c r="R1918" s="7"/>
      <c r="S1918" s="7"/>
      <c r="T1918" s="7"/>
      <c r="U1918" s="7"/>
      <c r="V1918" s="7"/>
      <c r="AC1918" s="7"/>
      <c r="AD1918" s="7"/>
      <c r="AE1918" s="7"/>
      <c r="AF1918" s="7"/>
      <c r="AG1918" s="7"/>
      <c r="AO1918" s="7"/>
      <c r="AP1918" s="7"/>
      <c r="AQ1918" s="7"/>
      <c r="AR1918" s="7"/>
      <c r="AS1918" s="7"/>
    </row>
    <row r="1919" spans="1:45" x14ac:dyDescent="0.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Q1919" s="7"/>
      <c r="R1919" s="7"/>
      <c r="S1919" s="7"/>
      <c r="T1919" s="7"/>
      <c r="U1919" s="7"/>
      <c r="V1919" s="7"/>
      <c r="AC1919" s="7"/>
      <c r="AD1919" s="7"/>
      <c r="AE1919" s="7"/>
      <c r="AF1919" s="7"/>
      <c r="AG1919" s="7"/>
      <c r="AO1919" s="7"/>
      <c r="AP1919" s="7"/>
      <c r="AQ1919" s="7"/>
      <c r="AR1919" s="7"/>
      <c r="AS1919" s="7"/>
    </row>
    <row r="1920" spans="1:45" x14ac:dyDescent="0.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Q1920" s="7"/>
      <c r="R1920" s="7"/>
      <c r="S1920" s="7"/>
      <c r="T1920" s="7"/>
      <c r="U1920" s="7"/>
      <c r="V1920" s="7"/>
      <c r="AC1920" s="7"/>
      <c r="AD1920" s="7"/>
      <c r="AE1920" s="7"/>
      <c r="AF1920" s="7"/>
      <c r="AG1920" s="7"/>
      <c r="AO1920" s="7"/>
      <c r="AP1920" s="7"/>
      <c r="AQ1920" s="7"/>
      <c r="AR1920" s="7"/>
      <c r="AS1920" s="7"/>
    </row>
    <row r="1921" spans="1:45" x14ac:dyDescent="0.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Q1921" s="7"/>
      <c r="R1921" s="7"/>
      <c r="S1921" s="7"/>
      <c r="T1921" s="7"/>
      <c r="U1921" s="7"/>
      <c r="V1921" s="7"/>
      <c r="AC1921" s="7"/>
      <c r="AD1921" s="7"/>
      <c r="AE1921" s="7"/>
      <c r="AF1921" s="7"/>
      <c r="AG1921" s="7"/>
      <c r="AO1921" s="7"/>
      <c r="AP1921" s="7"/>
      <c r="AQ1921" s="7"/>
      <c r="AR1921" s="7"/>
      <c r="AS1921" s="7"/>
    </row>
    <row r="1922" spans="1:45" x14ac:dyDescent="0.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Q1922" s="7"/>
      <c r="R1922" s="7"/>
      <c r="S1922" s="7"/>
      <c r="T1922" s="7"/>
      <c r="U1922" s="7"/>
      <c r="V1922" s="7"/>
      <c r="AC1922" s="7"/>
      <c r="AD1922" s="7"/>
      <c r="AE1922" s="7"/>
      <c r="AF1922" s="7"/>
      <c r="AG1922" s="7"/>
      <c r="AO1922" s="7"/>
      <c r="AP1922" s="7"/>
      <c r="AQ1922" s="7"/>
      <c r="AR1922" s="7"/>
      <c r="AS1922" s="7"/>
    </row>
    <row r="1923" spans="1:45" x14ac:dyDescent="0.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Q1923" s="7"/>
      <c r="R1923" s="7"/>
      <c r="S1923" s="7"/>
      <c r="T1923" s="7"/>
      <c r="U1923" s="7"/>
      <c r="V1923" s="7"/>
      <c r="AC1923" s="7"/>
      <c r="AD1923" s="7"/>
      <c r="AE1923" s="7"/>
      <c r="AF1923" s="7"/>
      <c r="AG1923" s="7"/>
      <c r="AO1923" s="7"/>
      <c r="AP1923" s="7"/>
      <c r="AQ1923" s="7"/>
      <c r="AR1923" s="7"/>
      <c r="AS1923" s="7"/>
    </row>
    <row r="1924" spans="1:45" x14ac:dyDescent="0.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Q1924" s="7"/>
      <c r="R1924" s="7"/>
      <c r="S1924" s="7"/>
      <c r="T1924" s="7"/>
      <c r="U1924" s="7"/>
      <c r="V1924" s="7"/>
      <c r="AC1924" s="7"/>
      <c r="AD1924" s="7"/>
      <c r="AE1924" s="7"/>
      <c r="AF1924" s="7"/>
      <c r="AG1924" s="7"/>
      <c r="AO1924" s="7"/>
      <c r="AP1924" s="7"/>
      <c r="AQ1924" s="7"/>
      <c r="AR1924" s="7"/>
      <c r="AS1924" s="7"/>
    </row>
    <row r="1925" spans="1:45" x14ac:dyDescent="0.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Q1925" s="7"/>
      <c r="R1925" s="7"/>
      <c r="S1925" s="7"/>
      <c r="T1925" s="7"/>
      <c r="U1925" s="7"/>
      <c r="V1925" s="7"/>
      <c r="AC1925" s="7"/>
      <c r="AD1925" s="7"/>
      <c r="AE1925" s="7"/>
      <c r="AF1925" s="7"/>
      <c r="AG1925" s="7"/>
      <c r="AO1925" s="7"/>
      <c r="AP1925" s="7"/>
      <c r="AQ1925" s="7"/>
      <c r="AR1925" s="7"/>
      <c r="AS1925" s="7"/>
    </row>
    <row r="1926" spans="1:45" x14ac:dyDescent="0.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Q1926" s="7"/>
      <c r="R1926" s="7"/>
      <c r="S1926" s="7"/>
      <c r="T1926" s="7"/>
      <c r="U1926" s="7"/>
      <c r="V1926" s="7"/>
      <c r="AC1926" s="7"/>
      <c r="AD1926" s="7"/>
      <c r="AE1926" s="7"/>
      <c r="AF1926" s="7"/>
      <c r="AG1926" s="7"/>
      <c r="AO1926" s="7"/>
      <c r="AP1926" s="7"/>
      <c r="AQ1926" s="7"/>
      <c r="AR1926" s="7"/>
      <c r="AS1926" s="7"/>
    </row>
    <row r="1927" spans="1:45" x14ac:dyDescent="0.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Q1927" s="7"/>
      <c r="R1927" s="7"/>
      <c r="S1927" s="7"/>
      <c r="T1927" s="7"/>
      <c r="U1927" s="7"/>
      <c r="V1927" s="7"/>
      <c r="AC1927" s="7"/>
      <c r="AD1927" s="7"/>
      <c r="AE1927" s="7"/>
      <c r="AF1927" s="7"/>
      <c r="AG1927" s="7"/>
      <c r="AO1927" s="7"/>
      <c r="AP1927" s="7"/>
      <c r="AQ1927" s="7"/>
      <c r="AR1927" s="7"/>
      <c r="AS1927" s="7"/>
    </row>
    <row r="1928" spans="1:45" x14ac:dyDescent="0.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Q1928" s="7"/>
      <c r="R1928" s="7"/>
      <c r="S1928" s="7"/>
      <c r="T1928" s="7"/>
      <c r="U1928" s="7"/>
      <c r="V1928" s="7"/>
      <c r="AC1928" s="7"/>
      <c r="AD1928" s="7"/>
      <c r="AE1928" s="7"/>
      <c r="AF1928" s="7"/>
      <c r="AG1928" s="7"/>
      <c r="AO1928" s="7"/>
      <c r="AP1928" s="7"/>
      <c r="AQ1928" s="7"/>
      <c r="AR1928" s="7"/>
      <c r="AS1928" s="7"/>
    </row>
    <row r="1929" spans="1:45" x14ac:dyDescent="0.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Q1929" s="7"/>
      <c r="R1929" s="7"/>
      <c r="S1929" s="7"/>
      <c r="T1929" s="7"/>
      <c r="U1929" s="7"/>
      <c r="V1929" s="7"/>
      <c r="AC1929" s="7"/>
      <c r="AD1929" s="7"/>
      <c r="AE1929" s="7"/>
      <c r="AF1929" s="7"/>
      <c r="AG1929" s="7"/>
      <c r="AO1929" s="7"/>
      <c r="AP1929" s="7"/>
      <c r="AQ1929" s="7"/>
      <c r="AR1929" s="7"/>
      <c r="AS1929" s="7"/>
    </row>
    <row r="1930" spans="1:45" x14ac:dyDescent="0.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Q1930" s="7"/>
      <c r="R1930" s="7"/>
      <c r="S1930" s="7"/>
      <c r="T1930" s="7"/>
      <c r="U1930" s="7"/>
      <c r="V1930" s="7"/>
      <c r="AC1930" s="7"/>
      <c r="AD1930" s="7"/>
      <c r="AE1930" s="7"/>
      <c r="AF1930" s="7"/>
      <c r="AG1930" s="7"/>
      <c r="AO1930" s="7"/>
      <c r="AP1930" s="7"/>
      <c r="AQ1930" s="7"/>
      <c r="AR1930" s="7"/>
      <c r="AS1930" s="7"/>
    </row>
    <row r="1931" spans="1:45" x14ac:dyDescent="0.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Q1931" s="7"/>
      <c r="R1931" s="7"/>
      <c r="S1931" s="7"/>
      <c r="T1931" s="7"/>
      <c r="U1931" s="7"/>
      <c r="V1931" s="7"/>
      <c r="AC1931" s="7"/>
      <c r="AD1931" s="7"/>
      <c r="AE1931" s="7"/>
      <c r="AF1931" s="7"/>
      <c r="AG1931" s="7"/>
      <c r="AO1931" s="7"/>
      <c r="AP1931" s="7"/>
      <c r="AQ1931" s="7"/>
      <c r="AR1931" s="7"/>
      <c r="AS1931" s="7"/>
    </row>
    <row r="1932" spans="1:45" x14ac:dyDescent="0.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Q1932" s="7"/>
      <c r="R1932" s="7"/>
      <c r="S1932" s="7"/>
      <c r="T1932" s="7"/>
      <c r="U1932" s="7"/>
      <c r="V1932" s="7"/>
      <c r="AC1932" s="7"/>
      <c r="AD1932" s="7"/>
      <c r="AE1932" s="7"/>
      <c r="AF1932" s="7"/>
      <c r="AG1932" s="7"/>
      <c r="AO1932" s="7"/>
      <c r="AP1932" s="7"/>
      <c r="AQ1932" s="7"/>
      <c r="AR1932" s="7"/>
      <c r="AS1932" s="7"/>
    </row>
    <row r="1933" spans="1:45" x14ac:dyDescent="0.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Q1933" s="7"/>
      <c r="R1933" s="7"/>
      <c r="S1933" s="7"/>
      <c r="T1933" s="7"/>
      <c r="U1933" s="7"/>
      <c r="V1933" s="7"/>
      <c r="AC1933" s="7"/>
      <c r="AD1933" s="7"/>
      <c r="AE1933" s="7"/>
      <c r="AF1933" s="7"/>
      <c r="AG1933" s="7"/>
      <c r="AO1933" s="7"/>
      <c r="AP1933" s="7"/>
      <c r="AQ1933" s="7"/>
      <c r="AR1933" s="7"/>
      <c r="AS1933" s="7"/>
    </row>
    <row r="1934" spans="1:45" x14ac:dyDescent="0.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Q1934" s="7"/>
      <c r="R1934" s="7"/>
      <c r="S1934" s="7"/>
      <c r="T1934" s="7"/>
      <c r="U1934" s="7"/>
      <c r="V1934" s="7"/>
      <c r="AC1934" s="7"/>
      <c r="AD1934" s="7"/>
      <c r="AE1934" s="7"/>
      <c r="AF1934" s="7"/>
      <c r="AG1934" s="7"/>
      <c r="AO1934" s="7"/>
      <c r="AP1934" s="7"/>
      <c r="AQ1934" s="7"/>
      <c r="AR1934" s="7"/>
      <c r="AS1934" s="7"/>
    </row>
    <row r="1935" spans="1:45" x14ac:dyDescent="0.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Q1935" s="7"/>
      <c r="R1935" s="7"/>
      <c r="S1935" s="7"/>
      <c r="T1935" s="7"/>
      <c r="U1935" s="7"/>
      <c r="V1935" s="7"/>
      <c r="AC1935" s="7"/>
      <c r="AD1935" s="7"/>
      <c r="AE1935" s="7"/>
      <c r="AF1935" s="7"/>
      <c r="AG1935" s="7"/>
      <c r="AO1935" s="7"/>
      <c r="AP1935" s="7"/>
      <c r="AQ1935" s="7"/>
      <c r="AR1935" s="7"/>
      <c r="AS1935" s="7"/>
    </row>
    <row r="1936" spans="1:45" x14ac:dyDescent="0.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Q1936" s="7"/>
      <c r="R1936" s="7"/>
      <c r="S1936" s="7"/>
      <c r="T1936" s="7"/>
      <c r="U1936" s="7"/>
      <c r="V1936" s="7"/>
      <c r="AC1936" s="7"/>
      <c r="AD1936" s="7"/>
      <c r="AE1936" s="7"/>
      <c r="AF1936" s="7"/>
      <c r="AG1936" s="7"/>
      <c r="AO1936" s="7"/>
      <c r="AP1936" s="7"/>
      <c r="AQ1936" s="7"/>
      <c r="AR1936" s="7"/>
      <c r="AS1936" s="7"/>
    </row>
    <row r="1937" spans="1:45" x14ac:dyDescent="0.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Q1937" s="7"/>
      <c r="R1937" s="7"/>
      <c r="S1937" s="7"/>
      <c r="T1937" s="7"/>
      <c r="U1937" s="7"/>
      <c r="V1937" s="7"/>
      <c r="AC1937" s="7"/>
      <c r="AD1937" s="7"/>
      <c r="AE1937" s="7"/>
      <c r="AF1937" s="7"/>
      <c r="AG1937" s="7"/>
      <c r="AO1937" s="7"/>
      <c r="AP1937" s="7"/>
      <c r="AQ1937" s="7"/>
      <c r="AR1937" s="7"/>
      <c r="AS1937" s="7"/>
    </row>
    <row r="1938" spans="1:45" x14ac:dyDescent="0.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Q1938" s="7"/>
      <c r="R1938" s="7"/>
      <c r="S1938" s="7"/>
      <c r="T1938" s="7"/>
      <c r="U1938" s="7"/>
      <c r="V1938" s="7"/>
      <c r="AC1938" s="7"/>
      <c r="AD1938" s="7"/>
      <c r="AE1938" s="7"/>
      <c r="AF1938" s="7"/>
      <c r="AG1938" s="7"/>
      <c r="AO1938" s="7"/>
      <c r="AP1938" s="7"/>
      <c r="AQ1938" s="7"/>
      <c r="AR1938" s="7"/>
      <c r="AS1938" s="7"/>
    </row>
    <row r="1939" spans="1:45" x14ac:dyDescent="0.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Q1939" s="7"/>
      <c r="R1939" s="7"/>
      <c r="S1939" s="7"/>
      <c r="T1939" s="7"/>
      <c r="U1939" s="7"/>
      <c r="V1939" s="7"/>
      <c r="AC1939" s="7"/>
      <c r="AD1939" s="7"/>
      <c r="AE1939" s="7"/>
      <c r="AF1939" s="7"/>
      <c r="AG1939" s="7"/>
      <c r="AO1939" s="7"/>
      <c r="AP1939" s="7"/>
      <c r="AQ1939" s="7"/>
      <c r="AR1939" s="7"/>
      <c r="AS1939" s="7"/>
    </row>
    <row r="1940" spans="1:45" x14ac:dyDescent="0.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Q1940" s="7"/>
      <c r="R1940" s="7"/>
      <c r="S1940" s="7"/>
      <c r="T1940" s="7"/>
      <c r="U1940" s="7"/>
      <c r="V1940" s="7"/>
      <c r="AC1940" s="7"/>
      <c r="AD1940" s="7"/>
      <c r="AE1940" s="7"/>
      <c r="AF1940" s="7"/>
      <c r="AG1940" s="7"/>
      <c r="AO1940" s="7"/>
      <c r="AP1940" s="7"/>
      <c r="AQ1940" s="7"/>
      <c r="AR1940" s="7"/>
      <c r="AS1940" s="7"/>
    </row>
    <row r="1941" spans="1:45" x14ac:dyDescent="0.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Q1941" s="7"/>
      <c r="R1941" s="7"/>
      <c r="S1941" s="7"/>
      <c r="T1941" s="7"/>
      <c r="U1941" s="7"/>
      <c r="V1941" s="7"/>
      <c r="AC1941" s="7"/>
      <c r="AD1941" s="7"/>
      <c r="AE1941" s="7"/>
      <c r="AF1941" s="7"/>
      <c r="AG1941" s="7"/>
      <c r="AO1941" s="7"/>
      <c r="AP1941" s="7"/>
      <c r="AQ1941" s="7"/>
      <c r="AR1941" s="7"/>
      <c r="AS1941" s="7"/>
    </row>
    <row r="1942" spans="1:45" x14ac:dyDescent="0.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Q1942" s="7"/>
      <c r="R1942" s="7"/>
      <c r="S1942" s="7"/>
      <c r="T1942" s="7"/>
      <c r="U1942" s="7"/>
      <c r="V1942" s="7"/>
      <c r="AC1942" s="7"/>
      <c r="AD1942" s="7"/>
      <c r="AE1942" s="7"/>
      <c r="AF1942" s="7"/>
      <c r="AG1942" s="7"/>
      <c r="AO1942" s="7"/>
      <c r="AP1942" s="7"/>
      <c r="AQ1942" s="7"/>
      <c r="AR1942" s="7"/>
      <c r="AS1942" s="7"/>
    </row>
    <row r="1943" spans="1:45" x14ac:dyDescent="0.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Q1943" s="7"/>
      <c r="R1943" s="7"/>
      <c r="S1943" s="7"/>
      <c r="T1943" s="7"/>
      <c r="U1943" s="7"/>
      <c r="V1943" s="7"/>
      <c r="AC1943" s="7"/>
      <c r="AD1943" s="7"/>
      <c r="AE1943" s="7"/>
      <c r="AF1943" s="7"/>
      <c r="AG1943" s="7"/>
      <c r="AO1943" s="7"/>
      <c r="AP1943" s="7"/>
      <c r="AQ1943" s="7"/>
      <c r="AR1943" s="7"/>
      <c r="AS1943" s="7"/>
    </row>
    <row r="1944" spans="1:45" x14ac:dyDescent="0.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Q1944" s="7"/>
      <c r="R1944" s="7"/>
      <c r="S1944" s="7"/>
      <c r="T1944" s="7"/>
      <c r="U1944" s="7"/>
      <c r="V1944" s="7"/>
      <c r="AC1944" s="7"/>
      <c r="AD1944" s="7"/>
      <c r="AE1944" s="7"/>
      <c r="AF1944" s="7"/>
      <c r="AG1944" s="7"/>
      <c r="AO1944" s="7"/>
      <c r="AP1944" s="7"/>
      <c r="AQ1944" s="7"/>
      <c r="AR1944" s="7"/>
      <c r="AS1944" s="7"/>
    </row>
    <row r="1945" spans="1:45" x14ac:dyDescent="0.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Q1945" s="7"/>
      <c r="R1945" s="7"/>
      <c r="S1945" s="7"/>
      <c r="T1945" s="7"/>
      <c r="U1945" s="7"/>
      <c r="V1945" s="7"/>
      <c r="AC1945" s="7"/>
      <c r="AD1945" s="7"/>
      <c r="AE1945" s="7"/>
      <c r="AF1945" s="7"/>
      <c r="AG1945" s="7"/>
      <c r="AO1945" s="7"/>
      <c r="AP1945" s="7"/>
      <c r="AQ1945" s="7"/>
      <c r="AR1945" s="7"/>
      <c r="AS1945" s="7"/>
    </row>
    <row r="1946" spans="1:45" x14ac:dyDescent="0.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Q1946" s="7"/>
      <c r="R1946" s="7"/>
      <c r="S1946" s="7"/>
      <c r="T1946" s="7"/>
      <c r="U1946" s="7"/>
      <c r="V1946" s="7"/>
      <c r="AC1946" s="7"/>
      <c r="AD1946" s="7"/>
      <c r="AE1946" s="7"/>
      <c r="AF1946" s="7"/>
      <c r="AG1946" s="7"/>
      <c r="AO1946" s="7"/>
      <c r="AP1946" s="7"/>
      <c r="AQ1946" s="7"/>
      <c r="AR1946" s="7"/>
      <c r="AS1946" s="7"/>
    </row>
    <row r="1947" spans="1:45" x14ac:dyDescent="0.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Q1947" s="7"/>
      <c r="R1947" s="7"/>
      <c r="S1947" s="7"/>
      <c r="T1947" s="7"/>
      <c r="U1947" s="7"/>
      <c r="V1947" s="7"/>
      <c r="AC1947" s="7"/>
      <c r="AD1947" s="7"/>
      <c r="AE1947" s="7"/>
      <c r="AF1947" s="7"/>
      <c r="AG1947" s="7"/>
      <c r="AO1947" s="7"/>
      <c r="AP1947" s="7"/>
      <c r="AQ1947" s="7"/>
      <c r="AR1947" s="7"/>
      <c r="AS1947" s="7"/>
    </row>
    <row r="1948" spans="1:45" x14ac:dyDescent="0.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Q1948" s="7"/>
      <c r="R1948" s="7"/>
      <c r="S1948" s="7"/>
      <c r="T1948" s="7"/>
      <c r="U1948" s="7"/>
      <c r="V1948" s="7"/>
      <c r="AC1948" s="7"/>
      <c r="AD1948" s="7"/>
      <c r="AE1948" s="7"/>
      <c r="AF1948" s="7"/>
      <c r="AG1948" s="7"/>
      <c r="AO1948" s="7"/>
      <c r="AP1948" s="7"/>
      <c r="AQ1948" s="7"/>
      <c r="AR1948" s="7"/>
      <c r="AS1948" s="7"/>
    </row>
    <row r="1949" spans="1:45" x14ac:dyDescent="0.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Q1949" s="7"/>
      <c r="R1949" s="7"/>
      <c r="S1949" s="7"/>
      <c r="T1949" s="7"/>
      <c r="U1949" s="7"/>
      <c r="V1949" s="7"/>
      <c r="AC1949" s="7"/>
      <c r="AD1949" s="7"/>
      <c r="AE1949" s="7"/>
      <c r="AF1949" s="7"/>
      <c r="AG1949" s="7"/>
      <c r="AO1949" s="7"/>
      <c r="AP1949" s="7"/>
      <c r="AQ1949" s="7"/>
      <c r="AR1949" s="7"/>
      <c r="AS1949" s="7"/>
    </row>
    <row r="1950" spans="1:45" x14ac:dyDescent="0.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Q1950" s="7"/>
      <c r="R1950" s="7"/>
      <c r="S1950" s="7"/>
      <c r="T1950" s="7"/>
      <c r="U1950" s="7"/>
      <c r="V1950" s="7"/>
      <c r="AC1950" s="7"/>
      <c r="AD1950" s="7"/>
      <c r="AE1950" s="7"/>
      <c r="AF1950" s="7"/>
      <c r="AG1950" s="7"/>
      <c r="AO1950" s="7"/>
      <c r="AP1950" s="7"/>
      <c r="AQ1950" s="7"/>
      <c r="AR1950" s="7"/>
      <c r="AS1950" s="7"/>
    </row>
    <row r="1951" spans="1:45" x14ac:dyDescent="0.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Q1951" s="7"/>
      <c r="R1951" s="7"/>
      <c r="S1951" s="7"/>
      <c r="T1951" s="7"/>
      <c r="U1951" s="7"/>
      <c r="V1951" s="7"/>
      <c r="AC1951" s="7"/>
      <c r="AD1951" s="7"/>
      <c r="AE1951" s="7"/>
      <c r="AF1951" s="7"/>
      <c r="AG1951" s="7"/>
      <c r="AO1951" s="7"/>
      <c r="AP1951" s="7"/>
      <c r="AQ1951" s="7"/>
      <c r="AR1951" s="7"/>
      <c r="AS1951" s="7"/>
    </row>
    <row r="1952" spans="1:45" x14ac:dyDescent="0.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Q1952" s="7"/>
      <c r="R1952" s="7"/>
      <c r="S1952" s="7"/>
      <c r="T1952" s="7"/>
      <c r="U1952" s="7"/>
      <c r="V1952" s="7"/>
      <c r="AC1952" s="7"/>
      <c r="AD1952" s="7"/>
      <c r="AE1952" s="7"/>
      <c r="AF1952" s="7"/>
      <c r="AG1952" s="7"/>
      <c r="AO1952" s="7"/>
      <c r="AP1952" s="7"/>
      <c r="AQ1952" s="7"/>
      <c r="AR1952" s="7"/>
      <c r="AS1952" s="7"/>
    </row>
    <row r="1953" spans="1:45" x14ac:dyDescent="0.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Q1953" s="7"/>
      <c r="R1953" s="7"/>
      <c r="S1953" s="7"/>
      <c r="T1953" s="7"/>
      <c r="U1953" s="7"/>
      <c r="V1953" s="7"/>
      <c r="AC1953" s="7"/>
      <c r="AD1953" s="7"/>
      <c r="AE1953" s="7"/>
      <c r="AF1953" s="7"/>
      <c r="AG1953" s="7"/>
      <c r="AO1953" s="7"/>
      <c r="AP1953" s="7"/>
      <c r="AQ1953" s="7"/>
      <c r="AR1953" s="7"/>
      <c r="AS1953" s="7"/>
    </row>
    <row r="1954" spans="1:45" x14ac:dyDescent="0.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Q1954" s="7"/>
      <c r="R1954" s="7"/>
      <c r="S1954" s="7"/>
      <c r="T1954" s="7"/>
      <c r="U1954" s="7"/>
      <c r="V1954" s="7"/>
      <c r="AC1954" s="7"/>
      <c r="AD1954" s="7"/>
      <c r="AE1954" s="7"/>
      <c r="AF1954" s="7"/>
      <c r="AG1954" s="7"/>
      <c r="AO1954" s="7"/>
      <c r="AP1954" s="7"/>
      <c r="AQ1954" s="7"/>
      <c r="AR1954" s="7"/>
      <c r="AS1954" s="7"/>
    </row>
    <row r="1955" spans="1:45" x14ac:dyDescent="0.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Q1955" s="7"/>
      <c r="R1955" s="7"/>
      <c r="S1955" s="7"/>
      <c r="T1955" s="7"/>
      <c r="U1955" s="7"/>
      <c r="V1955" s="7"/>
      <c r="AC1955" s="7"/>
      <c r="AD1955" s="7"/>
      <c r="AE1955" s="7"/>
      <c r="AF1955" s="7"/>
      <c r="AG1955" s="7"/>
      <c r="AO1955" s="7"/>
      <c r="AP1955" s="7"/>
      <c r="AQ1955" s="7"/>
      <c r="AR1955" s="7"/>
      <c r="AS1955" s="7"/>
    </row>
    <row r="1956" spans="1:45" x14ac:dyDescent="0.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Q1956" s="7"/>
      <c r="R1956" s="7"/>
      <c r="S1956" s="7"/>
      <c r="T1956" s="7"/>
      <c r="U1956" s="7"/>
      <c r="V1956" s="7"/>
      <c r="AC1956" s="7"/>
      <c r="AD1956" s="7"/>
      <c r="AE1956" s="7"/>
      <c r="AF1956" s="7"/>
      <c r="AG1956" s="7"/>
      <c r="AO1956" s="7"/>
      <c r="AP1956" s="7"/>
      <c r="AQ1956" s="7"/>
      <c r="AR1956" s="7"/>
      <c r="AS1956" s="7"/>
    </row>
    <row r="1957" spans="1:45" x14ac:dyDescent="0.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Q1957" s="7"/>
      <c r="R1957" s="7"/>
      <c r="S1957" s="7"/>
      <c r="T1957" s="7"/>
      <c r="U1957" s="7"/>
      <c r="V1957" s="7"/>
      <c r="AC1957" s="7"/>
      <c r="AD1957" s="7"/>
      <c r="AE1957" s="7"/>
      <c r="AF1957" s="7"/>
      <c r="AG1957" s="7"/>
      <c r="AO1957" s="7"/>
      <c r="AP1957" s="7"/>
      <c r="AQ1957" s="7"/>
      <c r="AR1957" s="7"/>
      <c r="AS1957" s="7"/>
    </row>
    <row r="1958" spans="1:45" x14ac:dyDescent="0.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Q1958" s="7"/>
      <c r="R1958" s="7"/>
      <c r="S1958" s="7"/>
      <c r="T1958" s="7"/>
      <c r="U1958" s="7"/>
      <c r="V1958" s="7"/>
      <c r="AC1958" s="7"/>
      <c r="AD1958" s="7"/>
      <c r="AE1958" s="7"/>
      <c r="AF1958" s="7"/>
      <c r="AG1958" s="7"/>
      <c r="AO1958" s="7"/>
      <c r="AP1958" s="7"/>
      <c r="AQ1958" s="7"/>
      <c r="AR1958" s="7"/>
      <c r="AS1958" s="7"/>
    </row>
    <row r="1959" spans="1:45" x14ac:dyDescent="0.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Q1959" s="7"/>
      <c r="R1959" s="7"/>
      <c r="S1959" s="7"/>
      <c r="T1959" s="7"/>
      <c r="U1959" s="7"/>
      <c r="V1959" s="7"/>
      <c r="AC1959" s="7"/>
      <c r="AD1959" s="7"/>
      <c r="AE1959" s="7"/>
      <c r="AF1959" s="7"/>
      <c r="AG1959" s="7"/>
      <c r="AO1959" s="7"/>
      <c r="AP1959" s="7"/>
      <c r="AQ1959" s="7"/>
      <c r="AR1959" s="7"/>
      <c r="AS1959" s="7"/>
    </row>
    <row r="1960" spans="1:45" x14ac:dyDescent="0.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Q1960" s="7"/>
      <c r="R1960" s="7"/>
      <c r="S1960" s="7"/>
      <c r="T1960" s="7"/>
      <c r="U1960" s="7"/>
      <c r="V1960" s="7"/>
      <c r="AC1960" s="7"/>
      <c r="AD1960" s="7"/>
      <c r="AE1960" s="7"/>
      <c r="AF1960" s="7"/>
      <c r="AG1960" s="7"/>
      <c r="AO1960" s="7"/>
      <c r="AP1960" s="7"/>
      <c r="AQ1960" s="7"/>
      <c r="AR1960" s="7"/>
      <c r="AS1960" s="7"/>
    </row>
    <row r="1961" spans="1:45" x14ac:dyDescent="0.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Q1961" s="7"/>
      <c r="R1961" s="7"/>
      <c r="S1961" s="7"/>
      <c r="T1961" s="7"/>
      <c r="U1961" s="7"/>
      <c r="V1961" s="7"/>
      <c r="AC1961" s="7"/>
      <c r="AD1961" s="7"/>
      <c r="AE1961" s="7"/>
      <c r="AF1961" s="7"/>
      <c r="AG1961" s="7"/>
      <c r="AO1961" s="7"/>
      <c r="AP1961" s="7"/>
      <c r="AQ1961" s="7"/>
      <c r="AR1961" s="7"/>
      <c r="AS1961" s="7"/>
    </row>
    <row r="1962" spans="1:45" x14ac:dyDescent="0.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Q1962" s="7"/>
      <c r="R1962" s="7"/>
      <c r="S1962" s="7"/>
      <c r="T1962" s="7"/>
      <c r="U1962" s="7"/>
      <c r="V1962" s="7"/>
      <c r="AC1962" s="7"/>
      <c r="AD1962" s="7"/>
      <c r="AE1962" s="7"/>
      <c r="AF1962" s="7"/>
      <c r="AG1962" s="7"/>
      <c r="AO1962" s="7"/>
      <c r="AP1962" s="7"/>
      <c r="AQ1962" s="7"/>
      <c r="AR1962" s="7"/>
      <c r="AS1962" s="7"/>
    </row>
    <row r="1963" spans="1:45" x14ac:dyDescent="0.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Q1963" s="7"/>
      <c r="R1963" s="7"/>
      <c r="S1963" s="7"/>
      <c r="T1963" s="7"/>
      <c r="U1963" s="7"/>
      <c r="V1963" s="7"/>
      <c r="AC1963" s="7"/>
      <c r="AD1963" s="7"/>
      <c r="AE1963" s="7"/>
      <c r="AF1963" s="7"/>
      <c r="AG1963" s="7"/>
      <c r="AO1963" s="7"/>
      <c r="AP1963" s="7"/>
      <c r="AQ1963" s="7"/>
      <c r="AR1963" s="7"/>
      <c r="AS1963" s="7"/>
    </row>
    <row r="1964" spans="1:45" x14ac:dyDescent="0.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Q1964" s="7"/>
      <c r="R1964" s="7"/>
      <c r="S1964" s="7"/>
      <c r="T1964" s="7"/>
      <c r="U1964" s="7"/>
      <c r="V1964" s="7"/>
      <c r="AC1964" s="7"/>
      <c r="AD1964" s="7"/>
      <c r="AE1964" s="7"/>
      <c r="AF1964" s="7"/>
      <c r="AG1964" s="7"/>
      <c r="AO1964" s="7"/>
      <c r="AP1964" s="7"/>
      <c r="AQ1964" s="7"/>
      <c r="AR1964" s="7"/>
      <c r="AS1964" s="7"/>
    </row>
    <row r="1965" spans="1:45" x14ac:dyDescent="0.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Q1965" s="7"/>
      <c r="R1965" s="7"/>
      <c r="S1965" s="7"/>
      <c r="T1965" s="7"/>
      <c r="U1965" s="7"/>
      <c r="V1965" s="7"/>
      <c r="AC1965" s="7"/>
      <c r="AD1965" s="7"/>
      <c r="AE1965" s="7"/>
      <c r="AF1965" s="7"/>
      <c r="AG1965" s="7"/>
      <c r="AO1965" s="7"/>
      <c r="AP1965" s="7"/>
      <c r="AQ1965" s="7"/>
      <c r="AR1965" s="7"/>
      <c r="AS1965" s="7"/>
    </row>
    <row r="1966" spans="1:45" x14ac:dyDescent="0.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Q1966" s="7"/>
      <c r="R1966" s="7"/>
      <c r="S1966" s="7"/>
      <c r="T1966" s="7"/>
      <c r="U1966" s="7"/>
      <c r="V1966" s="7"/>
      <c r="AC1966" s="7"/>
      <c r="AD1966" s="7"/>
      <c r="AE1966" s="7"/>
      <c r="AF1966" s="7"/>
      <c r="AG1966" s="7"/>
      <c r="AO1966" s="7"/>
      <c r="AP1966" s="7"/>
      <c r="AQ1966" s="7"/>
      <c r="AR1966" s="7"/>
      <c r="AS1966" s="7"/>
    </row>
    <row r="1967" spans="1:45" x14ac:dyDescent="0.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Q1967" s="7"/>
      <c r="R1967" s="7"/>
      <c r="S1967" s="7"/>
      <c r="T1967" s="7"/>
      <c r="U1967" s="7"/>
      <c r="V1967" s="7"/>
      <c r="AC1967" s="7"/>
      <c r="AD1967" s="7"/>
      <c r="AE1967" s="7"/>
      <c r="AF1967" s="7"/>
      <c r="AG1967" s="7"/>
      <c r="AO1967" s="7"/>
      <c r="AP1967" s="7"/>
      <c r="AQ1967" s="7"/>
      <c r="AR1967" s="7"/>
      <c r="AS1967" s="7"/>
    </row>
    <row r="1968" spans="1:45" x14ac:dyDescent="0.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Q1968" s="7"/>
      <c r="R1968" s="7"/>
      <c r="S1968" s="7"/>
      <c r="T1968" s="7"/>
      <c r="U1968" s="7"/>
      <c r="V1968" s="7"/>
      <c r="AC1968" s="7"/>
      <c r="AD1968" s="7"/>
      <c r="AE1968" s="7"/>
      <c r="AF1968" s="7"/>
      <c r="AG1968" s="7"/>
      <c r="AO1968" s="7"/>
      <c r="AP1968" s="7"/>
      <c r="AQ1968" s="7"/>
      <c r="AR1968" s="7"/>
      <c r="AS1968" s="7"/>
    </row>
    <row r="1969" spans="1:45" x14ac:dyDescent="0.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Q1969" s="7"/>
      <c r="R1969" s="7"/>
      <c r="S1969" s="7"/>
      <c r="T1969" s="7"/>
      <c r="U1969" s="7"/>
      <c r="V1969" s="7"/>
      <c r="AC1969" s="7"/>
      <c r="AD1969" s="7"/>
      <c r="AE1969" s="7"/>
      <c r="AF1969" s="7"/>
      <c r="AG1969" s="7"/>
      <c r="AO1969" s="7"/>
      <c r="AP1969" s="7"/>
      <c r="AQ1969" s="7"/>
      <c r="AR1969" s="7"/>
      <c r="AS1969" s="7"/>
    </row>
    <row r="1970" spans="1:45" x14ac:dyDescent="0.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Q1970" s="7"/>
      <c r="R1970" s="7"/>
      <c r="S1970" s="7"/>
      <c r="T1970" s="7"/>
      <c r="U1970" s="7"/>
      <c r="V1970" s="7"/>
      <c r="AC1970" s="7"/>
      <c r="AD1970" s="7"/>
      <c r="AE1970" s="7"/>
      <c r="AF1970" s="7"/>
      <c r="AG1970" s="7"/>
      <c r="AO1970" s="7"/>
      <c r="AP1970" s="7"/>
      <c r="AQ1970" s="7"/>
      <c r="AR1970" s="7"/>
      <c r="AS1970" s="7"/>
    </row>
    <row r="1971" spans="1:45" x14ac:dyDescent="0.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Q1971" s="7"/>
      <c r="R1971" s="7"/>
      <c r="S1971" s="7"/>
      <c r="T1971" s="7"/>
      <c r="U1971" s="7"/>
      <c r="V1971" s="7"/>
      <c r="AC1971" s="7"/>
      <c r="AD1971" s="7"/>
      <c r="AE1971" s="7"/>
      <c r="AF1971" s="7"/>
      <c r="AG1971" s="7"/>
      <c r="AO1971" s="7"/>
      <c r="AP1971" s="7"/>
      <c r="AQ1971" s="7"/>
      <c r="AR1971" s="7"/>
      <c r="AS1971" s="7"/>
    </row>
    <row r="1972" spans="1:45" x14ac:dyDescent="0.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Q1972" s="7"/>
      <c r="R1972" s="7"/>
      <c r="S1972" s="7"/>
      <c r="T1972" s="7"/>
      <c r="U1972" s="7"/>
      <c r="V1972" s="7"/>
      <c r="AC1972" s="7"/>
      <c r="AD1972" s="7"/>
      <c r="AE1972" s="7"/>
      <c r="AF1972" s="7"/>
      <c r="AG1972" s="7"/>
      <c r="AO1972" s="7"/>
      <c r="AP1972" s="7"/>
      <c r="AQ1972" s="7"/>
      <c r="AR1972" s="7"/>
      <c r="AS1972" s="7"/>
    </row>
    <row r="1973" spans="1:45" x14ac:dyDescent="0.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Q1973" s="7"/>
      <c r="R1973" s="7"/>
      <c r="S1973" s="7"/>
      <c r="T1973" s="7"/>
      <c r="U1973" s="7"/>
      <c r="V1973" s="7"/>
      <c r="AC1973" s="7"/>
      <c r="AD1973" s="7"/>
      <c r="AE1973" s="7"/>
      <c r="AF1973" s="7"/>
      <c r="AG1973" s="7"/>
      <c r="AO1973" s="7"/>
      <c r="AP1973" s="7"/>
      <c r="AQ1973" s="7"/>
      <c r="AR1973" s="7"/>
      <c r="AS1973" s="7"/>
    </row>
    <row r="1974" spans="1:45" x14ac:dyDescent="0.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Q1974" s="7"/>
      <c r="R1974" s="7"/>
      <c r="S1974" s="7"/>
      <c r="T1974" s="7"/>
      <c r="U1974" s="7"/>
      <c r="V1974" s="7"/>
      <c r="AC1974" s="7"/>
      <c r="AD1974" s="7"/>
      <c r="AE1974" s="7"/>
      <c r="AF1974" s="7"/>
      <c r="AG1974" s="7"/>
      <c r="AO1974" s="7"/>
      <c r="AP1974" s="7"/>
      <c r="AQ1974" s="7"/>
      <c r="AR1974" s="7"/>
      <c r="AS1974" s="7"/>
    </row>
    <row r="1975" spans="1:45" x14ac:dyDescent="0.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Q1975" s="7"/>
      <c r="R1975" s="7"/>
      <c r="S1975" s="7"/>
      <c r="T1975" s="7"/>
      <c r="U1975" s="7"/>
      <c r="V1975" s="7"/>
      <c r="AC1975" s="7"/>
      <c r="AD1975" s="7"/>
      <c r="AE1975" s="7"/>
      <c r="AF1975" s="7"/>
      <c r="AG1975" s="7"/>
      <c r="AO1975" s="7"/>
      <c r="AP1975" s="7"/>
      <c r="AQ1975" s="7"/>
      <c r="AR1975" s="7"/>
      <c r="AS1975" s="7"/>
    </row>
    <row r="1976" spans="1:45" x14ac:dyDescent="0.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Q1976" s="7"/>
      <c r="R1976" s="7"/>
      <c r="S1976" s="7"/>
      <c r="T1976" s="7"/>
      <c r="U1976" s="7"/>
      <c r="V1976" s="7"/>
      <c r="AC1976" s="7"/>
      <c r="AD1976" s="7"/>
      <c r="AE1976" s="7"/>
      <c r="AF1976" s="7"/>
      <c r="AG1976" s="7"/>
      <c r="AO1976" s="7"/>
      <c r="AP1976" s="7"/>
      <c r="AQ1976" s="7"/>
      <c r="AR1976" s="7"/>
      <c r="AS1976" s="7"/>
    </row>
    <row r="1977" spans="1:45" x14ac:dyDescent="0.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Q1977" s="7"/>
      <c r="R1977" s="7"/>
      <c r="S1977" s="7"/>
      <c r="T1977" s="7"/>
      <c r="U1977" s="7"/>
      <c r="V1977" s="7"/>
      <c r="AC1977" s="7"/>
      <c r="AD1977" s="7"/>
      <c r="AE1977" s="7"/>
      <c r="AF1977" s="7"/>
      <c r="AG1977" s="7"/>
      <c r="AO1977" s="7"/>
      <c r="AP1977" s="7"/>
      <c r="AQ1977" s="7"/>
      <c r="AR1977" s="7"/>
      <c r="AS1977" s="7"/>
    </row>
    <row r="1978" spans="1:45" x14ac:dyDescent="0.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Q1978" s="7"/>
      <c r="R1978" s="7"/>
      <c r="S1978" s="7"/>
      <c r="T1978" s="7"/>
      <c r="U1978" s="7"/>
      <c r="V1978" s="7"/>
      <c r="AC1978" s="7"/>
      <c r="AD1978" s="7"/>
      <c r="AE1978" s="7"/>
      <c r="AF1978" s="7"/>
      <c r="AG1978" s="7"/>
      <c r="AO1978" s="7"/>
      <c r="AP1978" s="7"/>
      <c r="AQ1978" s="7"/>
      <c r="AR1978" s="7"/>
      <c r="AS1978" s="7"/>
    </row>
    <row r="1979" spans="1:45" x14ac:dyDescent="0.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Q1979" s="7"/>
      <c r="R1979" s="7"/>
      <c r="S1979" s="7"/>
      <c r="T1979" s="7"/>
      <c r="U1979" s="7"/>
      <c r="V1979" s="7"/>
      <c r="AC1979" s="7"/>
      <c r="AD1979" s="7"/>
      <c r="AE1979" s="7"/>
      <c r="AF1979" s="7"/>
      <c r="AG1979" s="7"/>
      <c r="AO1979" s="7"/>
      <c r="AP1979" s="7"/>
      <c r="AQ1979" s="7"/>
      <c r="AR1979" s="7"/>
      <c r="AS1979" s="7"/>
    </row>
    <row r="1980" spans="1:45" x14ac:dyDescent="0.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Q1980" s="7"/>
      <c r="R1980" s="7"/>
      <c r="S1980" s="7"/>
      <c r="T1980" s="7"/>
      <c r="U1980" s="7"/>
      <c r="V1980" s="7"/>
      <c r="AC1980" s="7"/>
      <c r="AD1980" s="7"/>
      <c r="AE1980" s="7"/>
      <c r="AF1980" s="7"/>
      <c r="AG1980" s="7"/>
      <c r="AO1980" s="7"/>
      <c r="AP1980" s="7"/>
      <c r="AQ1980" s="7"/>
      <c r="AR1980" s="7"/>
      <c r="AS1980" s="7"/>
    </row>
    <row r="1981" spans="1:45" x14ac:dyDescent="0.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Q1981" s="7"/>
      <c r="R1981" s="7"/>
      <c r="S1981" s="7"/>
      <c r="T1981" s="7"/>
      <c r="U1981" s="7"/>
      <c r="V1981" s="7"/>
      <c r="AC1981" s="7"/>
      <c r="AD1981" s="7"/>
      <c r="AE1981" s="7"/>
      <c r="AF1981" s="7"/>
      <c r="AG1981" s="7"/>
      <c r="AO1981" s="7"/>
      <c r="AP1981" s="7"/>
      <c r="AQ1981" s="7"/>
      <c r="AR1981" s="7"/>
      <c r="AS1981" s="7"/>
    </row>
    <row r="1982" spans="1:45" x14ac:dyDescent="0.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Q1982" s="7"/>
      <c r="R1982" s="7"/>
      <c r="S1982" s="7"/>
      <c r="T1982" s="7"/>
      <c r="U1982" s="7"/>
      <c r="V1982" s="7"/>
      <c r="AC1982" s="7"/>
      <c r="AD1982" s="7"/>
      <c r="AE1982" s="7"/>
      <c r="AF1982" s="7"/>
      <c r="AG1982" s="7"/>
      <c r="AO1982" s="7"/>
      <c r="AP1982" s="7"/>
      <c r="AQ1982" s="7"/>
      <c r="AR1982" s="7"/>
      <c r="AS1982" s="7"/>
    </row>
    <row r="1983" spans="1:45" x14ac:dyDescent="0.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Q1983" s="7"/>
      <c r="R1983" s="7"/>
      <c r="S1983" s="7"/>
      <c r="T1983" s="7"/>
      <c r="U1983" s="7"/>
      <c r="V1983" s="7"/>
      <c r="AC1983" s="7"/>
      <c r="AD1983" s="7"/>
      <c r="AE1983" s="7"/>
      <c r="AF1983" s="7"/>
      <c r="AG1983" s="7"/>
      <c r="AO1983" s="7"/>
      <c r="AP1983" s="7"/>
      <c r="AQ1983" s="7"/>
      <c r="AR1983" s="7"/>
      <c r="AS1983" s="7"/>
    </row>
    <row r="1984" spans="1:45" x14ac:dyDescent="0.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Q1984" s="7"/>
      <c r="R1984" s="7"/>
      <c r="S1984" s="7"/>
      <c r="T1984" s="7"/>
      <c r="U1984" s="7"/>
      <c r="V1984" s="7"/>
      <c r="AC1984" s="7"/>
      <c r="AD1984" s="7"/>
      <c r="AE1984" s="7"/>
      <c r="AF1984" s="7"/>
      <c r="AG1984" s="7"/>
      <c r="AO1984" s="7"/>
      <c r="AP1984" s="7"/>
      <c r="AQ1984" s="7"/>
      <c r="AR1984" s="7"/>
      <c r="AS1984" s="7"/>
    </row>
    <row r="1985" spans="1:45" x14ac:dyDescent="0.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Q1985" s="7"/>
      <c r="R1985" s="7"/>
      <c r="S1985" s="7"/>
      <c r="T1985" s="7"/>
      <c r="U1985" s="7"/>
      <c r="V1985" s="7"/>
      <c r="AC1985" s="7"/>
      <c r="AD1985" s="7"/>
      <c r="AE1985" s="7"/>
      <c r="AF1985" s="7"/>
      <c r="AG1985" s="7"/>
      <c r="AO1985" s="7"/>
      <c r="AP1985" s="7"/>
      <c r="AQ1985" s="7"/>
      <c r="AR1985" s="7"/>
      <c r="AS1985" s="7"/>
    </row>
    <row r="1986" spans="1:45" x14ac:dyDescent="0.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Q1986" s="7"/>
      <c r="R1986" s="7"/>
      <c r="S1986" s="7"/>
      <c r="T1986" s="7"/>
      <c r="U1986" s="7"/>
      <c r="V1986" s="7"/>
      <c r="AC1986" s="7"/>
      <c r="AD1986" s="7"/>
      <c r="AE1986" s="7"/>
      <c r="AF1986" s="7"/>
      <c r="AG1986" s="7"/>
      <c r="AO1986" s="7"/>
      <c r="AP1986" s="7"/>
      <c r="AQ1986" s="7"/>
      <c r="AR1986" s="7"/>
      <c r="AS1986" s="7"/>
    </row>
    <row r="1987" spans="1:45" x14ac:dyDescent="0.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Q1987" s="7"/>
      <c r="R1987" s="7"/>
      <c r="S1987" s="7"/>
      <c r="T1987" s="7"/>
      <c r="U1987" s="7"/>
      <c r="V1987" s="7"/>
      <c r="AC1987" s="7"/>
      <c r="AD1987" s="7"/>
      <c r="AE1987" s="7"/>
      <c r="AF1987" s="7"/>
      <c r="AG1987" s="7"/>
      <c r="AO1987" s="7"/>
      <c r="AP1987" s="7"/>
      <c r="AQ1987" s="7"/>
      <c r="AR1987" s="7"/>
      <c r="AS1987" s="7"/>
    </row>
    <row r="1988" spans="1:45" x14ac:dyDescent="0.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Q1988" s="7"/>
      <c r="R1988" s="7"/>
      <c r="S1988" s="7"/>
      <c r="T1988" s="7"/>
      <c r="U1988" s="7"/>
      <c r="V1988" s="7"/>
      <c r="AC1988" s="7"/>
      <c r="AD1988" s="7"/>
      <c r="AE1988" s="7"/>
      <c r="AF1988" s="7"/>
      <c r="AG1988" s="7"/>
      <c r="AO1988" s="7"/>
      <c r="AP1988" s="7"/>
      <c r="AQ1988" s="7"/>
      <c r="AR1988" s="7"/>
      <c r="AS1988" s="7"/>
    </row>
    <row r="1989" spans="1:45" x14ac:dyDescent="0.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Q1989" s="7"/>
      <c r="R1989" s="7"/>
      <c r="S1989" s="7"/>
      <c r="T1989" s="7"/>
      <c r="U1989" s="7"/>
      <c r="V1989" s="7"/>
      <c r="AC1989" s="7"/>
      <c r="AD1989" s="7"/>
      <c r="AE1989" s="7"/>
      <c r="AF1989" s="7"/>
      <c r="AG1989" s="7"/>
      <c r="AO1989" s="7"/>
      <c r="AP1989" s="7"/>
      <c r="AQ1989" s="7"/>
      <c r="AR1989" s="7"/>
      <c r="AS1989" s="7"/>
    </row>
    <row r="1990" spans="1:45" x14ac:dyDescent="0.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Q1990" s="7"/>
      <c r="R1990" s="7"/>
      <c r="S1990" s="7"/>
      <c r="T1990" s="7"/>
      <c r="U1990" s="7"/>
      <c r="V1990" s="7"/>
      <c r="AC1990" s="7"/>
      <c r="AD1990" s="7"/>
      <c r="AE1990" s="7"/>
      <c r="AF1990" s="7"/>
      <c r="AG1990" s="7"/>
      <c r="AO1990" s="7"/>
      <c r="AP1990" s="7"/>
      <c r="AQ1990" s="7"/>
      <c r="AR1990" s="7"/>
      <c r="AS1990" s="7"/>
    </row>
    <row r="1991" spans="1:45" x14ac:dyDescent="0.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Q1991" s="7"/>
      <c r="R1991" s="7"/>
      <c r="S1991" s="7"/>
      <c r="T1991" s="7"/>
      <c r="U1991" s="7"/>
      <c r="V1991" s="7"/>
      <c r="AC1991" s="7"/>
      <c r="AD1991" s="7"/>
      <c r="AE1991" s="7"/>
      <c r="AF1991" s="7"/>
      <c r="AG1991" s="7"/>
      <c r="AO1991" s="7"/>
      <c r="AP1991" s="7"/>
      <c r="AQ1991" s="7"/>
      <c r="AR1991" s="7"/>
      <c r="AS1991" s="7"/>
    </row>
    <row r="1992" spans="1:45" x14ac:dyDescent="0.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Q1992" s="7"/>
      <c r="R1992" s="7"/>
      <c r="S1992" s="7"/>
      <c r="T1992" s="7"/>
      <c r="U1992" s="7"/>
      <c r="V1992" s="7"/>
      <c r="AC1992" s="7"/>
      <c r="AD1992" s="7"/>
      <c r="AE1992" s="7"/>
      <c r="AF1992" s="7"/>
      <c r="AG1992" s="7"/>
      <c r="AO1992" s="7"/>
      <c r="AP1992" s="7"/>
      <c r="AQ1992" s="7"/>
      <c r="AR1992" s="7"/>
      <c r="AS1992" s="7"/>
    </row>
    <row r="1993" spans="1:45" x14ac:dyDescent="0.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Q1993" s="7"/>
      <c r="R1993" s="7"/>
      <c r="S1993" s="7"/>
      <c r="T1993" s="7"/>
      <c r="U1993" s="7"/>
      <c r="V1993" s="7"/>
      <c r="AC1993" s="7"/>
      <c r="AD1993" s="7"/>
      <c r="AE1993" s="7"/>
      <c r="AF1993" s="7"/>
      <c r="AG1993" s="7"/>
      <c r="AO1993" s="7"/>
      <c r="AP1993" s="7"/>
      <c r="AQ1993" s="7"/>
      <c r="AR1993" s="7"/>
      <c r="AS1993" s="7"/>
    </row>
    <row r="1994" spans="1:45" x14ac:dyDescent="0.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Q1994" s="7"/>
      <c r="R1994" s="7"/>
      <c r="S1994" s="7"/>
      <c r="T1994" s="7"/>
      <c r="U1994" s="7"/>
      <c r="V1994" s="7"/>
      <c r="AC1994" s="7"/>
      <c r="AD1994" s="7"/>
      <c r="AE1994" s="7"/>
      <c r="AF1994" s="7"/>
      <c r="AG1994" s="7"/>
      <c r="AO1994" s="7"/>
      <c r="AP1994" s="7"/>
      <c r="AQ1994" s="7"/>
      <c r="AR1994" s="7"/>
      <c r="AS1994" s="7"/>
    </row>
    <row r="1995" spans="1:45" x14ac:dyDescent="0.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Q1995" s="7"/>
      <c r="R1995" s="7"/>
      <c r="S1995" s="7"/>
      <c r="T1995" s="7"/>
      <c r="U1995" s="7"/>
      <c r="V1995" s="7"/>
      <c r="AC1995" s="7"/>
      <c r="AD1995" s="7"/>
      <c r="AE1995" s="7"/>
      <c r="AF1995" s="7"/>
      <c r="AG1995" s="7"/>
      <c r="AO1995" s="7"/>
      <c r="AP1995" s="7"/>
      <c r="AQ1995" s="7"/>
      <c r="AR1995" s="7"/>
      <c r="AS1995" s="7"/>
    </row>
    <row r="1996" spans="1:45" x14ac:dyDescent="0.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Q1996" s="7"/>
      <c r="R1996" s="7"/>
      <c r="S1996" s="7"/>
      <c r="T1996" s="7"/>
      <c r="U1996" s="7"/>
      <c r="V1996" s="7"/>
      <c r="AC1996" s="7"/>
      <c r="AD1996" s="7"/>
      <c r="AE1996" s="7"/>
      <c r="AF1996" s="7"/>
      <c r="AG1996" s="7"/>
      <c r="AO1996" s="7"/>
      <c r="AP1996" s="7"/>
      <c r="AQ1996" s="7"/>
      <c r="AR1996" s="7"/>
      <c r="AS1996" s="7"/>
    </row>
    <row r="1997" spans="1:45" x14ac:dyDescent="0.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Q1997" s="7"/>
      <c r="R1997" s="7"/>
      <c r="S1997" s="7"/>
      <c r="T1997" s="7"/>
      <c r="U1997" s="7"/>
      <c r="V1997" s="7"/>
      <c r="AC1997" s="7"/>
      <c r="AD1997" s="7"/>
      <c r="AE1997" s="7"/>
      <c r="AF1997" s="7"/>
      <c r="AG1997" s="7"/>
      <c r="AO1997" s="7"/>
      <c r="AP1997" s="7"/>
      <c r="AQ1997" s="7"/>
      <c r="AR1997" s="7"/>
      <c r="AS1997" s="7"/>
    </row>
    <row r="1998" spans="1:45" x14ac:dyDescent="0.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Q1998" s="7"/>
      <c r="R1998" s="7"/>
      <c r="S1998" s="7"/>
      <c r="T1998" s="7"/>
      <c r="U1998" s="7"/>
      <c r="V1998" s="7"/>
      <c r="AC1998" s="7"/>
      <c r="AD1998" s="7"/>
      <c r="AE1998" s="7"/>
      <c r="AF1998" s="7"/>
      <c r="AG1998" s="7"/>
      <c r="AO1998" s="7"/>
      <c r="AP1998" s="7"/>
      <c r="AQ1998" s="7"/>
      <c r="AR1998" s="7"/>
      <c r="AS1998" s="7"/>
    </row>
    <row r="1999" spans="1:45" x14ac:dyDescent="0.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Q1999" s="7"/>
      <c r="R1999" s="7"/>
      <c r="S1999" s="7"/>
      <c r="T1999" s="7"/>
      <c r="U1999" s="7"/>
      <c r="V1999" s="7"/>
      <c r="AC1999" s="7"/>
      <c r="AD1999" s="7"/>
      <c r="AE1999" s="7"/>
      <c r="AF1999" s="7"/>
      <c r="AG1999" s="7"/>
      <c r="AO1999" s="7"/>
      <c r="AP1999" s="7"/>
      <c r="AQ1999" s="7"/>
      <c r="AR1999" s="7"/>
      <c r="AS1999" s="7"/>
    </row>
    <row r="2000" spans="1:45" x14ac:dyDescent="0.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Q2000" s="7"/>
      <c r="R2000" s="7"/>
      <c r="S2000" s="7"/>
      <c r="T2000" s="7"/>
      <c r="U2000" s="7"/>
      <c r="V2000" s="7"/>
      <c r="AC2000" s="7"/>
      <c r="AD2000" s="7"/>
      <c r="AE2000" s="7"/>
      <c r="AF2000" s="7"/>
      <c r="AG2000" s="7"/>
      <c r="AO2000" s="7"/>
      <c r="AP2000" s="7"/>
      <c r="AQ2000" s="7"/>
      <c r="AR2000" s="7"/>
      <c r="AS2000" s="7"/>
    </row>
    <row r="2001" spans="1:45" x14ac:dyDescent="0.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Q2001" s="7"/>
      <c r="R2001" s="7"/>
      <c r="S2001" s="7"/>
      <c r="T2001" s="7"/>
      <c r="U2001" s="7"/>
      <c r="V2001" s="7"/>
      <c r="AC2001" s="7"/>
      <c r="AD2001" s="7"/>
      <c r="AE2001" s="7"/>
      <c r="AF2001" s="7"/>
      <c r="AG2001" s="7"/>
      <c r="AO2001" s="7"/>
      <c r="AP2001" s="7"/>
      <c r="AQ2001" s="7"/>
      <c r="AR2001" s="7"/>
      <c r="AS2001" s="7"/>
    </row>
    <row r="2002" spans="1:45" x14ac:dyDescent="0.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Q2002" s="7"/>
      <c r="R2002" s="7"/>
      <c r="S2002" s="7"/>
      <c r="T2002" s="7"/>
      <c r="U2002" s="7"/>
      <c r="V2002" s="7"/>
      <c r="AC2002" s="7"/>
      <c r="AD2002" s="7"/>
      <c r="AE2002" s="7"/>
      <c r="AF2002" s="7"/>
      <c r="AG2002" s="7"/>
      <c r="AO2002" s="7"/>
      <c r="AP2002" s="7"/>
      <c r="AQ2002" s="7"/>
      <c r="AR2002" s="7"/>
      <c r="AS2002" s="7"/>
    </row>
    <row r="2003" spans="1:45" x14ac:dyDescent="0.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Q2003" s="7"/>
      <c r="R2003" s="7"/>
      <c r="S2003" s="7"/>
      <c r="T2003" s="7"/>
      <c r="U2003" s="7"/>
      <c r="V2003" s="7"/>
      <c r="AC2003" s="7"/>
      <c r="AD2003" s="7"/>
      <c r="AE2003" s="7"/>
      <c r="AF2003" s="7"/>
      <c r="AG2003" s="7"/>
      <c r="AO2003" s="7"/>
      <c r="AP2003" s="7"/>
      <c r="AQ2003" s="7"/>
      <c r="AR2003" s="7"/>
      <c r="AS2003" s="7"/>
    </row>
    <row r="2004" spans="1:45" x14ac:dyDescent="0.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Q2004" s="7"/>
      <c r="R2004" s="7"/>
      <c r="S2004" s="7"/>
      <c r="T2004" s="7"/>
      <c r="U2004" s="7"/>
      <c r="V2004" s="7"/>
      <c r="AC2004" s="7"/>
      <c r="AD2004" s="7"/>
      <c r="AE2004" s="7"/>
      <c r="AF2004" s="7"/>
      <c r="AG2004" s="7"/>
      <c r="AO2004" s="7"/>
      <c r="AP2004" s="7"/>
      <c r="AQ2004" s="7"/>
      <c r="AR2004" s="7"/>
      <c r="AS2004" s="7"/>
    </row>
    <row r="2005" spans="1:45" x14ac:dyDescent="0.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Q2005" s="7"/>
      <c r="R2005" s="7"/>
      <c r="S2005" s="7"/>
      <c r="T2005" s="7"/>
      <c r="U2005" s="7"/>
      <c r="V2005" s="7"/>
      <c r="AC2005" s="7"/>
      <c r="AD2005" s="7"/>
      <c r="AE2005" s="7"/>
      <c r="AF2005" s="7"/>
      <c r="AG2005" s="7"/>
      <c r="AO2005" s="7"/>
      <c r="AP2005" s="7"/>
      <c r="AQ2005" s="7"/>
      <c r="AR2005" s="7"/>
      <c r="AS2005" s="7"/>
    </row>
    <row r="2006" spans="1:45" x14ac:dyDescent="0.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Q2006" s="7"/>
      <c r="R2006" s="7"/>
      <c r="S2006" s="7"/>
      <c r="T2006" s="7"/>
      <c r="U2006" s="7"/>
      <c r="V2006" s="7"/>
      <c r="AC2006" s="7"/>
      <c r="AD2006" s="7"/>
      <c r="AE2006" s="7"/>
      <c r="AF2006" s="7"/>
      <c r="AG2006" s="7"/>
      <c r="AO2006" s="7"/>
      <c r="AP2006" s="7"/>
      <c r="AQ2006" s="7"/>
      <c r="AR2006" s="7"/>
      <c r="AS2006" s="7"/>
    </row>
    <row r="2007" spans="1:45" x14ac:dyDescent="0.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Q2007" s="7"/>
      <c r="R2007" s="7"/>
      <c r="S2007" s="7"/>
      <c r="T2007" s="7"/>
      <c r="U2007" s="7"/>
      <c r="V2007" s="7"/>
      <c r="AC2007" s="7"/>
      <c r="AD2007" s="7"/>
      <c r="AE2007" s="7"/>
      <c r="AF2007" s="7"/>
      <c r="AG2007" s="7"/>
      <c r="AO2007" s="7"/>
      <c r="AP2007" s="7"/>
      <c r="AQ2007" s="7"/>
      <c r="AR2007" s="7"/>
      <c r="AS2007" s="7"/>
    </row>
    <row r="2008" spans="1:45" x14ac:dyDescent="0.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Q2008" s="7"/>
      <c r="R2008" s="7"/>
      <c r="S2008" s="7"/>
      <c r="T2008" s="7"/>
      <c r="U2008" s="7"/>
      <c r="V2008" s="7"/>
      <c r="AC2008" s="7"/>
      <c r="AD2008" s="7"/>
      <c r="AE2008" s="7"/>
      <c r="AF2008" s="7"/>
      <c r="AG2008" s="7"/>
      <c r="AO2008" s="7"/>
      <c r="AP2008" s="7"/>
      <c r="AQ2008" s="7"/>
      <c r="AR2008" s="7"/>
      <c r="AS2008" s="7"/>
    </row>
    <row r="2009" spans="1:45" x14ac:dyDescent="0.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Q2009" s="7"/>
      <c r="R2009" s="7"/>
      <c r="S2009" s="7"/>
      <c r="T2009" s="7"/>
      <c r="U2009" s="7"/>
      <c r="V2009" s="7"/>
      <c r="AC2009" s="7"/>
      <c r="AD2009" s="7"/>
      <c r="AE2009" s="7"/>
      <c r="AF2009" s="7"/>
      <c r="AG2009" s="7"/>
      <c r="AO2009" s="7"/>
      <c r="AP2009" s="7"/>
      <c r="AQ2009" s="7"/>
      <c r="AR2009" s="7"/>
      <c r="AS2009" s="7"/>
    </row>
    <row r="2010" spans="1:45" x14ac:dyDescent="0.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Q2010" s="7"/>
      <c r="R2010" s="7"/>
      <c r="S2010" s="7"/>
      <c r="T2010" s="7"/>
      <c r="U2010" s="7"/>
      <c r="V2010" s="7"/>
      <c r="AC2010" s="7"/>
      <c r="AD2010" s="7"/>
      <c r="AE2010" s="7"/>
      <c r="AF2010" s="7"/>
      <c r="AG2010" s="7"/>
      <c r="AO2010" s="7"/>
      <c r="AP2010" s="7"/>
      <c r="AQ2010" s="7"/>
      <c r="AR2010" s="7"/>
      <c r="AS2010" s="7"/>
    </row>
    <row r="2011" spans="1:45" x14ac:dyDescent="0.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Q2011" s="7"/>
      <c r="R2011" s="7"/>
      <c r="S2011" s="7"/>
      <c r="T2011" s="7"/>
      <c r="U2011" s="7"/>
      <c r="V2011" s="7"/>
      <c r="AC2011" s="7"/>
      <c r="AD2011" s="7"/>
      <c r="AE2011" s="7"/>
      <c r="AF2011" s="7"/>
      <c r="AG2011" s="7"/>
      <c r="AO2011" s="7"/>
      <c r="AP2011" s="7"/>
      <c r="AQ2011" s="7"/>
      <c r="AR2011" s="7"/>
      <c r="AS2011" s="7"/>
    </row>
    <row r="2012" spans="1:45" x14ac:dyDescent="0.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Q2012" s="7"/>
      <c r="R2012" s="7"/>
      <c r="S2012" s="7"/>
      <c r="T2012" s="7"/>
      <c r="U2012" s="7"/>
      <c r="V2012" s="7"/>
      <c r="AC2012" s="7"/>
      <c r="AD2012" s="7"/>
      <c r="AE2012" s="7"/>
      <c r="AF2012" s="7"/>
      <c r="AG2012" s="7"/>
      <c r="AO2012" s="7"/>
      <c r="AP2012" s="7"/>
      <c r="AQ2012" s="7"/>
      <c r="AR2012" s="7"/>
      <c r="AS2012" s="7"/>
    </row>
    <row r="2013" spans="1:45" x14ac:dyDescent="0.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Q2013" s="7"/>
      <c r="R2013" s="7"/>
      <c r="S2013" s="7"/>
      <c r="T2013" s="7"/>
      <c r="U2013" s="7"/>
      <c r="V2013" s="7"/>
      <c r="AC2013" s="7"/>
      <c r="AD2013" s="7"/>
      <c r="AE2013" s="7"/>
      <c r="AF2013" s="7"/>
      <c r="AG2013" s="7"/>
      <c r="AO2013" s="7"/>
      <c r="AP2013" s="7"/>
      <c r="AQ2013" s="7"/>
      <c r="AR2013" s="7"/>
      <c r="AS2013" s="7"/>
    </row>
    <row r="2014" spans="1:45" x14ac:dyDescent="0.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Q2014" s="7"/>
      <c r="R2014" s="7"/>
      <c r="S2014" s="7"/>
      <c r="T2014" s="7"/>
      <c r="U2014" s="7"/>
      <c r="V2014" s="7"/>
      <c r="AC2014" s="7"/>
      <c r="AD2014" s="7"/>
      <c r="AE2014" s="7"/>
      <c r="AF2014" s="7"/>
      <c r="AG2014" s="7"/>
      <c r="AO2014" s="7"/>
      <c r="AP2014" s="7"/>
      <c r="AQ2014" s="7"/>
      <c r="AR2014" s="7"/>
      <c r="AS2014" s="7"/>
    </row>
    <row r="2015" spans="1:45" x14ac:dyDescent="0.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Q2015" s="7"/>
      <c r="R2015" s="7"/>
      <c r="S2015" s="7"/>
      <c r="T2015" s="7"/>
      <c r="U2015" s="7"/>
      <c r="V2015" s="7"/>
      <c r="AC2015" s="7"/>
      <c r="AD2015" s="7"/>
      <c r="AE2015" s="7"/>
      <c r="AF2015" s="7"/>
      <c r="AG2015" s="7"/>
      <c r="AO2015" s="7"/>
      <c r="AP2015" s="7"/>
      <c r="AQ2015" s="7"/>
      <c r="AR2015" s="7"/>
      <c r="AS2015" s="7"/>
    </row>
    <row r="2016" spans="1:45" x14ac:dyDescent="0.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Q2016" s="7"/>
      <c r="R2016" s="7"/>
      <c r="S2016" s="7"/>
      <c r="T2016" s="7"/>
      <c r="U2016" s="7"/>
      <c r="V2016" s="7"/>
      <c r="AC2016" s="7"/>
      <c r="AD2016" s="7"/>
      <c r="AE2016" s="7"/>
      <c r="AF2016" s="7"/>
      <c r="AG2016" s="7"/>
      <c r="AO2016" s="7"/>
      <c r="AP2016" s="7"/>
      <c r="AQ2016" s="7"/>
      <c r="AR2016" s="7"/>
      <c r="AS2016" s="7"/>
    </row>
    <row r="2017" spans="1:45" x14ac:dyDescent="0.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Q2017" s="7"/>
      <c r="R2017" s="7"/>
      <c r="S2017" s="7"/>
      <c r="T2017" s="7"/>
      <c r="U2017" s="7"/>
      <c r="V2017" s="7"/>
      <c r="AC2017" s="7"/>
      <c r="AD2017" s="7"/>
      <c r="AE2017" s="7"/>
      <c r="AF2017" s="7"/>
      <c r="AG2017" s="7"/>
      <c r="AO2017" s="7"/>
      <c r="AP2017" s="7"/>
      <c r="AQ2017" s="7"/>
      <c r="AR2017" s="7"/>
      <c r="AS2017" s="7"/>
    </row>
    <row r="2018" spans="1:45" x14ac:dyDescent="0.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Q2018" s="7"/>
      <c r="R2018" s="7"/>
      <c r="S2018" s="7"/>
      <c r="T2018" s="7"/>
      <c r="U2018" s="7"/>
      <c r="V2018" s="7"/>
      <c r="AC2018" s="7"/>
      <c r="AD2018" s="7"/>
      <c r="AE2018" s="7"/>
      <c r="AF2018" s="7"/>
      <c r="AG2018" s="7"/>
      <c r="AO2018" s="7"/>
      <c r="AP2018" s="7"/>
      <c r="AQ2018" s="7"/>
      <c r="AR2018" s="7"/>
      <c r="AS2018" s="7"/>
    </row>
    <row r="2019" spans="1:45" x14ac:dyDescent="0.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Q2019" s="7"/>
      <c r="R2019" s="7"/>
      <c r="S2019" s="7"/>
      <c r="T2019" s="7"/>
      <c r="U2019" s="7"/>
      <c r="V2019" s="7"/>
      <c r="AC2019" s="7"/>
      <c r="AD2019" s="7"/>
      <c r="AE2019" s="7"/>
      <c r="AF2019" s="7"/>
      <c r="AG2019" s="7"/>
      <c r="AO2019" s="7"/>
      <c r="AP2019" s="7"/>
      <c r="AQ2019" s="7"/>
      <c r="AR2019" s="7"/>
      <c r="AS2019" s="7"/>
    </row>
    <row r="2020" spans="1:45" x14ac:dyDescent="0.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Q2020" s="7"/>
      <c r="R2020" s="7"/>
      <c r="S2020" s="7"/>
      <c r="T2020" s="7"/>
      <c r="U2020" s="7"/>
      <c r="V2020" s="7"/>
      <c r="AC2020" s="7"/>
      <c r="AD2020" s="7"/>
      <c r="AE2020" s="7"/>
      <c r="AF2020" s="7"/>
      <c r="AG2020" s="7"/>
      <c r="AO2020" s="7"/>
      <c r="AP2020" s="7"/>
      <c r="AQ2020" s="7"/>
      <c r="AR2020" s="7"/>
      <c r="AS2020" s="7"/>
    </row>
    <row r="2021" spans="1:45" x14ac:dyDescent="0.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Q2021" s="7"/>
      <c r="R2021" s="7"/>
      <c r="S2021" s="7"/>
      <c r="T2021" s="7"/>
      <c r="U2021" s="7"/>
      <c r="V2021" s="7"/>
      <c r="AC2021" s="7"/>
      <c r="AD2021" s="7"/>
      <c r="AE2021" s="7"/>
      <c r="AF2021" s="7"/>
      <c r="AG2021" s="7"/>
      <c r="AO2021" s="7"/>
      <c r="AP2021" s="7"/>
      <c r="AQ2021" s="7"/>
      <c r="AR2021" s="7"/>
      <c r="AS2021" s="7"/>
    </row>
    <row r="2022" spans="1:45" x14ac:dyDescent="0.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Q2022" s="7"/>
      <c r="R2022" s="7"/>
      <c r="S2022" s="7"/>
      <c r="T2022" s="7"/>
      <c r="U2022" s="7"/>
      <c r="V2022" s="7"/>
      <c r="AC2022" s="7"/>
      <c r="AD2022" s="7"/>
      <c r="AE2022" s="7"/>
      <c r="AF2022" s="7"/>
      <c r="AG2022" s="7"/>
      <c r="AO2022" s="7"/>
      <c r="AP2022" s="7"/>
      <c r="AQ2022" s="7"/>
      <c r="AR2022" s="7"/>
      <c r="AS2022" s="7"/>
    </row>
    <row r="2023" spans="1:45" x14ac:dyDescent="0.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Q2023" s="7"/>
      <c r="R2023" s="7"/>
      <c r="S2023" s="7"/>
      <c r="T2023" s="7"/>
      <c r="U2023" s="7"/>
      <c r="V2023" s="7"/>
      <c r="AC2023" s="7"/>
      <c r="AD2023" s="7"/>
      <c r="AE2023" s="7"/>
      <c r="AF2023" s="7"/>
      <c r="AG2023" s="7"/>
      <c r="AO2023" s="7"/>
      <c r="AP2023" s="7"/>
      <c r="AQ2023" s="7"/>
      <c r="AR2023" s="7"/>
      <c r="AS2023" s="7"/>
    </row>
    <row r="2024" spans="1:45" x14ac:dyDescent="0.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Q2024" s="7"/>
      <c r="R2024" s="7"/>
      <c r="S2024" s="7"/>
      <c r="T2024" s="7"/>
      <c r="U2024" s="7"/>
      <c r="V2024" s="7"/>
      <c r="AC2024" s="7"/>
      <c r="AD2024" s="7"/>
      <c r="AE2024" s="7"/>
      <c r="AF2024" s="7"/>
      <c r="AG2024" s="7"/>
      <c r="AO2024" s="7"/>
      <c r="AP2024" s="7"/>
      <c r="AQ2024" s="7"/>
      <c r="AR2024" s="7"/>
      <c r="AS2024" s="7"/>
    </row>
    <row r="2025" spans="1:45" x14ac:dyDescent="0.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Q2025" s="7"/>
      <c r="R2025" s="7"/>
      <c r="S2025" s="7"/>
      <c r="T2025" s="7"/>
      <c r="U2025" s="7"/>
      <c r="V2025" s="7"/>
      <c r="AC2025" s="7"/>
      <c r="AD2025" s="7"/>
      <c r="AE2025" s="7"/>
      <c r="AF2025" s="7"/>
      <c r="AG2025" s="7"/>
      <c r="AO2025" s="7"/>
      <c r="AP2025" s="7"/>
      <c r="AQ2025" s="7"/>
      <c r="AR2025" s="7"/>
      <c r="AS2025" s="7"/>
    </row>
    <row r="2026" spans="1:45" x14ac:dyDescent="0.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Q2026" s="7"/>
      <c r="R2026" s="7"/>
      <c r="S2026" s="7"/>
      <c r="T2026" s="7"/>
      <c r="U2026" s="7"/>
      <c r="V2026" s="7"/>
      <c r="AC2026" s="7"/>
      <c r="AD2026" s="7"/>
      <c r="AE2026" s="7"/>
      <c r="AF2026" s="7"/>
      <c r="AG2026" s="7"/>
      <c r="AO2026" s="7"/>
      <c r="AP2026" s="7"/>
      <c r="AQ2026" s="7"/>
      <c r="AR2026" s="7"/>
      <c r="AS2026" s="7"/>
    </row>
    <row r="2027" spans="1:45" x14ac:dyDescent="0.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Q2027" s="7"/>
      <c r="R2027" s="7"/>
      <c r="S2027" s="7"/>
      <c r="T2027" s="7"/>
      <c r="U2027" s="7"/>
      <c r="V2027" s="7"/>
      <c r="AC2027" s="7"/>
      <c r="AD2027" s="7"/>
      <c r="AE2027" s="7"/>
      <c r="AF2027" s="7"/>
      <c r="AG2027" s="7"/>
      <c r="AO2027" s="7"/>
      <c r="AP2027" s="7"/>
      <c r="AQ2027" s="7"/>
      <c r="AR2027" s="7"/>
      <c r="AS2027" s="7"/>
    </row>
    <row r="2028" spans="1:45" x14ac:dyDescent="0.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Q2028" s="7"/>
      <c r="R2028" s="7"/>
      <c r="S2028" s="7"/>
      <c r="T2028" s="7"/>
      <c r="U2028" s="7"/>
      <c r="V2028" s="7"/>
      <c r="AC2028" s="7"/>
      <c r="AD2028" s="7"/>
      <c r="AE2028" s="7"/>
      <c r="AF2028" s="7"/>
      <c r="AG2028" s="7"/>
      <c r="AO2028" s="7"/>
      <c r="AP2028" s="7"/>
      <c r="AQ2028" s="7"/>
      <c r="AR2028" s="7"/>
      <c r="AS2028" s="7"/>
    </row>
    <row r="2029" spans="1:45" x14ac:dyDescent="0.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Q2029" s="7"/>
      <c r="R2029" s="7"/>
      <c r="S2029" s="7"/>
      <c r="T2029" s="7"/>
      <c r="U2029" s="7"/>
      <c r="V2029" s="7"/>
      <c r="AC2029" s="7"/>
      <c r="AD2029" s="7"/>
      <c r="AE2029" s="7"/>
      <c r="AF2029" s="7"/>
      <c r="AG2029" s="7"/>
      <c r="AO2029" s="7"/>
      <c r="AP2029" s="7"/>
      <c r="AQ2029" s="7"/>
      <c r="AR2029" s="7"/>
      <c r="AS2029" s="7"/>
    </row>
    <row r="2030" spans="1:45" x14ac:dyDescent="0.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Q2030" s="7"/>
      <c r="R2030" s="7"/>
      <c r="S2030" s="7"/>
      <c r="T2030" s="7"/>
      <c r="U2030" s="7"/>
      <c r="V2030" s="7"/>
      <c r="AC2030" s="7"/>
      <c r="AD2030" s="7"/>
      <c r="AE2030" s="7"/>
      <c r="AF2030" s="7"/>
      <c r="AG2030" s="7"/>
      <c r="AO2030" s="7"/>
      <c r="AP2030" s="7"/>
      <c r="AQ2030" s="7"/>
      <c r="AR2030" s="7"/>
      <c r="AS2030" s="7"/>
    </row>
    <row r="2031" spans="1:45" x14ac:dyDescent="0.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Q2031" s="7"/>
      <c r="R2031" s="7"/>
      <c r="S2031" s="7"/>
      <c r="T2031" s="7"/>
      <c r="U2031" s="7"/>
      <c r="V2031" s="7"/>
      <c r="AC2031" s="7"/>
      <c r="AD2031" s="7"/>
      <c r="AE2031" s="7"/>
      <c r="AF2031" s="7"/>
      <c r="AG2031" s="7"/>
      <c r="AO2031" s="7"/>
      <c r="AP2031" s="7"/>
      <c r="AQ2031" s="7"/>
      <c r="AR2031" s="7"/>
      <c r="AS2031" s="7"/>
    </row>
    <row r="2032" spans="1:45" x14ac:dyDescent="0.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Q2032" s="7"/>
      <c r="R2032" s="7"/>
      <c r="S2032" s="7"/>
      <c r="T2032" s="7"/>
      <c r="U2032" s="7"/>
      <c r="V2032" s="7"/>
      <c r="AC2032" s="7"/>
      <c r="AD2032" s="7"/>
      <c r="AE2032" s="7"/>
      <c r="AF2032" s="7"/>
      <c r="AG2032" s="7"/>
      <c r="AO2032" s="7"/>
      <c r="AP2032" s="7"/>
      <c r="AQ2032" s="7"/>
      <c r="AR2032" s="7"/>
      <c r="AS2032" s="7"/>
    </row>
    <row r="2033" spans="1:45" x14ac:dyDescent="0.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Q2033" s="7"/>
      <c r="R2033" s="7"/>
      <c r="S2033" s="7"/>
      <c r="T2033" s="7"/>
      <c r="U2033" s="7"/>
      <c r="V2033" s="7"/>
      <c r="AC2033" s="7"/>
      <c r="AD2033" s="7"/>
      <c r="AE2033" s="7"/>
      <c r="AF2033" s="7"/>
      <c r="AG2033" s="7"/>
      <c r="AO2033" s="7"/>
      <c r="AP2033" s="7"/>
      <c r="AQ2033" s="7"/>
      <c r="AR2033" s="7"/>
      <c r="AS2033" s="7"/>
    </row>
    <row r="2034" spans="1:45" x14ac:dyDescent="0.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Q2034" s="7"/>
      <c r="R2034" s="7"/>
      <c r="S2034" s="7"/>
      <c r="T2034" s="7"/>
      <c r="U2034" s="7"/>
      <c r="V2034" s="7"/>
      <c r="AC2034" s="7"/>
      <c r="AD2034" s="7"/>
      <c r="AE2034" s="7"/>
      <c r="AF2034" s="7"/>
      <c r="AG2034" s="7"/>
      <c r="AO2034" s="7"/>
      <c r="AP2034" s="7"/>
      <c r="AQ2034" s="7"/>
      <c r="AR2034" s="7"/>
      <c r="AS2034" s="7"/>
    </row>
    <row r="2035" spans="1:45" x14ac:dyDescent="0.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Q2035" s="7"/>
      <c r="R2035" s="7"/>
      <c r="S2035" s="7"/>
      <c r="T2035" s="7"/>
      <c r="U2035" s="7"/>
      <c r="V2035" s="7"/>
      <c r="AC2035" s="7"/>
      <c r="AD2035" s="7"/>
      <c r="AE2035" s="7"/>
      <c r="AF2035" s="7"/>
      <c r="AG2035" s="7"/>
      <c r="AO2035" s="7"/>
      <c r="AP2035" s="7"/>
      <c r="AQ2035" s="7"/>
      <c r="AR2035" s="7"/>
      <c r="AS2035" s="7"/>
    </row>
    <row r="2036" spans="1:45" x14ac:dyDescent="0.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Q2036" s="7"/>
      <c r="R2036" s="7"/>
      <c r="S2036" s="7"/>
      <c r="T2036" s="7"/>
      <c r="U2036" s="7"/>
      <c r="V2036" s="7"/>
      <c r="AC2036" s="7"/>
      <c r="AD2036" s="7"/>
      <c r="AE2036" s="7"/>
      <c r="AF2036" s="7"/>
      <c r="AG2036" s="7"/>
      <c r="AO2036" s="7"/>
      <c r="AP2036" s="7"/>
      <c r="AQ2036" s="7"/>
      <c r="AR2036" s="7"/>
      <c r="AS2036" s="7"/>
    </row>
    <row r="2037" spans="1:45" x14ac:dyDescent="0.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Q2037" s="7"/>
      <c r="R2037" s="7"/>
      <c r="S2037" s="7"/>
      <c r="T2037" s="7"/>
      <c r="U2037" s="7"/>
      <c r="V2037" s="7"/>
      <c r="AC2037" s="7"/>
      <c r="AD2037" s="7"/>
      <c r="AE2037" s="7"/>
      <c r="AF2037" s="7"/>
      <c r="AG2037" s="7"/>
      <c r="AO2037" s="7"/>
      <c r="AP2037" s="7"/>
      <c r="AQ2037" s="7"/>
      <c r="AR2037" s="7"/>
      <c r="AS2037" s="7"/>
    </row>
    <row r="2038" spans="1:45" x14ac:dyDescent="0.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Q2038" s="7"/>
      <c r="R2038" s="7"/>
      <c r="S2038" s="7"/>
      <c r="T2038" s="7"/>
      <c r="U2038" s="7"/>
      <c r="V2038" s="7"/>
      <c r="AC2038" s="7"/>
      <c r="AD2038" s="7"/>
      <c r="AE2038" s="7"/>
      <c r="AF2038" s="7"/>
      <c r="AG2038" s="7"/>
      <c r="AO2038" s="7"/>
      <c r="AP2038" s="7"/>
      <c r="AQ2038" s="7"/>
      <c r="AR2038" s="7"/>
      <c r="AS2038" s="7"/>
    </row>
    <row r="2039" spans="1:45" x14ac:dyDescent="0.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Q2039" s="7"/>
      <c r="R2039" s="7"/>
      <c r="S2039" s="7"/>
      <c r="T2039" s="7"/>
      <c r="U2039" s="7"/>
      <c r="V2039" s="7"/>
      <c r="AC2039" s="7"/>
      <c r="AD2039" s="7"/>
      <c r="AE2039" s="7"/>
      <c r="AF2039" s="7"/>
      <c r="AG2039" s="7"/>
      <c r="AO2039" s="7"/>
      <c r="AP2039" s="7"/>
      <c r="AQ2039" s="7"/>
      <c r="AR2039" s="7"/>
      <c r="AS2039" s="7"/>
    </row>
    <row r="2040" spans="1:45" x14ac:dyDescent="0.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Q2040" s="7"/>
      <c r="R2040" s="7"/>
      <c r="S2040" s="7"/>
      <c r="T2040" s="7"/>
      <c r="U2040" s="7"/>
      <c r="V2040" s="7"/>
      <c r="AC2040" s="7"/>
      <c r="AD2040" s="7"/>
      <c r="AE2040" s="7"/>
      <c r="AF2040" s="7"/>
      <c r="AG2040" s="7"/>
      <c r="AO2040" s="7"/>
      <c r="AP2040" s="7"/>
      <c r="AQ2040" s="7"/>
      <c r="AR2040" s="7"/>
      <c r="AS2040" s="7"/>
    </row>
    <row r="2041" spans="1:45" x14ac:dyDescent="0.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Q2041" s="7"/>
      <c r="R2041" s="7"/>
      <c r="S2041" s="7"/>
      <c r="T2041" s="7"/>
      <c r="U2041" s="7"/>
      <c r="V2041" s="7"/>
      <c r="AC2041" s="7"/>
      <c r="AD2041" s="7"/>
      <c r="AE2041" s="7"/>
      <c r="AF2041" s="7"/>
      <c r="AG2041" s="7"/>
      <c r="AO2041" s="7"/>
      <c r="AP2041" s="7"/>
      <c r="AQ2041" s="7"/>
      <c r="AR2041" s="7"/>
      <c r="AS2041" s="7"/>
    </row>
    <row r="2042" spans="1:45" x14ac:dyDescent="0.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Q2042" s="7"/>
      <c r="R2042" s="7"/>
      <c r="S2042" s="7"/>
      <c r="T2042" s="7"/>
      <c r="U2042" s="7"/>
      <c r="V2042" s="7"/>
      <c r="AC2042" s="7"/>
      <c r="AD2042" s="7"/>
      <c r="AE2042" s="7"/>
      <c r="AF2042" s="7"/>
      <c r="AG2042" s="7"/>
      <c r="AO2042" s="7"/>
      <c r="AP2042" s="7"/>
      <c r="AQ2042" s="7"/>
      <c r="AR2042" s="7"/>
      <c r="AS2042" s="7"/>
    </row>
    <row r="2043" spans="1:45" x14ac:dyDescent="0.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Q2043" s="7"/>
      <c r="R2043" s="7"/>
      <c r="S2043" s="7"/>
      <c r="T2043" s="7"/>
      <c r="U2043" s="7"/>
      <c r="V2043" s="7"/>
      <c r="AC2043" s="7"/>
      <c r="AD2043" s="7"/>
      <c r="AE2043" s="7"/>
      <c r="AF2043" s="7"/>
      <c r="AG2043" s="7"/>
      <c r="AO2043" s="7"/>
      <c r="AP2043" s="7"/>
      <c r="AQ2043" s="7"/>
      <c r="AR2043" s="7"/>
      <c r="AS2043" s="7"/>
    </row>
    <row r="2044" spans="1:45" x14ac:dyDescent="0.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Q2044" s="7"/>
      <c r="R2044" s="7"/>
      <c r="S2044" s="7"/>
      <c r="T2044" s="7"/>
      <c r="U2044" s="7"/>
      <c r="V2044" s="7"/>
      <c r="AC2044" s="7"/>
      <c r="AD2044" s="7"/>
      <c r="AE2044" s="7"/>
      <c r="AF2044" s="7"/>
      <c r="AG2044" s="7"/>
      <c r="AO2044" s="7"/>
      <c r="AP2044" s="7"/>
      <c r="AQ2044" s="7"/>
      <c r="AR2044" s="7"/>
      <c r="AS2044" s="7"/>
    </row>
    <row r="2045" spans="1:45" x14ac:dyDescent="0.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Q2045" s="7"/>
      <c r="R2045" s="7"/>
      <c r="S2045" s="7"/>
      <c r="T2045" s="7"/>
      <c r="U2045" s="7"/>
      <c r="V2045" s="7"/>
      <c r="AC2045" s="7"/>
      <c r="AD2045" s="7"/>
      <c r="AE2045" s="7"/>
      <c r="AF2045" s="7"/>
      <c r="AG2045" s="7"/>
      <c r="AO2045" s="7"/>
      <c r="AP2045" s="7"/>
      <c r="AQ2045" s="7"/>
      <c r="AR2045" s="7"/>
      <c r="AS2045" s="7"/>
    </row>
    <row r="2046" spans="1:45" x14ac:dyDescent="0.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Q2046" s="7"/>
      <c r="R2046" s="7"/>
      <c r="S2046" s="7"/>
      <c r="T2046" s="7"/>
      <c r="U2046" s="7"/>
      <c r="V2046" s="7"/>
      <c r="AC2046" s="7"/>
      <c r="AD2046" s="7"/>
      <c r="AE2046" s="7"/>
      <c r="AF2046" s="7"/>
      <c r="AG2046" s="7"/>
      <c r="AO2046" s="7"/>
      <c r="AP2046" s="7"/>
      <c r="AQ2046" s="7"/>
      <c r="AR2046" s="7"/>
      <c r="AS2046" s="7"/>
    </row>
    <row r="2047" spans="1:45" x14ac:dyDescent="0.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Q2047" s="7"/>
      <c r="R2047" s="7"/>
      <c r="S2047" s="7"/>
      <c r="T2047" s="7"/>
      <c r="U2047" s="7"/>
      <c r="V2047" s="7"/>
      <c r="AC2047" s="7"/>
      <c r="AD2047" s="7"/>
      <c r="AE2047" s="7"/>
      <c r="AF2047" s="7"/>
      <c r="AG2047" s="7"/>
      <c r="AO2047" s="7"/>
      <c r="AP2047" s="7"/>
      <c r="AQ2047" s="7"/>
      <c r="AR2047" s="7"/>
      <c r="AS2047" s="7"/>
    </row>
    <row r="2048" spans="1:45" x14ac:dyDescent="0.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Q2048" s="7"/>
      <c r="R2048" s="7"/>
      <c r="S2048" s="7"/>
      <c r="T2048" s="7"/>
      <c r="U2048" s="7"/>
      <c r="V2048" s="7"/>
      <c r="AC2048" s="7"/>
      <c r="AD2048" s="7"/>
      <c r="AE2048" s="7"/>
      <c r="AF2048" s="7"/>
      <c r="AG2048" s="7"/>
      <c r="AO2048" s="7"/>
      <c r="AP2048" s="7"/>
      <c r="AQ2048" s="7"/>
      <c r="AR2048" s="7"/>
      <c r="AS2048" s="7"/>
    </row>
    <row r="2049" spans="1:45" x14ac:dyDescent="0.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Q2049" s="7"/>
      <c r="R2049" s="7"/>
      <c r="S2049" s="7"/>
      <c r="T2049" s="7"/>
      <c r="U2049" s="7"/>
      <c r="V2049" s="7"/>
      <c r="AC2049" s="7"/>
      <c r="AD2049" s="7"/>
      <c r="AE2049" s="7"/>
      <c r="AF2049" s="7"/>
      <c r="AG2049" s="7"/>
      <c r="AO2049" s="7"/>
      <c r="AP2049" s="7"/>
      <c r="AQ2049" s="7"/>
      <c r="AR2049" s="7"/>
      <c r="AS2049" s="7"/>
    </row>
    <row r="2050" spans="1:45" x14ac:dyDescent="0.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Q2050" s="7"/>
      <c r="R2050" s="7"/>
      <c r="S2050" s="7"/>
      <c r="T2050" s="7"/>
      <c r="U2050" s="7"/>
      <c r="V2050" s="7"/>
      <c r="AC2050" s="7"/>
      <c r="AD2050" s="7"/>
      <c r="AE2050" s="7"/>
      <c r="AF2050" s="7"/>
      <c r="AG2050" s="7"/>
      <c r="AO2050" s="7"/>
      <c r="AP2050" s="7"/>
      <c r="AQ2050" s="7"/>
      <c r="AR2050" s="7"/>
      <c r="AS2050" s="7"/>
    </row>
    <row r="2051" spans="1:45" x14ac:dyDescent="0.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Q2051" s="7"/>
      <c r="R2051" s="7"/>
      <c r="S2051" s="7"/>
      <c r="T2051" s="7"/>
      <c r="U2051" s="7"/>
      <c r="V2051" s="7"/>
      <c r="AC2051" s="7"/>
      <c r="AD2051" s="7"/>
      <c r="AE2051" s="7"/>
      <c r="AF2051" s="7"/>
      <c r="AG2051" s="7"/>
      <c r="AO2051" s="7"/>
      <c r="AP2051" s="7"/>
      <c r="AQ2051" s="7"/>
      <c r="AR2051" s="7"/>
      <c r="AS2051" s="7"/>
    </row>
    <row r="2052" spans="1:45" x14ac:dyDescent="0.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Q2052" s="7"/>
      <c r="R2052" s="7"/>
      <c r="S2052" s="7"/>
      <c r="T2052" s="7"/>
      <c r="U2052" s="7"/>
      <c r="V2052" s="7"/>
      <c r="AC2052" s="7"/>
      <c r="AD2052" s="7"/>
      <c r="AE2052" s="7"/>
      <c r="AF2052" s="7"/>
      <c r="AG2052" s="7"/>
      <c r="AO2052" s="7"/>
      <c r="AP2052" s="7"/>
      <c r="AQ2052" s="7"/>
      <c r="AR2052" s="7"/>
      <c r="AS2052" s="7"/>
    </row>
    <row r="2053" spans="1:45" x14ac:dyDescent="0.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Q2053" s="7"/>
      <c r="R2053" s="7"/>
      <c r="S2053" s="7"/>
      <c r="T2053" s="7"/>
      <c r="U2053" s="7"/>
      <c r="V2053" s="7"/>
      <c r="AC2053" s="7"/>
      <c r="AD2053" s="7"/>
      <c r="AE2053" s="7"/>
      <c r="AF2053" s="7"/>
      <c r="AG2053" s="7"/>
      <c r="AO2053" s="7"/>
      <c r="AP2053" s="7"/>
      <c r="AQ2053" s="7"/>
      <c r="AR2053" s="7"/>
      <c r="AS2053" s="7"/>
    </row>
    <row r="2054" spans="1:45" x14ac:dyDescent="0.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Q2054" s="7"/>
      <c r="R2054" s="7"/>
      <c r="S2054" s="7"/>
      <c r="T2054" s="7"/>
      <c r="U2054" s="7"/>
      <c r="V2054" s="7"/>
      <c r="AC2054" s="7"/>
      <c r="AD2054" s="7"/>
      <c r="AE2054" s="7"/>
      <c r="AF2054" s="7"/>
      <c r="AG2054" s="7"/>
      <c r="AO2054" s="7"/>
      <c r="AP2054" s="7"/>
      <c r="AQ2054" s="7"/>
      <c r="AR2054" s="7"/>
      <c r="AS2054" s="7"/>
    </row>
    <row r="2055" spans="1:45" x14ac:dyDescent="0.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Q2055" s="7"/>
      <c r="R2055" s="7"/>
      <c r="S2055" s="7"/>
      <c r="T2055" s="7"/>
      <c r="U2055" s="7"/>
      <c r="V2055" s="7"/>
      <c r="AC2055" s="7"/>
      <c r="AD2055" s="7"/>
      <c r="AE2055" s="7"/>
      <c r="AF2055" s="7"/>
      <c r="AG2055" s="7"/>
      <c r="AO2055" s="7"/>
      <c r="AP2055" s="7"/>
      <c r="AQ2055" s="7"/>
      <c r="AR2055" s="7"/>
      <c r="AS2055" s="7"/>
    </row>
    <row r="2056" spans="1:45" x14ac:dyDescent="0.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Q2056" s="7"/>
      <c r="R2056" s="7"/>
      <c r="S2056" s="7"/>
      <c r="T2056" s="7"/>
      <c r="U2056" s="7"/>
      <c r="V2056" s="7"/>
      <c r="AC2056" s="7"/>
      <c r="AD2056" s="7"/>
      <c r="AE2056" s="7"/>
      <c r="AF2056" s="7"/>
      <c r="AG2056" s="7"/>
      <c r="AO2056" s="7"/>
      <c r="AP2056" s="7"/>
      <c r="AQ2056" s="7"/>
      <c r="AR2056" s="7"/>
      <c r="AS2056" s="7"/>
    </row>
    <row r="2057" spans="1:45" x14ac:dyDescent="0.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Q2057" s="7"/>
      <c r="R2057" s="7"/>
      <c r="S2057" s="7"/>
      <c r="T2057" s="7"/>
      <c r="U2057" s="7"/>
      <c r="V2057" s="7"/>
      <c r="AC2057" s="7"/>
      <c r="AD2057" s="7"/>
      <c r="AE2057" s="7"/>
      <c r="AF2057" s="7"/>
      <c r="AG2057" s="7"/>
      <c r="AO2057" s="7"/>
      <c r="AP2057" s="7"/>
      <c r="AQ2057" s="7"/>
      <c r="AR2057" s="7"/>
      <c r="AS2057" s="7"/>
    </row>
    <row r="2058" spans="1:45" x14ac:dyDescent="0.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Q2058" s="7"/>
      <c r="R2058" s="7"/>
      <c r="S2058" s="7"/>
      <c r="T2058" s="7"/>
      <c r="U2058" s="7"/>
      <c r="V2058" s="7"/>
      <c r="AC2058" s="7"/>
      <c r="AD2058" s="7"/>
      <c r="AE2058" s="7"/>
      <c r="AF2058" s="7"/>
      <c r="AG2058" s="7"/>
      <c r="AO2058" s="7"/>
      <c r="AP2058" s="7"/>
      <c r="AQ2058" s="7"/>
      <c r="AR2058" s="7"/>
      <c r="AS2058" s="7"/>
    </row>
    <row r="2059" spans="1:45" x14ac:dyDescent="0.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Q2059" s="7"/>
      <c r="R2059" s="7"/>
      <c r="S2059" s="7"/>
      <c r="T2059" s="7"/>
      <c r="U2059" s="7"/>
      <c r="V2059" s="7"/>
      <c r="AC2059" s="7"/>
      <c r="AD2059" s="7"/>
      <c r="AE2059" s="7"/>
      <c r="AF2059" s="7"/>
      <c r="AG2059" s="7"/>
      <c r="AO2059" s="7"/>
      <c r="AP2059" s="7"/>
      <c r="AQ2059" s="7"/>
      <c r="AR2059" s="7"/>
      <c r="AS2059" s="7"/>
    </row>
    <row r="2060" spans="1:45" x14ac:dyDescent="0.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Q2060" s="7"/>
      <c r="R2060" s="7"/>
      <c r="S2060" s="7"/>
      <c r="T2060" s="7"/>
      <c r="U2060" s="7"/>
      <c r="V2060" s="7"/>
      <c r="AC2060" s="7"/>
      <c r="AD2060" s="7"/>
      <c r="AE2060" s="7"/>
      <c r="AF2060" s="7"/>
      <c r="AG2060" s="7"/>
      <c r="AO2060" s="7"/>
      <c r="AP2060" s="7"/>
      <c r="AQ2060" s="7"/>
      <c r="AR2060" s="7"/>
      <c r="AS2060" s="7"/>
    </row>
    <row r="2061" spans="1:45" x14ac:dyDescent="0.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Q2061" s="7"/>
      <c r="R2061" s="7"/>
      <c r="S2061" s="7"/>
      <c r="T2061" s="7"/>
      <c r="U2061" s="7"/>
      <c r="V2061" s="7"/>
      <c r="AC2061" s="7"/>
      <c r="AD2061" s="7"/>
      <c r="AE2061" s="7"/>
      <c r="AF2061" s="7"/>
      <c r="AG2061" s="7"/>
      <c r="AO2061" s="7"/>
      <c r="AP2061" s="7"/>
      <c r="AQ2061" s="7"/>
      <c r="AR2061" s="7"/>
      <c r="AS2061" s="7"/>
    </row>
    <row r="2062" spans="1:45" x14ac:dyDescent="0.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Q2062" s="7"/>
      <c r="R2062" s="7"/>
      <c r="S2062" s="7"/>
      <c r="T2062" s="7"/>
      <c r="U2062" s="7"/>
      <c r="V2062" s="7"/>
      <c r="AC2062" s="7"/>
      <c r="AD2062" s="7"/>
      <c r="AE2062" s="7"/>
      <c r="AF2062" s="7"/>
      <c r="AG2062" s="7"/>
      <c r="AO2062" s="7"/>
      <c r="AP2062" s="7"/>
      <c r="AQ2062" s="7"/>
      <c r="AR2062" s="7"/>
      <c r="AS2062" s="7"/>
    </row>
    <row r="2063" spans="1:45" x14ac:dyDescent="0.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Q2063" s="7"/>
      <c r="R2063" s="7"/>
      <c r="S2063" s="7"/>
      <c r="T2063" s="7"/>
      <c r="U2063" s="7"/>
      <c r="V2063" s="7"/>
      <c r="AC2063" s="7"/>
      <c r="AD2063" s="7"/>
      <c r="AE2063" s="7"/>
      <c r="AF2063" s="7"/>
      <c r="AG2063" s="7"/>
      <c r="AO2063" s="7"/>
      <c r="AP2063" s="7"/>
      <c r="AQ2063" s="7"/>
      <c r="AR2063" s="7"/>
      <c r="AS2063" s="7"/>
    </row>
    <row r="2064" spans="1:45" x14ac:dyDescent="0.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Q2064" s="7"/>
      <c r="R2064" s="7"/>
      <c r="S2064" s="7"/>
      <c r="T2064" s="7"/>
      <c r="U2064" s="7"/>
      <c r="V2064" s="7"/>
      <c r="AC2064" s="7"/>
      <c r="AD2064" s="7"/>
      <c r="AE2064" s="7"/>
      <c r="AF2064" s="7"/>
      <c r="AG2064" s="7"/>
      <c r="AO2064" s="7"/>
      <c r="AP2064" s="7"/>
      <c r="AQ2064" s="7"/>
      <c r="AR2064" s="7"/>
      <c r="AS2064" s="7"/>
    </row>
    <row r="2065" spans="1:45" x14ac:dyDescent="0.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Q2065" s="7"/>
      <c r="R2065" s="7"/>
      <c r="S2065" s="7"/>
      <c r="T2065" s="7"/>
      <c r="U2065" s="7"/>
      <c r="V2065" s="7"/>
      <c r="AC2065" s="7"/>
      <c r="AD2065" s="7"/>
      <c r="AE2065" s="7"/>
      <c r="AF2065" s="7"/>
      <c r="AG2065" s="7"/>
      <c r="AO2065" s="7"/>
      <c r="AP2065" s="7"/>
      <c r="AQ2065" s="7"/>
      <c r="AR2065" s="7"/>
      <c r="AS2065" s="7"/>
    </row>
    <row r="2066" spans="1:45" x14ac:dyDescent="0.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Q2066" s="7"/>
      <c r="R2066" s="7"/>
      <c r="S2066" s="7"/>
      <c r="T2066" s="7"/>
      <c r="U2066" s="7"/>
      <c r="V2066" s="7"/>
      <c r="AC2066" s="7"/>
      <c r="AD2066" s="7"/>
      <c r="AE2066" s="7"/>
      <c r="AF2066" s="7"/>
      <c r="AG2066" s="7"/>
      <c r="AO2066" s="7"/>
      <c r="AP2066" s="7"/>
      <c r="AQ2066" s="7"/>
      <c r="AR2066" s="7"/>
      <c r="AS2066" s="7"/>
    </row>
    <row r="2067" spans="1:45" x14ac:dyDescent="0.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Q2067" s="7"/>
      <c r="R2067" s="7"/>
      <c r="S2067" s="7"/>
      <c r="T2067" s="7"/>
      <c r="U2067" s="7"/>
      <c r="V2067" s="7"/>
      <c r="AC2067" s="7"/>
      <c r="AD2067" s="7"/>
      <c r="AE2067" s="7"/>
      <c r="AF2067" s="7"/>
      <c r="AG2067" s="7"/>
      <c r="AO2067" s="7"/>
      <c r="AP2067" s="7"/>
      <c r="AQ2067" s="7"/>
      <c r="AR2067" s="7"/>
      <c r="AS2067" s="7"/>
    </row>
    <row r="2068" spans="1:45" x14ac:dyDescent="0.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Q2068" s="7"/>
      <c r="R2068" s="7"/>
      <c r="S2068" s="7"/>
      <c r="T2068" s="7"/>
      <c r="U2068" s="7"/>
      <c r="V2068" s="7"/>
      <c r="AC2068" s="7"/>
      <c r="AD2068" s="7"/>
      <c r="AE2068" s="7"/>
      <c r="AF2068" s="7"/>
      <c r="AG2068" s="7"/>
      <c r="AO2068" s="7"/>
      <c r="AP2068" s="7"/>
      <c r="AQ2068" s="7"/>
      <c r="AR2068" s="7"/>
      <c r="AS2068" s="7"/>
    </row>
    <row r="2069" spans="1:45" x14ac:dyDescent="0.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Q2069" s="7"/>
      <c r="R2069" s="7"/>
      <c r="S2069" s="7"/>
      <c r="T2069" s="7"/>
      <c r="U2069" s="7"/>
      <c r="V2069" s="7"/>
      <c r="AC2069" s="7"/>
      <c r="AD2069" s="7"/>
      <c r="AE2069" s="7"/>
      <c r="AF2069" s="7"/>
      <c r="AG2069" s="7"/>
      <c r="AO2069" s="7"/>
      <c r="AP2069" s="7"/>
      <c r="AQ2069" s="7"/>
      <c r="AR2069" s="7"/>
      <c r="AS2069" s="7"/>
    </row>
    <row r="2070" spans="1:45" x14ac:dyDescent="0.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Q2070" s="7"/>
      <c r="R2070" s="7"/>
      <c r="S2070" s="7"/>
      <c r="T2070" s="7"/>
      <c r="U2070" s="7"/>
      <c r="V2070" s="7"/>
      <c r="AC2070" s="7"/>
      <c r="AD2070" s="7"/>
      <c r="AE2070" s="7"/>
      <c r="AF2070" s="7"/>
      <c r="AG2070" s="7"/>
      <c r="AO2070" s="7"/>
      <c r="AP2070" s="7"/>
      <c r="AQ2070" s="7"/>
      <c r="AR2070" s="7"/>
      <c r="AS2070" s="7"/>
    </row>
    <row r="2071" spans="1:45" x14ac:dyDescent="0.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Q2071" s="7"/>
      <c r="R2071" s="7"/>
      <c r="S2071" s="7"/>
      <c r="T2071" s="7"/>
      <c r="U2071" s="7"/>
      <c r="V2071" s="7"/>
      <c r="AC2071" s="7"/>
      <c r="AD2071" s="7"/>
      <c r="AE2071" s="7"/>
      <c r="AF2071" s="7"/>
      <c r="AG2071" s="7"/>
      <c r="AO2071" s="7"/>
      <c r="AP2071" s="7"/>
      <c r="AQ2071" s="7"/>
      <c r="AR2071" s="7"/>
      <c r="AS2071" s="7"/>
    </row>
    <row r="2072" spans="1:45" x14ac:dyDescent="0.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Q2072" s="7"/>
      <c r="R2072" s="7"/>
      <c r="S2072" s="7"/>
      <c r="T2072" s="7"/>
      <c r="U2072" s="7"/>
      <c r="V2072" s="7"/>
      <c r="AC2072" s="7"/>
      <c r="AD2072" s="7"/>
      <c r="AE2072" s="7"/>
      <c r="AF2072" s="7"/>
      <c r="AG2072" s="7"/>
      <c r="AO2072" s="7"/>
      <c r="AP2072" s="7"/>
      <c r="AQ2072" s="7"/>
      <c r="AR2072" s="7"/>
      <c r="AS2072" s="7"/>
    </row>
    <row r="2073" spans="1:45" x14ac:dyDescent="0.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Q2073" s="7"/>
      <c r="R2073" s="7"/>
      <c r="S2073" s="7"/>
      <c r="T2073" s="7"/>
      <c r="U2073" s="7"/>
      <c r="V2073" s="7"/>
      <c r="AC2073" s="7"/>
      <c r="AD2073" s="7"/>
      <c r="AE2073" s="7"/>
      <c r="AF2073" s="7"/>
      <c r="AG2073" s="7"/>
      <c r="AO2073" s="7"/>
      <c r="AP2073" s="7"/>
      <c r="AQ2073" s="7"/>
      <c r="AR2073" s="7"/>
      <c r="AS2073" s="7"/>
    </row>
    <row r="2074" spans="1:45" x14ac:dyDescent="0.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Q2074" s="7"/>
      <c r="R2074" s="7"/>
      <c r="S2074" s="7"/>
      <c r="T2074" s="7"/>
      <c r="U2074" s="7"/>
      <c r="V2074" s="7"/>
      <c r="AC2074" s="7"/>
      <c r="AD2074" s="7"/>
      <c r="AE2074" s="7"/>
      <c r="AF2074" s="7"/>
      <c r="AG2074" s="7"/>
      <c r="AO2074" s="7"/>
      <c r="AP2074" s="7"/>
      <c r="AQ2074" s="7"/>
      <c r="AR2074" s="7"/>
      <c r="AS2074" s="7"/>
    </row>
    <row r="2075" spans="1:45" x14ac:dyDescent="0.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Q2075" s="7"/>
      <c r="R2075" s="7"/>
      <c r="S2075" s="7"/>
      <c r="T2075" s="7"/>
      <c r="U2075" s="7"/>
      <c r="V2075" s="7"/>
      <c r="AC2075" s="7"/>
      <c r="AD2075" s="7"/>
      <c r="AE2075" s="7"/>
      <c r="AF2075" s="7"/>
      <c r="AG2075" s="7"/>
      <c r="AO2075" s="7"/>
      <c r="AP2075" s="7"/>
      <c r="AQ2075" s="7"/>
      <c r="AR2075" s="7"/>
      <c r="AS2075" s="7"/>
    </row>
    <row r="2076" spans="1:45" x14ac:dyDescent="0.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Q2076" s="7"/>
      <c r="R2076" s="7"/>
      <c r="S2076" s="7"/>
      <c r="T2076" s="7"/>
      <c r="U2076" s="7"/>
      <c r="V2076" s="7"/>
      <c r="AC2076" s="7"/>
      <c r="AD2076" s="7"/>
      <c r="AE2076" s="7"/>
      <c r="AF2076" s="7"/>
      <c r="AG2076" s="7"/>
      <c r="AO2076" s="7"/>
      <c r="AP2076" s="7"/>
      <c r="AQ2076" s="7"/>
      <c r="AR2076" s="7"/>
      <c r="AS2076" s="7"/>
    </row>
    <row r="2077" spans="1:45" x14ac:dyDescent="0.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Q2077" s="7"/>
      <c r="R2077" s="7"/>
      <c r="S2077" s="7"/>
      <c r="T2077" s="7"/>
      <c r="U2077" s="7"/>
      <c r="V2077" s="7"/>
      <c r="AC2077" s="7"/>
      <c r="AD2077" s="7"/>
      <c r="AE2077" s="7"/>
      <c r="AF2077" s="7"/>
      <c r="AG2077" s="7"/>
      <c r="AO2077" s="7"/>
      <c r="AP2077" s="7"/>
      <c r="AQ2077" s="7"/>
      <c r="AR2077" s="7"/>
      <c r="AS2077" s="7"/>
    </row>
    <row r="2078" spans="1:45" x14ac:dyDescent="0.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Q2078" s="7"/>
      <c r="R2078" s="7"/>
      <c r="S2078" s="7"/>
      <c r="T2078" s="7"/>
      <c r="U2078" s="7"/>
      <c r="V2078" s="7"/>
      <c r="AC2078" s="7"/>
      <c r="AD2078" s="7"/>
      <c r="AE2078" s="7"/>
      <c r="AF2078" s="7"/>
      <c r="AG2078" s="7"/>
      <c r="AO2078" s="7"/>
      <c r="AP2078" s="7"/>
      <c r="AQ2078" s="7"/>
      <c r="AR2078" s="7"/>
      <c r="AS2078" s="7"/>
    </row>
    <row r="2079" spans="1:45" x14ac:dyDescent="0.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Q2079" s="7"/>
      <c r="R2079" s="7"/>
      <c r="S2079" s="7"/>
      <c r="T2079" s="7"/>
      <c r="U2079" s="7"/>
      <c r="V2079" s="7"/>
      <c r="AC2079" s="7"/>
      <c r="AD2079" s="7"/>
      <c r="AE2079" s="7"/>
      <c r="AF2079" s="7"/>
      <c r="AG2079" s="7"/>
      <c r="AO2079" s="7"/>
      <c r="AP2079" s="7"/>
      <c r="AQ2079" s="7"/>
      <c r="AR2079" s="7"/>
      <c r="AS2079" s="7"/>
    </row>
    <row r="2080" spans="1:45" x14ac:dyDescent="0.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Q2080" s="7"/>
      <c r="R2080" s="7"/>
      <c r="S2080" s="7"/>
      <c r="T2080" s="7"/>
      <c r="U2080" s="7"/>
      <c r="V2080" s="7"/>
      <c r="AC2080" s="7"/>
      <c r="AD2080" s="7"/>
      <c r="AE2080" s="7"/>
      <c r="AF2080" s="7"/>
      <c r="AG2080" s="7"/>
      <c r="AO2080" s="7"/>
      <c r="AP2080" s="7"/>
      <c r="AQ2080" s="7"/>
      <c r="AR2080" s="7"/>
      <c r="AS2080" s="7"/>
    </row>
    <row r="2081" spans="1:45" x14ac:dyDescent="0.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Q2081" s="7"/>
      <c r="R2081" s="7"/>
      <c r="S2081" s="7"/>
      <c r="T2081" s="7"/>
      <c r="U2081" s="7"/>
      <c r="V2081" s="7"/>
      <c r="AC2081" s="7"/>
      <c r="AD2081" s="7"/>
      <c r="AE2081" s="7"/>
      <c r="AF2081" s="7"/>
      <c r="AG2081" s="7"/>
      <c r="AO2081" s="7"/>
      <c r="AP2081" s="7"/>
      <c r="AQ2081" s="7"/>
      <c r="AR2081" s="7"/>
      <c r="AS2081" s="7"/>
    </row>
    <row r="2082" spans="1:45" x14ac:dyDescent="0.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Q2082" s="7"/>
      <c r="R2082" s="7"/>
      <c r="S2082" s="7"/>
      <c r="T2082" s="7"/>
      <c r="U2082" s="7"/>
      <c r="V2082" s="7"/>
      <c r="AC2082" s="7"/>
      <c r="AD2082" s="7"/>
      <c r="AE2082" s="7"/>
      <c r="AF2082" s="7"/>
      <c r="AG2082" s="7"/>
      <c r="AO2082" s="7"/>
      <c r="AP2082" s="7"/>
      <c r="AQ2082" s="7"/>
      <c r="AR2082" s="7"/>
      <c r="AS2082" s="7"/>
    </row>
    <row r="2083" spans="1:45" x14ac:dyDescent="0.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Q2083" s="7"/>
      <c r="R2083" s="7"/>
      <c r="S2083" s="7"/>
      <c r="T2083" s="7"/>
      <c r="U2083" s="7"/>
      <c r="V2083" s="7"/>
      <c r="AC2083" s="7"/>
      <c r="AD2083" s="7"/>
      <c r="AE2083" s="7"/>
      <c r="AF2083" s="7"/>
      <c r="AG2083" s="7"/>
      <c r="AO2083" s="7"/>
      <c r="AP2083" s="7"/>
      <c r="AQ2083" s="7"/>
      <c r="AR2083" s="7"/>
      <c r="AS2083" s="7"/>
    </row>
    <row r="2084" spans="1:45" x14ac:dyDescent="0.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Q2084" s="7"/>
      <c r="R2084" s="7"/>
      <c r="S2084" s="7"/>
      <c r="T2084" s="7"/>
      <c r="U2084" s="7"/>
      <c r="V2084" s="7"/>
      <c r="AC2084" s="7"/>
      <c r="AD2084" s="7"/>
      <c r="AE2084" s="7"/>
      <c r="AF2084" s="7"/>
      <c r="AG2084" s="7"/>
      <c r="AO2084" s="7"/>
      <c r="AP2084" s="7"/>
      <c r="AQ2084" s="7"/>
      <c r="AR2084" s="7"/>
      <c r="AS2084" s="7"/>
    </row>
    <row r="2085" spans="1:45" x14ac:dyDescent="0.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Q2085" s="7"/>
      <c r="R2085" s="7"/>
      <c r="S2085" s="7"/>
      <c r="T2085" s="7"/>
      <c r="U2085" s="7"/>
      <c r="V2085" s="7"/>
      <c r="AC2085" s="7"/>
      <c r="AD2085" s="7"/>
      <c r="AE2085" s="7"/>
      <c r="AF2085" s="7"/>
      <c r="AG2085" s="7"/>
      <c r="AO2085" s="7"/>
      <c r="AP2085" s="7"/>
      <c r="AQ2085" s="7"/>
      <c r="AR2085" s="7"/>
      <c r="AS2085" s="7"/>
    </row>
    <row r="2086" spans="1:45" x14ac:dyDescent="0.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Q2086" s="7"/>
      <c r="R2086" s="7"/>
      <c r="S2086" s="7"/>
      <c r="T2086" s="7"/>
      <c r="U2086" s="7"/>
      <c r="V2086" s="7"/>
      <c r="AC2086" s="7"/>
      <c r="AD2086" s="7"/>
      <c r="AE2086" s="7"/>
      <c r="AF2086" s="7"/>
      <c r="AG2086" s="7"/>
      <c r="AO2086" s="7"/>
      <c r="AP2086" s="7"/>
      <c r="AQ2086" s="7"/>
      <c r="AR2086" s="7"/>
      <c r="AS2086" s="7"/>
    </row>
    <row r="2087" spans="1:45" x14ac:dyDescent="0.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Q2087" s="7"/>
      <c r="R2087" s="7"/>
      <c r="S2087" s="7"/>
      <c r="T2087" s="7"/>
      <c r="U2087" s="7"/>
      <c r="V2087" s="7"/>
      <c r="AC2087" s="7"/>
      <c r="AD2087" s="7"/>
      <c r="AE2087" s="7"/>
      <c r="AF2087" s="7"/>
      <c r="AG2087" s="7"/>
      <c r="AO2087" s="7"/>
      <c r="AP2087" s="7"/>
      <c r="AQ2087" s="7"/>
      <c r="AR2087" s="7"/>
      <c r="AS2087" s="7"/>
    </row>
    <row r="2088" spans="1:45" x14ac:dyDescent="0.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Q2088" s="7"/>
      <c r="R2088" s="7"/>
      <c r="S2088" s="7"/>
      <c r="T2088" s="7"/>
      <c r="U2088" s="7"/>
      <c r="V2088" s="7"/>
      <c r="AC2088" s="7"/>
      <c r="AD2088" s="7"/>
      <c r="AE2088" s="7"/>
      <c r="AF2088" s="7"/>
      <c r="AG2088" s="7"/>
      <c r="AO2088" s="7"/>
      <c r="AP2088" s="7"/>
      <c r="AQ2088" s="7"/>
      <c r="AR2088" s="7"/>
      <c r="AS2088" s="7"/>
    </row>
    <row r="2089" spans="1:45" x14ac:dyDescent="0.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Q2089" s="7"/>
      <c r="R2089" s="7"/>
      <c r="S2089" s="7"/>
      <c r="T2089" s="7"/>
      <c r="U2089" s="7"/>
      <c r="V2089" s="7"/>
      <c r="AC2089" s="7"/>
      <c r="AD2089" s="7"/>
      <c r="AE2089" s="7"/>
      <c r="AF2089" s="7"/>
      <c r="AG2089" s="7"/>
      <c r="AO2089" s="7"/>
      <c r="AP2089" s="7"/>
      <c r="AQ2089" s="7"/>
      <c r="AR2089" s="7"/>
      <c r="AS2089" s="7"/>
    </row>
    <row r="2090" spans="1:45" x14ac:dyDescent="0.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Q2090" s="7"/>
      <c r="R2090" s="7"/>
      <c r="S2090" s="7"/>
      <c r="T2090" s="7"/>
      <c r="U2090" s="7"/>
      <c r="V2090" s="7"/>
      <c r="AC2090" s="7"/>
      <c r="AD2090" s="7"/>
      <c r="AE2090" s="7"/>
      <c r="AF2090" s="7"/>
      <c r="AG2090" s="7"/>
      <c r="AO2090" s="7"/>
      <c r="AP2090" s="7"/>
      <c r="AQ2090" s="7"/>
      <c r="AR2090" s="7"/>
      <c r="AS2090" s="7"/>
    </row>
    <row r="2091" spans="1:45" x14ac:dyDescent="0.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Q2091" s="7"/>
      <c r="R2091" s="7"/>
      <c r="S2091" s="7"/>
      <c r="T2091" s="7"/>
      <c r="U2091" s="7"/>
      <c r="V2091" s="7"/>
      <c r="AC2091" s="7"/>
      <c r="AD2091" s="7"/>
      <c r="AE2091" s="7"/>
      <c r="AF2091" s="7"/>
      <c r="AG2091" s="7"/>
      <c r="AO2091" s="7"/>
      <c r="AP2091" s="7"/>
      <c r="AQ2091" s="7"/>
      <c r="AR2091" s="7"/>
      <c r="AS2091" s="7"/>
    </row>
    <row r="2092" spans="1:45" x14ac:dyDescent="0.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Q2092" s="7"/>
      <c r="R2092" s="7"/>
      <c r="S2092" s="7"/>
      <c r="T2092" s="7"/>
      <c r="U2092" s="7"/>
      <c r="V2092" s="7"/>
      <c r="AC2092" s="7"/>
      <c r="AD2092" s="7"/>
      <c r="AE2092" s="7"/>
      <c r="AF2092" s="7"/>
      <c r="AG2092" s="7"/>
      <c r="AO2092" s="7"/>
      <c r="AP2092" s="7"/>
      <c r="AQ2092" s="7"/>
      <c r="AR2092" s="7"/>
      <c r="AS2092" s="7"/>
    </row>
    <row r="2093" spans="1:45" x14ac:dyDescent="0.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Q2093" s="7"/>
      <c r="R2093" s="7"/>
      <c r="S2093" s="7"/>
      <c r="T2093" s="7"/>
      <c r="U2093" s="7"/>
      <c r="V2093" s="7"/>
      <c r="AC2093" s="7"/>
      <c r="AD2093" s="7"/>
      <c r="AE2093" s="7"/>
      <c r="AF2093" s="7"/>
      <c r="AG2093" s="7"/>
      <c r="AO2093" s="7"/>
      <c r="AP2093" s="7"/>
      <c r="AQ2093" s="7"/>
      <c r="AR2093" s="7"/>
      <c r="AS2093" s="7"/>
    </row>
    <row r="2094" spans="1:45" x14ac:dyDescent="0.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Q2094" s="7"/>
      <c r="R2094" s="7"/>
      <c r="S2094" s="7"/>
      <c r="T2094" s="7"/>
      <c r="U2094" s="7"/>
      <c r="V2094" s="7"/>
      <c r="AC2094" s="7"/>
      <c r="AD2094" s="7"/>
      <c r="AE2094" s="7"/>
      <c r="AF2094" s="7"/>
      <c r="AG2094" s="7"/>
      <c r="AO2094" s="7"/>
      <c r="AP2094" s="7"/>
      <c r="AQ2094" s="7"/>
      <c r="AR2094" s="7"/>
      <c r="AS2094" s="7"/>
    </row>
    <row r="2095" spans="1:45" x14ac:dyDescent="0.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Q2095" s="7"/>
      <c r="R2095" s="7"/>
      <c r="S2095" s="7"/>
      <c r="T2095" s="7"/>
      <c r="U2095" s="7"/>
      <c r="V2095" s="7"/>
      <c r="AC2095" s="7"/>
      <c r="AD2095" s="7"/>
      <c r="AE2095" s="7"/>
      <c r="AF2095" s="7"/>
      <c r="AG2095" s="7"/>
      <c r="AO2095" s="7"/>
      <c r="AP2095" s="7"/>
      <c r="AQ2095" s="7"/>
      <c r="AR2095" s="7"/>
      <c r="AS2095" s="7"/>
    </row>
    <row r="2096" spans="1:45" x14ac:dyDescent="0.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Q2096" s="7"/>
      <c r="R2096" s="7"/>
      <c r="S2096" s="7"/>
      <c r="T2096" s="7"/>
      <c r="U2096" s="7"/>
      <c r="V2096" s="7"/>
      <c r="AC2096" s="7"/>
      <c r="AD2096" s="7"/>
      <c r="AE2096" s="7"/>
      <c r="AF2096" s="7"/>
      <c r="AG2096" s="7"/>
      <c r="AO2096" s="7"/>
      <c r="AP2096" s="7"/>
      <c r="AQ2096" s="7"/>
      <c r="AR2096" s="7"/>
      <c r="AS2096" s="7"/>
    </row>
    <row r="2097" spans="1:45" x14ac:dyDescent="0.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Q2097" s="7"/>
      <c r="R2097" s="7"/>
      <c r="S2097" s="7"/>
      <c r="T2097" s="7"/>
      <c r="U2097" s="7"/>
      <c r="V2097" s="7"/>
      <c r="AC2097" s="7"/>
      <c r="AD2097" s="7"/>
      <c r="AE2097" s="7"/>
      <c r="AF2097" s="7"/>
      <c r="AG2097" s="7"/>
      <c r="AO2097" s="7"/>
      <c r="AP2097" s="7"/>
      <c r="AQ2097" s="7"/>
      <c r="AR2097" s="7"/>
      <c r="AS2097" s="7"/>
    </row>
    <row r="2098" spans="1:45" x14ac:dyDescent="0.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Q2098" s="7"/>
      <c r="R2098" s="7"/>
      <c r="S2098" s="7"/>
      <c r="T2098" s="7"/>
      <c r="U2098" s="7"/>
      <c r="V2098" s="7"/>
      <c r="AC2098" s="7"/>
      <c r="AD2098" s="7"/>
      <c r="AE2098" s="7"/>
      <c r="AF2098" s="7"/>
      <c r="AG2098" s="7"/>
      <c r="AO2098" s="7"/>
      <c r="AP2098" s="7"/>
      <c r="AQ2098" s="7"/>
      <c r="AR2098" s="7"/>
      <c r="AS2098" s="7"/>
    </row>
    <row r="2099" spans="1:45" x14ac:dyDescent="0.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Q2099" s="7"/>
      <c r="R2099" s="7"/>
      <c r="S2099" s="7"/>
      <c r="T2099" s="7"/>
      <c r="U2099" s="7"/>
      <c r="V2099" s="7"/>
      <c r="AC2099" s="7"/>
      <c r="AD2099" s="7"/>
      <c r="AE2099" s="7"/>
      <c r="AF2099" s="7"/>
      <c r="AG2099" s="7"/>
      <c r="AO2099" s="7"/>
      <c r="AP2099" s="7"/>
      <c r="AQ2099" s="7"/>
      <c r="AR2099" s="7"/>
      <c r="AS2099" s="7"/>
    </row>
    <row r="2100" spans="1:45" x14ac:dyDescent="0.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Q2100" s="7"/>
      <c r="R2100" s="7"/>
      <c r="S2100" s="7"/>
      <c r="T2100" s="7"/>
      <c r="U2100" s="7"/>
      <c r="V2100" s="7"/>
      <c r="AC2100" s="7"/>
      <c r="AD2100" s="7"/>
      <c r="AE2100" s="7"/>
      <c r="AF2100" s="7"/>
      <c r="AG2100" s="7"/>
      <c r="AO2100" s="7"/>
      <c r="AP2100" s="7"/>
      <c r="AQ2100" s="7"/>
      <c r="AR2100" s="7"/>
      <c r="AS2100" s="7"/>
    </row>
    <row r="2101" spans="1:45" x14ac:dyDescent="0.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Q2101" s="7"/>
      <c r="R2101" s="7"/>
      <c r="S2101" s="7"/>
      <c r="T2101" s="7"/>
      <c r="U2101" s="7"/>
      <c r="V2101" s="7"/>
      <c r="AC2101" s="7"/>
      <c r="AD2101" s="7"/>
      <c r="AE2101" s="7"/>
      <c r="AF2101" s="7"/>
      <c r="AG2101" s="7"/>
      <c r="AO2101" s="7"/>
      <c r="AP2101" s="7"/>
      <c r="AQ2101" s="7"/>
      <c r="AR2101" s="7"/>
      <c r="AS2101" s="7"/>
    </row>
    <row r="2102" spans="1:45" x14ac:dyDescent="0.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Q2102" s="7"/>
      <c r="R2102" s="7"/>
      <c r="S2102" s="7"/>
      <c r="T2102" s="7"/>
      <c r="U2102" s="7"/>
      <c r="V2102" s="7"/>
      <c r="AC2102" s="7"/>
      <c r="AD2102" s="7"/>
      <c r="AE2102" s="7"/>
      <c r="AF2102" s="7"/>
      <c r="AG2102" s="7"/>
      <c r="AO2102" s="7"/>
      <c r="AP2102" s="7"/>
      <c r="AQ2102" s="7"/>
      <c r="AR2102" s="7"/>
      <c r="AS2102" s="7"/>
    </row>
    <row r="2103" spans="1:45" x14ac:dyDescent="0.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Q2103" s="7"/>
      <c r="R2103" s="7"/>
      <c r="S2103" s="7"/>
      <c r="T2103" s="7"/>
      <c r="U2103" s="7"/>
      <c r="V2103" s="7"/>
      <c r="AC2103" s="7"/>
      <c r="AD2103" s="7"/>
      <c r="AE2103" s="7"/>
      <c r="AF2103" s="7"/>
      <c r="AG2103" s="7"/>
      <c r="AO2103" s="7"/>
      <c r="AP2103" s="7"/>
      <c r="AQ2103" s="7"/>
      <c r="AR2103" s="7"/>
      <c r="AS2103" s="7"/>
    </row>
    <row r="2104" spans="1:45" x14ac:dyDescent="0.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Q2104" s="7"/>
      <c r="R2104" s="7"/>
      <c r="S2104" s="7"/>
      <c r="T2104" s="7"/>
      <c r="U2104" s="7"/>
      <c r="V2104" s="7"/>
      <c r="AC2104" s="7"/>
      <c r="AD2104" s="7"/>
      <c r="AE2104" s="7"/>
      <c r="AF2104" s="7"/>
      <c r="AG2104" s="7"/>
      <c r="AO2104" s="7"/>
      <c r="AP2104" s="7"/>
      <c r="AQ2104" s="7"/>
      <c r="AR2104" s="7"/>
      <c r="AS2104" s="7"/>
    </row>
    <row r="2105" spans="1:45" x14ac:dyDescent="0.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Q2105" s="7"/>
      <c r="R2105" s="7"/>
      <c r="S2105" s="7"/>
      <c r="T2105" s="7"/>
      <c r="U2105" s="7"/>
      <c r="V2105" s="7"/>
      <c r="AC2105" s="7"/>
      <c r="AD2105" s="7"/>
      <c r="AE2105" s="7"/>
      <c r="AF2105" s="7"/>
      <c r="AG2105" s="7"/>
      <c r="AO2105" s="7"/>
      <c r="AP2105" s="7"/>
      <c r="AQ2105" s="7"/>
      <c r="AR2105" s="7"/>
      <c r="AS2105" s="7"/>
    </row>
    <row r="2106" spans="1:45" x14ac:dyDescent="0.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Q2106" s="7"/>
      <c r="R2106" s="7"/>
      <c r="S2106" s="7"/>
      <c r="T2106" s="7"/>
      <c r="U2106" s="7"/>
      <c r="V2106" s="7"/>
      <c r="AC2106" s="7"/>
      <c r="AD2106" s="7"/>
      <c r="AE2106" s="7"/>
      <c r="AF2106" s="7"/>
      <c r="AG2106" s="7"/>
      <c r="AO2106" s="7"/>
      <c r="AP2106" s="7"/>
      <c r="AQ2106" s="7"/>
      <c r="AR2106" s="7"/>
      <c r="AS2106" s="7"/>
    </row>
    <row r="2107" spans="1:45" x14ac:dyDescent="0.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Q2107" s="7"/>
      <c r="R2107" s="7"/>
      <c r="S2107" s="7"/>
      <c r="T2107" s="7"/>
      <c r="U2107" s="7"/>
      <c r="V2107" s="7"/>
      <c r="AC2107" s="7"/>
      <c r="AD2107" s="7"/>
      <c r="AE2107" s="7"/>
      <c r="AF2107" s="7"/>
      <c r="AG2107" s="7"/>
      <c r="AO2107" s="7"/>
      <c r="AP2107" s="7"/>
      <c r="AQ2107" s="7"/>
      <c r="AR2107" s="7"/>
      <c r="AS2107" s="7"/>
    </row>
    <row r="2108" spans="1:45" x14ac:dyDescent="0.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Q2108" s="7"/>
      <c r="R2108" s="7"/>
      <c r="S2108" s="7"/>
      <c r="T2108" s="7"/>
      <c r="U2108" s="7"/>
      <c r="V2108" s="7"/>
      <c r="AC2108" s="7"/>
      <c r="AD2108" s="7"/>
      <c r="AE2108" s="7"/>
      <c r="AF2108" s="7"/>
      <c r="AG2108" s="7"/>
      <c r="AO2108" s="7"/>
      <c r="AP2108" s="7"/>
      <c r="AQ2108" s="7"/>
      <c r="AR2108" s="7"/>
      <c r="AS2108" s="7"/>
    </row>
    <row r="2109" spans="1:45" x14ac:dyDescent="0.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Q2109" s="7"/>
      <c r="R2109" s="7"/>
      <c r="S2109" s="7"/>
      <c r="T2109" s="7"/>
      <c r="U2109" s="7"/>
      <c r="V2109" s="7"/>
      <c r="AC2109" s="7"/>
      <c r="AD2109" s="7"/>
      <c r="AE2109" s="7"/>
      <c r="AF2109" s="7"/>
      <c r="AG2109" s="7"/>
      <c r="AO2109" s="7"/>
      <c r="AP2109" s="7"/>
      <c r="AQ2109" s="7"/>
      <c r="AR2109" s="7"/>
      <c r="AS2109" s="7"/>
    </row>
    <row r="2110" spans="1:45" x14ac:dyDescent="0.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Q2110" s="7"/>
      <c r="R2110" s="7"/>
      <c r="S2110" s="7"/>
      <c r="T2110" s="7"/>
      <c r="U2110" s="7"/>
      <c r="V2110" s="7"/>
      <c r="AC2110" s="7"/>
      <c r="AD2110" s="7"/>
      <c r="AE2110" s="7"/>
      <c r="AF2110" s="7"/>
      <c r="AG2110" s="7"/>
      <c r="AO2110" s="7"/>
      <c r="AP2110" s="7"/>
      <c r="AQ2110" s="7"/>
      <c r="AR2110" s="7"/>
      <c r="AS2110" s="7"/>
    </row>
    <row r="2111" spans="1:45" x14ac:dyDescent="0.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Q2111" s="7"/>
      <c r="R2111" s="7"/>
      <c r="S2111" s="7"/>
      <c r="T2111" s="7"/>
      <c r="U2111" s="7"/>
      <c r="V2111" s="7"/>
      <c r="AC2111" s="7"/>
      <c r="AD2111" s="7"/>
      <c r="AE2111" s="7"/>
      <c r="AF2111" s="7"/>
      <c r="AG2111" s="7"/>
      <c r="AO2111" s="7"/>
      <c r="AP2111" s="7"/>
      <c r="AQ2111" s="7"/>
      <c r="AR2111" s="7"/>
      <c r="AS2111" s="7"/>
    </row>
    <row r="2112" spans="1:45" x14ac:dyDescent="0.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Q2112" s="7"/>
      <c r="R2112" s="7"/>
      <c r="S2112" s="7"/>
      <c r="T2112" s="7"/>
      <c r="U2112" s="7"/>
      <c r="V2112" s="7"/>
      <c r="AC2112" s="7"/>
      <c r="AD2112" s="7"/>
      <c r="AE2112" s="7"/>
      <c r="AF2112" s="7"/>
      <c r="AG2112" s="7"/>
      <c r="AO2112" s="7"/>
      <c r="AP2112" s="7"/>
      <c r="AQ2112" s="7"/>
      <c r="AR2112" s="7"/>
      <c r="AS2112" s="7"/>
    </row>
    <row r="2113" spans="1:45" x14ac:dyDescent="0.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Q2113" s="7"/>
      <c r="R2113" s="7"/>
      <c r="S2113" s="7"/>
      <c r="T2113" s="7"/>
      <c r="U2113" s="7"/>
      <c r="V2113" s="7"/>
      <c r="AC2113" s="7"/>
      <c r="AD2113" s="7"/>
      <c r="AE2113" s="7"/>
      <c r="AF2113" s="7"/>
      <c r="AG2113" s="7"/>
      <c r="AO2113" s="7"/>
      <c r="AP2113" s="7"/>
      <c r="AQ2113" s="7"/>
      <c r="AR2113" s="7"/>
      <c r="AS2113" s="7"/>
    </row>
    <row r="2114" spans="1:45" x14ac:dyDescent="0.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Q2114" s="7"/>
      <c r="R2114" s="7"/>
      <c r="S2114" s="7"/>
      <c r="T2114" s="7"/>
      <c r="U2114" s="7"/>
      <c r="V2114" s="7"/>
      <c r="AC2114" s="7"/>
      <c r="AD2114" s="7"/>
      <c r="AE2114" s="7"/>
      <c r="AF2114" s="7"/>
      <c r="AG2114" s="7"/>
      <c r="AO2114" s="7"/>
      <c r="AP2114" s="7"/>
      <c r="AQ2114" s="7"/>
      <c r="AR2114" s="7"/>
      <c r="AS2114" s="7"/>
    </row>
    <row r="2115" spans="1:45" x14ac:dyDescent="0.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Q2115" s="7"/>
      <c r="R2115" s="7"/>
      <c r="S2115" s="7"/>
      <c r="T2115" s="7"/>
      <c r="U2115" s="7"/>
      <c r="V2115" s="7"/>
      <c r="AC2115" s="7"/>
      <c r="AD2115" s="7"/>
      <c r="AE2115" s="7"/>
      <c r="AF2115" s="7"/>
      <c r="AG2115" s="7"/>
      <c r="AO2115" s="7"/>
      <c r="AP2115" s="7"/>
      <c r="AQ2115" s="7"/>
      <c r="AR2115" s="7"/>
      <c r="AS2115" s="7"/>
    </row>
    <row r="2116" spans="1:45" x14ac:dyDescent="0.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Q2116" s="7"/>
      <c r="R2116" s="7"/>
      <c r="S2116" s="7"/>
      <c r="T2116" s="7"/>
      <c r="U2116" s="7"/>
      <c r="V2116" s="7"/>
      <c r="AC2116" s="7"/>
      <c r="AD2116" s="7"/>
      <c r="AE2116" s="7"/>
      <c r="AF2116" s="7"/>
      <c r="AG2116" s="7"/>
      <c r="AO2116" s="7"/>
      <c r="AP2116" s="7"/>
      <c r="AQ2116" s="7"/>
      <c r="AR2116" s="7"/>
      <c r="AS2116" s="7"/>
    </row>
    <row r="2117" spans="1:45" x14ac:dyDescent="0.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Q2117" s="7"/>
      <c r="R2117" s="7"/>
      <c r="S2117" s="7"/>
      <c r="T2117" s="7"/>
      <c r="U2117" s="7"/>
      <c r="V2117" s="7"/>
      <c r="AC2117" s="7"/>
      <c r="AD2117" s="7"/>
      <c r="AE2117" s="7"/>
      <c r="AF2117" s="7"/>
      <c r="AG2117" s="7"/>
      <c r="AO2117" s="7"/>
      <c r="AP2117" s="7"/>
      <c r="AQ2117" s="7"/>
      <c r="AR2117" s="7"/>
      <c r="AS2117" s="7"/>
    </row>
    <row r="2118" spans="1:45" x14ac:dyDescent="0.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Q2118" s="7"/>
      <c r="R2118" s="7"/>
      <c r="S2118" s="7"/>
      <c r="T2118" s="7"/>
      <c r="U2118" s="7"/>
      <c r="V2118" s="7"/>
      <c r="AC2118" s="7"/>
      <c r="AD2118" s="7"/>
      <c r="AE2118" s="7"/>
      <c r="AF2118" s="7"/>
      <c r="AG2118" s="7"/>
      <c r="AO2118" s="7"/>
      <c r="AP2118" s="7"/>
      <c r="AQ2118" s="7"/>
      <c r="AR2118" s="7"/>
      <c r="AS2118" s="7"/>
    </row>
    <row r="2119" spans="1:45" x14ac:dyDescent="0.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Q2119" s="7"/>
      <c r="R2119" s="7"/>
      <c r="S2119" s="7"/>
      <c r="T2119" s="7"/>
      <c r="U2119" s="7"/>
      <c r="V2119" s="7"/>
      <c r="AC2119" s="7"/>
      <c r="AD2119" s="7"/>
      <c r="AE2119" s="7"/>
      <c r="AF2119" s="7"/>
      <c r="AG2119" s="7"/>
      <c r="AO2119" s="7"/>
      <c r="AP2119" s="7"/>
      <c r="AQ2119" s="7"/>
      <c r="AR2119" s="7"/>
      <c r="AS2119" s="7"/>
    </row>
    <row r="2120" spans="1:45" x14ac:dyDescent="0.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Q2120" s="7"/>
      <c r="R2120" s="7"/>
      <c r="S2120" s="7"/>
      <c r="T2120" s="7"/>
      <c r="U2120" s="7"/>
      <c r="V2120" s="7"/>
      <c r="AC2120" s="7"/>
      <c r="AD2120" s="7"/>
      <c r="AE2120" s="7"/>
      <c r="AF2120" s="7"/>
      <c r="AG2120" s="7"/>
      <c r="AO2120" s="7"/>
      <c r="AP2120" s="7"/>
      <c r="AQ2120" s="7"/>
      <c r="AR2120" s="7"/>
      <c r="AS2120" s="7"/>
    </row>
    <row r="2121" spans="1:45" x14ac:dyDescent="0.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Q2121" s="7"/>
      <c r="R2121" s="7"/>
      <c r="S2121" s="7"/>
      <c r="T2121" s="7"/>
      <c r="U2121" s="7"/>
      <c r="V2121" s="7"/>
      <c r="AC2121" s="7"/>
      <c r="AD2121" s="7"/>
      <c r="AE2121" s="7"/>
      <c r="AF2121" s="7"/>
      <c r="AG2121" s="7"/>
      <c r="AO2121" s="7"/>
      <c r="AP2121" s="7"/>
      <c r="AQ2121" s="7"/>
      <c r="AR2121" s="7"/>
      <c r="AS2121" s="7"/>
    </row>
    <row r="2122" spans="1:45" x14ac:dyDescent="0.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Q2122" s="7"/>
      <c r="R2122" s="7"/>
      <c r="S2122" s="7"/>
      <c r="T2122" s="7"/>
      <c r="U2122" s="7"/>
      <c r="V2122" s="7"/>
      <c r="AC2122" s="7"/>
      <c r="AD2122" s="7"/>
      <c r="AE2122" s="7"/>
      <c r="AF2122" s="7"/>
      <c r="AG2122" s="7"/>
      <c r="AO2122" s="7"/>
      <c r="AP2122" s="7"/>
      <c r="AQ2122" s="7"/>
      <c r="AR2122" s="7"/>
      <c r="AS2122" s="7"/>
    </row>
    <row r="2123" spans="1:45" x14ac:dyDescent="0.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Q2123" s="7"/>
      <c r="R2123" s="7"/>
      <c r="S2123" s="7"/>
      <c r="T2123" s="7"/>
      <c r="U2123" s="7"/>
      <c r="V2123" s="7"/>
      <c r="AC2123" s="7"/>
      <c r="AD2123" s="7"/>
      <c r="AE2123" s="7"/>
      <c r="AF2123" s="7"/>
      <c r="AG2123" s="7"/>
      <c r="AO2123" s="7"/>
      <c r="AP2123" s="7"/>
      <c r="AQ2123" s="7"/>
      <c r="AR2123" s="7"/>
      <c r="AS2123" s="7"/>
    </row>
    <row r="2124" spans="1:45" x14ac:dyDescent="0.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Q2124" s="7"/>
      <c r="R2124" s="7"/>
      <c r="S2124" s="7"/>
      <c r="T2124" s="7"/>
      <c r="U2124" s="7"/>
      <c r="V2124" s="7"/>
      <c r="AC2124" s="7"/>
      <c r="AD2124" s="7"/>
      <c r="AE2124" s="7"/>
      <c r="AF2124" s="7"/>
      <c r="AG2124" s="7"/>
      <c r="AO2124" s="7"/>
      <c r="AP2124" s="7"/>
      <c r="AQ2124" s="7"/>
      <c r="AR2124" s="7"/>
      <c r="AS2124" s="7"/>
    </row>
    <row r="2125" spans="1:45" x14ac:dyDescent="0.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Q2125" s="7"/>
      <c r="R2125" s="7"/>
      <c r="S2125" s="7"/>
      <c r="T2125" s="7"/>
      <c r="U2125" s="7"/>
      <c r="V2125" s="7"/>
      <c r="AC2125" s="7"/>
      <c r="AD2125" s="7"/>
      <c r="AE2125" s="7"/>
      <c r="AF2125" s="7"/>
      <c r="AG2125" s="7"/>
      <c r="AO2125" s="7"/>
      <c r="AP2125" s="7"/>
      <c r="AQ2125" s="7"/>
      <c r="AR2125" s="7"/>
      <c r="AS2125" s="7"/>
    </row>
    <row r="2126" spans="1:45" x14ac:dyDescent="0.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Q2126" s="7"/>
      <c r="R2126" s="7"/>
      <c r="S2126" s="7"/>
      <c r="T2126" s="7"/>
      <c r="U2126" s="7"/>
      <c r="V2126" s="7"/>
      <c r="AC2126" s="7"/>
      <c r="AD2126" s="7"/>
      <c r="AE2126" s="7"/>
      <c r="AF2126" s="7"/>
      <c r="AG2126" s="7"/>
      <c r="AO2126" s="7"/>
      <c r="AP2126" s="7"/>
      <c r="AQ2126" s="7"/>
      <c r="AR2126" s="7"/>
      <c r="AS2126" s="7"/>
    </row>
    <row r="2127" spans="1:45" x14ac:dyDescent="0.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Q2127" s="7"/>
      <c r="R2127" s="7"/>
      <c r="S2127" s="7"/>
      <c r="T2127" s="7"/>
      <c r="U2127" s="7"/>
      <c r="V2127" s="7"/>
      <c r="AC2127" s="7"/>
      <c r="AD2127" s="7"/>
      <c r="AE2127" s="7"/>
      <c r="AF2127" s="7"/>
      <c r="AG2127" s="7"/>
      <c r="AO2127" s="7"/>
      <c r="AP2127" s="7"/>
      <c r="AQ2127" s="7"/>
      <c r="AR2127" s="7"/>
      <c r="AS2127" s="7"/>
    </row>
    <row r="2128" spans="1:45" x14ac:dyDescent="0.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Q2128" s="7"/>
      <c r="R2128" s="7"/>
      <c r="S2128" s="7"/>
      <c r="T2128" s="7"/>
      <c r="U2128" s="7"/>
      <c r="V2128" s="7"/>
      <c r="AC2128" s="7"/>
      <c r="AD2128" s="7"/>
      <c r="AE2128" s="7"/>
      <c r="AF2128" s="7"/>
      <c r="AG2128" s="7"/>
      <c r="AO2128" s="7"/>
      <c r="AP2128" s="7"/>
      <c r="AQ2128" s="7"/>
      <c r="AR2128" s="7"/>
      <c r="AS2128" s="7"/>
    </row>
    <row r="2129" spans="1:45" x14ac:dyDescent="0.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Q2129" s="7"/>
      <c r="R2129" s="7"/>
      <c r="S2129" s="7"/>
      <c r="T2129" s="7"/>
      <c r="U2129" s="7"/>
      <c r="V2129" s="7"/>
      <c r="AC2129" s="7"/>
      <c r="AD2129" s="7"/>
      <c r="AE2129" s="7"/>
      <c r="AF2129" s="7"/>
      <c r="AG2129" s="7"/>
      <c r="AO2129" s="7"/>
      <c r="AP2129" s="7"/>
      <c r="AQ2129" s="7"/>
      <c r="AR2129" s="7"/>
      <c r="AS2129" s="7"/>
    </row>
    <row r="2130" spans="1:45" x14ac:dyDescent="0.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Q2130" s="7"/>
      <c r="R2130" s="7"/>
      <c r="S2130" s="7"/>
      <c r="T2130" s="7"/>
      <c r="U2130" s="7"/>
      <c r="V2130" s="7"/>
      <c r="AC2130" s="7"/>
      <c r="AD2130" s="7"/>
      <c r="AE2130" s="7"/>
      <c r="AF2130" s="7"/>
      <c r="AG2130" s="7"/>
      <c r="AO2130" s="7"/>
      <c r="AP2130" s="7"/>
      <c r="AQ2130" s="7"/>
      <c r="AR2130" s="7"/>
      <c r="AS2130" s="7"/>
    </row>
    <row r="2131" spans="1:45" x14ac:dyDescent="0.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Q2131" s="7"/>
      <c r="R2131" s="7"/>
      <c r="S2131" s="7"/>
      <c r="T2131" s="7"/>
      <c r="U2131" s="7"/>
      <c r="V2131" s="7"/>
      <c r="AC2131" s="7"/>
      <c r="AD2131" s="7"/>
      <c r="AE2131" s="7"/>
      <c r="AF2131" s="7"/>
      <c r="AG2131" s="7"/>
      <c r="AO2131" s="7"/>
      <c r="AP2131" s="7"/>
      <c r="AQ2131" s="7"/>
      <c r="AR2131" s="7"/>
      <c r="AS2131" s="7"/>
    </row>
    <row r="2132" spans="1:45" x14ac:dyDescent="0.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Q2132" s="7"/>
      <c r="R2132" s="7"/>
      <c r="S2132" s="7"/>
      <c r="T2132" s="7"/>
      <c r="U2132" s="7"/>
      <c r="V2132" s="7"/>
      <c r="AC2132" s="7"/>
      <c r="AD2132" s="7"/>
      <c r="AE2132" s="7"/>
      <c r="AF2132" s="7"/>
      <c r="AG2132" s="7"/>
      <c r="AO2132" s="7"/>
      <c r="AP2132" s="7"/>
      <c r="AQ2132" s="7"/>
      <c r="AR2132" s="7"/>
      <c r="AS2132" s="7"/>
    </row>
    <row r="2133" spans="1:45" x14ac:dyDescent="0.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Q2133" s="7"/>
      <c r="R2133" s="7"/>
      <c r="S2133" s="7"/>
      <c r="T2133" s="7"/>
      <c r="U2133" s="7"/>
      <c r="V2133" s="7"/>
      <c r="AC2133" s="7"/>
      <c r="AD2133" s="7"/>
      <c r="AE2133" s="7"/>
      <c r="AF2133" s="7"/>
      <c r="AG2133" s="7"/>
      <c r="AO2133" s="7"/>
      <c r="AP2133" s="7"/>
      <c r="AQ2133" s="7"/>
      <c r="AR2133" s="7"/>
      <c r="AS2133" s="7"/>
    </row>
    <row r="2134" spans="1:45" x14ac:dyDescent="0.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Q2134" s="7"/>
      <c r="R2134" s="7"/>
      <c r="S2134" s="7"/>
      <c r="T2134" s="7"/>
      <c r="U2134" s="7"/>
      <c r="V2134" s="7"/>
      <c r="AC2134" s="7"/>
      <c r="AD2134" s="7"/>
      <c r="AE2134" s="7"/>
      <c r="AF2134" s="7"/>
      <c r="AG2134" s="7"/>
      <c r="AO2134" s="7"/>
      <c r="AP2134" s="7"/>
      <c r="AQ2134" s="7"/>
      <c r="AR2134" s="7"/>
      <c r="AS2134" s="7"/>
    </row>
    <row r="2135" spans="1:45" x14ac:dyDescent="0.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Q2135" s="7"/>
      <c r="R2135" s="7"/>
      <c r="S2135" s="7"/>
      <c r="T2135" s="7"/>
      <c r="U2135" s="7"/>
      <c r="V2135" s="7"/>
      <c r="AC2135" s="7"/>
      <c r="AD2135" s="7"/>
      <c r="AE2135" s="7"/>
      <c r="AF2135" s="7"/>
      <c r="AG2135" s="7"/>
      <c r="AO2135" s="7"/>
      <c r="AP2135" s="7"/>
      <c r="AQ2135" s="7"/>
      <c r="AR2135" s="7"/>
      <c r="AS2135" s="7"/>
    </row>
    <row r="2136" spans="1:45" x14ac:dyDescent="0.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Q2136" s="7"/>
      <c r="R2136" s="7"/>
      <c r="S2136" s="7"/>
      <c r="T2136" s="7"/>
      <c r="U2136" s="7"/>
      <c r="V2136" s="7"/>
      <c r="AC2136" s="7"/>
      <c r="AD2136" s="7"/>
      <c r="AE2136" s="7"/>
      <c r="AF2136" s="7"/>
      <c r="AG2136" s="7"/>
      <c r="AO2136" s="7"/>
      <c r="AP2136" s="7"/>
      <c r="AQ2136" s="7"/>
      <c r="AR2136" s="7"/>
      <c r="AS2136" s="7"/>
    </row>
    <row r="2137" spans="1:45" x14ac:dyDescent="0.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Q2137" s="7"/>
      <c r="R2137" s="7"/>
      <c r="S2137" s="7"/>
      <c r="T2137" s="7"/>
      <c r="U2137" s="7"/>
      <c r="V2137" s="7"/>
      <c r="AC2137" s="7"/>
      <c r="AD2137" s="7"/>
      <c r="AE2137" s="7"/>
      <c r="AF2137" s="7"/>
      <c r="AG2137" s="7"/>
      <c r="AO2137" s="7"/>
      <c r="AP2137" s="7"/>
      <c r="AQ2137" s="7"/>
      <c r="AR2137" s="7"/>
      <c r="AS2137" s="7"/>
    </row>
    <row r="2138" spans="1:45" x14ac:dyDescent="0.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Q2138" s="7"/>
      <c r="R2138" s="7"/>
      <c r="S2138" s="7"/>
      <c r="T2138" s="7"/>
      <c r="U2138" s="7"/>
      <c r="V2138" s="7"/>
      <c r="AC2138" s="7"/>
      <c r="AD2138" s="7"/>
      <c r="AE2138" s="7"/>
      <c r="AF2138" s="7"/>
      <c r="AG2138" s="7"/>
      <c r="AO2138" s="7"/>
      <c r="AP2138" s="7"/>
      <c r="AQ2138" s="7"/>
      <c r="AR2138" s="7"/>
      <c r="AS2138" s="7"/>
    </row>
    <row r="2139" spans="1:45" x14ac:dyDescent="0.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Q2139" s="7"/>
      <c r="R2139" s="7"/>
      <c r="S2139" s="7"/>
      <c r="T2139" s="7"/>
      <c r="U2139" s="7"/>
      <c r="V2139" s="7"/>
      <c r="AC2139" s="7"/>
      <c r="AD2139" s="7"/>
      <c r="AE2139" s="7"/>
      <c r="AF2139" s="7"/>
      <c r="AG2139" s="7"/>
      <c r="AO2139" s="7"/>
      <c r="AP2139" s="7"/>
      <c r="AQ2139" s="7"/>
      <c r="AR2139" s="7"/>
      <c r="AS2139" s="7"/>
    </row>
    <row r="2140" spans="1:45" x14ac:dyDescent="0.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Q2140" s="7"/>
      <c r="R2140" s="7"/>
      <c r="S2140" s="7"/>
      <c r="T2140" s="7"/>
      <c r="U2140" s="7"/>
      <c r="V2140" s="7"/>
      <c r="AC2140" s="7"/>
      <c r="AD2140" s="7"/>
      <c r="AE2140" s="7"/>
      <c r="AF2140" s="7"/>
      <c r="AG2140" s="7"/>
      <c r="AO2140" s="7"/>
      <c r="AP2140" s="7"/>
      <c r="AQ2140" s="7"/>
      <c r="AR2140" s="7"/>
      <c r="AS2140" s="7"/>
    </row>
    <row r="2141" spans="1:45" x14ac:dyDescent="0.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Q2141" s="7"/>
      <c r="R2141" s="7"/>
      <c r="S2141" s="7"/>
      <c r="T2141" s="7"/>
      <c r="U2141" s="7"/>
      <c r="V2141" s="7"/>
      <c r="AC2141" s="7"/>
      <c r="AD2141" s="7"/>
      <c r="AE2141" s="7"/>
      <c r="AF2141" s="7"/>
      <c r="AG2141" s="7"/>
      <c r="AO2141" s="7"/>
      <c r="AP2141" s="7"/>
      <c r="AQ2141" s="7"/>
      <c r="AR2141" s="7"/>
      <c r="AS2141" s="7"/>
    </row>
    <row r="2142" spans="1:45" x14ac:dyDescent="0.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Q2142" s="7"/>
      <c r="R2142" s="7"/>
      <c r="S2142" s="7"/>
      <c r="T2142" s="7"/>
      <c r="U2142" s="7"/>
      <c r="V2142" s="7"/>
      <c r="AC2142" s="7"/>
      <c r="AD2142" s="7"/>
      <c r="AE2142" s="7"/>
      <c r="AF2142" s="7"/>
      <c r="AG2142" s="7"/>
      <c r="AO2142" s="7"/>
      <c r="AP2142" s="7"/>
      <c r="AQ2142" s="7"/>
      <c r="AR2142" s="7"/>
      <c r="AS2142" s="7"/>
    </row>
    <row r="2143" spans="1:45" x14ac:dyDescent="0.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Q2143" s="7"/>
      <c r="R2143" s="7"/>
      <c r="S2143" s="7"/>
      <c r="T2143" s="7"/>
      <c r="U2143" s="7"/>
      <c r="V2143" s="7"/>
      <c r="AC2143" s="7"/>
      <c r="AD2143" s="7"/>
      <c r="AE2143" s="7"/>
      <c r="AF2143" s="7"/>
      <c r="AG2143" s="7"/>
      <c r="AO2143" s="7"/>
      <c r="AP2143" s="7"/>
      <c r="AQ2143" s="7"/>
      <c r="AR2143" s="7"/>
      <c r="AS2143" s="7"/>
    </row>
    <row r="2144" spans="1:45" x14ac:dyDescent="0.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Q2144" s="7"/>
      <c r="R2144" s="7"/>
      <c r="S2144" s="7"/>
      <c r="T2144" s="7"/>
      <c r="U2144" s="7"/>
      <c r="V2144" s="7"/>
      <c r="AC2144" s="7"/>
      <c r="AD2144" s="7"/>
      <c r="AE2144" s="7"/>
      <c r="AF2144" s="7"/>
      <c r="AG2144" s="7"/>
      <c r="AO2144" s="7"/>
      <c r="AP2144" s="7"/>
      <c r="AQ2144" s="7"/>
      <c r="AR2144" s="7"/>
      <c r="AS2144" s="7"/>
    </row>
    <row r="2145" spans="1:45" x14ac:dyDescent="0.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Q2145" s="7"/>
      <c r="R2145" s="7"/>
      <c r="S2145" s="7"/>
      <c r="T2145" s="7"/>
      <c r="U2145" s="7"/>
      <c r="V2145" s="7"/>
      <c r="AC2145" s="7"/>
      <c r="AD2145" s="7"/>
      <c r="AE2145" s="7"/>
      <c r="AF2145" s="7"/>
      <c r="AG2145" s="7"/>
      <c r="AO2145" s="7"/>
      <c r="AP2145" s="7"/>
      <c r="AQ2145" s="7"/>
      <c r="AR2145" s="7"/>
      <c r="AS2145" s="7"/>
    </row>
    <row r="2146" spans="1:45" x14ac:dyDescent="0.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Q2146" s="7"/>
      <c r="R2146" s="7"/>
      <c r="S2146" s="7"/>
      <c r="T2146" s="7"/>
      <c r="U2146" s="7"/>
      <c r="V2146" s="7"/>
      <c r="AC2146" s="7"/>
      <c r="AD2146" s="7"/>
      <c r="AE2146" s="7"/>
      <c r="AF2146" s="7"/>
      <c r="AG2146" s="7"/>
      <c r="AO2146" s="7"/>
      <c r="AP2146" s="7"/>
      <c r="AQ2146" s="7"/>
      <c r="AR2146" s="7"/>
      <c r="AS2146" s="7"/>
    </row>
    <row r="2147" spans="1:45" x14ac:dyDescent="0.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Q2147" s="7"/>
      <c r="R2147" s="7"/>
      <c r="S2147" s="7"/>
      <c r="T2147" s="7"/>
      <c r="U2147" s="7"/>
      <c r="V2147" s="7"/>
      <c r="AC2147" s="7"/>
      <c r="AD2147" s="7"/>
      <c r="AE2147" s="7"/>
      <c r="AF2147" s="7"/>
      <c r="AG2147" s="7"/>
      <c r="AO2147" s="7"/>
      <c r="AP2147" s="7"/>
      <c r="AQ2147" s="7"/>
      <c r="AR2147" s="7"/>
      <c r="AS2147" s="7"/>
    </row>
    <row r="2148" spans="1:45" x14ac:dyDescent="0.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Q2148" s="7"/>
      <c r="R2148" s="7"/>
      <c r="S2148" s="7"/>
      <c r="T2148" s="7"/>
      <c r="U2148" s="7"/>
      <c r="V2148" s="7"/>
      <c r="AC2148" s="7"/>
      <c r="AD2148" s="7"/>
      <c r="AE2148" s="7"/>
      <c r="AF2148" s="7"/>
      <c r="AG2148" s="7"/>
      <c r="AO2148" s="7"/>
      <c r="AP2148" s="7"/>
      <c r="AQ2148" s="7"/>
      <c r="AR2148" s="7"/>
      <c r="AS2148" s="7"/>
    </row>
    <row r="2149" spans="1:45" x14ac:dyDescent="0.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Q2149" s="7"/>
      <c r="R2149" s="7"/>
      <c r="S2149" s="7"/>
      <c r="T2149" s="7"/>
      <c r="U2149" s="7"/>
      <c r="V2149" s="7"/>
      <c r="AC2149" s="7"/>
      <c r="AD2149" s="7"/>
      <c r="AE2149" s="7"/>
      <c r="AF2149" s="7"/>
      <c r="AG2149" s="7"/>
      <c r="AO2149" s="7"/>
      <c r="AP2149" s="7"/>
      <c r="AQ2149" s="7"/>
      <c r="AR2149" s="7"/>
      <c r="AS2149" s="7"/>
    </row>
    <row r="2150" spans="1:45" x14ac:dyDescent="0.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Q2150" s="7"/>
      <c r="R2150" s="7"/>
      <c r="S2150" s="7"/>
      <c r="T2150" s="7"/>
      <c r="U2150" s="7"/>
      <c r="V2150" s="7"/>
      <c r="AC2150" s="7"/>
      <c r="AD2150" s="7"/>
      <c r="AE2150" s="7"/>
      <c r="AF2150" s="7"/>
      <c r="AG2150" s="7"/>
      <c r="AO2150" s="7"/>
      <c r="AP2150" s="7"/>
      <c r="AQ2150" s="7"/>
      <c r="AR2150" s="7"/>
      <c r="AS2150" s="7"/>
    </row>
    <row r="2151" spans="1:45" x14ac:dyDescent="0.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Q2151" s="7"/>
      <c r="R2151" s="7"/>
      <c r="S2151" s="7"/>
      <c r="T2151" s="7"/>
      <c r="U2151" s="7"/>
      <c r="V2151" s="7"/>
      <c r="AC2151" s="7"/>
      <c r="AD2151" s="7"/>
      <c r="AE2151" s="7"/>
      <c r="AF2151" s="7"/>
      <c r="AG2151" s="7"/>
      <c r="AO2151" s="7"/>
      <c r="AP2151" s="7"/>
      <c r="AQ2151" s="7"/>
      <c r="AR2151" s="7"/>
      <c r="AS2151" s="7"/>
    </row>
    <row r="2152" spans="1:45" x14ac:dyDescent="0.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Q2152" s="7"/>
      <c r="R2152" s="7"/>
      <c r="S2152" s="7"/>
      <c r="T2152" s="7"/>
      <c r="U2152" s="7"/>
      <c r="V2152" s="7"/>
      <c r="AC2152" s="7"/>
      <c r="AD2152" s="7"/>
      <c r="AE2152" s="7"/>
      <c r="AF2152" s="7"/>
      <c r="AG2152" s="7"/>
      <c r="AO2152" s="7"/>
      <c r="AP2152" s="7"/>
      <c r="AQ2152" s="7"/>
      <c r="AR2152" s="7"/>
      <c r="AS2152" s="7"/>
    </row>
    <row r="2153" spans="1:45" x14ac:dyDescent="0.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Q2153" s="7"/>
      <c r="R2153" s="7"/>
      <c r="S2153" s="7"/>
      <c r="T2153" s="7"/>
      <c r="U2153" s="7"/>
      <c r="V2153" s="7"/>
      <c r="AC2153" s="7"/>
      <c r="AD2153" s="7"/>
      <c r="AE2153" s="7"/>
      <c r="AF2153" s="7"/>
      <c r="AG2153" s="7"/>
      <c r="AO2153" s="7"/>
      <c r="AP2153" s="7"/>
      <c r="AQ2153" s="7"/>
      <c r="AR2153" s="7"/>
      <c r="AS2153" s="7"/>
    </row>
    <row r="2154" spans="1:45" x14ac:dyDescent="0.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Q2154" s="7"/>
      <c r="R2154" s="7"/>
      <c r="S2154" s="7"/>
      <c r="T2154" s="7"/>
      <c r="U2154" s="7"/>
      <c r="V2154" s="7"/>
      <c r="AC2154" s="7"/>
      <c r="AD2154" s="7"/>
      <c r="AE2154" s="7"/>
      <c r="AF2154" s="7"/>
      <c r="AG2154" s="7"/>
      <c r="AO2154" s="7"/>
      <c r="AP2154" s="7"/>
      <c r="AQ2154" s="7"/>
      <c r="AR2154" s="7"/>
      <c r="AS2154" s="7"/>
    </row>
    <row r="2155" spans="1:45" x14ac:dyDescent="0.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Q2155" s="7"/>
      <c r="R2155" s="7"/>
      <c r="S2155" s="7"/>
      <c r="T2155" s="7"/>
      <c r="U2155" s="7"/>
      <c r="V2155" s="7"/>
      <c r="AC2155" s="7"/>
      <c r="AD2155" s="7"/>
      <c r="AE2155" s="7"/>
      <c r="AF2155" s="7"/>
      <c r="AG2155" s="7"/>
      <c r="AO2155" s="7"/>
      <c r="AP2155" s="7"/>
      <c r="AQ2155" s="7"/>
      <c r="AR2155" s="7"/>
      <c r="AS2155" s="7"/>
    </row>
    <row r="2156" spans="1:45" x14ac:dyDescent="0.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Q2156" s="7"/>
      <c r="R2156" s="7"/>
      <c r="S2156" s="7"/>
      <c r="T2156" s="7"/>
      <c r="U2156" s="7"/>
      <c r="V2156" s="7"/>
      <c r="AC2156" s="7"/>
      <c r="AD2156" s="7"/>
      <c r="AE2156" s="7"/>
      <c r="AF2156" s="7"/>
      <c r="AG2156" s="7"/>
      <c r="AO2156" s="7"/>
      <c r="AP2156" s="7"/>
      <c r="AQ2156" s="7"/>
      <c r="AR2156" s="7"/>
      <c r="AS2156" s="7"/>
    </row>
    <row r="2157" spans="1:45" x14ac:dyDescent="0.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Q2157" s="7"/>
      <c r="R2157" s="7"/>
      <c r="S2157" s="7"/>
      <c r="T2157" s="7"/>
      <c r="U2157" s="7"/>
      <c r="V2157" s="7"/>
      <c r="AC2157" s="7"/>
      <c r="AD2157" s="7"/>
      <c r="AE2157" s="7"/>
      <c r="AF2157" s="7"/>
      <c r="AG2157" s="7"/>
      <c r="AO2157" s="7"/>
      <c r="AP2157" s="7"/>
      <c r="AQ2157" s="7"/>
      <c r="AR2157" s="7"/>
      <c r="AS2157" s="7"/>
    </row>
    <row r="2158" spans="1:45" x14ac:dyDescent="0.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Q2158" s="7"/>
      <c r="R2158" s="7"/>
      <c r="S2158" s="7"/>
      <c r="T2158" s="7"/>
      <c r="U2158" s="7"/>
      <c r="V2158" s="7"/>
      <c r="AC2158" s="7"/>
      <c r="AD2158" s="7"/>
      <c r="AE2158" s="7"/>
      <c r="AF2158" s="7"/>
      <c r="AG2158" s="7"/>
      <c r="AO2158" s="7"/>
      <c r="AP2158" s="7"/>
      <c r="AQ2158" s="7"/>
      <c r="AR2158" s="7"/>
      <c r="AS2158" s="7"/>
    </row>
    <row r="2159" spans="1:45" x14ac:dyDescent="0.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Q2159" s="7"/>
      <c r="R2159" s="7"/>
      <c r="S2159" s="7"/>
      <c r="T2159" s="7"/>
      <c r="U2159" s="7"/>
      <c r="V2159" s="7"/>
      <c r="AC2159" s="7"/>
      <c r="AD2159" s="7"/>
      <c r="AE2159" s="7"/>
      <c r="AF2159" s="7"/>
      <c r="AG2159" s="7"/>
      <c r="AO2159" s="7"/>
      <c r="AP2159" s="7"/>
      <c r="AQ2159" s="7"/>
      <c r="AR2159" s="7"/>
      <c r="AS2159" s="7"/>
    </row>
    <row r="2160" spans="1:45" x14ac:dyDescent="0.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Q2160" s="7"/>
      <c r="R2160" s="7"/>
      <c r="S2160" s="7"/>
      <c r="T2160" s="7"/>
      <c r="U2160" s="7"/>
      <c r="V2160" s="7"/>
      <c r="AC2160" s="7"/>
      <c r="AD2160" s="7"/>
      <c r="AE2160" s="7"/>
      <c r="AF2160" s="7"/>
      <c r="AG2160" s="7"/>
      <c r="AO2160" s="7"/>
      <c r="AP2160" s="7"/>
      <c r="AQ2160" s="7"/>
      <c r="AR2160" s="7"/>
      <c r="AS2160" s="7"/>
    </row>
    <row r="2161" spans="1:45" x14ac:dyDescent="0.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Q2161" s="7"/>
      <c r="R2161" s="7"/>
      <c r="S2161" s="7"/>
      <c r="T2161" s="7"/>
      <c r="U2161" s="7"/>
      <c r="V2161" s="7"/>
      <c r="AC2161" s="7"/>
      <c r="AD2161" s="7"/>
      <c r="AE2161" s="7"/>
      <c r="AF2161" s="7"/>
      <c r="AG2161" s="7"/>
      <c r="AO2161" s="7"/>
      <c r="AP2161" s="7"/>
      <c r="AQ2161" s="7"/>
      <c r="AR2161" s="7"/>
      <c r="AS2161" s="7"/>
    </row>
    <row r="2162" spans="1:45" x14ac:dyDescent="0.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Q2162" s="7"/>
      <c r="R2162" s="7"/>
      <c r="S2162" s="7"/>
      <c r="T2162" s="7"/>
      <c r="U2162" s="7"/>
      <c r="V2162" s="7"/>
      <c r="AC2162" s="7"/>
      <c r="AD2162" s="7"/>
      <c r="AE2162" s="7"/>
      <c r="AF2162" s="7"/>
      <c r="AG2162" s="7"/>
      <c r="AO2162" s="7"/>
      <c r="AP2162" s="7"/>
      <c r="AQ2162" s="7"/>
      <c r="AR2162" s="7"/>
      <c r="AS2162" s="7"/>
    </row>
    <row r="2163" spans="1:45" x14ac:dyDescent="0.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Q2163" s="7"/>
      <c r="R2163" s="7"/>
      <c r="S2163" s="7"/>
      <c r="T2163" s="7"/>
      <c r="U2163" s="7"/>
      <c r="V2163" s="7"/>
      <c r="AC2163" s="7"/>
      <c r="AD2163" s="7"/>
      <c r="AE2163" s="7"/>
      <c r="AF2163" s="7"/>
      <c r="AG2163" s="7"/>
      <c r="AO2163" s="7"/>
      <c r="AP2163" s="7"/>
      <c r="AQ2163" s="7"/>
      <c r="AR2163" s="7"/>
      <c r="AS2163" s="7"/>
    </row>
    <row r="2164" spans="1:45" x14ac:dyDescent="0.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Q2164" s="7"/>
      <c r="R2164" s="7"/>
      <c r="S2164" s="7"/>
      <c r="T2164" s="7"/>
      <c r="U2164" s="7"/>
      <c r="V2164" s="7"/>
      <c r="AC2164" s="7"/>
      <c r="AD2164" s="7"/>
      <c r="AE2164" s="7"/>
      <c r="AF2164" s="7"/>
      <c r="AG2164" s="7"/>
      <c r="AO2164" s="7"/>
      <c r="AP2164" s="7"/>
      <c r="AQ2164" s="7"/>
      <c r="AR2164" s="7"/>
      <c r="AS2164" s="7"/>
    </row>
    <row r="2165" spans="1:45" x14ac:dyDescent="0.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Q2165" s="7"/>
      <c r="R2165" s="7"/>
      <c r="S2165" s="7"/>
      <c r="T2165" s="7"/>
      <c r="U2165" s="7"/>
      <c r="V2165" s="7"/>
      <c r="AC2165" s="7"/>
      <c r="AD2165" s="7"/>
      <c r="AE2165" s="7"/>
      <c r="AF2165" s="7"/>
      <c r="AG2165" s="7"/>
      <c r="AO2165" s="7"/>
      <c r="AP2165" s="7"/>
      <c r="AQ2165" s="7"/>
      <c r="AR2165" s="7"/>
      <c r="AS2165" s="7"/>
    </row>
    <row r="2166" spans="1:45" x14ac:dyDescent="0.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Q2166" s="7"/>
      <c r="R2166" s="7"/>
      <c r="S2166" s="7"/>
      <c r="T2166" s="7"/>
      <c r="U2166" s="7"/>
      <c r="V2166" s="7"/>
      <c r="AC2166" s="7"/>
      <c r="AD2166" s="7"/>
      <c r="AE2166" s="7"/>
      <c r="AF2166" s="7"/>
      <c r="AG2166" s="7"/>
      <c r="AO2166" s="7"/>
      <c r="AP2166" s="7"/>
      <c r="AQ2166" s="7"/>
      <c r="AR2166" s="7"/>
      <c r="AS2166" s="7"/>
    </row>
    <row r="2167" spans="1:45" x14ac:dyDescent="0.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Q2167" s="7"/>
      <c r="R2167" s="7"/>
      <c r="S2167" s="7"/>
      <c r="T2167" s="7"/>
      <c r="U2167" s="7"/>
      <c r="V2167" s="7"/>
      <c r="AC2167" s="7"/>
      <c r="AD2167" s="7"/>
      <c r="AE2167" s="7"/>
      <c r="AF2167" s="7"/>
      <c r="AG2167" s="7"/>
      <c r="AO2167" s="7"/>
      <c r="AP2167" s="7"/>
      <c r="AQ2167" s="7"/>
      <c r="AR2167" s="7"/>
      <c r="AS2167" s="7"/>
    </row>
    <row r="2168" spans="1:45" x14ac:dyDescent="0.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Q2168" s="7"/>
      <c r="R2168" s="7"/>
      <c r="S2168" s="7"/>
      <c r="T2168" s="7"/>
      <c r="U2168" s="7"/>
      <c r="V2168" s="7"/>
      <c r="AC2168" s="7"/>
      <c r="AD2168" s="7"/>
      <c r="AE2168" s="7"/>
      <c r="AF2168" s="7"/>
      <c r="AG2168" s="7"/>
      <c r="AO2168" s="7"/>
      <c r="AP2168" s="7"/>
      <c r="AQ2168" s="7"/>
      <c r="AR2168" s="7"/>
      <c r="AS2168" s="7"/>
    </row>
    <row r="2169" spans="1:45" x14ac:dyDescent="0.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Q2169" s="7"/>
      <c r="R2169" s="7"/>
      <c r="S2169" s="7"/>
      <c r="T2169" s="7"/>
      <c r="U2169" s="7"/>
      <c r="V2169" s="7"/>
      <c r="AC2169" s="7"/>
      <c r="AD2169" s="7"/>
      <c r="AE2169" s="7"/>
      <c r="AF2169" s="7"/>
      <c r="AG2169" s="7"/>
      <c r="AO2169" s="7"/>
      <c r="AP2169" s="7"/>
      <c r="AQ2169" s="7"/>
      <c r="AR2169" s="7"/>
      <c r="AS2169" s="7"/>
    </row>
    <row r="2170" spans="1:45" x14ac:dyDescent="0.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Q2170" s="7"/>
      <c r="R2170" s="7"/>
      <c r="S2170" s="7"/>
      <c r="T2170" s="7"/>
      <c r="U2170" s="7"/>
      <c r="V2170" s="7"/>
      <c r="AC2170" s="7"/>
      <c r="AD2170" s="7"/>
      <c r="AE2170" s="7"/>
      <c r="AF2170" s="7"/>
      <c r="AG2170" s="7"/>
      <c r="AO2170" s="7"/>
      <c r="AP2170" s="7"/>
      <c r="AQ2170" s="7"/>
      <c r="AR2170" s="7"/>
      <c r="AS2170" s="7"/>
    </row>
    <row r="2171" spans="1:45" x14ac:dyDescent="0.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Q2171" s="7"/>
      <c r="R2171" s="7"/>
      <c r="S2171" s="7"/>
      <c r="T2171" s="7"/>
      <c r="U2171" s="7"/>
      <c r="V2171" s="7"/>
      <c r="AC2171" s="7"/>
      <c r="AD2171" s="7"/>
      <c r="AE2171" s="7"/>
      <c r="AF2171" s="7"/>
      <c r="AG2171" s="7"/>
      <c r="AO2171" s="7"/>
      <c r="AP2171" s="7"/>
      <c r="AQ2171" s="7"/>
      <c r="AR2171" s="7"/>
      <c r="AS2171" s="7"/>
    </row>
    <row r="2172" spans="1:45" x14ac:dyDescent="0.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Q2172" s="7"/>
      <c r="R2172" s="7"/>
      <c r="S2172" s="7"/>
      <c r="T2172" s="7"/>
      <c r="U2172" s="7"/>
      <c r="V2172" s="7"/>
      <c r="AC2172" s="7"/>
      <c r="AD2172" s="7"/>
      <c r="AE2172" s="7"/>
      <c r="AF2172" s="7"/>
      <c r="AG2172" s="7"/>
      <c r="AO2172" s="7"/>
      <c r="AP2172" s="7"/>
      <c r="AQ2172" s="7"/>
      <c r="AR2172" s="7"/>
      <c r="AS2172" s="7"/>
    </row>
    <row r="2173" spans="1:45" x14ac:dyDescent="0.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Q2173" s="7"/>
      <c r="R2173" s="7"/>
      <c r="S2173" s="7"/>
      <c r="T2173" s="7"/>
      <c r="U2173" s="7"/>
      <c r="V2173" s="7"/>
      <c r="AC2173" s="7"/>
      <c r="AD2173" s="7"/>
      <c r="AE2173" s="7"/>
      <c r="AF2173" s="7"/>
      <c r="AG2173" s="7"/>
      <c r="AO2173" s="7"/>
      <c r="AP2173" s="7"/>
      <c r="AQ2173" s="7"/>
      <c r="AR2173" s="7"/>
      <c r="AS2173" s="7"/>
    </row>
    <row r="2174" spans="1:45" x14ac:dyDescent="0.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Q2174" s="7"/>
      <c r="R2174" s="7"/>
      <c r="S2174" s="7"/>
      <c r="T2174" s="7"/>
      <c r="U2174" s="7"/>
      <c r="V2174" s="7"/>
      <c r="AC2174" s="7"/>
      <c r="AD2174" s="7"/>
      <c r="AE2174" s="7"/>
      <c r="AF2174" s="7"/>
      <c r="AG2174" s="7"/>
      <c r="AO2174" s="7"/>
      <c r="AP2174" s="7"/>
      <c r="AQ2174" s="7"/>
      <c r="AR2174" s="7"/>
      <c r="AS2174" s="7"/>
    </row>
    <row r="2175" spans="1:45" x14ac:dyDescent="0.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Q2175" s="7"/>
      <c r="R2175" s="7"/>
      <c r="S2175" s="7"/>
      <c r="T2175" s="7"/>
      <c r="U2175" s="7"/>
      <c r="V2175" s="7"/>
      <c r="AC2175" s="7"/>
      <c r="AD2175" s="7"/>
      <c r="AE2175" s="7"/>
      <c r="AF2175" s="7"/>
      <c r="AG2175" s="7"/>
      <c r="AO2175" s="7"/>
      <c r="AP2175" s="7"/>
      <c r="AQ2175" s="7"/>
      <c r="AR2175" s="7"/>
      <c r="AS2175" s="7"/>
    </row>
    <row r="2176" spans="1:45" x14ac:dyDescent="0.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Q2176" s="7"/>
      <c r="R2176" s="7"/>
      <c r="S2176" s="7"/>
      <c r="T2176" s="7"/>
      <c r="U2176" s="7"/>
      <c r="V2176" s="7"/>
      <c r="AC2176" s="7"/>
      <c r="AD2176" s="7"/>
      <c r="AE2176" s="7"/>
      <c r="AF2176" s="7"/>
      <c r="AG2176" s="7"/>
      <c r="AO2176" s="7"/>
      <c r="AP2176" s="7"/>
      <c r="AQ2176" s="7"/>
      <c r="AR2176" s="7"/>
      <c r="AS2176" s="7"/>
    </row>
    <row r="2177" spans="1:45" x14ac:dyDescent="0.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Q2177" s="7"/>
      <c r="R2177" s="7"/>
      <c r="S2177" s="7"/>
      <c r="T2177" s="7"/>
      <c r="U2177" s="7"/>
      <c r="V2177" s="7"/>
      <c r="AC2177" s="7"/>
      <c r="AD2177" s="7"/>
      <c r="AE2177" s="7"/>
      <c r="AF2177" s="7"/>
      <c r="AG2177" s="7"/>
      <c r="AO2177" s="7"/>
      <c r="AP2177" s="7"/>
      <c r="AQ2177" s="7"/>
      <c r="AR2177" s="7"/>
      <c r="AS2177" s="7"/>
    </row>
    <row r="2178" spans="1:45" x14ac:dyDescent="0.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Q2178" s="7"/>
      <c r="R2178" s="7"/>
      <c r="S2178" s="7"/>
      <c r="T2178" s="7"/>
      <c r="U2178" s="7"/>
      <c r="V2178" s="7"/>
      <c r="AC2178" s="7"/>
      <c r="AD2178" s="7"/>
      <c r="AE2178" s="7"/>
      <c r="AF2178" s="7"/>
      <c r="AG2178" s="7"/>
      <c r="AO2178" s="7"/>
      <c r="AP2178" s="7"/>
      <c r="AQ2178" s="7"/>
      <c r="AR2178" s="7"/>
      <c r="AS2178" s="7"/>
    </row>
    <row r="2179" spans="1:45" x14ac:dyDescent="0.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Q2179" s="7"/>
      <c r="R2179" s="7"/>
      <c r="S2179" s="7"/>
      <c r="T2179" s="7"/>
      <c r="U2179" s="7"/>
      <c r="V2179" s="7"/>
      <c r="AC2179" s="7"/>
      <c r="AD2179" s="7"/>
      <c r="AE2179" s="7"/>
      <c r="AF2179" s="7"/>
      <c r="AG2179" s="7"/>
      <c r="AO2179" s="7"/>
      <c r="AP2179" s="7"/>
      <c r="AQ2179" s="7"/>
      <c r="AR2179" s="7"/>
      <c r="AS2179" s="7"/>
    </row>
    <row r="2180" spans="1:45" x14ac:dyDescent="0.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Q2180" s="7"/>
      <c r="R2180" s="7"/>
      <c r="S2180" s="7"/>
      <c r="T2180" s="7"/>
      <c r="U2180" s="7"/>
      <c r="V2180" s="7"/>
      <c r="AC2180" s="7"/>
      <c r="AD2180" s="7"/>
      <c r="AE2180" s="7"/>
      <c r="AF2180" s="7"/>
      <c r="AG2180" s="7"/>
      <c r="AO2180" s="7"/>
      <c r="AP2180" s="7"/>
      <c r="AQ2180" s="7"/>
      <c r="AR2180" s="7"/>
      <c r="AS2180" s="7"/>
    </row>
    <row r="2181" spans="1:45" x14ac:dyDescent="0.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Q2181" s="7"/>
      <c r="R2181" s="7"/>
      <c r="S2181" s="7"/>
      <c r="T2181" s="7"/>
      <c r="U2181" s="7"/>
      <c r="V2181" s="7"/>
      <c r="AC2181" s="7"/>
      <c r="AD2181" s="7"/>
      <c r="AE2181" s="7"/>
      <c r="AF2181" s="7"/>
      <c r="AG2181" s="7"/>
      <c r="AO2181" s="7"/>
      <c r="AP2181" s="7"/>
      <c r="AQ2181" s="7"/>
      <c r="AR2181" s="7"/>
      <c r="AS2181" s="7"/>
    </row>
    <row r="2182" spans="1:45" x14ac:dyDescent="0.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Q2182" s="7"/>
      <c r="R2182" s="7"/>
      <c r="S2182" s="7"/>
      <c r="T2182" s="7"/>
      <c r="U2182" s="7"/>
      <c r="V2182" s="7"/>
      <c r="AC2182" s="7"/>
      <c r="AD2182" s="7"/>
      <c r="AE2182" s="7"/>
      <c r="AF2182" s="7"/>
      <c r="AG2182" s="7"/>
      <c r="AO2182" s="7"/>
      <c r="AP2182" s="7"/>
      <c r="AQ2182" s="7"/>
      <c r="AR2182" s="7"/>
      <c r="AS2182" s="7"/>
    </row>
    <row r="2183" spans="1:45" x14ac:dyDescent="0.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Q2183" s="7"/>
      <c r="R2183" s="7"/>
      <c r="S2183" s="7"/>
      <c r="T2183" s="7"/>
      <c r="U2183" s="7"/>
      <c r="V2183" s="7"/>
      <c r="AC2183" s="7"/>
      <c r="AD2183" s="7"/>
      <c r="AE2183" s="7"/>
      <c r="AF2183" s="7"/>
      <c r="AG2183" s="7"/>
      <c r="AO2183" s="7"/>
      <c r="AP2183" s="7"/>
      <c r="AQ2183" s="7"/>
      <c r="AR2183" s="7"/>
      <c r="AS2183" s="7"/>
    </row>
    <row r="2184" spans="1:45" x14ac:dyDescent="0.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Q2184" s="7"/>
      <c r="R2184" s="7"/>
      <c r="S2184" s="7"/>
      <c r="T2184" s="7"/>
      <c r="U2184" s="7"/>
      <c r="V2184" s="7"/>
      <c r="AC2184" s="7"/>
      <c r="AD2184" s="7"/>
      <c r="AE2184" s="7"/>
      <c r="AF2184" s="7"/>
      <c r="AG2184" s="7"/>
      <c r="AO2184" s="7"/>
      <c r="AP2184" s="7"/>
      <c r="AQ2184" s="7"/>
      <c r="AR2184" s="7"/>
      <c r="AS2184" s="7"/>
    </row>
    <row r="2185" spans="1:45" x14ac:dyDescent="0.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Q2185" s="7"/>
      <c r="R2185" s="7"/>
      <c r="S2185" s="7"/>
      <c r="T2185" s="7"/>
      <c r="U2185" s="7"/>
      <c r="V2185" s="7"/>
      <c r="AC2185" s="7"/>
      <c r="AD2185" s="7"/>
      <c r="AE2185" s="7"/>
      <c r="AF2185" s="7"/>
      <c r="AG2185" s="7"/>
      <c r="AO2185" s="7"/>
      <c r="AP2185" s="7"/>
      <c r="AQ2185" s="7"/>
      <c r="AR2185" s="7"/>
      <c r="AS2185" s="7"/>
    </row>
    <row r="2186" spans="1:45" x14ac:dyDescent="0.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Q2186" s="7"/>
      <c r="R2186" s="7"/>
      <c r="S2186" s="7"/>
      <c r="T2186" s="7"/>
      <c r="U2186" s="7"/>
      <c r="V2186" s="7"/>
      <c r="AC2186" s="7"/>
      <c r="AD2186" s="7"/>
      <c r="AE2186" s="7"/>
      <c r="AF2186" s="7"/>
      <c r="AG2186" s="7"/>
      <c r="AO2186" s="7"/>
      <c r="AP2186" s="7"/>
      <c r="AQ2186" s="7"/>
      <c r="AR2186" s="7"/>
      <c r="AS2186" s="7"/>
    </row>
    <row r="2187" spans="1:45" x14ac:dyDescent="0.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Q2187" s="7"/>
      <c r="R2187" s="7"/>
      <c r="S2187" s="7"/>
      <c r="T2187" s="7"/>
      <c r="U2187" s="7"/>
      <c r="V2187" s="7"/>
      <c r="AC2187" s="7"/>
      <c r="AD2187" s="7"/>
      <c r="AE2187" s="7"/>
      <c r="AF2187" s="7"/>
      <c r="AG2187" s="7"/>
      <c r="AO2187" s="7"/>
      <c r="AP2187" s="7"/>
      <c r="AQ2187" s="7"/>
      <c r="AR2187" s="7"/>
      <c r="AS2187" s="7"/>
    </row>
    <row r="2188" spans="1:45" x14ac:dyDescent="0.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Q2188" s="7"/>
      <c r="R2188" s="7"/>
      <c r="S2188" s="7"/>
      <c r="T2188" s="7"/>
      <c r="U2188" s="7"/>
      <c r="V2188" s="7"/>
      <c r="AC2188" s="7"/>
      <c r="AD2188" s="7"/>
      <c r="AE2188" s="7"/>
      <c r="AF2188" s="7"/>
      <c r="AG2188" s="7"/>
      <c r="AO2188" s="7"/>
      <c r="AP2188" s="7"/>
      <c r="AQ2188" s="7"/>
      <c r="AR2188" s="7"/>
      <c r="AS2188" s="7"/>
    </row>
    <row r="2189" spans="1:45" x14ac:dyDescent="0.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Q2189" s="7"/>
      <c r="R2189" s="7"/>
      <c r="S2189" s="7"/>
      <c r="T2189" s="7"/>
      <c r="U2189" s="7"/>
      <c r="V2189" s="7"/>
      <c r="AC2189" s="7"/>
      <c r="AD2189" s="7"/>
      <c r="AE2189" s="7"/>
      <c r="AF2189" s="7"/>
      <c r="AG2189" s="7"/>
      <c r="AO2189" s="7"/>
      <c r="AP2189" s="7"/>
      <c r="AQ2189" s="7"/>
      <c r="AR2189" s="7"/>
      <c r="AS2189" s="7"/>
    </row>
    <row r="2190" spans="1:45" x14ac:dyDescent="0.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Q2190" s="7"/>
      <c r="R2190" s="7"/>
      <c r="S2190" s="7"/>
      <c r="T2190" s="7"/>
      <c r="U2190" s="7"/>
      <c r="V2190" s="7"/>
      <c r="AC2190" s="7"/>
      <c r="AD2190" s="7"/>
      <c r="AE2190" s="7"/>
      <c r="AF2190" s="7"/>
      <c r="AG2190" s="7"/>
      <c r="AO2190" s="7"/>
      <c r="AP2190" s="7"/>
      <c r="AQ2190" s="7"/>
      <c r="AR2190" s="7"/>
      <c r="AS2190" s="7"/>
    </row>
    <row r="2191" spans="1:45" x14ac:dyDescent="0.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Q2191" s="7"/>
      <c r="R2191" s="7"/>
      <c r="S2191" s="7"/>
      <c r="T2191" s="7"/>
      <c r="U2191" s="7"/>
      <c r="V2191" s="7"/>
      <c r="AC2191" s="7"/>
      <c r="AD2191" s="7"/>
      <c r="AE2191" s="7"/>
      <c r="AF2191" s="7"/>
      <c r="AG2191" s="7"/>
      <c r="AO2191" s="7"/>
      <c r="AP2191" s="7"/>
      <c r="AQ2191" s="7"/>
      <c r="AR2191" s="7"/>
      <c r="AS2191" s="7"/>
    </row>
    <row r="2192" spans="1:45" x14ac:dyDescent="0.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Q2192" s="7"/>
      <c r="R2192" s="7"/>
      <c r="S2192" s="7"/>
      <c r="T2192" s="7"/>
      <c r="U2192" s="7"/>
      <c r="V2192" s="7"/>
      <c r="AC2192" s="7"/>
      <c r="AD2192" s="7"/>
      <c r="AE2192" s="7"/>
      <c r="AF2192" s="7"/>
      <c r="AG2192" s="7"/>
      <c r="AO2192" s="7"/>
      <c r="AP2192" s="7"/>
      <c r="AQ2192" s="7"/>
      <c r="AR2192" s="7"/>
      <c r="AS2192" s="7"/>
    </row>
    <row r="2193" spans="1:45" x14ac:dyDescent="0.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Q2193" s="7"/>
      <c r="R2193" s="7"/>
      <c r="S2193" s="7"/>
      <c r="T2193" s="7"/>
      <c r="U2193" s="7"/>
      <c r="V2193" s="7"/>
      <c r="AC2193" s="7"/>
      <c r="AD2193" s="7"/>
      <c r="AE2193" s="7"/>
      <c r="AF2193" s="7"/>
      <c r="AG2193" s="7"/>
      <c r="AO2193" s="7"/>
      <c r="AP2193" s="7"/>
      <c r="AQ2193" s="7"/>
      <c r="AR2193" s="7"/>
      <c r="AS2193" s="7"/>
    </row>
    <row r="2194" spans="1:45" x14ac:dyDescent="0.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Q2194" s="7"/>
      <c r="R2194" s="7"/>
      <c r="S2194" s="7"/>
      <c r="T2194" s="7"/>
      <c r="U2194" s="7"/>
      <c r="V2194" s="7"/>
      <c r="AC2194" s="7"/>
      <c r="AD2194" s="7"/>
      <c r="AE2194" s="7"/>
      <c r="AF2194" s="7"/>
      <c r="AG2194" s="7"/>
      <c r="AO2194" s="7"/>
      <c r="AP2194" s="7"/>
      <c r="AQ2194" s="7"/>
      <c r="AR2194" s="7"/>
      <c r="AS2194" s="7"/>
    </row>
    <row r="2195" spans="1:45" x14ac:dyDescent="0.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Q2195" s="7"/>
      <c r="R2195" s="7"/>
      <c r="S2195" s="7"/>
      <c r="T2195" s="7"/>
      <c r="U2195" s="7"/>
      <c r="V2195" s="7"/>
      <c r="AC2195" s="7"/>
      <c r="AD2195" s="7"/>
      <c r="AE2195" s="7"/>
      <c r="AF2195" s="7"/>
      <c r="AG2195" s="7"/>
      <c r="AO2195" s="7"/>
      <c r="AP2195" s="7"/>
      <c r="AQ2195" s="7"/>
      <c r="AR2195" s="7"/>
      <c r="AS2195" s="7"/>
    </row>
    <row r="2196" spans="1:45" x14ac:dyDescent="0.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Q2196" s="7"/>
      <c r="R2196" s="7"/>
      <c r="S2196" s="7"/>
      <c r="T2196" s="7"/>
      <c r="U2196" s="7"/>
      <c r="V2196" s="7"/>
      <c r="AC2196" s="7"/>
      <c r="AD2196" s="7"/>
      <c r="AE2196" s="7"/>
      <c r="AF2196" s="7"/>
      <c r="AG2196" s="7"/>
      <c r="AO2196" s="7"/>
      <c r="AP2196" s="7"/>
      <c r="AQ2196" s="7"/>
      <c r="AR2196" s="7"/>
      <c r="AS2196" s="7"/>
    </row>
    <row r="2197" spans="1:45" x14ac:dyDescent="0.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Q2197" s="7"/>
      <c r="R2197" s="7"/>
      <c r="S2197" s="7"/>
      <c r="T2197" s="7"/>
      <c r="U2197" s="7"/>
      <c r="V2197" s="7"/>
      <c r="AC2197" s="7"/>
      <c r="AD2197" s="7"/>
      <c r="AE2197" s="7"/>
      <c r="AF2197" s="7"/>
      <c r="AG2197" s="7"/>
      <c r="AO2197" s="7"/>
      <c r="AP2197" s="7"/>
      <c r="AQ2197" s="7"/>
      <c r="AR2197" s="7"/>
      <c r="AS2197" s="7"/>
    </row>
    <row r="2198" spans="1:45" x14ac:dyDescent="0.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Q2198" s="7"/>
      <c r="R2198" s="7"/>
      <c r="S2198" s="7"/>
      <c r="T2198" s="7"/>
      <c r="U2198" s="7"/>
      <c r="V2198" s="7"/>
      <c r="AC2198" s="7"/>
      <c r="AD2198" s="7"/>
      <c r="AE2198" s="7"/>
      <c r="AF2198" s="7"/>
      <c r="AG2198" s="7"/>
      <c r="AO2198" s="7"/>
      <c r="AP2198" s="7"/>
      <c r="AQ2198" s="7"/>
      <c r="AR2198" s="7"/>
      <c r="AS2198" s="7"/>
    </row>
    <row r="2199" spans="1:45" x14ac:dyDescent="0.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Q2199" s="7"/>
      <c r="R2199" s="7"/>
      <c r="S2199" s="7"/>
      <c r="T2199" s="7"/>
      <c r="U2199" s="7"/>
      <c r="V2199" s="7"/>
      <c r="AC2199" s="7"/>
      <c r="AD2199" s="7"/>
      <c r="AE2199" s="7"/>
      <c r="AF2199" s="7"/>
      <c r="AG2199" s="7"/>
      <c r="AO2199" s="7"/>
      <c r="AP2199" s="7"/>
      <c r="AQ2199" s="7"/>
      <c r="AR2199" s="7"/>
      <c r="AS2199" s="7"/>
    </row>
    <row r="2200" spans="1:45" x14ac:dyDescent="0.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Q2200" s="7"/>
      <c r="R2200" s="7"/>
      <c r="S2200" s="7"/>
      <c r="T2200" s="7"/>
      <c r="U2200" s="7"/>
      <c r="V2200" s="7"/>
      <c r="AC2200" s="7"/>
      <c r="AD2200" s="7"/>
      <c r="AE2200" s="7"/>
      <c r="AF2200" s="7"/>
      <c r="AG2200" s="7"/>
      <c r="AO2200" s="7"/>
      <c r="AP2200" s="7"/>
      <c r="AQ2200" s="7"/>
      <c r="AR2200" s="7"/>
      <c r="AS2200" s="7"/>
    </row>
    <row r="2201" spans="1:45" x14ac:dyDescent="0.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Q2201" s="7"/>
      <c r="R2201" s="7"/>
      <c r="S2201" s="7"/>
      <c r="T2201" s="7"/>
      <c r="U2201" s="7"/>
      <c r="V2201" s="7"/>
      <c r="AC2201" s="7"/>
      <c r="AD2201" s="7"/>
      <c r="AE2201" s="7"/>
      <c r="AF2201" s="7"/>
      <c r="AG2201" s="7"/>
      <c r="AO2201" s="7"/>
      <c r="AP2201" s="7"/>
      <c r="AQ2201" s="7"/>
      <c r="AR2201" s="7"/>
      <c r="AS2201" s="7"/>
    </row>
    <row r="2202" spans="1:45" x14ac:dyDescent="0.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Q2202" s="7"/>
      <c r="R2202" s="7"/>
      <c r="S2202" s="7"/>
      <c r="T2202" s="7"/>
      <c r="U2202" s="7"/>
      <c r="V2202" s="7"/>
      <c r="AC2202" s="7"/>
      <c r="AD2202" s="7"/>
      <c r="AE2202" s="7"/>
      <c r="AF2202" s="7"/>
      <c r="AG2202" s="7"/>
      <c r="AO2202" s="7"/>
      <c r="AP2202" s="7"/>
      <c r="AQ2202" s="7"/>
      <c r="AR2202" s="7"/>
      <c r="AS2202" s="7"/>
    </row>
    <row r="2203" spans="1:45" x14ac:dyDescent="0.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Q2203" s="7"/>
      <c r="R2203" s="7"/>
      <c r="S2203" s="7"/>
      <c r="T2203" s="7"/>
      <c r="U2203" s="7"/>
      <c r="V2203" s="7"/>
      <c r="AC2203" s="7"/>
      <c r="AD2203" s="7"/>
      <c r="AE2203" s="7"/>
      <c r="AF2203" s="7"/>
      <c r="AG2203" s="7"/>
      <c r="AO2203" s="7"/>
      <c r="AP2203" s="7"/>
      <c r="AQ2203" s="7"/>
      <c r="AR2203" s="7"/>
      <c r="AS2203" s="7"/>
    </row>
    <row r="2204" spans="1:45" x14ac:dyDescent="0.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Q2204" s="7"/>
      <c r="R2204" s="7"/>
      <c r="S2204" s="7"/>
      <c r="T2204" s="7"/>
      <c r="U2204" s="7"/>
      <c r="V2204" s="7"/>
      <c r="AC2204" s="7"/>
      <c r="AD2204" s="7"/>
      <c r="AE2204" s="7"/>
      <c r="AF2204" s="7"/>
      <c r="AG2204" s="7"/>
      <c r="AO2204" s="7"/>
      <c r="AP2204" s="7"/>
      <c r="AQ2204" s="7"/>
      <c r="AR2204" s="7"/>
      <c r="AS2204" s="7"/>
    </row>
    <row r="2205" spans="1:45" x14ac:dyDescent="0.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Q2205" s="7"/>
      <c r="R2205" s="7"/>
      <c r="S2205" s="7"/>
      <c r="T2205" s="7"/>
      <c r="U2205" s="7"/>
      <c r="V2205" s="7"/>
      <c r="AC2205" s="7"/>
      <c r="AD2205" s="7"/>
      <c r="AE2205" s="7"/>
      <c r="AF2205" s="7"/>
      <c r="AG2205" s="7"/>
      <c r="AO2205" s="7"/>
      <c r="AP2205" s="7"/>
      <c r="AQ2205" s="7"/>
      <c r="AR2205" s="7"/>
      <c r="AS2205" s="7"/>
    </row>
    <row r="2206" spans="1:45" x14ac:dyDescent="0.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Q2206" s="7"/>
      <c r="R2206" s="7"/>
      <c r="S2206" s="7"/>
      <c r="T2206" s="7"/>
      <c r="U2206" s="7"/>
      <c r="V2206" s="7"/>
      <c r="AC2206" s="7"/>
      <c r="AD2206" s="7"/>
      <c r="AE2206" s="7"/>
      <c r="AF2206" s="7"/>
      <c r="AG2206" s="7"/>
      <c r="AO2206" s="7"/>
      <c r="AP2206" s="7"/>
      <c r="AQ2206" s="7"/>
      <c r="AR2206" s="7"/>
      <c r="AS2206" s="7"/>
    </row>
    <row r="2207" spans="1:45" x14ac:dyDescent="0.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Q2207" s="7"/>
      <c r="R2207" s="7"/>
      <c r="S2207" s="7"/>
      <c r="T2207" s="7"/>
      <c r="U2207" s="7"/>
      <c r="V2207" s="7"/>
      <c r="AC2207" s="7"/>
      <c r="AD2207" s="7"/>
      <c r="AE2207" s="7"/>
      <c r="AF2207" s="7"/>
      <c r="AG2207" s="7"/>
      <c r="AO2207" s="7"/>
      <c r="AP2207" s="7"/>
      <c r="AQ2207" s="7"/>
      <c r="AR2207" s="7"/>
      <c r="AS2207" s="7"/>
    </row>
    <row r="2208" spans="1:45" x14ac:dyDescent="0.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Q2208" s="7"/>
      <c r="R2208" s="7"/>
      <c r="S2208" s="7"/>
      <c r="T2208" s="7"/>
      <c r="U2208" s="7"/>
      <c r="V2208" s="7"/>
      <c r="AC2208" s="7"/>
      <c r="AD2208" s="7"/>
      <c r="AE2208" s="7"/>
      <c r="AF2208" s="7"/>
      <c r="AG2208" s="7"/>
      <c r="AO2208" s="7"/>
      <c r="AP2208" s="7"/>
      <c r="AQ2208" s="7"/>
      <c r="AR2208" s="7"/>
      <c r="AS2208" s="7"/>
    </row>
    <row r="2209" spans="1:45" x14ac:dyDescent="0.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Q2209" s="7"/>
      <c r="R2209" s="7"/>
      <c r="S2209" s="7"/>
      <c r="T2209" s="7"/>
      <c r="U2209" s="7"/>
      <c r="V2209" s="7"/>
      <c r="AC2209" s="7"/>
      <c r="AD2209" s="7"/>
      <c r="AE2209" s="7"/>
      <c r="AF2209" s="7"/>
      <c r="AG2209" s="7"/>
      <c r="AO2209" s="7"/>
      <c r="AP2209" s="7"/>
      <c r="AQ2209" s="7"/>
      <c r="AR2209" s="7"/>
      <c r="AS2209" s="7"/>
    </row>
    <row r="2210" spans="1:45" x14ac:dyDescent="0.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Q2210" s="7"/>
      <c r="R2210" s="7"/>
      <c r="S2210" s="7"/>
      <c r="T2210" s="7"/>
      <c r="U2210" s="7"/>
      <c r="V2210" s="7"/>
      <c r="AC2210" s="7"/>
      <c r="AD2210" s="7"/>
      <c r="AE2210" s="7"/>
      <c r="AF2210" s="7"/>
      <c r="AG2210" s="7"/>
      <c r="AO2210" s="7"/>
      <c r="AP2210" s="7"/>
      <c r="AQ2210" s="7"/>
      <c r="AR2210" s="7"/>
      <c r="AS2210" s="7"/>
    </row>
    <row r="2211" spans="1:45" x14ac:dyDescent="0.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Q2211" s="7"/>
      <c r="R2211" s="7"/>
      <c r="S2211" s="7"/>
      <c r="T2211" s="7"/>
      <c r="U2211" s="7"/>
      <c r="V2211" s="7"/>
      <c r="AC2211" s="7"/>
      <c r="AD2211" s="7"/>
      <c r="AE2211" s="7"/>
      <c r="AF2211" s="7"/>
      <c r="AG2211" s="7"/>
      <c r="AO2211" s="7"/>
      <c r="AP2211" s="7"/>
      <c r="AQ2211" s="7"/>
      <c r="AR2211" s="7"/>
      <c r="AS2211" s="7"/>
    </row>
    <row r="2212" spans="1:45" x14ac:dyDescent="0.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Q2212" s="7"/>
      <c r="R2212" s="7"/>
      <c r="S2212" s="7"/>
      <c r="T2212" s="7"/>
      <c r="U2212" s="7"/>
      <c r="V2212" s="7"/>
      <c r="AC2212" s="7"/>
      <c r="AD2212" s="7"/>
      <c r="AE2212" s="7"/>
      <c r="AF2212" s="7"/>
      <c r="AG2212" s="7"/>
      <c r="AO2212" s="7"/>
      <c r="AP2212" s="7"/>
      <c r="AQ2212" s="7"/>
      <c r="AR2212" s="7"/>
      <c r="AS2212" s="7"/>
    </row>
    <row r="2213" spans="1:45" x14ac:dyDescent="0.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Q2213" s="7"/>
      <c r="R2213" s="7"/>
      <c r="S2213" s="7"/>
      <c r="T2213" s="7"/>
      <c r="U2213" s="7"/>
      <c r="V2213" s="7"/>
      <c r="AC2213" s="7"/>
      <c r="AD2213" s="7"/>
      <c r="AE2213" s="7"/>
      <c r="AF2213" s="7"/>
      <c r="AG2213" s="7"/>
      <c r="AO2213" s="7"/>
      <c r="AP2213" s="7"/>
      <c r="AQ2213" s="7"/>
      <c r="AR2213" s="7"/>
      <c r="AS2213" s="7"/>
    </row>
    <row r="2214" spans="1:45" x14ac:dyDescent="0.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Q2214" s="7"/>
      <c r="R2214" s="7"/>
      <c r="S2214" s="7"/>
      <c r="T2214" s="7"/>
      <c r="U2214" s="7"/>
      <c r="V2214" s="7"/>
      <c r="AC2214" s="7"/>
      <c r="AD2214" s="7"/>
      <c r="AE2214" s="7"/>
      <c r="AF2214" s="7"/>
      <c r="AG2214" s="7"/>
      <c r="AO2214" s="7"/>
      <c r="AP2214" s="7"/>
      <c r="AQ2214" s="7"/>
      <c r="AR2214" s="7"/>
      <c r="AS2214" s="7"/>
    </row>
    <row r="2215" spans="1:45" x14ac:dyDescent="0.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Q2215" s="7"/>
      <c r="R2215" s="7"/>
      <c r="S2215" s="7"/>
      <c r="T2215" s="7"/>
      <c r="U2215" s="7"/>
      <c r="V2215" s="7"/>
      <c r="AC2215" s="7"/>
      <c r="AD2215" s="7"/>
      <c r="AE2215" s="7"/>
      <c r="AF2215" s="7"/>
      <c r="AG2215" s="7"/>
      <c r="AO2215" s="7"/>
      <c r="AP2215" s="7"/>
      <c r="AQ2215" s="7"/>
      <c r="AR2215" s="7"/>
      <c r="AS2215" s="7"/>
    </row>
    <row r="2216" spans="1:45" x14ac:dyDescent="0.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Q2216" s="7"/>
      <c r="R2216" s="7"/>
      <c r="S2216" s="7"/>
      <c r="T2216" s="7"/>
      <c r="U2216" s="7"/>
      <c r="V2216" s="7"/>
      <c r="AC2216" s="7"/>
      <c r="AD2216" s="7"/>
      <c r="AE2216" s="7"/>
      <c r="AF2216" s="7"/>
      <c r="AG2216" s="7"/>
      <c r="AO2216" s="7"/>
      <c r="AP2216" s="7"/>
      <c r="AQ2216" s="7"/>
      <c r="AR2216" s="7"/>
      <c r="AS2216" s="7"/>
    </row>
    <row r="2217" spans="1:45" x14ac:dyDescent="0.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Q2217" s="7"/>
      <c r="R2217" s="7"/>
      <c r="S2217" s="7"/>
      <c r="T2217" s="7"/>
      <c r="U2217" s="7"/>
      <c r="V2217" s="7"/>
      <c r="AC2217" s="7"/>
      <c r="AD2217" s="7"/>
      <c r="AE2217" s="7"/>
      <c r="AF2217" s="7"/>
      <c r="AG2217" s="7"/>
      <c r="AO2217" s="7"/>
      <c r="AP2217" s="7"/>
      <c r="AQ2217" s="7"/>
      <c r="AR2217" s="7"/>
      <c r="AS2217" s="7"/>
    </row>
    <row r="2218" spans="1:45" x14ac:dyDescent="0.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Q2218" s="7"/>
      <c r="R2218" s="7"/>
      <c r="S2218" s="7"/>
      <c r="T2218" s="7"/>
      <c r="U2218" s="7"/>
      <c r="V2218" s="7"/>
      <c r="AC2218" s="7"/>
      <c r="AD2218" s="7"/>
      <c r="AE2218" s="7"/>
      <c r="AF2218" s="7"/>
      <c r="AG2218" s="7"/>
      <c r="AO2218" s="7"/>
      <c r="AP2218" s="7"/>
      <c r="AQ2218" s="7"/>
      <c r="AR2218" s="7"/>
      <c r="AS2218" s="7"/>
    </row>
    <row r="2219" spans="1:45" x14ac:dyDescent="0.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Q2219" s="7"/>
      <c r="R2219" s="7"/>
      <c r="S2219" s="7"/>
      <c r="T2219" s="7"/>
      <c r="U2219" s="7"/>
      <c r="V2219" s="7"/>
      <c r="AC2219" s="7"/>
      <c r="AD2219" s="7"/>
      <c r="AE2219" s="7"/>
      <c r="AF2219" s="7"/>
      <c r="AG2219" s="7"/>
      <c r="AO2219" s="7"/>
      <c r="AP2219" s="7"/>
      <c r="AQ2219" s="7"/>
      <c r="AR2219" s="7"/>
      <c r="AS2219" s="7"/>
    </row>
    <row r="2220" spans="1:45" x14ac:dyDescent="0.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Q2220" s="7"/>
      <c r="R2220" s="7"/>
      <c r="S2220" s="7"/>
      <c r="T2220" s="7"/>
      <c r="U2220" s="7"/>
      <c r="V2220" s="7"/>
      <c r="AC2220" s="7"/>
      <c r="AD2220" s="7"/>
      <c r="AE2220" s="7"/>
      <c r="AF2220" s="7"/>
      <c r="AG2220" s="7"/>
      <c r="AO2220" s="7"/>
      <c r="AP2220" s="7"/>
      <c r="AQ2220" s="7"/>
      <c r="AR2220" s="7"/>
      <c r="AS2220" s="7"/>
    </row>
    <row r="2221" spans="1:45" x14ac:dyDescent="0.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Q2221" s="7"/>
      <c r="R2221" s="7"/>
      <c r="S2221" s="7"/>
      <c r="T2221" s="7"/>
      <c r="U2221" s="7"/>
      <c r="V2221" s="7"/>
      <c r="AC2221" s="7"/>
      <c r="AD2221" s="7"/>
      <c r="AE2221" s="7"/>
      <c r="AF2221" s="7"/>
      <c r="AG2221" s="7"/>
      <c r="AO2221" s="7"/>
      <c r="AP2221" s="7"/>
      <c r="AQ2221" s="7"/>
      <c r="AR2221" s="7"/>
      <c r="AS2221" s="7"/>
    </row>
    <row r="2222" spans="1:45" x14ac:dyDescent="0.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Q2222" s="7"/>
      <c r="R2222" s="7"/>
      <c r="S2222" s="7"/>
      <c r="T2222" s="7"/>
      <c r="U2222" s="7"/>
      <c r="V2222" s="7"/>
      <c r="AC2222" s="7"/>
      <c r="AD2222" s="7"/>
      <c r="AE2222" s="7"/>
      <c r="AF2222" s="7"/>
      <c r="AG2222" s="7"/>
      <c r="AO2222" s="7"/>
      <c r="AP2222" s="7"/>
      <c r="AQ2222" s="7"/>
      <c r="AR2222" s="7"/>
      <c r="AS2222" s="7"/>
    </row>
    <row r="2223" spans="1:45" x14ac:dyDescent="0.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Q2223" s="7"/>
      <c r="R2223" s="7"/>
      <c r="S2223" s="7"/>
      <c r="T2223" s="7"/>
      <c r="U2223" s="7"/>
      <c r="V2223" s="7"/>
      <c r="AC2223" s="7"/>
      <c r="AD2223" s="7"/>
      <c r="AE2223" s="7"/>
      <c r="AF2223" s="7"/>
      <c r="AG2223" s="7"/>
      <c r="AO2223" s="7"/>
      <c r="AP2223" s="7"/>
      <c r="AQ2223" s="7"/>
      <c r="AR2223" s="7"/>
      <c r="AS2223" s="7"/>
    </row>
    <row r="2224" spans="1:45" x14ac:dyDescent="0.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Q2224" s="7"/>
      <c r="R2224" s="7"/>
      <c r="S2224" s="7"/>
      <c r="T2224" s="7"/>
      <c r="U2224" s="7"/>
      <c r="V2224" s="7"/>
      <c r="AC2224" s="7"/>
      <c r="AD2224" s="7"/>
      <c r="AE2224" s="7"/>
      <c r="AF2224" s="7"/>
      <c r="AG2224" s="7"/>
      <c r="AO2224" s="7"/>
      <c r="AP2224" s="7"/>
      <c r="AQ2224" s="7"/>
      <c r="AR2224" s="7"/>
      <c r="AS2224" s="7"/>
    </row>
    <row r="2225" spans="1:45" x14ac:dyDescent="0.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Q2225" s="7"/>
      <c r="R2225" s="7"/>
      <c r="S2225" s="7"/>
      <c r="T2225" s="7"/>
      <c r="U2225" s="7"/>
      <c r="V2225" s="7"/>
      <c r="AC2225" s="7"/>
      <c r="AD2225" s="7"/>
      <c r="AE2225" s="7"/>
      <c r="AF2225" s="7"/>
      <c r="AG2225" s="7"/>
      <c r="AO2225" s="7"/>
      <c r="AP2225" s="7"/>
      <c r="AQ2225" s="7"/>
      <c r="AR2225" s="7"/>
      <c r="AS2225" s="7"/>
    </row>
    <row r="2226" spans="1:45" x14ac:dyDescent="0.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Q2226" s="7"/>
      <c r="R2226" s="7"/>
      <c r="S2226" s="7"/>
      <c r="T2226" s="7"/>
      <c r="U2226" s="7"/>
      <c r="V2226" s="7"/>
      <c r="AC2226" s="7"/>
      <c r="AD2226" s="7"/>
      <c r="AE2226" s="7"/>
      <c r="AF2226" s="7"/>
      <c r="AG2226" s="7"/>
      <c r="AO2226" s="7"/>
      <c r="AP2226" s="7"/>
      <c r="AQ2226" s="7"/>
      <c r="AR2226" s="7"/>
      <c r="AS2226" s="7"/>
    </row>
    <row r="2227" spans="1:45" x14ac:dyDescent="0.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Q2227" s="7"/>
      <c r="R2227" s="7"/>
      <c r="S2227" s="7"/>
      <c r="T2227" s="7"/>
      <c r="U2227" s="7"/>
      <c r="V2227" s="7"/>
      <c r="AC2227" s="7"/>
      <c r="AD2227" s="7"/>
      <c r="AE2227" s="7"/>
      <c r="AF2227" s="7"/>
      <c r="AG2227" s="7"/>
      <c r="AO2227" s="7"/>
      <c r="AP2227" s="7"/>
      <c r="AQ2227" s="7"/>
      <c r="AR2227" s="7"/>
      <c r="AS2227" s="7"/>
    </row>
    <row r="2228" spans="1:45" x14ac:dyDescent="0.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Q2228" s="7"/>
      <c r="R2228" s="7"/>
      <c r="S2228" s="7"/>
      <c r="T2228" s="7"/>
      <c r="U2228" s="7"/>
      <c r="V2228" s="7"/>
      <c r="AC2228" s="7"/>
      <c r="AD2228" s="7"/>
      <c r="AE2228" s="7"/>
      <c r="AF2228" s="7"/>
      <c r="AG2228" s="7"/>
      <c r="AO2228" s="7"/>
      <c r="AP2228" s="7"/>
      <c r="AQ2228" s="7"/>
      <c r="AR2228" s="7"/>
      <c r="AS2228" s="7"/>
    </row>
    <row r="2229" spans="1:45" x14ac:dyDescent="0.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Q2229" s="7"/>
      <c r="R2229" s="7"/>
      <c r="S2229" s="7"/>
      <c r="T2229" s="7"/>
      <c r="U2229" s="7"/>
      <c r="V2229" s="7"/>
      <c r="AC2229" s="7"/>
      <c r="AD2229" s="7"/>
      <c r="AE2229" s="7"/>
      <c r="AF2229" s="7"/>
      <c r="AG2229" s="7"/>
      <c r="AO2229" s="7"/>
      <c r="AP2229" s="7"/>
      <c r="AQ2229" s="7"/>
      <c r="AR2229" s="7"/>
      <c r="AS2229" s="7"/>
    </row>
    <row r="2230" spans="1:45" x14ac:dyDescent="0.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Q2230" s="7"/>
      <c r="R2230" s="7"/>
      <c r="S2230" s="7"/>
      <c r="T2230" s="7"/>
      <c r="U2230" s="7"/>
      <c r="V2230" s="7"/>
      <c r="AC2230" s="7"/>
      <c r="AD2230" s="7"/>
      <c r="AE2230" s="7"/>
      <c r="AF2230" s="7"/>
      <c r="AG2230" s="7"/>
      <c r="AO2230" s="7"/>
      <c r="AP2230" s="7"/>
      <c r="AQ2230" s="7"/>
      <c r="AR2230" s="7"/>
      <c r="AS2230" s="7"/>
    </row>
    <row r="2231" spans="1:45" x14ac:dyDescent="0.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Q2231" s="7"/>
      <c r="R2231" s="7"/>
      <c r="S2231" s="7"/>
      <c r="T2231" s="7"/>
      <c r="U2231" s="7"/>
      <c r="V2231" s="7"/>
      <c r="AC2231" s="7"/>
      <c r="AD2231" s="7"/>
      <c r="AE2231" s="7"/>
      <c r="AF2231" s="7"/>
      <c r="AG2231" s="7"/>
      <c r="AO2231" s="7"/>
      <c r="AP2231" s="7"/>
      <c r="AQ2231" s="7"/>
      <c r="AR2231" s="7"/>
      <c r="AS2231" s="7"/>
    </row>
    <row r="2232" spans="1:45" x14ac:dyDescent="0.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Q2232" s="7"/>
      <c r="R2232" s="7"/>
      <c r="S2232" s="7"/>
      <c r="T2232" s="7"/>
      <c r="U2232" s="7"/>
      <c r="V2232" s="7"/>
      <c r="AC2232" s="7"/>
      <c r="AD2232" s="7"/>
      <c r="AE2232" s="7"/>
      <c r="AF2232" s="7"/>
      <c r="AG2232" s="7"/>
      <c r="AO2232" s="7"/>
      <c r="AP2232" s="7"/>
      <c r="AQ2232" s="7"/>
      <c r="AR2232" s="7"/>
      <c r="AS2232" s="7"/>
    </row>
    <row r="2233" spans="1:45" x14ac:dyDescent="0.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Q2233" s="7"/>
      <c r="R2233" s="7"/>
      <c r="S2233" s="7"/>
      <c r="T2233" s="7"/>
      <c r="U2233" s="7"/>
      <c r="V2233" s="7"/>
      <c r="AC2233" s="7"/>
      <c r="AD2233" s="7"/>
      <c r="AE2233" s="7"/>
      <c r="AF2233" s="7"/>
      <c r="AG2233" s="7"/>
      <c r="AO2233" s="7"/>
      <c r="AP2233" s="7"/>
      <c r="AQ2233" s="7"/>
      <c r="AR2233" s="7"/>
      <c r="AS2233" s="7"/>
    </row>
    <row r="2234" spans="1:45" x14ac:dyDescent="0.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Q2234" s="7"/>
      <c r="R2234" s="7"/>
      <c r="S2234" s="7"/>
      <c r="T2234" s="7"/>
      <c r="U2234" s="7"/>
      <c r="V2234" s="7"/>
      <c r="AC2234" s="7"/>
      <c r="AD2234" s="7"/>
      <c r="AE2234" s="7"/>
      <c r="AF2234" s="7"/>
      <c r="AG2234" s="7"/>
      <c r="AO2234" s="7"/>
      <c r="AP2234" s="7"/>
      <c r="AQ2234" s="7"/>
      <c r="AR2234" s="7"/>
      <c r="AS2234" s="7"/>
    </row>
    <row r="2235" spans="1:45" x14ac:dyDescent="0.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Q2235" s="7"/>
      <c r="R2235" s="7"/>
      <c r="S2235" s="7"/>
      <c r="T2235" s="7"/>
      <c r="U2235" s="7"/>
      <c r="V2235" s="7"/>
      <c r="AC2235" s="7"/>
      <c r="AD2235" s="7"/>
      <c r="AE2235" s="7"/>
      <c r="AF2235" s="7"/>
      <c r="AG2235" s="7"/>
      <c r="AO2235" s="7"/>
      <c r="AP2235" s="7"/>
      <c r="AQ2235" s="7"/>
      <c r="AR2235" s="7"/>
      <c r="AS2235" s="7"/>
    </row>
    <row r="2236" spans="1:45" x14ac:dyDescent="0.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Q2236" s="7"/>
      <c r="R2236" s="7"/>
      <c r="S2236" s="7"/>
      <c r="T2236" s="7"/>
      <c r="U2236" s="7"/>
      <c r="V2236" s="7"/>
      <c r="AC2236" s="7"/>
      <c r="AD2236" s="7"/>
      <c r="AE2236" s="7"/>
      <c r="AF2236" s="7"/>
      <c r="AG2236" s="7"/>
      <c r="AO2236" s="7"/>
      <c r="AP2236" s="7"/>
      <c r="AQ2236" s="7"/>
      <c r="AR2236" s="7"/>
      <c r="AS2236" s="7"/>
    </row>
    <row r="2237" spans="1:45" x14ac:dyDescent="0.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Q2237" s="7"/>
      <c r="R2237" s="7"/>
      <c r="S2237" s="7"/>
      <c r="T2237" s="7"/>
      <c r="U2237" s="7"/>
      <c r="V2237" s="7"/>
      <c r="AC2237" s="7"/>
      <c r="AD2237" s="7"/>
      <c r="AE2237" s="7"/>
      <c r="AF2237" s="7"/>
      <c r="AG2237" s="7"/>
      <c r="AO2237" s="7"/>
      <c r="AP2237" s="7"/>
      <c r="AQ2237" s="7"/>
      <c r="AR2237" s="7"/>
      <c r="AS2237" s="7"/>
    </row>
    <row r="2238" spans="1:45" x14ac:dyDescent="0.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Q2238" s="7"/>
      <c r="R2238" s="7"/>
      <c r="S2238" s="7"/>
      <c r="T2238" s="7"/>
      <c r="U2238" s="7"/>
      <c r="V2238" s="7"/>
      <c r="AC2238" s="7"/>
      <c r="AD2238" s="7"/>
      <c r="AE2238" s="7"/>
      <c r="AF2238" s="7"/>
      <c r="AG2238" s="7"/>
      <c r="AO2238" s="7"/>
      <c r="AP2238" s="7"/>
      <c r="AQ2238" s="7"/>
      <c r="AR2238" s="7"/>
      <c r="AS2238" s="7"/>
    </row>
    <row r="2239" spans="1:45" x14ac:dyDescent="0.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Q2239" s="7"/>
      <c r="R2239" s="7"/>
      <c r="S2239" s="7"/>
      <c r="T2239" s="7"/>
      <c r="U2239" s="7"/>
      <c r="V2239" s="7"/>
      <c r="AC2239" s="7"/>
      <c r="AD2239" s="7"/>
      <c r="AE2239" s="7"/>
      <c r="AF2239" s="7"/>
      <c r="AG2239" s="7"/>
      <c r="AO2239" s="7"/>
      <c r="AP2239" s="7"/>
      <c r="AQ2239" s="7"/>
      <c r="AR2239" s="7"/>
      <c r="AS2239" s="7"/>
    </row>
    <row r="2240" spans="1:45" x14ac:dyDescent="0.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Q2240" s="7"/>
      <c r="R2240" s="7"/>
      <c r="S2240" s="7"/>
      <c r="T2240" s="7"/>
      <c r="U2240" s="7"/>
      <c r="V2240" s="7"/>
      <c r="AC2240" s="7"/>
      <c r="AD2240" s="7"/>
      <c r="AE2240" s="7"/>
      <c r="AF2240" s="7"/>
      <c r="AG2240" s="7"/>
      <c r="AO2240" s="7"/>
      <c r="AP2240" s="7"/>
      <c r="AQ2240" s="7"/>
      <c r="AR2240" s="7"/>
      <c r="AS2240" s="7"/>
    </row>
    <row r="2241" spans="1:45" x14ac:dyDescent="0.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Q2241" s="7"/>
      <c r="R2241" s="7"/>
      <c r="S2241" s="7"/>
      <c r="T2241" s="7"/>
      <c r="U2241" s="7"/>
      <c r="V2241" s="7"/>
      <c r="AC2241" s="7"/>
      <c r="AD2241" s="7"/>
      <c r="AE2241" s="7"/>
      <c r="AF2241" s="7"/>
      <c r="AG2241" s="7"/>
      <c r="AO2241" s="7"/>
      <c r="AP2241" s="7"/>
      <c r="AQ2241" s="7"/>
      <c r="AR2241" s="7"/>
      <c r="AS2241" s="7"/>
    </row>
    <row r="2242" spans="1:45" x14ac:dyDescent="0.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Q2242" s="7"/>
      <c r="R2242" s="7"/>
      <c r="S2242" s="7"/>
      <c r="T2242" s="7"/>
      <c r="U2242" s="7"/>
      <c r="V2242" s="7"/>
      <c r="AC2242" s="7"/>
      <c r="AD2242" s="7"/>
      <c r="AE2242" s="7"/>
      <c r="AF2242" s="7"/>
      <c r="AG2242" s="7"/>
      <c r="AO2242" s="7"/>
      <c r="AP2242" s="7"/>
      <c r="AQ2242" s="7"/>
      <c r="AR2242" s="7"/>
      <c r="AS2242" s="7"/>
    </row>
    <row r="2243" spans="1:45" x14ac:dyDescent="0.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Q2243" s="7"/>
      <c r="R2243" s="7"/>
      <c r="S2243" s="7"/>
      <c r="T2243" s="7"/>
      <c r="U2243" s="7"/>
      <c r="V2243" s="7"/>
      <c r="AC2243" s="7"/>
      <c r="AD2243" s="7"/>
      <c r="AE2243" s="7"/>
      <c r="AF2243" s="7"/>
      <c r="AG2243" s="7"/>
      <c r="AO2243" s="7"/>
      <c r="AP2243" s="7"/>
      <c r="AQ2243" s="7"/>
      <c r="AR2243" s="7"/>
      <c r="AS2243" s="7"/>
    </row>
    <row r="2244" spans="1:45" x14ac:dyDescent="0.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Q2244" s="7"/>
      <c r="R2244" s="7"/>
      <c r="S2244" s="7"/>
      <c r="T2244" s="7"/>
      <c r="U2244" s="7"/>
      <c r="V2244" s="7"/>
      <c r="AC2244" s="7"/>
      <c r="AD2244" s="7"/>
      <c r="AE2244" s="7"/>
      <c r="AF2244" s="7"/>
      <c r="AG2244" s="7"/>
      <c r="AO2244" s="7"/>
      <c r="AP2244" s="7"/>
      <c r="AQ2244" s="7"/>
      <c r="AR2244" s="7"/>
      <c r="AS2244" s="7"/>
    </row>
    <row r="2245" spans="1:45" x14ac:dyDescent="0.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Q2245" s="7"/>
      <c r="R2245" s="7"/>
      <c r="S2245" s="7"/>
      <c r="T2245" s="7"/>
      <c r="U2245" s="7"/>
      <c r="V2245" s="7"/>
      <c r="AC2245" s="7"/>
      <c r="AD2245" s="7"/>
      <c r="AE2245" s="7"/>
      <c r="AF2245" s="7"/>
      <c r="AG2245" s="7"/>
      <c r="AO2245" s="7"/>
      <c r="AP2245" s="7"/>
      <c r="AQ2245" s="7"/>
      <c r="AR2245" s="7"/>
      <c r="AS2245" s="7"/>
    </row>
    <row r="2246" spans="1:45" x14ac:dyDescent="0.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Q2246" s="7"/>
      <c r="R2246" s="7"/>
      <c r="S2246" s="7"/>
      <c r="T2246" s="7"/>
      <c r="U2246" s="7"/>
      <c r="V2246" s="7"/>
      <c r="AC2246" s="7"/>
      <c r="AD2246" s="7"/>
      <c r="AE2246" s="7"/>
      <c r="AF2246" s="7"/>
      <c r="AG2246" s="7"/>
      <c r="AO2246" s="7"/>
      <c r="AP2246" s="7"/>
      <c r="AQ2246" s="7"/>
      <c r="AR2246" s="7"/>
      <c r="AS2246" s="7"/>
    </row>
    <row r="2247" spans="1:45" x14ac:dyDescent="0.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Q2247" s="7"/>
      <c r="R2247" s="7"/>
      <c r="S2247" s="7"/>
      <c r="T2247" s="7"/>
      <c r="U2247" s="7"/>
      <c r="V2247" s="7"/>
      <c r="AC2247" s="7"/>
      <c r="AD2247" s="7"/>
      <c r="AE2247" s="7"/>
      <c r="AF2247" s="7"/>
      <c r="AG2247" s="7"/>
      <c r="AO2247" s="7"/>
      <c r="AP2247" s="7"/>
      <c r="AQ2247" s="7"/>
      <c r="AR2247" s="7"/>
      <c r="AS2247" s="7"/>
    </row>
    <row r="2248" spans="1:45" x14ac:dyDescent="0.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Q2248" s="7"/>
      <c r="R2248" s="7"/>
      <c r="S2248" s="7"/>
      <c r="T2248" s="7"/>
      <c r="U2248" s="7"/>
      <c r="V2248" s="7"/>
      <c r="AC2248" s="7"/>
      <c r="AD2248" s="7"/>
      <c r="AE2248" s="7"/>
      <c r="AF2248" s="7"/>
      <c r="AG2248" s="7"/>
      <c r="AO2248" s="7"/>
      <c r="AP2248" s="7"/>
      <c r="AQ2248" s="7"/>
      <c r="AR2248" s="7"/>
      <c r="AS2248" s="7"/>
    </row>
    <row r="2249" spans="1:45" x14ac:dyDescent="0.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Q2249" s="7"/>
      <c r="R2249" s="7"/>
      <c r="S2249" s="7"/>
      <c r="T2249" s="7"/>
      <c r="U2249" s="7"/>
      <c r="V2249" s="7"/>
      <c r="AC2249" s="7"/>
      <c r="AD2249" s="7"/>
      <c r="AE2249" s="7"/>
      <c r="AF2249" s="7"/>
      <c r="AG2249" s="7"/>
      <c r="AO2249" s="7"/>
      <c r="AP2249" s="7"/>
      <c r="AQ2249" s="7"/>
      <c r="AR2249" s="7"/>
      <c r="AS2249" s="7"/>
    </row>
    <row r="2250" spans="1:45" x14ac:dyDescent="0.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Q2250" s="7"/>
      <c r="R2250" s="7"/>
      <c r="S2250" s="7"/>
      <c r="T2250" s="7"/>
      <c r="U2250" s="7"/>
      <c r="V2250" s="7"/>
      <c r="AC2250" s="7"/>
      <c r="AD2250" s="7"/>
      <c r="AE2250" s="7"/>
      <c r="AF2250" s="7"/>
      <c r="AG2250" s="7"/>
      <c r="AO2250" s="7"/>
      <c r="AP2250" s="7"/>
      <c r="AQ2250" s="7"/>
      <c r="AR2250" s="7"/>
      <c r="AS2250" s="7"/>
    </row>
    <row r="2251" spans="1:45" x14ac:dyDescent="0.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Q2251" s="7"/>
      <c r="R2251" s="7"/>
      <c r="S2251" s="7"/>
      <c r="T2251" s="7"/>
      <c r="U2251" s="7"/>
      <c r="V2251" s="7"/>
      <c r="AC2251" s="7"/>
      <c r="AD2251" s="7"/>
      <c r="AE2251" s="7"/>
      <c r="AF2251" s="7"/>
      <c r="AG2251" s="7"/>
      <c r="AO2251" s="7"/>
      <c r="AP2251" s="7"/>
      <c r="AQ2251" s="7"/>
      <c r="AR2251" s="7"/>
      <c r="AS2251" s="7"/>
    </row>
    <row r="2252" spans="1:45" x14ac:dyDescent="0.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Q2252" s="7"/>
      <c r="R2252" s="7"/>
      <c r="S2252" s="7"/>
      <c r="T2252" s="7"/>
      <c r="U2252" s="7"/>
      <c r="V2252" s="7"/>
      <c r="AC2252" s="7"/>
      <c r="AD2252" s="7"/>
      <c r="AE2252" s="7"/>
      <c r="AF2252" s="7"/>
      <c r="AG2252" s="7"/>
      <c r="AO2252" s="7"/>
      <c r="AP2252" s="7"/>
      <c r="AQ2252" s="7"/>
      <c r="AR2252" s="7"/>
      <c r="AS2252" s="7"/>
    </row>
    <row r="2253" spans="1:45" x14ac:dyDescent="0.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Q2253" s="7"/>
      <c r="R2253" s="7"/>
      <c r="S2253" s="7"/>
      <c r="T2253" s="7"/>
      <c r="U2253" s="7"/>
      <c r="V2253" s="7"/>
      <c r="AC2253" s="7"/>
      <c r="AD2253" s="7"/>
      <c r="AE2253" s="7"/>
      <c r="AF2253" s="7"/>
      <c r="AG2253" s="7"/>
      <c r="AO2253" s="7"/>
      <c r="AP2253" s="7"/>
      <c r="AQ2253" s="7"/>
      <c r="AR2253" s="7"/>
      <c r="AS2253" s="7"/>
    </row>
    <row r="2254" spans="1:45" x14ac:dyDescent="0.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Q2254" s="7"/>
      <c r="R2254" s="7"/>
      <c r="S2254" s="7"/>
      <c r="T2254" s="7"/>
      <c r="U2254" s="7"/>
      <c r="V2254" s="7"/>
      <c r="AC2254" s="7"/>
      <c r="AD2254" s="7"/>
      <c r="AE2254" s="7"/>
      <c r="AF2254" s="7"/>
      <c r="AG2254" s="7"/>
      <c r="AO2254" s="7"/>
      <c r="AP2254" s="7"/>
      <c r="AQ2254" s="7"/>
      <c r="AR2254" s="7"/>
      <c r="AS2254" s="7"/>
    </row>
    <row r="2255" spans="1:45" x14ac:dyDescent="0.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Q2255" s="7"/>
      <c r="R2255" s="7"/>
      <c r="S2255" s="7"/>
      <c r="T2255" s="7"/>
      <c r="U2255" s="7"/>
      <c r="V2255" s="7"/>
      <c r="AC2255" s="7"/>
      <c r="AD2255" s="7"/>
      <c r="AE2255" s="7"/>
      <c r="AF2255" s="7"/>
      <c r="AG2255" s="7"/>
      <c r="AO2255" s="7"/>
      <c r="AP2255" s="7"/>
      <c r="AQ2255" s="7"/>
      <c r="AR2255" s="7"/>
      <c r="AS2255" s="7"/>
    </row>
    <row r="2256" spans="1:45" x14ac:dyDescent="0.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Q2256" s="7"/>
      <c r="R2256" s="7"/>
      <c r="S2256" s="7"/>
      <c r="T2256" s="7"/>
      <c r="U2256" s="7"/>
      <c r="V2256" s="7"/>
      <c r="AC2256" s="7"/>
      <c r="AD2256" s="7"/>
      <c r="AE2256" s="7"/>
      <c r="AF2256" s="7"/>
      <c r="AG2256" s="7"/>
      <c r="AO2256" s="7"/>
      <c r="AP2256" s="7"/>
      <c r="AQ2256" s="7"/>
      <c r="AR2256" s="7"/>
      <c r="AS2256" s="7"/>
    </row>
    <row r="2257" spans="1:45" x14ac:dyDescent="0.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Q2257" s="7"/>
      <c r="R2257" s="7"/>
      <c r="S2257" s="7"/>
      <c r="T2257" s="7"/>
      <c r="U2257" s="7"/>
      <c r="V2257" s="7"/>
      <c r="AC2257" s="7"/>
      <c r="AD2257" s="7"/>
      <c r="AE2257" s="7"/>
      <c r="AF2257" s="7"/>
      <c r="AG2257" s="7"/>
      <c r="AO2257" s="7"/>
      <c r="AP2257" s="7"/>
      <c r="AQ2257" s="7"/>
      <c r="AR2257" s="7"/>
      <c r="AS2257" s="7"/>
    </row>
    <row r="2258" spans="1:45" x14ac:dyDescent="0.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Q2258" s="7"/>
      <c r="R2258" s="7"/>
      <c r="S2258" s="7"/>
      <c r="T2258" s="7"/>
      <c r="U2258" s="7"/>
      <c r="V2258" s="7"/>
      <c r="AC2258" s="7"/>
      <c r="AD2258" s="7"/>
      <c r="AE2258" s="7"/>
      <c r="AF2258" s="7"/>
      <c r="AG2258" s="7"/>
      <c r="AO2258" s="7"/>
      <c r="AP2258" s="7"/>
      <c r="AQ2258" s="7"/>
      <c r="AR2258" s="7"/>
      <c r="AS2258" s="7"/>
    </row>
    <row r="2259" spans="1:45" x14ac:dyDescent="0.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Q2259" s="7"/>
      <c r="R2259" s="7"/>
      <c r="S2259" s="7"/>
      <c r="T2259" s="7"/>
      <c r="U2259" s="7"/>
      <c r="V2259" s="7"/>
      <c r="AC2259" s="7"/>
      <c r="AD2259" s="7"/>
      <c r="AE2259" s="7"/>
      <c r="AF2259" s="7"/>
      <c r="AG2259" s="7"/>
      <c r="AO2259" s="7"/>
      <c r="AP2259" s="7"/>
      <c r="AQ2259" s="7"/>
      <c r="AR2259" s="7"/>
      <c r="AS2259" s="7"/>
    </row>
    <row r="2260" spans="1:45" x14ac:dyDescent="0.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Q2260" s="7"/>
      <c r="R2260" s="7"/>
      <c r="S2260" s="7"/>
      <c r="T2260" s="7"/>
      <c r="U2260" s="7"/>
      <c r="V2260" s="7"/>
      <c r="AC2260" s="7"/>
      <c r="AD2260" s="7"/>
      <c r="AE2260" s="7"/>
      <c r="AF2260" s="7"/>
      <c r="AG2260" s="7"/>
      <c r="AO2260" s="7"/>
      <c r="AP2260" s="7"/>
      <c r="AQ2260" s="7"/>
      <c r="AR2260" s="7"/>
      <c r="AS2260" s="7"/>
    </row>
    <row r="2261" spans="1:45" x14ac:dyDescent="0.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Q2261" s="7"/>
      <c r="R2261" s="7"/>
      <c r="S2261" s="7"/>
      <c r="T2261" s="7"/>
      <c r="U2261" s="7"/>
      <c r="V2261" s="7"/>
      <c r="AC2261" s="7"/>
      <c r="AD2261" s="7"/>
      <c r="AE2261" s="7"/>
      <c r="AF2261" s="7"/>
      <c r="AG2261" s="7"/>
      <c r="AO2261" s="7"/>
      <c r="AP2261" s="7"/>
      <c r="AQ2261" s="7"/>
      <c r="AR2261" s="7"/>
      <c r="AS2261" s="7"/>
    </row>
    <row r="2262" spans="1:45" x14ac:dyDescent="0.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Q2262" s="7"/>
      <c r="R2262" s="7"/>
      <c r="S2262" s="7"/>
      <c r="T2262" s="7"/>
      <c r="U2262" s="7"/>
      <c r="V2262" s="7"/>
      <c r="AC2262" s="7"/>
      <c r="AD2262" s="7"/>
      <c r="AE2262" s="7"/>
      <c r="AF2262" s="7"/>
      <c r="AG2262" s="7"/>
      <c r="AO2262" s="7"/>
      <c r="AP2262" s="7"/>
      <c r="AQ2262" s="7"/>
      <c r="AR2262" s="7"/>
      <c r="AS2262" s="7"/>
    </row>
    <row r="2263" spans="1:45" x14ac:dyDescent="0.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Q2263" s="7"/>
      <c r="R2263" s="7"/>
      <c r="S2263" s="7"/>
      <c r="T2263" s="7"/>
      <c r="U2263" s="7"/>
      <c r="V2263" s="7"/>
      <c r="AC2263" s="7"/>
      <c r="AD2263" s="7"/>
      <c r="AE2263" s="7"/>
      <c r="AF2263" s="7"/>
      <c r="AG2263" s="7"/>
      <c r="AO2263" s="7"/>
      <c r="AP2263" s="7"/>
      <c r="AQ2263" s="7"/>
      <c r="AR2263" s="7"/>
      <c r="AS2263" s="7"/>
    </row>
    <row r="2264" spans="1:45" x14ac:dyDescent="0.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Q2264" s="7"/>
      <c r="R2264" s="7"/>
      <c r="S2264" s="7"/>
      <c r="T2264" s="7"/>
      <c r="U2264" s="7"/>
      <c r="V2264" s="7"/>
      <c r="AC2264" s="7"/>
      <c r="AD2264" s="7"/>
      <c r="AE2264" s="7"/>
      <c r="AF2264" s="7"/>
      <c r="AG2264" s="7"/>
      <c r="AO2264" s="7"/>
      <c r="AP2264" s="7"/>
      <c r="AQ2264" s="7"/>
      <c r="AR2264" s="7"/>
      <c r="AS2264" s="7"/>
    </row>
    <row r="2265" spans="1:45" x14ac:dyDescent="0.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Q2265" s="7"/>
      <c r="R2265" s="7"/>
      <c r="S2265" s="7"/>
      <c r="T2265" s="7"/>
      <c r="U2265" s="7"/>
      <c r="V2265" s="7"/>
      <c r="AC2265" s="7"/>
      <c r="AD2265" s="7"/>
      <c r="AE2265" s="7"/>
      <c r="AF2265" s="7"/>
      <c r="AG2265" s="7"/>
      <c r="AO2265" s="7"/>
      <c r="AP2265" s="7"/>
      <c r="AQ2265" s="7"/>
      <c r="AR2265" s="7"/>
      <c r="AS2265" s="7"/>
    </row>
    <row r="2266" spans="1:45" x14ac:dyDescent="0.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Q2266" s="7"/>
      <c r="R2266" s="7"/>
      <c r="S2266" s="7"/>
      <c r="T2266" s="7"/>
      <c r="U2266" s="7"/>
      <c r="V2266" s="7"/>
      <c r="AC2266" s="7"/>
      <c r="AD2266" s="7"/>
      <c r="AE2266" s="7"/>
      <c r="AF2266" s="7"/>
      <c r="AG2266" s="7"/>
      <c r="AO2266" s="7"/>
      <c r="AP2266" s="7"/>
      <c r="AQ2266" s="7"/>
      <c r="AR2266" s="7"/>
      <c r="AS2266" s="7"/>
    </row>
    <row r="2267" spans="1:45" x14ac:dyDescent="0.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Q2267" s="7"/>
      <c r="R2267" s="7"/>
      <c r="S2267" s="7"/>
      <c r="T2267" s="7"/>
      <c r="U2267" s="7"/>
      <c r="V2267" s="7"/>
      <c r="AC2267" s="7"/>
      <c r="AD2267" s="7"/>
      <c r="AE2267" s="7"/>
      <c r="AF2267" s="7"/>
      <c r="AG2267" s="7"/>
      <c r="AO2267" s="7"/>
      <c r="AP2267" s="7"/>
      <c r="AQ2267" s="7"/>
      <c r="AR2267" s="7"/>
      <c r="AS2267" s="7"/>
    </row>
    <row r="2268" spans="1:45" x14ac:dyDescent="0.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Q2268" s="7"/>
      <c r="R2268" s="7"/>
      <c r="S2268" s="7"/>
      <c r="T2268" s="7"/>
      <c r="U2268" s="7"/>
      <c r="V2268" s="7"/>
      <c r="AC2268" s="7"/>
      <c r="AD2268" s="7"/>
      <c r="AE2268" s="7"/>
      <c r="AF2268" s="7"/>
      <c r="AG2268" s="7"/>
      <c r="AO2268" s="7"/>
      <c r="AP2268" s="7"/>
      <c r="AQ2268" s="7"/>
      <c r="AR2268" s="7"/>
      <c r="AS2268" s="7"/>
    </row>
    <row r="2269" spans="1:45" x14ac:dyDescent="0.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Q2269" s="7"/>
      <c r="R2269" s="7"/>
      <c r="S2269" s="7"/>
      <c r="T2269" s="7"/>
      <c r="U2269" s="7"/>
      <c r="V2269" s="7"/>
      <c r="AC2269" s="7"/>
      <c r="AD2269" s="7"/>
      <c r="AE2269" s="7"/>
      <c r="AF2269" s="7"/>
      <c r="AG2269" s="7"/>
      <c r="AO2269" s="7"/>
      <c r="AP2269" s="7"/>
      <c r="AQ2269" s="7"/>
      <c r="AR2269" s="7"/>
      <c r="AS2269" s="7"/>
    </row>
    <row r="2270" spans="1:45" x14ac:dyDescent="0.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Q2270" s="7"/>
      <c r="R2270" s="7"/>
      <c r="S2270" s="7"/>
      <c r="T2270" s="7"/>
      <c r="U2270" s="7"/>
      <c r="V2270" s="7"/>
      <c r="AC2270" s="7"/>
      <c r="AD2270" s="7"/>
      <c r="AE2270" s="7"/>
      <c r="AF2270" s="7"/>
      <c r="AG2270" s="7"/>
      <c r="AO2270" s="7"/>
      <c r="AP2270" s="7"/>
      <c r="AQ2270" s="7"/>
      <c r="AR2270" s="7"/>
      <c r="AS2270" s="7"/>
    </row>
    <row r="2271" spans="1:45" x14ac:dyDescent="0.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Q2271" s="7"/>
      <c r="R2271" s="7"/>
      <c r="S2271" s="7"/>
      <c r="T2271" s="7"/>
      <c r="U2271" s="7"/>
      <c r="V2271" s="7"/>
      <c r="AC2271" s="7"/>
      <c r="AD2271" s="7"/>
      <c r="AE2271" s="7"/>
      <c r="AF2271" s="7"/>
      <c r="AG2271" s="7"/>
      <c r="AO2271" s="7"/>
      <c r="AP2271" s="7"/>
      <c r="AQ2271" s="7"/>
      <c r="AR2271" s="7"/>
      <c r="AS2271" s="7"/>
    </row>
    <row r="2272" spans="1:45" x14ac:dyDescent="0.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Q2272" s="7"/>
      <c r="R2272" s="7"/>
      <c r="S2272" s="7"/>
      <c r="T2272" s="7"/>
      <c r="U2272" s="7"/>
      <c r="V2272" s="7"/>
      <c r="AC2272" s="7"/>
      <c r="AD2272" s="7"/>
      <c r="AE2272" s="7"/>
      <c r="AF2272" s="7"/>
      <c r="AG2272" s="7"/>
      <c r="AO2272" s="7"/>
      <c r="AP2272" s="7"/>
      <c r="AQ2272" s="7"/>
      <c r="AR2272" s="7"/>
      <c r="AS2272" s="7"/>
    </row>
    <row r="2273" spans="1:45" x14ac:dyDescent="0.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Q2273" s="7"/>
      <c r="R2273" s="7"/>
      <c r="S2273" s="7"/>
      <c r="T2273" s="7"/>
      <c r="U2273" s="7"/>
      <c r="V2273" s="7"/>
      <c r="AC2273" s="7"/>
      <c r="AD2273" s="7"/>
      <c r="AE2273" s="7"/>
      <c r="AF2273" s="7"/>
      <c r="AG2273" s="7"/>
      <c r="AO2273" s="7"/>
      <c r="AP2273" s="7"/>
      <c r="AQ2273" s="7"/>
      <c r="AR2273" s="7"/>
      <c r="AS2273" s="7"/>
    </row>
    <row r="2274" spans="1:45" x14ac:dyDescent="0.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Q2274" s="7"/>
      <c r="R2274" s="7"/>
      <c r="S2274" s="7"/>
      <c r="T2274" s="7"/>
      <c r="U2274" s="7"/>
      <c r="V2274" s="7"/>
      <c r="AC2274" s="7"/>
      <c r="AD2274" s="7"/>
      <c r="AE2274" s="7"/>
      <c r="AF2274" s="7"/>
      <c r="AG2274" s="7"/>
      <c r="AO2274" s="7"/>
      <c r="AP2274" s="7"/>
      <c r="AQ2274" s="7"/>
      <c r="AR2274" s="7"/>
      <c r="AS2274" s="7"/>
    </row>
    <row r="2275" spans="1:45" x14ac:dyDescent="0.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Q2275" s="7"/>
      <c r="R2275" s="7"/>
      <c r="S2275" s="7"/>
      <c r="T2275" s="7"/>
      <c r="U2275" s="7"/>
      <c r="V2275" s="7"/>
      <c r="AC2275" s="7"/>
      <c r="AD2275" s="7"/>
      <c r="AE2275" s="7"/>
      <c r="AF2275" s="7"/>
      <c r="AG2275" s="7"/>
      <c r="AO2275" s="7"/>
      <c r="AP2275" s="7"/>
      <c r="AQ2275" s="7"/>
      <c r="AR2275" s="7"/>
      <c r="AS2275" s="7"/>
    </row>
    <row r="2276" spans="1:45" x14ac:dyDescent="0.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Q2276" s="7"/>
      <c r="R2276" s="7"/>
      <c r="S2276" s="7"/>
      <c r="T2276" s="7"/>
      <c r="U2276" s="7"/>
      <c r="V2276" s="7"/>
      <c r="AC2276" s="7"/>
      <c r="AD2276" s="7"/>
      <c r="AE2276" s="7"/>
      <c r="AF2276" s="7"/>
      <c r="AG2276" s="7"/>
      <c r="AO2276" s="7"/>
      <c r="AP2276" s="7"/>
      <c r="AQ2276" s="7"/>
      <c r="AR2276" s="7"/>
      <c r="AS2276" s="7"/>
    </row>
    <row r="2277" spans="1:45" x14ac:dyDescent="0.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Q2277" s="7"/>
      <c r="R2277" s="7"/>
      <c r="S2277" s="7"/>
      <c r="T2277" s="7"/>
      <c r="U2277" s="7"/>
      <c r="V2277" s="7"/>
      <c r="AC2277" s="7"/>
      <c r="AD2277" s="7"/>
      <c r="AE2277" s="7"/>
      <c r="AF2277" s="7"/>
      <c r="AG2277" s="7"/>
      <c r="AO2277" s="7"/>
      <c r="AP2277" s="7"/>
      <c r="AQ2277" s="7"/>
      <c r="AR2277" s="7"/>
      <c r="AS2277" s="7"/>
    </row>
    <row r="2278" spans="1:45" x14ac:dyDescent="0.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Q2278" s="7"/>
      <c r="R2278" s="7"/>
      <c r="S2278" s="7"/>
      <c r="T2278" s="7"/>
      <c r="U2278" s="7"/>
      <c r="V2278" s="7"/>
      <c r="AC2278" s="7"/>
      <c r="AD2278" s="7"/>
      <c r="AE2278" s="7"/>
      <c r="AF2278" s="7"/>
      <c r="AG2278" s="7"/>
      <c r="AO2278" s="7"/>
      <c r="AP2278" s="7"/>
      <c r="AQ2278" s="7"/>
      <c r="AR2278" s="7"/>
      <c r="AS2278" s="7"/>
    </row>
    <row r="2279" spans="1:45" x14ac:dyDescent="0.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Q2279" s="7"/>
      <c r="R2279" s="7"/>
      <c r="S2279" s="7"/>
      <c r="T2279" s="7"/>
      <c r="U2279" s="7"/>
      <c r="V2279" s="7"/>
      <c r="AC2279" s="7"/>
      <c r="AD2279" s="7"/>
      <c r="AE2279" s="7"/>
      <c r="AF2279" s="7"/>
      <c r="AG2279" s="7"/>
      <c r="AO2279" s="7"/>
      <c r="AP2279" s="7"/>
      <c r="AQ2279" s="7"/>
      <c r="AR2279" s="7"/>
      <c r="AS2279" s="7"/>
    </row>
    <row r="2280" spans="1:45" x14ac:dyDescent="0.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Q2280" s="7"/>
      <c r="R2280" s="7"/>
      <c r="S2280" s="7"/>
      <c r="T2280" s="7"/>
      <c r="U2280" s="7"/>
      <c r="V2280" s="7"/>
      <c r="AC2280" s="7"/>
      <c r="AD2280" s="7"/>
      <c r="AE2280" s="7"/>
      <c r="AF2280" s="7"/>
      <c r="AG2280" s="7"/>
      <c r="AO2280" s="7"/>
      <c r="AP2280" s="7"/>
      <c r="AQ2280" s="7"/>
      <c r="AR2280" s="7"/>
      <c r="AS2280" s="7"/>
    </row>
    <row r="2281" spans="1:45" x14ac:dyDescent="0.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Q2281" s="7"/>
      <c r="R2281" s="7"/>
      <c r="S2281" s="7"/>
      <c r="T2281" s="7"/>
      <c r="U2281" s="7"/>
      <c r="V2281" s="7"/>
      <c r="AC2281" s="7"/>
      <c r="AD2281" s="7"/>
      <c r="AE2281" s="7"/>
      <c r="AF2281" s="7"/>
      <c r="AG2281" s="7"/>
      <c r="AO2281" s="7"/>
      <c r="AP2281" s="7"/>
      <c r="AQ2281" s="7"/>
      <c r="AR2281" s="7"/>
      <c r="AS2281" s="7"/>
    </row>
    <row r="2282" spans="1:45" x14ac:dyDescent="0.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Q2282" s="7"/>
      <c r="R2282" s="7"/>
      <c r="S2282" s="7"/>
      <c r="T2282" s="7"/>
      <c r="U2282" s="7"/>
      <c r="V2282" s="7"/>
      <c r="AC2282" s="7"/>
      <c r="AD2282" s="7"/>
      <c r="AE2282" s="7"/>
      <c r="AF2282" s="7"/>
      <c r="AG2282" s="7"/>
      <c r="AO2282" s="7"/>
      <c r="AP2282" s="7"/>
      <c r="AQ2282" s="7"/>
      <c r="AR2282" s="7"/>
      <c r="AS2282" s="7"/>
    </row>
    <row r="2283" spans="1:45" x14ac:dyDescent="0.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Q2283" s="7"/>
      <c r="R2283" s="7"/>
      <c r="S2283" s="7"/>
      <c r="T2283" s="7"/>
      <c r="U2283" s="7"/>
      <c r="V2283" s="7"/>
      <c r="AC2283" s="7"/>
      <c r="AD2283" s="7"/>
      <c r="AE2283" s="7"/>
      <c r="AF2283" s="7"/>
      <c r="AG2283" s="7"/>
      <c r="AO2283" s="7"/>
      <c r="AP2283" s="7"/>
      <c r="AQ2283" s="7"/>
      <c r="AR2283" s="7"/>
      <c r="AS2283" s="7"/>
    </row>
    <row r="2284" spans="1:45" x14ac:dyDescent="0.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Q2284" s="7"/>
      <c r="R2284" s="7"/>
      <c r="S2284" s="7"/>
      <c r="T2284" s="7"/>
      <c r="U2284" s="7"/>
      <c r="V2284" s="7"/>
      <c r="AC2284" s="7"/>
      <c r="AD2284" s="7"/>
      <c r="AE2284" s="7"/>
      <c r="AF2284" s="7"/>
      <c r="AG2284" s="7"/>
      <c r="AO2284" s="7"/>
      <c r="AP2284" s="7"/>
      <c r="AQ2284" s="7"/>
      <c r="AR2284" s="7"/>
      <c r="AS2284" s="7"/>
    </row>
    <row r="2285" spans="1:45" x14ac:dyDescent="0.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Q2285" s="7"/>
      <c r="R2285" s="7"/>
      <c r="S2285" s="7"/>
      <c r="T2285" s="7"/>
      <c r="U2285" s="7"/>
      <c r="V2285" s="7"/>
      <c r="AC2285" s="7"/>
      <c r="AD2285" s="7"/>
      <c r="AE2285" s="7"/>
      <c r="AF2285" s="7"/>
      <c r="AG2285" s="7"/>
      <c r="AO2285" s="7"/>
      <c r="AP2285" s="7"/>
      <c r="AQ2285" s="7"/>
      <c r="AR2285" s="7"/>
      <c r="AS2285" s="7"/>
    </row>
    <row r="2286" spans="1:45" x14ac:dyDescent="0.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Q2286" s="7"/>
      <c r="R2286" s="7"/>
      <c r="S2286" s="7"/>
      <c r="T2286" s="7"/>
      <c r="U2286" s="7"/>
      <c r="V2286" s="7"/>
      <c r="AC2286" s="7"/>
      <c r="AD2286" s="7"/>
      <c r="AE2286" s="7"/>
      <c r="AF2286" s="7"/>
      <c r="AG2286" s="7"/>
      <c r="AO2286" s="7"/>
      <c r="AP2286" s="7"/>
      <c r="AQ2286" s="7"/>
      <c r="AR2286" s="7"/>
      <c r="AS2286" s="7"/>
    </row>
    <row r="2287" spans="1:45" x14ac:dyDescent="0.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Q2287" s="7"/>
      <c r="R2287" s="7"/>
      <c r="S2287" s="7"/>
      <c r="T2287" s="7"/>
      <c r="U2287" s="7"/>
      <c r="V2287" s="7"/>
      <c r="AC2287" s="7"/>
      <c r="AD2287" s="7"/>
      <c r="AE2287" s="7"/>
      <c r="AF2287" s="7"/>
      <c r="AG2287" s="7"/>
      <c r="AO2287" s="7"/>
      <c r="AP2287" s="7"/>
      <c r="AQ2287" s="7"/>
      <c r="AR2287" s="7"/>
      <c r="AS2287" s="7"/>
    </row>
    <row r="2288" spans="1:45" x14ac:dyDescent="0.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Q2288" s="7"/>
      <c r="R2288" s="7"/>
      <c r="S2288" s="7"/>
      <c r="T2288" s="7"/>
      <c r="U2288" s="7"/>
      <c r="V2288" s="7"/>
      <c r="AC2288" s="7"/>
      <c r="AD2288" s="7"/>
      <c r="AE2288" s="7"/>
      <c r="AF2288" s="7"/>
      <c r="AG2288" s="7"/>
      <c r="AO2288" s="7"/>
      <c r="AP2288" s="7"/>
      <c r="AQ2288" s="7"/>
      <c r="AR2288" s="7"/>
      <c r="AS2288" s="7"/>
    </row>
    <row r="2289" spans="1:45" x14ac:dyDescent="0.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Q2289" s="7"/>
      <c r="R2289" s="7"/>
      <c r="S2289" s="7"/>
      <c r="T2289" s="7"/>
      <c r="U2289" s="7"/>
      <c r="V2289" s="7"/>
      <c r="AC2289" s="7"/>
      <c r="AD2289" s="7"/>
      <c r="AE2289" s="7"/>
      <c r="AF2289" s="7"/>
      <c r="AG2289" s="7"/>
      <c r="AO2289" s="7"/>
      <c r="AP2289" s="7"/>
      <c r="AQ2289" s="7"/>
      <c r="AR2289" s="7"/>
      <c r="AS2289" s="7"/>
    </row>
    <row r="2290" spans="1:45" x14ac:dyDescent="0.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Q2290" s="7"/>
      <c r="R2290" s="7"/>
      <c r="S2290" s="7"/>
      <c r="T2290" s="7"/>
      <c r="U2290" s="7"/>
      <c r="V2290" s="7"/>
      <c r="AC2290" s="7"/>
      <c r="AD2290" s="7"/>
      <c r="AE2290" s="7"/>
      <c r="AF2290" s="7"/>
      <c r="AG2290" s="7"/>
      <c r="AO2290" s="7"/>
      <c r="AP2290" s="7"/>
      <c r="AQ2290" s="7"/>
      <c r="AR2290" s="7"/>
      <c r="AS2290" s="7"/>
    </row>
    <row r="2291" spans="1:45" x14ac:dyDescent="0.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Q2291" s="7"/>
      <c r="R2291" s="7"/>
      <c r="S2291" s="7"/>
      <c r="T2291" s="7"/>
      <c r="U2291" s="7"/>
      <c r="V2291" s="7"/>
      <c r="AC2291" s="7"/>
      <c r="AD2291" s="7"/>
      <c r="AE2291" s="7"/>
      <c r="AF2291" s="7"/>
      <c r="AG2291" s="7"/>
      <c r="AO2291" s="7"/>
      <c r="AP2291" s="7"/>
      <c r="AQ2291" s="7"/>
      <c r="AR2291" s="7"/>
      <c r="AS2291" s="7"/>
    </row>
    <row r="2292" spans="1:45" x14ac:dyDescent="0.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Q2292" s="7"/>
      <c r="R2292" s="7"/>
      <c r="S2292" s="7"/>
      <c r="T2292" s="7"/>
      <c r="U2292" s="7"/>
      <c r="V2292" s="7"/>
      <c r="AC2292" s="7"/>
      <c r="AD2292" s="7"/>
      <c r="AE2292" s="7"/>
      <c r="AF2292" s="7"/>
      <c r="AG2292" s="7"/>
      <c r="AO2292" s="7"/>
      <c r="AP2292" s="7"/>
      <c r="AQ2292" s="7"/>
      <c r="AR2292" s="7"/>
      <c r="AS2292" s="7"/>
    </row>
    <row r="2293" spans="1:45" x14ac:dyDescent="0.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Q2293" s="7"/>
      <c r="R2293" s="7"/>
      <c r="S2293" s="7"/>
      <c r="T2293" s="7"/>
      <c r="U2293" s="7"/>
      <c r="V2293" s="7"/>
      <c r="AC2293" s="7"/>
      <c r="AD2293" s="7"/>
      <c r="AE2293" s="7"/>
      <c r="AF2293" s="7"/>
      <c r="AG2293" s="7"/>
      <c r="AO2293" s="7"/>
      <c r="AP2293" s="7"/>
      <c r="AQ2293" s="7"/>
      <c r="AR2293" s="7"/>
      <c r="AS2293" s="7"/>
    </row>
    <row r="2294" spans="1:45" x14ac:dyDescent="0.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Q2294" s="7"/>
      <c r="R2294" s="7"/>
      <c r="S2294" s="7"/>
      <c r="T2294" s="7"/>
      <c r="U2294" s="7"/>
      <c r="V2294" s="7"/>
      <c r="AC2294" s="7"/>
      <c r="AD2294" s="7"/>
      <c r="AE2294" s="7"/>
      <c r="AF2294" s="7"/>
      <c r="AG2294" s="7"/>
      <c r="AO2294" s="7"/>
      <c r="AP2294" s="7"/>
      <c r="AQ2294" s="7"/>
      <c r="AR2294" s="7"/>
      <c r="AS2294" s="7"/>
    </row>
    <row r="2295" spans="1:45" x14ac:dyDescent="0.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Q2295" s="7"/>
      <c r="R2295" s="7"/>
      <c r="S2295" s="7"/>
      <c r="T2295" s="7"/>
      <c r="U2295" s="7"/>
      <c r="V2295" s="7"/>
      <c r="AC2295" s="7"/>
      <c r="AD2295" s="7"/>
      <c r="AE2295" s="7"/>
      <c r="AF2295" s="7"/>
      <c r="AG2295" s="7"/>
      <c r="AO2295" s="7"/>
      <c r="AP2295" s="7"/>
      <c r="AQ2295" s="7"/>
      <c r="AR2295" s="7"/>
      <c r="AS2295" s="7"/>
    </row>
    <row r="2296" spans="1:45" x14ac:dyDescent="0.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Q2296" s="7"/>
      <c r="R2296" s="7"/>
      <c r="S2296" s="7"/>
      <c r="T2296" s="7"/>
      <c r="U2296" s="7"/>
      <c r="V2296" s="7"/>
      <c r="AC2296" s="7"/>
      <c r="AD2296" s="7"/>
      <c r="AE2296" s="7"/>
      <c r="AF2296" s="7"/>
      <c r="AG2296" s="7"/>
      <c r="AO2296" s="7"/>
      <c r="AP2296" s="7"/>
      <c r="AQ2296" s="7"/>
      <c r="AR2296" s="7"/>
      <c r="AS2296" s="7"/>
    </row>
    <row r="2297" spans="1:45" x14ac:dyDescent="0.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Q2297" s="7"/>
      <c r="R2297" s="7"/>
      <c r="S2297" s="7"/>
      <c r="T2297" s="7"/>
      <c r="U2297" s="7"/>
      <c r="V2297" s="7"/>
      <c r="AC2297" s="7"/>
      <c r="AD2297" s="7"/>
      <c r="AE2297" s="7"/>
      <c r="AF2297" s="7"/>
      <c r="AG2297" s="7"/>
      <c r="AO2297" s="7"/>
      <c r="AP2297" s="7"/>
      <c r="AQ2297" s="7"/>
      <c r="AR2297" s="7"/>
      <c r="AS2297" s="7"/>
    </row>
    <row r="2298" spans="1:45" x14ac:dyDescent="0.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Q2298" s="7"/>
      <c r="R2298" s="7"/>
      <c r="S2298" s="7"/>
      <c r="T2298" s="7"/>
      <c r="U2298" s="7"/>
      <c r="V2298" s="7"/>
      <c r="AC2298" s="7"/>
      <c r="AD2298" s="7"/>
      <c r="AE2298" s="7"/>
      <c r="AF2298" s="7"/>
      <c r="AG2298" s="7"/>
      <c r="AO2298" s="7"/>
      <c r="AP2298" s="7"/>
      <c r="AQ2298" s="7"/>
      <c r="AR2298" s="7"/>
      <c r="AS2298" s="7"/>
    </row>
    <row r="2299" spans="1:45" x14ac:dyDescent="0.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Q2299" s="7"/>
      <c r="R2299" s="7"/>
      <c r="S2299" s="7"/>
      <c r="T2299" s="7"/>
      <c r="U2299" s="7"/>
      <c r="V2299" s="7"/>
      <c r="AC2299" s="7"/>
      <c r="AD2299" s="7"/>
      <c r="AE2299" s="7"/>
      <c r="AF2299" s="7"/>
      <c r="AG2299" s="7"/>
      <c r="AO2299" s="7"/>
      <c r="AP2299" s="7"/>
      <c r="AQ2299" s="7"/>
      <c r="AR2299" s="7"/>
      <c r="AS2299" s="7"/>
    </row>
    <row r="2300" spans="1:45" x14ac:dyDescent="0.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Q2300" s="7"/>
      <c r="R2300" s="7"/>
      <c r="S2300" s="7"/>
      <c r="T2300" s="7"/>
      <c r="U2300" s="7"/>
      <c r="V2300" s="7"/>
      <c r="AC2300" s="7"/>
      <c r="AD2300" s="7"/>
      <c r="AE2300" s="7"/>
      <c r="AF2300" s="7"/>
      <c r="AG2300" s="7"/>
      <c r="AO2300" s="7"/>
      <c r="AP2300" s="7"/>
      <c r="AQ2300" s="7"/>
      <c r="AR2300" s="7"/>
      <c r="AS2300" s="7"/>
    </row>
    <row r="2301" spans="1:45" x14ac:dyDescent="0.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Q2301" s="7"/>
      <c r="R2301" s="7"/>
      <c r="S2301" s="7"/>
      <c r="T2301" s="7"/>
      <c r="U2301" s="7"/>
      <c r="V2301" s="7"/>
      <c r="AC2301" s="7"/>
      <c r="AD2301" s="7"/>
      <c r="AE2301" s="7"/>
      <c r="AF2301" s="7"/>
      <c r="AG2301" s="7"/>
      <c r="AO2301" s="7"/>
      <c r="AP2301" s="7"/>
      <c r="AQ2301" s="7"/>
      <c r="AR2301" s="7"/>
      <c r="AS2301" s="7"/>
    </row>
    <row r="2302" spans="1:45" x14ac:dyDescent="0.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Q2302" s="7"/>
      <c r="R2302" s="7"/>
      <c r="S2302" s="7"/>
      <c r="T2302" s="7"/>
      <c r="U2302" s="7"/>
      <c r="V2302" s="7"/>
      <c r="AC2302" s="7"/>
      <c r="AD2302" s="7"/>
      <c r="AE2302" s="7"/>
      <c r="AF2302" s="7"/>
      <c r="AG2302" s="7"/>
      <c r="AO2302" s="7"/>
      <c r="AP2302" s="7"/>
      <c r="AQ2302" s="7"/>
      <c r="AR2302" s="7"/>
      <c r="AS2302" s="7"/>
    </row>
    <row r="2303" spans="1:45" x14ac:dyDescent="0.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Q2303" s="7"/>
      <c r="R2303" s="7"/>
      <c r="S2303" s="7"/>
      <c r="T2303" s="7"/>
      <c r="U2303" s="7"/>
      <c r="V2303" s="7"/>
      <c r="AC2303" s="7"/>
      <c r="AD2303" s="7"/>
      <c r="AE2303" s="7"/>
      <c r="AF2303" s="7"/>
      <c r="AG2303" s="7"/>
      <c r="AO2303" s="7"/>
      <c r="AP2303" s="7"/>
      <c r="AQ2303" s="7"/>
      <c r="AR2303" s="7"/>
      <c r="AS2303" s="7"/>
    </row>
    <row r="2304" spans="1:45" x14ac:dyDescent="0.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Q2304" s="7"/>
      <c r="R2304" s="7"/>
      <c r="S2304" s="7"/>
      <c r="T2304" s="7"/>
      <c r="U2304" s="7"/>
      <c r="V2304" s="7"/>
      <c r="AC2304" s="7"/>
      <c r="AD2304" s="7"/>
      <c r="AE2304" s="7"/>
      <c r="AF2304" s="7"/>
      <c r="AG2304" s="7"/>
      <c r="AO2304" s="7"/>
      <c r="AP2304" s="7"/>
      <c r="AQ2304" s="7"/>
      <c r="AR2304" s="7"/>
      <c r="AS2304" s="7"/>
    </row>
    <row r="2305" spans="1:45" x14ac:dyDescent="0.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Q2305" s="7"/>
      <c r="R2305" s="7"/>
      <c r="S2305" s="7"/>
      <c r="T2305" s="7"/>
      <c r="U2305" s="7"/>
      <c r="V2305" s="7"/>
      <c r="AC2305" s="7"/>
      <c r="AD2305" s="7"/>
      <c r="AE2305" s="7"/>
      <c r="AF2305" s="7"/>
      <c r="AG2305" s="7"/>
      <c r="AO2305" s="7"/>
      <c r="AP2305" s="7"/>
      <c r="AQ2305" s="7"/>
      <c r="AR2305" s="7"/>
      <c r="AS2305" s="7"/>
    </row>
    <row r="2306" spans="1:45" x14ac:dyDescent="0.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Q2306" s="7"/>
      <c r="R2306" s="7"/>
      <c r="S2306" s="7"/>
      <c r="T2306" s="7"/>
      <c r="U2306" s="7"/>
      <c r="V2306" s="7"/>
      <c r="AC2306" s="7"/>
      <c r="AD2306" s="7"/>
      <c r="AE2306" s="7"/>
      <c r="AF2306" s="7"/>
      <c r="AG2306" s="7"/>
      <c r="AO2306" s="7"/>
      <c r="AP2306" s="7"/>
      <c r="AQ2306" s="7"/>
      <c r="AR2306" s="7"/>
      <c r="AS2306" s="7"/>
    </row>
    <row r="2307" spans="1:45" x14ac:dyDescent="0.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Q2307" s="7"/>
      <c r="R2307" s="7"/>
      <c r="S2307" s="7"/>
      <c r="T2307" s="7"/>
      <c r="U2307" s="7"/>
      <c r="V2307" s="7"/>
      <c r="AC2307" s="7"/>
      <c r="AD2307" s="7"/>
      <c r="AE2307" s="7"/>
      <c r="AF2307" s="7"/>
      <c r="AG2307" s="7"/>
      <c r="AO2307" s="7"/>
      <c r="AP2307" s="7"/>
      <c r="AQ2307" s="7"/>
      <c r="AR2307" s="7"/>
      <c r="AS2307" s="7"/>
    </row>
    <row r="2308" spans="1:45" x14ac:dyDescent="0.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Q2308" s="7"/>
      <c r="R2308" s="7"/>
      <c r="S2308" s="7"/>
      <c r="T2308" s="7"/>
      <c r="U2308" s="7"/>
      <c r="V2308" s="7"/>
      <c r="AC2308" s="7"/>
      <c r="AD2308" s="7"/>
      <c r="AE2308" s="7"/>
      <c r="AF2308" s="7"/>
      <c r="AG2308" s="7"/>
      <c r="AO2308" s="7"/>
      <c r="AP2308" s="7"/>
      <c r="AQ2308" s="7"/>
      <c r="AR2308" s="7"/>
      <c r="AS2308" s="7"/>
    </row>
    <row r="2309" spans="1:45" x14ac:dyDescent="0.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Q2309" s="7"/>
      <c r="R2309" s="7"/>
      <c r="S2309" s="7"/>
      <c r="T2309" s="7"/>
      <c r="U2309" s="7"/>
      <c r="V2309" s="7"/>
      <c r="AC2309" s="7"/>
      <c r="AD2309" s="7"/>
      <c r="AE2309" s="7"/>
      <c r="AF2309" s="7"/>
      <c r="AG2309" s="7"/>
      <c r="AO2309" s="7"/>
      <c r="AP2309" s="7"/>
      <c r="AQ2309" s="7"/>
      <c r="AR2309" s="7"/>
      <c r="AS2309" s="7"/>
    </row>
    <row r="2310" spans="1:45" x14ac:dyDescent="0.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Q2310" s="7"/>
      <c r="R2310" s="7"/>
      <c r="S2310" s="7"/>
      <c r="T2310" s="7"/>
      <c r="U2310" s="7"/>
      <c r="V2310" s="7"/>
      <c r="AC2310" s="7"/>
      <c r="AD2310" s="7"/>
      <c r="AE2310" s="7"/>
      <c r="AF2310" s="7"/>
      <c r="AG2310" s="7"/>
      <c r="AO2310" s="7"/>
      <c r="AP2310" s="7"/>
      <c r="AQ2310" s="7"/>
      <c r="AR2310" s="7"/>
      <c r="AS2310" s="7"/>
    </row>
    <row r="2311" spans="1:45" x14ac:dyDescent="0.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Q2311" s="7"/>
      <c r="R2311" s="7"/>
      <c r="S2311" s="7"/>
      <c r="T2311" s="7"/>
      <c r="U2311" s="7"/>
      <c r="V2311" s="7"/>
      <c r="AC2311" s="7"/>
      <c r="AD2311" s="7"/>
      <c r="AE2311" s="7"/>
      <c r="AF2311" s="7"/>
      <c r="AG2311" s="7"/>
      <c r="AO2311" s="7"/>
      <c r="AP2311" s="7"/>
      <c r="AQ2311" s="7"/>
      <c r="AR2311" s="7"/>
      <c r="AS2311" s="7"/>
    </row>
    <row r="2312" spans="1:45" x14ac:dyDescent="0.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Q2312" s="7"/>
      <c r="R2312" s="7"/>
      <c r="S2312" s="7"/>
      <c r="T2312" s="7"/>
      <c r="U2312" s="7"/>
      <c r="V2312" s="7"/>
      <c r="AC2312" s="7"/>
      <c r="AD2312" s="7"/>
      <c r="AE2312" s="7"/>
      <c r="AF2312" s="7"/>
      <c r="AG2312" s="7"/>
      <c r="AO2312" s="7"/>
      <c r="AP2312" s="7"/>
      <c r="AQ2312" s="7"/>
      <c r="AR2312" s="7"/>
      <c r="AS2312" s="7"/>
    </row>
    <row r="2313" spans="1:45" x14ac:dyDescent="0.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Q2313" s="7"/>
      <c r="R2313" s="7"/>
      <c r="S2313" s="7"/>
      <c r="T2313" s="7"/>
      <c r="U2313" s="7"/>
      <c r="V2313" s="7"/>
      <c r="AC2313" s="7"/>
      <c r="AD2313" s="7"/>
      <c r="AE2313" s="7"/>
      <c r="AF2313" s="7"/>
      <c r="AG2313" s="7"/>
      <c r="AO2313" s="7"/>
      <c r="AP2313" s="7"/>
      <c r="AQ2313" s="7"/>
      <c r="AR2313" s="7"/>
      <c r="AS2313" s="7"/>
    </row>
    <row r="2314" spans="1:45" x14ac:dyDescent="0.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Q2314" s="7"/>
      <c r="R2314" s="7"/>
      <c r="S2314" s="7"/>
      <c r="T2314" s="7"/>
      <c r="U2314" s="7"/>
      <c r="V2314" s="7"/>
      <c r="AC2314" s="7"/>
      <c r="AD2314" s="7"/>
      <c r="AE2314" s="7"/>
      <c r="AF2314" s="7"/>
      <c r="AG2314" s="7"/>
      <c r="AO2314" s="7"/>
      <c r="AP2314" s="7"/>
      <c r="AQ2314" s="7"/>
      <c r="AR2314" s="7"/>
      <c r="AS2314" s="7"/>
    </row>
    <row r="2315" spans="1:45" x14ac:dyDescent="0.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Q2315" s="7"/>
      <c r="R2315" s="7"/>
      <c r="S2315" s="7"/>
      <c r="T2315" s="7"/>
      <c r="U2315" s="7"/>
      <c r="V2315" s="7"/>
      <c r="AC2315" s="7"/>
      <c r="AD2315" s="7"/>
      <c r="AE2315" s="7"/>
      <c r="AF2315" s="7"/>
      <c r="AG2315" s="7"/>
      <c r="AO2315" s="7"/>
      <c r="AP2315" s="7"/>
      <c r="AQ2315" s="7"/>
      <c r="AR2315" s="7"/>
      <c r="AS2315" s="7"/>
    </row>
    <row r="2316" spans="1:45" x14ac:dyDescent="0.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Q2316" s="7"/>
      <c r="R2316" s="7"/>
      <c r="S2316" s="7"/>
      <c r="T2316" s="7"/>
      <c r="U2316" s="7"/>
      <c r="V2316" s="7"/>
      <c r="AC2316" s="7"/>
      <c r="AD2316" s="7"/>
      <c r="AE2316" s="7"/>
      <c r="AF2316" s="7"/>
      <c r="AG2316" s="7"/>
      <c r="AO2316" s="7"/>
      <c r="AP2316" s="7"/>
      <c r="AQ2316" s="7"/>
      <c r="AR2316" s="7"/>
      <c r="AS2316" s="7"/>
    </row>
    <row r="2317" spans="1:45" x14ac:dyDescent="0.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Q2317" s="7"/>
      <c r="R2317" s="7"/>
      <c r="S2317" s="7"/>
      <c r="T2317" s="7"/>
      <c r="U2317" s="7"/>
      <c r="V2317" s="7"/>
      <c r="AC2317" s="7"/>
      <c r="AD2317" s="7"/>
      <c r="AE2317" s="7"/>
      <c r="AF2317" s="7"/>
      <c r="AG2317" s="7"/>
      <c r="AO2317" s="7"/>
      <c r="AP2317" s="7"/>
      <c r="AQ2317" s="7"/>
      <c r="AR2317" s="7"/>
      <c r="AS2317" s="7"/>
    </row>
    <row r="2318" spans="1:45" x14ac:dyDescent="0.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Q2318" s="7"/>
      <c r="R2318" s="7"/>
      <c r="S2318" s="7"/>
      <c r="T2318" s="7"/>
      <c r="U2318" s="7"/>
      <c r="V2318" s="7"/>
      <c r="AC2318" s="7"/>
      <c r="AD2318" s="7"/>
      <c r="AE2318" s="7"/>
      <c r="AF2318" s="7"/>
      <c r="AG2318" s="7"/>
      <c r="AO2318" s="7"/>
      <c r="AP2318" s="7"/>
      <c r="AQ2318" s="7"/>
      <c r="AR2318" s="7"/>
      <c r="AS2318" s="7"/>
    </row>
    <row r="2319" spans="1:45" x14ac:dyDescent="0.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Q2319" s="7"/>
      <c r="R2319" s="7"/>
      <c r="S2319" s="7"/>
      <c r="T2319" s="7"/>
      <c r="U2319" s="7"/>
      <c r="V2319" s="7"/>
      <c r="AC2319" s="7"/>
      <c r="AD2319" s="7"/>
      <c r="AE2319" s="7"/>
      <c r="AF2319" s="7"/>
      <c r="AG2319" s="7"/>
      <c r="AO2319" s="7"/>
      <c r="AP2319" s="7"/>
      <c r="AQ2319" s="7"/>
      <c r="AR2319" s="7"/>
      <c r="AS2319" s="7"/>
    </row>
    <row r="2320" spans="1:45" x14ac:dyDescent="0.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Q2320" s="7"/>
      <c r="R2320" s="7"/>
      <c r="S2320" s="7"/>
      <c r="T2320" s="7"/>
      <c r="U2320" s="7"/>
      <c r="V2320" s="7"/>
      <c r="AC2320" s="7"/>
      <c r="AD2320" s="7"/>
      <c r="AE2320" s="7"/>
      <c r="AF2320" s="7"/>
      <c r="AG2320" s="7"/>
      <c r="AO2320" s="7"/>
      <c r="AP2320" s="7"/>
      <c r="AQ2320" s="7"/>
      <c r="AR2320" s="7"/>
      <c r="AS2320" s="7"/>
    </row>
    <row r="2321" spans="1:45" x14ac:dyDescent="0.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Q2321" s="7"/>
      <c r="R2321" s="7"/>
      <c r="S2321" s="7"/>
      <c r="T2321" s="7"/>
      <c r="U2321" s="7"/>
      <c r="V2321" s="7"/>
      <c r="AC2321" s="7"/>
      <c r="AD2321" s="7"/>
      <c r="AE2321" s="7"/>
      <c r="AF2321" s="7"/>
      <c r="AG2321" s="7"/>
      <c r="AO2321" s="7"/>
      <c r="AP2321" s="7"/>
      <c r="AQ2321" s="7"/>
      <c r="AR2321" s="7"/>
      <c r="AS2321" s="7"/>
    </row>
    <row r="2322" spans="1:45" x14ac:dyDescent="0.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Q2322" s="7"/>
      <c r="R2322" s="7"/>
      <c r="S2322" s="7"/>
      <c r="T2322" s="7"/>
      <c r="U2322" s="7"/>
      <c r="V2322" s="7"/>
      <c r="AC2322" s="7"/>
      <c r="AD2322" s="7"/>
      <c r="AE2322" s="7"/>
      <c r="AF2322" s="7"/>
      <c r="AG2322" s="7"/>
      <c r="AO2322" s="7"/>
      <c r="AP2322" s="7"/>
      <c r="AQ2322" s="7"/>
      <c r="AR2322" s="7"/>
      <c r="AS2322" s="7"/>
    </row>
    <row r="2323" spans="1:45" x14ac:dyDescent="0.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Q2323" s="7"/>
      <c r="R2323" s="7"/>
      <c r="S2323" s="7"/>
      <c r="T2323" s="7"/>
      <c r="U2323" s="7"/>
      <c r="V2323" s="7"/>
      <c r="AC2323" s="7"/>
      <c r="AD2323" s="7"/>
      <c r="AE2323" s="7"/>
      <c r="AF2323" s="7"/>
      <c r="AG2323" s="7"/>
      <c r="AO2323" s="7"/>
      <c r="AP2323" s="7"/>
      <c r="AQ2323" s="7"/>
      <c r="AR2323" s="7"/>
      <c r="AS2323" s="7"/>
    </row>
    <row r="2324" spans="1:45" x14ac:dyDescent="0.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Q2324" s="7"/>
      <c r="R2324" s="7"/>
      <c r="S2324" s="7"/>
      <c r="T2324" s="7"/>
      <c r="U2324" s="7"/>
      <c r="V2324" s="7"/>
      <c r="AC2324" s="7"/>
      <c r="AD2324" s="7"/>
      <c r="AE2324" s="7"/>
      <c r="AF2324" s="7"/>
      <c r="AG2324" s="7"/>
      <c r="AO2324" s="7"/>
      <c r="AP2324" s="7"/>
      <c r="AQ2324" s="7"/>
      <c r="AR2324" s="7"/>
      <c r="AS2324" s="7"/>
    </row>
    <row r="2325" spans="1:45" x14ac:dyDescent="0.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Q2325" s="7"/>
      <c r="R2325" s="7"/>
      <c r="S2325" s="7"/>
      <c r="T2325" s="7"/>
      <c r="U2325" s="7"/>
      <c r="V2325" s="7"/>
      <c r="AC2325" s="7"/>
      <c r="AD2325" s="7"/>
      <c r="AE2325" s="7"/>
      <c r="AF2325" s="7"/>
      <c r="AG2325" s="7"/>
      <c r="AO2325" s="7"/>
      <c r="AP2325" s="7"/>
      <c r="AQ2325" s="7"/>
      <c r="AR2325" s="7"/>
      <c r="AS2325" s="7"/>
    </row>
    <row r="2326" spans="1:45" x14ac:dyDescent="0.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Q2326" s="7"/>
      <c r="R2326" s="7"/>
      <c r="S2326" s="7"/>
      <c r="T2326" s="7"/>
      <c r="U2326" s="7"/>
      <c r="V2326" s="7"/>
      <c r="AC2326" s="7"/>
      <c r="AD2326" s="7"/>
      <c r="AE2326" s="7"/>
      <c r="AF2326" s="7"/>
      <c r="AG2326" s="7"/>
      <c r="AO2326" s="7"/>
      <c r="AP2326" s="7"/>
      <c r="AQ2326" s="7"/>
      <c r="AR2326" s="7"/>
      <c r="AS2326" s="7"/>
    </row>
    <row r="2327" spans="1:45" x14ac:dyDescent="0.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Q2327" s="7"/>
      <c r="R2327" s="7"/>
      <c r="S2327" s="7"/>
      <c r="T2327" s="7"/>
      <c r="U2327" s="7"/>
      <c r="V2327" s="7"/>
      <c r="AC2327" s="7"/>
      <c r="AD2327" s="7"/>
      <c r="AE2327" s="7"/>
      <c r="AF2327" s="7"/>
      <c r="AG2327" s="7"/>
      <c r="AO2327" s="7"/>
      <c r="AP2327" s="7"/>
      <c r="AQ2327" s="7"/>
      <c r="AR2327" s="7"/>
      <c r="AS2327" s="7"/>
    </row>
    <row r="2328" spans="1:45" x14ac:dyDescent="0.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Q2328" s="7"/>
      <c r="R2328" s="7"/>
      <c r="S2328" s="7"/>
      <c r="T2328" s="7"/>
      <c r="U2328" s="7"/>
      <c r="V2328" s="7"/>
      <c r="AC2328" s="7"/>
      <c r="AD2328" s="7"/>
      <c r="AE2328" s="7"/>
      <c r="AF2328" s="7"/>
      <c r="AG2328" s="7"/>
      <c r="AO2328" s="7"/>
      <c r="AP2328" s="7"/>
      <c r="AQ2328" s="7"/>
      <c r="AR2328" s="7"/>
      <c r="AS2328" s="7"/>
    </row>
    <row r="2329" spans="1:45" x14ac:dyDescent="0.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Q2329" s="7"/>
      <c r="R2329" s="7"/>
      <c r="S2329" s="7"/>
      <c r="T2329" s="7"/>
      <c r="U2329" s="7"/>
      <c r="V2329" s="7"/>
      <c r="AC2329" s="7"/>
      <c r="AD2329" s="7"/>
      <c r="AE2329" s="7"/>
      <c r="AF2329" s="7"/>
      <c r="AG2329" s="7"/>
      <c r="AO2329" s="7"/>
      <c r="AP2329" s="7"/>
      <c r="AQ2329" s="7"/>
      <c r="AR2329" s="7"/>
      <c r="AS2329" s="7"/>
    </row>
    <row r="2330" spans="1:45" x14ac:dyDescent="0.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Q2330" s="7"/>
      <c r="R2330" s="7"/>
      <c r="S2330" s="7"/>
      <c r="T2330" s="7"/>
      <c r="U2330" s="7"/>
      <c r="V2330" s="7"/>
      <c r="AC2330" s="7"/>
      <c r="AD2330" s="7"/>
      <c r="AE2330" s="7"/>
      <c r="AF2330" s="7"/>
      <c r="AG2330" s="7"/>
      <c r="AO2330" s="7"/>
      <c r="AP2330" s="7"/>
      <c r="AQ2330" s="7"/>
      <c r="AR2330" s="7"/>
      <c r="AS2330" s="7"/>
    </row>
    <row r="2331" spans="1:45" x14ac:dyDescent="0.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Q2331" s="7"/>
      <c r="R2331" s="7"/>
      <c r="S2331" s="7"/>
      <c r="T2331" s="7"/>
      <c r="U2331" s="7"/>
      <c r="V2331" s="7"/>
      <c r="AC2331" s="7"/>
      <c r="AD2331" s="7"/>
      <c r="AE2331" s="7"/>
      <c r="AF2331" s="7"/>
      <c r="AG2331" s="7"/>
      <c r="AO2331" s="7"/>
      <c r="AP2331" s="7"/>
      <c r="AQ2331" s="7"/>
      <c r="AR2331" s="7"/>
      <c r="AS2331" s="7"/>
    </row>
    <row r="2332" spans="1:45" x14ac:dyDescent="0.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Q2332" s="7"/>
      <c r="R2332" s="7"/>
      <c r="S2332" s="7"/>
      <c r="T2332" s="7"/>
      <c r="U2332" s="7"/>
      <c r="V2332" s="7"/>
      <c r="AC2332" s="7"/>
      <c r="AD2332" s="7"/>
      <c r="AE2332" s="7"/>
      <c r="AF2332" s="7"/>
      <c r="AG2332" s="7"/>
      <c r="AO2332" s="7"/>
      <c r="AP2332" s="7"/>
      <c r="AQ2332" s="7"/>
      <c r="AR2332" s="7"/>
      <c r="AS2332" s="7"/>
    </row>
    <row r="2333" spans="1:45" x14ac:dyDescent="0.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Q2333" s="7"/>
      <c r="R2333" s="7"/>
      <c r="S2333" s="7"/>
      <c r="T2333" s="7"/>
      <c r="U2333" s="7"/>
      <c r="V2333" s="7"/>
      <c r="AC2333" s="7"/>
      <c r="AD2333" s="7"/>
      <c r="AE2333" s="7"/>
      <c r="AF2333" s="7"/>
      <c r="AG2333" s="7"/>
      <c r="AO2333" s="7"/>
      <c r="AP2333" s="7"/>
      <c r="AQ2333" s="7"/>
      <c r="AR2333" s="7"/>
      <c r="AS2333" s="7"/>
    </row>
    <row r="2334" spans="1:45" x14ac:dyDescent="0.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Q2334" s="7"/>
      <c r="R2334" s="7"/>
      <c r="S2334" s="7"/>
      <c r="T2334" s="7"/>
      <c r="U2334" s="7"/>
      <c r="V2334" s="7"/>
      <c r="AC2334" s="7"/>
      <c r="AD2334" s="7"/>
      <c r="AE2334" s="7"/>
      <c r="AF2334" s="7"/>
      <c r="AG2334" s="7"/>
      <c r="AO2334" s="7"/>
      <c r="AP2334" s="7"/>
      <c r="AQ2334" s="7"/>
      <c r="AR2334" s="7"/>
      <c r="AS2334" s="7"/>
    </row>
    <row r="2335" spans="1:45" x14ac:dyDescent="0.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Q2335" s="7"/>
      <c r="R2335" s="7"/>
      <c r="S2335" s="7"/>
      <c r="T2335" s="7"/>
      <c r="U2335" s="7"/>
      <c r="V2335" s="7"/>
      <c r="AC2335" s="7"/>
      <c r="AD2335" s="7"/>
      <c r="AE2335" s="7"/>
      <c r="AF2335" s="7"/>
      <c r="AG2335" s="7"/>
      <c r="AO2335" s="7"/>
      <c r="AP2335" s="7"/>
      <c r="AQ2335" s="7"/>
      <c r="AR2335" s="7"/>
      <c r="AS2335" s="7"/>
    </row>
    <row r="2336" spans="1:45" x14ac:dyDescent="0.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Q2336" s="7"/>
      <c r="R2336" s="7"/>
      <c r="S2336" s="7"/>
      <c r="T2336" s="7"/>
      <c r="U2336" s="7"/>
      <c r="V2336" s="7"/>
      <c r="AC2336" s="7"/>
      <c r="AD2336" s="7"/>
      <c r="AE2336" s="7"/>
      <c r="AF2336" s="7"/>
      <c r="AG2336" s="7"/>
      <c r="AO2336" s="7"/>
      <c r="AP2336" s="7"/>
      <c r="AQ2336" s="7"/>
      <c r="AR2336" s="7"/>
      <c r="AS2336" s="7"/>
    </row>
    <row r="2337" spans="1:45" x14ac:dyDescent="0.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Q2337" s="7"/>
      <c r="R2337" s="7"/>
      <c r="S2337" s="7"/>
      <c r="T2337" s="7"/>
      <c r="U2337" s="7"/>
      <c r="V2337" s="7"/>
      <c r="AC2337" s="7"/>
      <c r="AD2337" s="7"/>
      <c r="AE2337" s="7"/>
      <c r="AF2337" s="7"/>
      <c r="AG2337" s="7"/>
      <c r="AO2337" s="7"/>
      <c r="AP2337" s="7"/>
      <c r="AQ2337" s="7"/>
      <c r="AR2337" s="7"/>
      <c r="AS2337" s="7"/>
    </row>
    <row r="2338" spans="1:45" x14ac:dyDescent="0.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Q2338" s="7"/>
      <c r="R2338" s="7"/>
      <c r="S2338" s="7"/>
      <c r="T2338" s="7"/>
      <c r="U2338" s="7"/>
      <c r="V2338" s="7"/>
      <c r="AC2338" s="7"/>
      <c r="AD2338" s="7"/>
      <c r="AE2338" s="7"/>
      <c r="AF2338" s="7"/>
      <c r="AG2338" s="7"/>
      <c r="AO2338" s="7"/>
      <c r="AP2338" s="7"/>
      <c r="AQ2338" s="7"/>
      <c r="AR2338" s="7"/>
      <c r="AS2338" s="7"/>
    </row>
    <row r="2339" spans="1:45" x14ac:dyDescent="0.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Q2339" s="7"/>
      <c r="R2339" s="7"/>
      <c r="S2339" s="7"/>
      <c r="T2339" s="7"/>
      <c r="U2339" s="7"/>
      <c r="V2339" s="7"/>
      <c r="AC2339" s="7"/>
      <c r="AD2339" s="7"/>
      <c r="AE2339" s="7"/>
      <c r="AF2339" s="7"/>
      <c r="AG2339" s="7"/>
      <c r="AO2339" s="7"/>
      <c r="AP2339" s="7"/>
      <c r="AQ2339" s="7"/>
      <c r="AR2339" s="7"/>
      <c r="AS2339" s="7"/>
    </row>
    <row r="2340" spans="1:45" x14ac:dyDescent="0.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Q2340" s="7"/>
      <c r="R2340" s="7"/>
      <c r="S2340" s="7"/>
      <c r="T2340" s="7"/>
      <c r="U2340" s="7"/>
      <c r="V2340" s="7"/>
      <c r="AC2340" s="7"/>
      <c r="AD2340" s="7"/>
      <c r="AE2340" s="7"/>
      <c r="AF2340" s="7"/>
      <c r="AG2340" s="7"/>
      <c r="AO2340" s="7"/>
      <c r="AP2340" s="7"/>
      <c r="AQ2340" s="7"/>
      <c r="AR2340" s="7"/>
      <c r="AS2340" s="7"/>
    </row>
    <row r="2341" spans="1:45" x14ac:dyDescent="0.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Q2341" s="7"/>
      <c r="R2341" s="7"/>
      <c r="S2341" s="7"/>
      <c r="T2341" s="7"/>
      <c r="U2341" s="7"/>
      <c r="V2341" s="7"/>
      <c r="AC2341" s="7"/>
      <c r="AD2341" s="7"/>
      <c r="AE2341" s="7"/>
      <c r="AF2341" s="7"/>
      <c r="AG2341" s="7"/>
      <c r="AO2341" s="7"/>
      <c r="AP2341" s="7"/>
      <c r="AQ2341" s="7"/>
      <c r="AR2341" s="7"/>
      <c r="AS2341" s="7"/>
    </row>
    <row r="2342" spans="1:45" x14ac:dyDescent="0.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Q2342" s="7"/>
      <c r="R2342" s="7"/>
      <c r="S2342" s="7"/>
      <c r="T2342" s="7"/>
      <c r="U2342" s="7"/>
      <c r="V2342" s="7"/>
      <c r="AC2342" s="7"/>
      <c r="AD2342" s="7"/>
      <c r="AE2342" s="7"/>
      <c r="AF2342" s="7"/>
      <c r="AG2342" s="7"/>
      <c r="AO2342" s="7"/>
      <c r="AP2342" s="7"/>
      <c r="AQ2342" s="7"/>
      <c r="AR2342" s="7"/>
      <c r="AS2342" s="7"/>
    </row>
    <row r="2343" spans="1:45" x14ac:dyDescent="0.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Q2343" s="7"/>
      <c r="R2343" s="7"/>
      <c r="S2343" s="7"/>
      <c r="T2343" s="7"/>
      <c r="U2343" s="7"/>
      <c r="V2343" s="7"/>
      <c r="AC2343" s="7"/>
      <c r="AD2343" s="7"/>
      <c r="AE2343" s="7"/>
      <c r="AF2343" s="7"/>
      <c r="AG2343" s="7"/>
      <c r="AO2343" s="7"/>
      <c r="AP2343" s="7"/>
      <c r="AQ2343" s="7"/>
      <c r="AR2343" s="7"/>
      <c r="AS2343" s="7"/>
    </row>
    <row r="2344" spans="1:45" x14ac:dyDescent="0.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Q2344" s="7"/>
      <c r="R2344" s="7"/>
      <c r="S2344" s="7"/>
      <c r="T2344" s="7"/>
      <c r="U2344" s="7"/>
      <c r="V2344" s="7"/>
      <c r="AC2344" s="7"/>
      <c r="AD2344" s="7"/>
      <c r="AE2344" s="7"/>
      <c r="AF2344" s="7"/>
      <c r="AG2344" s="7"/>
      <c r="AO2344" s="7"/>
      <c r="AP2344" s="7"/>
      <c r="AQ2344" s="7"/>
      <c r="AR2344" s="7"/>
      <c r="AS2344" s="7"/>
    </row>
    <row r="2345" spans="1:45" x14ac:dyDescent="0.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Q2345" s="7"/>
      <c r="R2345" s="7"/>
      <c r="S2345" s="7"/>
      <c r="T2345" s="7"/>
      <c r="U2345" s="7"/>
      <c r="V2345" s="7"/>
      <c r="AC2345" s="7"/>
      <c r="AD2345" s="7"/>
      <c r="AE2345" s="7"/>
      <c r="AF2345" s="7"/>
      <c r="AG2345" s="7"/>
      <c r="AO2345" s="7"/>
      <c r="AP2345" s="7"/>
      <c r="AQ2345" s="7"/>
      <c r="AR2345" s="7"/>
      <c r="AS2345" s="7"/>
    </row>
    <row r="2346" spans="1:45" x14ac:dyDescent="0.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Q2346" s="7"/>
      <c r="R2346" s="7"/>
      <c r="S2346" s="7"/>
      <c r="T2346" s="7"/>
      <c r="U2346" s="7"/>
      <c r="V2346" s="7"/>
      <c r="AC2346" s="7"/>
      <c r="AD2346" s="7"/>
      <c r="AE2346" s="7"/>
      <c r="AF2346" s="7"/>
      <c r="AG2346" s="7"/>
      <c r="AO2346" s="7"/>
      <c r="AP2346" s="7"/>
      <c r="AQ2346" s="7"/>
      <c r="AR2346" s="7"/>
      <c r="AS2346" s="7"/>
    </row>
    <row r="2347" spans="1:45" x14ac:dyDescent="0.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Q2347" s="7"/>
      <c r="R2347" s="7"/>
      <c r="S2347" s="7"/>
      <c r="T2347" s="7"/>
      <c r="U2347" s="7"/>
      <c r="V2347" s="7"/>
      <c r="AC2347" s="7"/>
      <c r="AD2347" s="7"/>
      <c r="AE2347" s="7"/>
      <c r="AF2347" s="7"/>
      <c r="AG2347" s="7"/>
      <c r="AO2347" s="7"/>
      <c r="AP2347" s="7"/>
      <c r="AQ2347" s="7"/>
      <c r="AR2347" s="7"/>
      <c r="AS2347" s="7"/>
    </row>
    <row r="2348" spans="1:45" x14ac:dyDescent="0.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Q2348" s="7"/>
      <c r="R2348" s="7"/>
      <c r="S2348" s="7"/>
      <c r="T2348" s="7"/>
      <c r="U2348" s="7"/>
      <c r="V2348" s="7"/>
      <c r="AC2348" s="7"/>
      <c r="AD2348" s="7"/>
      <c r="AE2348" s="7"/>
      <c r="AF2348" s="7"/>
      <c r="AG2348" s="7"/>
      <c r="AO2348" s="7"/>
      <c r="AP2348" s="7"/>
      <c r="AQ2348" s="7"/>
      <c r="AR2348" s="7"/>
      <c r="AS2348" s="7"/>
    </row>
    <row r="2349" spans="1:45" x14ac:dyDescent="0.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Q2349" s="7"/>
      <c r="R2349" s="7"/>
      <c r="S2349" s="7"/>
      <c r="T2349" s="7"/>
      <c r="U2349" s="7"/>
      <c r="V2349" s="7"/>
      <c r="AC2349" s="7"/>
      <c r="AD2349" s="7"/>
      <c r="AE2349" s="7"/>
      <c r="AF2349" s="7"/>
      <c r="AG2349" s="7"/>
      <c r="AO2349" s="7"/>
      <c r="AP2349" s="7"/>
      <c r="AQ2349" s="7"/>
      <c r="AR2349" s="7"/>
      <c r="AS2349" s="7"/>
    </row>
    <row r="2350" spans="1:45" x14ac:dyDescent="0.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Q2350" s="7"/>
      <c r="R2350" s="7"/>
      <c r="S2350" s="7"/>
      <c r="T2350" s="7"/>
      <c r="U2350" s="7"/>
      <c r="V2350" s="7"/>
      <c r="AC2350" s="7"/>
      <c r="AD2350" s="7"/>
      <c r="AE2350" s="7"/>
      <c r="AF2350" s="7"/>
      <c r="AG2350" s="7"/>
      <c r="AO2350" s="7"/>
      <c r="AP2350" s="7"/>
      <c r="AQ2350" s="7"/>
      <c r="AR2350" s="7"/>
      <c r="AS2350" s="7"/>
    </row>
    <row r="2351" spans="1:45" x14ac:dyDescent="0.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Q2351" s="7"/>
      <c r="R2351" s="7"/>
      <c r="S2351" s="7"/>
      <c r="T2351" s="7"/>
      <c r="U2351" s="7"/>
      <c r="V2351" s="7"/>
      <c r="AC2351" s="7"/>
      <c r="AD2351" s="7"/>
      <c r="AE2351" s="7"/>
      <c r="AF2351" s="7"/>
      <c r="AG2351" s="7"/>
      <c r="AO2351" s="7"/>
      <c r="AP2351" s="7"/>
      <c r="AQ2351" s="7"/>
      <c r="AR2351" s="7"/>
      <c r="AS2351" s="7"/>
    </row>
    <row r="2352" spans="1:45" x14ac:dyDescent="0.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Q2352" s="7"/>
      <c r="R2352" s="7"/>
      <c r="S2352" s="7"/>
      <c r="T2352" s="7"/>
      <c r="U2352" s="7"/>
      <c r="V2352" s="7"/>
      <c r="AC2352" s="7"/>
      <c r="AD2352" s="7"/>
      <c r="AE2352" s="7"/>
      <c r="AF2352" s="7"/>
      <c r="AG2352" s="7"/>
      <c r="AO2352" s="7"/>
      <c r="AP2352" s="7"/>
      <c r="AQ2352" s="7"/>
      <c r="AR2352" s="7"/>
      <c r="AS2352" s="7"/>
    </row>
    <row r="2353" spans="1:45" x14ac:dyDescent="0.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Q2353" s="7"/>
      <c r="R2353" s="7"/>
      <c r="S2353" s="7"/>
      <c r="T2353" s="7"/>
      <c r="U2353" s="7"/>
      <c r="V2353" s="7"/>
      <c r="AC2353" s="7"/>
      <c r="AD2353" s="7"/>
      <c r="AE2353" s="7"/>
      <c r="AF2353" s="7"/>
      <c r="AG2353" s="7"/>
      <c r="AO2353" s="7"/>
      <c r="AP2353" s="7"/>
      <c r="AQ2353" s="7"/>
      <c r="AR2353" s="7"/>
      <c r="AS2353" s="7"/>
    </row>
    <row r="2354" spans="1:45" x14ac:dyDescent="0.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Q2354" s="7"/>
      <c r="R2354" s="7"/>
      <c r="S2354" s="7"/>
      <c r="T2354" s="7"/>
      <c r="U2354" s="7"/>
      <c r="V2354" s="7"/>
      <c r="AC2354" s="7"/>
      <c r="AD2354" s="7"/>
      <c r="AE2354" s="7"/>
      <c r="AF2354" s="7"/>
      <c r="AG2354" s="7"/>
      <c r="AO2354" s="7"/>
      <c r="AP2354" s="7"/>
      <c r="AQ2354" s="7"/>
      <c r="AR2354" s="7"/>
      <c r="AS2354" s="7"/>
    </row>
    <row r="2355" spans="1:45" x14ac:dyDescent="0.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Q2355" s="7"/>
      <c r="R2355" s="7"/>
      <c r="S2355" s="7"/>
      <c r="T2355" s="7"/>
      <c r="U2355" s="7"/>
      <c r="V2355" s="7"/>
      <c r="AC2355" s="7"/>
      <c r="AD2355" s="7"/>
      <c r="AE2355" s="7"/>
      <c r="AF2355" s="7"/>
      <c r="AG2355" s="7"/>
      <c r="AO2355" s="7"/>
      <c r="AP2355" s="7"/>
      <c r="AQ2355" s="7"/>
      <c r="AR2355" s="7"/>
      <c r="AS2355" s="7"/>
    </row>
    <row r="2356" spans="1:45" x14ac:dyDescent="0.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Q2356" s="7"/>
      <c r="R2356" s="7"/>
      <c r="S2356" s="7"/>
      <c r="T2356" s="7"/>
      <c r="U2356" s="7"/>
      <c r="V2356" s="7"/>
      <c r="AC2356" s="7"/>
      <c r="AD2356" s="7"/>
      <c r="AE2356" s="7"/>
      <c r="AF2356" s="7"/>
      <c r="AG2356" s="7"/>
      <c r="AO2356" s="7"/>
      <c r="AP2356" s="7"/>
      <c r="AQ2356" s="7"/>
      <c r="AR2356" s="7"/>
      <c r="AS2356" s="7"/>
    </row>
    <row r="2357" spans="1:45" x14ac:dyDescent="0.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Q2357" s="7"/>
      <c r="R2357" s="7"/>
      <c r="S2357" s="7"/>
      <c r="T2357" s="7"/>
      <c r="U2357" s="7"/>
      <c r="V2357" s="7"/>
      <c r="AC2357" s="7"/>
      <c r="AD2357" s="7"/>
      <c r="AE2357" s="7"/>
      <c r="AF2357" s="7"/>
      <c r="AG2357" s="7"/>
      <c r="AO2357" s="7"/>
      <c r="AP2357" s="7"/>
      <c r="AQ2357" s="7"/>
      <c r="AR2357" s="7"/>
      <c r="AS2357" s="7"/>
    </row>
    <row r="2358" spans="1:45" x14ac:dyDescent="0.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Q2358" s="7"/>
      <c r="R2358" s="7"/>
      <c r="S2358" s="7"/>
      <c r="T2358" s="7"/>
      <c r="U2358" s="7"/>
      <c r="V2358" s="7"/>
      <c r="AC2358" s="7"/>
      <c r="AD2358" s="7"/>
      <c r="AE2358" s="7"/>
      <c r="AF2358" s="7"/>
      <c r="AG2358" s="7"/>
      <c r="AO2358" s="7"/>
      <c r="AP2358" s="7"/>
      <c r="AQ2358" s="7"/>
      <c r="AR2358" s="7"/>
      <c r="AS2358" s="7"/>
    </row>
    <row r="2359" spans="1:45" x14ac:dyDescent="0.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Q2359" s="7"/>
      <c r="R2359" s="7"/>
      <c r="S2359" s="7"/>
      <c r="T2359" s="7"/>
      <c r="U2359" s="7"/>
      <c r="V2359" s="7"/>
      <c r="AC2359" s="7"/>
      <c r="AD2359" s="7"/>
      <c r="AE2359" s="7"/>
      <c r="AF2359" s="7"/>
      <c r="AG2359" s="7"/>
      <c r="AO2359" s="7"/>
      <c r="AP2359" s="7"/>
      <c r="AQ2359" s="7"/>
      <c r="AR2359" s="7"/>
      <c r="AS2359" s="7"/>
    </row>
    <row r="2360" spans="1:45" x14ac:dyDescent="0.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Q2360" s="7"/>
      <c r="R2360" s="7"/>
      <c r="S2360" s="7"/>
      <c r="T2360" s="7"/>
      <c r="U2360" s="7"/>
      <c r="V2360" s="7"/>
      <c r="AC2360" s="7"/>
      <c r="AD2360" s="7"/>
      <c r="AE2360" s="7"/>
      <c r="AF2360" s="7"/>
      <c r="AG2360" s="7"/>
      <c r="AO2360" s="7"/>
      <c r="AP2360" s="7"/>
      <c r="AQ2360" s="7"/>
      <c r="AR2360" s="7"/>
      <c r="AS2360" s="7"/>
    </row>
    <row r="2361" spans="1:45" x14ac:dyDescent="0.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Q2361" s="7"/>
      <c r="R2361" s="7"/>
      <c r="S2361" s="7"/>
      <c r="T2361" s="7"/>
      <c r="U2361" s="7"/>
      <c r="V2361" s="7"/>
      <c r="AC2361" s="7"/>
      <c r="AD2361" s="7"/>
      <c r="AE2361" s="7"/>
      <c r="AF2361" s="7"/>
      <c r="AG2361" s="7"/>
      <c r="AO2361" s="7"/>
      <c r="AP2361" s="7"/>
      <c r="AQ2361" s="7"/>
      <c r="AR2361" s="7"/>
      <c r="AS2361" s="7"/>
    </row>
    <row r="2362" spans="1:45" x14ac:dyDescent="0.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Q2362" s="7"/>
      <c r="R2362" s="7"/>
      <c r="S2362" s="7"/>
      <c r="T2362" s="7"/>
      <c r="U2362" s="7"/>
      <c r="V2362" s="7"/>
      <c r="AC2362" s="7"/>
      <c r="AD2362" s="7"/>
      <c r="AE2362" s="7"/>
      <c r="AF2362" s="7"/>
      <c r="AG2362" s="7"/>
      <c r="AO2362" s="7"/>
      <c r="AP2362" s="7"/>
      <c r="AQ2362" s="7"/>
      <c r="AR2362" s="7"/>
      <c r="AS2362" s="7"/>
    </row>
    <row r="2363" spans="1:45" x14ac:dyDescent="0.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Q2363" s="7"/>
      <c r="R2363" s="7"/>
      <c r="S2363" s="7"/>
      <c r="T2363" s="7"/>
      <c r="U2363" s="7"/>
      <c r="V2363" s="7"/>
      <c r="AC2363" s="7"/>
      <c r="AD2363" s="7"/>
      <c r="AE2363" s="7"/>
      <c r="AF2363" s="7"/>
      <c r="AG2363" s="7"/>
      <c r="AO2363" s="7"/>
      <c r="AP2363" s="7"/>
      <c r="AQ2363" s="7"/>
      <c r="AR2363" s="7"/>
      <c r="AS2363" s="7"/>
    </row>
    <row r="2364" spans="1:45" x14ac:dyDescent="0.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Q2364" s="7"/>
      <c r="R2364" s="7"/>
      <c r="S2364" s="7"/>
      <c r="T2364" s="7"/>
      <c r="U2364" s="7"/>
      <c r="V2364" s="7"/>
      <c r="AC2364" s="7"/>
      <c r="AD2364" s="7"/>
      <c r="AE2364" s="7"/>
      <c r="AF2364" s="7"/>
      <c r="AG2364" s="7"/>
      <c r="AO2364" s="7"/>
      <c r="AP2364" s="7"/>
      <c r="AQ2364" s="7"/>
      <c r="AR2364" s="7"/>
      <c r="AS2364" s="7"/>
    </row>
    <row r="2365" spans="1:45" x14ac:dyDescent="0.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Q2365" s="7"/>
      <c r="R2365" s="7"/>
      <c r="S2365" s="7"/>
      <c r="T2365" s="7"/>
      <c r="U2365" s="7"/>
      <c r="V2365" s="7"/>
      <c r="AC2365" s="7"/>
      <c r="AD2365" s="7"/>
      <c r="AE2365" s="7"/>
      <c r="AF2365" s="7"/>
      <c r="AG2365" s="7"/>
      <c r="AO2365" s="7"/>
      <c r="AP2365" s="7"/>
      <c r="AQ2365" s="7"/>
      <c r="AR2365" s="7"/>
      <c r="AS2365" s="7"/>
    </row>
    <row r="2366" spans="1:45" x14ac:dyDescent="0.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Q2366" s="7"/>
      <c r="R2366" s="7"/>
      <c r="S2366" s="7"/>
      <c r="T2366" s="7"/>
      <c r="U2366" s="7"/>
      <c r="V2366" s="7"/>
      <c r="AC2366" s="7"/>
      <c r="AD2366" s="7"/>
      <c r="AE2366" s="7"/>
      <c r="AF2366" s="7"/>
      <c r="AG2366" s="7"/>
      <c r="AO2366" s="7"/>
      <c r="AP2366" s="7"/>
      <c r="AQ2366" s="7"/>
      <c r="AR2366" s="7"/>
      <c r="AS2366" s="7"/>
    </row>
    <row r="2367" spans="1:45" x14ac:dyDescent="0.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Q2367" s="7"/>
      <c r="R2367" s="7"/>
      <c r="S2367" s="7"/>
      <c r="T2367" s="7"/>
      <c r="U2367" s="7"/>
      <c r="V2367" s="7"/>
      <c r="AC2367" s="7"/>
      <c r="AD2367" s="7"/>
      <c r="AE2367" s="7"/>
      <c r="AF2367" s="7"/>
      <c r="AG2367" s="7"/>
      <c r="AO2367" s="7"/>
      <c r="AP2367" s="7"/>
      <c r="AQ2367" s="7"/>
      <c r="AR2367" s="7"/>
      <c r="AS2367" s="7"/>
    </row>
    <row r="2368" spans="1:45" x14ac:dyDescent="0.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Q2368" s="7"/>
      <c r="R2368" s="7"/>
      <c r="S2368" s="7"/>
      <c r="T2368" s="7"/>
      <c r="U2368" s="7"/>
      <c r="V2368" s="7"/>
      <c r="AC2368" s="7"/>
      <c r="AD2368" s="7"/>
      <c r="AE2368" s="7"/>
      <c r="AF2368" s="7"/>
      <c r="AG2368" s="7"/>
      <c r="AO2368" s="7"/>
      <c r="AP2368" s="7"/>
      <c r="AQ2368" s="7"/>
      <c r="AR2368" s="7"/>
      <c r="AS2368" s="7"/>
    </row>
    <row r="2369" spans="1:45" x14ac:dyDescent="0.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Q2369" s="7"/>
      <c r="R2369" s="7"/>
      <c r="S2369" s="7"/>
      <c r="T2369" s="7"/>
      <c r="U2369" s="7"/>
      <c r="V2369" s="7"/>
      <c r="AC2369" s="7"/>
      <c r="AD2369" s="7"/>
      <c r="AE2369" s="7"/>
      <c r="AF2369" s="7"/>
      <c r="AG2369" s="7"/>
      <c r="AO2369" s="7"/>
      <c r="AP2369" s="7"/>
      <c r="AQ2369" s="7"/>
      <c r="AR2369" s="7"/>
      <c r="AS2369" s="7"/>
    </row>
    <row r="2370" spans="1:45" x14ac:dyDescent="0.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Q2370" s="7"/>
      <c r="R2370" s="7"/>
      <c r="S2370" s="7"/>
      <c r="T2370" s="7"/>
      <c r="U2370" s="7"/>
      <c r="V2370" s="7"/>
      <c r="AC2370" s="7"/>
      <c r="AD2370" s="7"/>
      <c r="AE2370" s="7"/>
      <c r="AF2370" s="7"/>
      <c r="AG2370" s="7"/>
      <c r="AO2370" s="7"/>
      <c r="AP2370" s="7"/>
      <c r="AQ2370" s="7"/>
      <c r="AR2370" s="7"/>
      <c r="AS2370" s="7"/>
    </row>
    <row r="2371" spans="1:45" x14ac:dyDescent="0.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Q2371" s="7"/>
      <c r="R2371" s="7"/>
      <c r="S2371" s="7"/>
      <c r="T2371" s="7"/>
      <c r="U2371" s="7"/>
      <c r="V2371" s="7"/>
      <c r="AC2371" s="7"/>
      <c r="AD2371" s="7"/>
      <c r="AE2371" s="7"/>
      <c r="AF2371" s="7"/>
      <c r="AG2371" s="7"/>
      <c r="AO2371" s="7"/>
      <c r="AP2371" s="7"/>
      <c r="AQ2371" s="7"/>
      <c r="AR2371" s="7"/>
      <c r="AS2371" s="7"/>
    </row>
    <row r="2372" spans="1:45" x14ac:dyDescent="0.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Q2372" s="7"/>
      <c r="R2372" s="7"/>
      <c r="S2372" s="7"/>
      <c r="T2372" s="7"/>
      <c r="U2372" s="7"/>
      <c r="V2372" s="7"/>
      <c r="AC2372" s="7"/>
      <c r="AD2372" s="7"/>
      <c r="AE2372" s="7"/>
      <c r="AF2372" s="7"/>
      <c r="AG2372" s="7"/>
      <c r="AO2372" s="7"/>
      <c r="AP2372" s="7"/>
      <c r="AQ2372" s="7"/>
      <c r="AR2372" s="7"/>
      <c r="AS2372" s="7"/>
    </row>
    <row r="2373" spans="1:45" x14ac:dyDescent="0.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Q2373" s="7"/>
      <c r="R2373" s="7"/>
      <c r="S2373" s="7"/>
      <c r="T2373" s="7"/>
      <c r="U2373" s="7"/>
      <c r="V2373" s="7"/>
      <c r="AC2373" s="7"/>
      <c r="AD2373" s="7"/>
      <c r="AE2373" s="7"/>
      <c r="AF2373" s="7"/>
      <c r="AG2373" s="7"/>
      <c r="AO2373" s="7"/>
      <c r="AP2373" s="7"/>
      <c r="AQ2373" s="7"/>
      <c r="AR2373" s="7"/>
      <c r="AS2373" s="7"/>
    </row>
    <row r="2374" spans="1:45" x14ac:dyDescent="0.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Q2374" s="7"/>
      <c r="R2374" s="7"/>
      <c r="S2374" s="7"/>
      <c r="T2374" s="7"/>
      <c r="U2374" s="7"/>
      <c r="V2374" s="7"/>
      <c r="AC2374" s="7"/>
      <c r="AD2374" s="7"/>
      <c r="AE2374" s="7"/>
      <c r="AF2374" s="7"/>
      <c r="AG2374" s="7"/>
      <c r="AO2374" s="7"/>
      <c r="AP2374" s="7"/>
      <c r="AQ2374" s="7"/>
      <c r="AR2374" s="7"/>
      <c r="AS2374" s="7"/>
    </row>
    <row r="2375" spans="1:45" x14ac:dyDescent="0.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Q2375" s="7"/>
      <c r="R2375" s="7"/>
      <c r="S2375" s="7"/>
      <c r="T2375" s="7"/>
      <c r="U2375" s="7"/>
      <c r="V2375" s="7"/>
      <c r="AC2375" s="7"/>
      <c r="AD2375" s="7"/>
      <c r="AE2375" s="7"/>
      <c r="AF2375" s="7"/>
      <c r="AG2375" s="7"/>
      <c r="AO2375" s="7"/>
      <c r="AP2375" s="7"/>
      <c r="AQ2375" s="7"/>
      <c r="AR2375" s="7"/>
      <c r="AS2375" s="7"/>
    </row>
    <row r="2376" spans="1:45" x14ac:dyDescent="0.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Q2376" s="7"/>
      <c r="R2376" s="7"/>
      <c r="S2376" s="7"/>
      <c r="T2376" s="7"/>
      <c r="U2376" s="7"/>
      <c r="V2376" s="7"/>
      <c r="AC2376" s="7"/>
      <c r="AD2376" s="7"/>
      <c r="AE2376" s="7"/>
      <c r="AF2376" s="7"/>
      <c r="AG2376" s="7"/>
      <c r="AO2376" s="7"/>
      <c r="AP2376" s="7"/>
      <c r="AQ2376" s="7"/>
      <c r="AR2376" s="7"/>
      <c r="AS2376" s="7"/>
    </row>
    <row r="2377" spans="1:45" x14ac:dyDescent="0.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Q2377" s="7"/>
      <c r="R2377" s="7"/>
      <c r="S2377" s="7"/>
      <c r="T2377" s="7"/>
      <c r="U2377" s="7"/>
      <c r="V2377" s="7"/>
      <c r="AC2377" s="7"/>
      <c r="AD2377" s="7"/>
      <c r="AE2377" s="7"/>
      <c r="AF2377" s="7"/>
      <c r="AG2377" s="7"/>
      <c r="AO2377" s="7"/>
      <c r="AP2377" s="7"/>
      <c r="AQ2377" s="7"/>
      <c r="AR2377" s="7"/>
      <c r="AS2377" s="7"/>
    </row>
    <row r="2378" spans="1:45" x14ac:dyDescent="0.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Q2378" s="7"/>
      <c r="R2378" s="7"/>
      <c r="S2378" s="7"/>
      <c r="T2378" s="7"/>
      <c r="U2378" s="7"/>
      <c r="V2378" s="7"/>
      <c r="AC2378" s="7"/>
      <c r="AD2378" s="7"/>
      <c r="AE2378" s="7"/>
      <c r="AF2378" s="7"/>
      <c r="AG2378" s="7"/>
      <c r="AO2378" s="7"/>
      <c r="AP2378" s="7"/>
      <c r="AQ2378" s="7"/>
      <c r="AR2378" s="7"/>
      <c r="AS2378" s="7"/>
    </row>
    <row r="2379" spans="1:45" x14ac:dyDescent="0.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Q2379" s="7"/>
      <c r="R2379" s="7"/>
      <c r="S2379" s="7"/>
      <c r="T2379" s="7"/>
      <c r="U2379" s="7"/>
      <c r="V2379" s="7"/>
      <c r="AC2379" s="7"/>
      <c r="AD2379" s="7"/>
      <c r="AE2379" s="7"/>
      <c r="AF2379" s="7"/>
      <c r="AG2379" s="7"/>
      <c r="AO2379" s="7"/>
      <c r="AP2379" s="7"/>
      <c r="AQ2379" s="7"/>
      <c r="AR2379" s="7"/>
      <c r="AS2379" s="7"/>
    </row>
    <row r="2380" spans="1:45" x14ac:dyDescent="0.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Q2380" s="7"/>
      <c r="R2380" s="7"/>
      <c r="S2380" s="7"/>
      <c r="T2380" s="7"/>
      <c r="U2380" s="7"/>
      <c r="V2380" s="7"/>
      <c r="AC2380" s="7"/>
      <c r="AD2380" s="7"/>
      <c r="AE2380" s="7"/>
      <c r="AF2380" s="7"/>
      <c r="AG2380" s="7"/>
      <c r="AO2380" s="7"/>
      <c r="AP2380" s="7"/>
      <c r="AQ2380" s="7"/>
      <c r="AR2380" s="7"/>
      <c r="AS2380" s="7"/>
    </row>
    <row r="2381" spans="1:45" x14ac:dyDescent="0.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Q2381" s="7"/>
      <c r="R2381" s="7"/>
      <c r="S2381" s="7"/>
      <c r="T2381" s="7"/>
      <c r="U2381" s="7"/>
      <c r="V2381" s="7"/>
      <c r="AC2381" s="7"/>
      <c r="AD2381" s="7"/>
      <c r="AE2381" s="7"/>
      <c r="AF2381" s="7"/>
      <c r="AG2381" s="7"/>
      <c r="AO2381" s="7"/>
      <c r="AP2381" s="7"/>
      <c r="AQ2381" s="7"/>
      <c r="AR2381" s="7"/>
      <c r="AS2381" s="7"/>
    </row>
    <row r="2382" spans="1:45" x14ac:dyDescent="0.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Q2382" s="7"/>
      <c r="R2382" s="7"/>
      <c r="S2382" s="7"/>
      <c r="T2382" s="7"/>
      <c r="U2382" s="7"/>
      <c r="V2382" s="7"/>
      <c r="AC2382" s="7"/>
      <c r="AD2382" s="7"/>
      <c r="AE2382" s="7"/>
      <c r="AF2382" s="7"/>
      <c r="AG2382" s="7"/>
      <c r="AO2382" s="7"/>
      <c r="AP2382" s="7"/>
      <c r="AQ2382" s="7"/>
      <c r="AR2382" s="7"/>
      <c r="AS2382" s="7"/>
    </row>
    <row r="2383" spans="1:45" x14ac:dyDescent="0.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Q2383" s="7"/>
      <c r="R2383" s="7"/>
      <c r="S2383" s="7"/>
      <c r="T2383" s="7"/>
      <c r="U2383" s="7"/>
      <c r="V2383" s="7"/>
      <c r="AC2383" s="7"/>
      <c r="AD2383" s="7"/>
      <c r="AE2383" s="7"/>
      <c r="AF2383" s="7"/>
      <c r="AG2383" s="7"/>
      <c r="AO2383" s="7"/>
      <c r="AP2383" s="7"/>
      <c r="AQ2383" s="7"/>
      <c r="AR2383" s="7"/>
      <c r="AS2383" s="7"/>
    </row>
    <row r="2384" spans="1:45" x14ac:dyDescent="0.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Q2384" s="7"/>
      <c r="R2384" s="7"/>
      <c r="S2384" s="7"/>
      <c r="T2384" s="7"/>
      <c r="U2384" s="7"/>
      <c r="V2384" s="7"/>
      <c r="AC2384" s="7"/>
      <c r="AD2384" s="7"/>
      <c r="AE2384" s="7"/>
      <c r="AF2384" s="7"/>
      <c r="AG2384" s="7"/>
      <c r="AO2384" s="7"/>
      <c r="AP2384" s="7"/>
      <c r="AQ2384" s="7"/>
      <c r="AR2384" s="7"/>
      <c r="AS2384" s="7"/>
    </row>
    <row r="2385" spans="1:45" x14ac:dyDescent="0.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Q2385" s="7"/>
      <c r="R2385" s="7"/>
      <c r="S2385" s="7"/>
      <c r="T2385" s="7"/>
      <c r="U2385" s="7"/>
      <c r="V2385" s="7"/>
      <c r="AC2385" s="7"/>
      <c r="AD2385" s="7"/>
      <c r="AE2385" s="7"/>
      <c r="AF2385" s="7"/>
      <c r="AG2385" s="7"/>
      <c r="AO2385" s="7"/>
      <c r="AP2385" s="7"/>
      <c r="AQ2385" s="7"/>
      <c r="AR2385" s="7"/>
      <c r="AS2385" s="7"/>
    </row>
    <row r="2386" spans="1:45" x14ac:dyDescent="0.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Q2386" s="7"/>
      <c r="R2386" s="7"/>
      <c r="S2386" s="7"/>
      <c r="T2386" s="7"/>
      <c r="U2386" s="7"/>
      <c r="V2386" s="7"/>
      <c r="AC2386" s="7"/>
      <c r="AD2386" s="7"/>
      <c r="AE2386" s="7"/>
      <c r="AF2386" s="7"/>
      <c r="AG2386" s="7"/>
      <c r="AO2386" s="7"/>
      <c r="AP2386" s="7"/>
      <c r="AQ2386" s="7"/>
      <c r="AR2386" s="7"/>
      <c r="AS2386" s="7"/>
    </row>
    <row r="2387" spans="1:45" x14ac:dyDescent="0.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Q2387" s="7"/>
      <c r="R2387" s="7"/>
      <c r="S2387" s="7"/>
      <c r="T2387" s="7"/>
      <c r="U2387" s="7"/>
      <c r="V2387" s="7"/>
      <c r="AC2387" s="7"/>
      <c r="AD2387" s="7"/>
      <c r="AE2387" s="7"/>
      <c r="AF2387" s="7"/>
      <c r="AG2387" s="7"/>
      <c r="AO2387" s="7"/>
      <c r="AP2387" s="7"/>
      <c r="AQ2387" s="7"/>
      <c r="AR2387" s="7"/>
      <c r="AS2387" s="7"/>
    </row>
    <row r="2388" spans="1:45" x14ac:dyDescent="0.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Q2388" s="7"/>
      <c r="R2388" s="7"/>
      <c r="S2388" s="7"/>
      <c r="T2388" s="7"/>
      <c r="U2388" s="7"/>
      <c r="V2388" s="7"/>
      <c r="AC2388" s="7"/>
      <c r="AD2388" s="7"/>
      <c r="AE2388" s="7"/>
      <c r="AF2388" s="7"/>
      <c r="AG2388" s="7"/>
      <c r="AO2388" s="7"/>
      <c r="AP2388" s="7"/>
      <c r="AQ2388" s="7"/>
      <c r="AR2388" s="7"/>
      <c r="AS2388" s="7"/>
    </row>
    <row r="2389" spans="1:45" x14ac:dyDescent="0.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Q2389" s="7"/>
      <c r="R2389" s="7"/>
      <c r="S2389" s="7"/>
      <c r="T2389" s="7"/>
      <c r="U2389" s="7"/>
      <c r="V2389" s="7"/>
      <c r="AC2389" s="7"/>
      <c r="AD2389" s="7"/>
      <c r="AE2389" s="7"/>
      <c r="AF2389" s="7"/>
      <c r="AG2389" s="7"/>
      <c r="AO2389" s="7"/>
      <c r="AP2389" s="7"/>
      <c r="AQ2389" s="7"/>
      <c r="AR2389" s="7"/>
      <c r="AS2389" s="7"/>
    </row>
    <row r="2390" spans="1:45" x14ac:dyDescent="0.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Q2390" s="7"/>
      <c r="R2390" s="7"/>
      <c r="S2390" s="7"/>
      <c r="T2390" s="7"/>
      <c r="U2390" s="7"/>
      <c r="V2390" s="7"/>
      <c r="AC2390" s="7"/>
      <c r="AD2390" s="7"/>
      <c r="AE2390" s="7"/>
      <c r="AF2390" s="7"/>
      <c r="AG2390" s="7"/>
      <c r="AO2390" s="7"/>
      <c r="AP2390" s="7"/>
      <c r="AQ2390" s="7"/>
      <c r="AR2390" s="7"/>
      <c r="AS2390" s="7"/>
    </row>
    <row r="2391" spans="1:45" x14ac:dyDescent="0.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Q2391" s="7"/>
      <c r="R2391" s="7"/>
      <c r="S2391" s="7"/>
      <c r="T2391" s="7"/>
      <c r="U2391" s="7"/>
      <c r="V2391" s="7"/>
      <c r="AC2391" s="7"/>
      <c r="AD2391" s="7"/>
      <c r="AE2391" s="7"/>
      <c r="AF2391" s="7"/>
      <c r="AG2391" s="7"/>
      <c r="AO2391" s="7"/>
      <c r="AP2391" s="7"/>
      <c r="AQ2391" s="7"/>
      <c r="AR2391" s="7"/>
      <c r="AS2391" s="7"/>
    </row>
    <row r="2392" spans="1:45" x14ac:dyDescent="0.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Q2392" s="7"/>
      <c r="R2392" s="7"/>
      <c r="S2392" s="7"/>
      <c r="T2392" s="7"/>
      <c r="U2392" s="7"/>
      <c r="V2392" s="7"/>
      <c r="AC2392" s="7"/>
      <c r="AD2392" s="7"/>
      <c r="AE2392" s="7"/>
      <c r="AF2392" s="7"/>
      <c r="AG2392" s="7"/>
      <c r="AO2392" s="7"/>
      <c r="AP2392" s="7"/>
      <c r="AQ2392" s="7"/>
      <c r="AR2392" s="7"/>
      <c r="AS2392" s="7"/>
    </row>
    <row r="2393" spans="1:45" x14ac:dyDescent="0.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Q2393" s="7"/>
      <c r="R2393" s="7"/>
      <c r="S2393" s="7"/>
      <c r="T2393" s="7"/>
      <c r="U2393" s="7"/>
      <c r="V2393" s="7"/>
      <c r="AC2393" s="7"/>
      <c r="AD2393" s="7"/>
      <c r="AE2393" s="7"/>
      <c r="AF2393" s="7"/>
      <c r="AG2393" s="7"/>
      <c r="AO2393" s="7"/>
      <c r="AP2393" s="7"/>
      <c r="AQ2393" s="7"/>
      <c r="AR2393" s="7"/>
      <c r="AS2393" s="7"/>
    </row>
    <row r="2394" spans="1:45" x14ac:dyDescent="0.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Q2394" s="7"/>
      <c r="R2394" s="7"/>
      <c r="S2394" s="7"/>
      <c r="T2394" s="7"/>
      <c r="U2394" s="7"/>
      <c r="V2394" s="7"/>
      <c r="AC2394" s="7"/>
      <c r="AD2394" s="7"/>
      <c r="AE2394" s="7"/>
      <c r="AF2394" s="7"/>
      <c r="AG2394" s="7"/>
      <c r="AO2394" s="7"/>
      <c r="AP2394" s="7"/>
      <c r="AQ2394" s="7"/>
      <c r="AR2394" s="7"/>
      <c r="AS2394" s="7"/>
    </row>
    <row r="2395" spans="1:45" x14ac:dyDescent="0.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Q2395" s="7"/>
      <c r="R2395" s="7"/>
      <c r="S2395" s="7"/>
      <c r="T2395" s="7"/>
      <c r="U2395" s="7"/>
      <c r="V2395" s="7"/>
      <c r="AC2395" s="7"/>
      <c r="AD2395" s="7"/>
      <c r="AE2395" s="7"/>
      <c r="AF2395" s="7"/>
      <c r="AG2395" s="7"/>
      <c r="AO2395" s="7"/>
      <c r="AP2395" s="7"/>
      <c r="AQ2395" s="7"/>
      <c r="AR2395" s="7"/>
      <c r="AS2395" s="7"/>
    </row>
    <row r="2396" spans="1:45" x14ac:dyDescent="0.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Q2396" s="7"/>
      <c r="R2396" s="7"/>
      <c r="S2396" s="7"/>
      <c r="T2396" s="7"/>
      <c r="U2396" s="7"/>
      <c r="V2396" s="7"/>
      <c r="AC2396" s="7"/>
      <c r="AD2396" s="7"/>
      <c r="AE2396" s="7"/>
      <c r="AF2396" s="7"/>
      <c r="AG2396" s="7"/>
      <c r="AO2396" s="7"/>
      <c r="AP2396" s="7"/>
      <c r="AQ2396" s="7"/>
      <c r="AR2396" s="7"/>
      <c r="AS2396" s="7"/>
    </row>
    <row r="2397" spans="1:45" x14ac:dyDescent="0.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Q2397" s="7"/>
      <c r="R2397" s="7"/>
      <c r="S2397" s="7"/>
      <c r="T2397" s="7"/>
      <c r="U2397" s="7"/>
      <c r="V2397" s="7"/>
      <c r="AC2397" s="7"/>
      <c r="AD2397" s="7"/>
      <c r="AE2397" s="7"/>
      <c r="AF2397" s="7"/>
      <c r="AG2397" s="7"/>
      <c r="AO2397" s="7"/>
      <c r="AP2397" s="7"/>
      <c r="AQ2397" s="7"/>
      <c r="AR2397" s="7"/>
      <c r="AS2397" s="7"/>
    </row>
    <row r="2398" spans="1:45" x14ac:dyDescent="0.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Q2398" s="7"/>
      <c r="R2398" s="7"/>
      <c r="S2398" s="7"/>
      <c r="T2398" s="7"/>
      <c r="U2398" s="7"/>
      <c r="V2398" s="7"/>
      <c r="AC2398" s="7"/>
      <c r="AD2398" s="7"/>
      <c r="AE2398" s="7"/>
      <c r="AF2398" s="7"/>
      <c r="AG2398" s="7"/>
      <c r="AO2398" s="7"/>
      <c r="AP2398" s="7"/>
      <c r="AQ2398" s="7"/>
      <c r="AR2398" s="7"/>
      <c r="AS2398" s="7"/>
    </row>
    <row r="2399" spans="1:45" x14ac:dyDescent="0.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Q2399" s="7"/>
      <c r="R2399" s="7"/>
      <c r="S2399" s="7"/>
      <c r="T2399" s="7"/>
      <c r="U2399" s="7"/>
      <c r="V2399" s="7"/>
      <c r="AC2399" s="7"/>
      <c r="AD2399" s="7"/>
      <c r="AE2399" s="7"/>
      <c r="AF2399" s="7"/>
      <c r="AG2399" s="7"/>
      <c r="AO2399" s="7"/>
      <c r="AP2399" s="7"/>
      <c r="AQ2399" s="7"/>
      <c r="AR2399" s="7"/>
      <c r="AS2399" s="7"/>
    </row>
    <row r="2400" spans="1:45" x14ac:dyDescent="0.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Q2400" s="7"/>
      <c r="R2400" s="7"/>
      <c r="S2400" s="7"/>
      <c r="T2400" s="7"/>
      <c r="U2400" s="7"/>
      <c r="V2400" s="7"/>
      <c r="AC2400" s="7"/>
      <c r="AD2400" s="7"/>
      <c r="AE2400" s="7"/>
      <c r="AF2400" s="7"/>
      <c r="AG2400" s="7"/>
      <c r="AO2400" s="7"/>
      <c r="AP2400" s="7"/>
      <c r="AQ2400" s="7"/>
      <c r="AR2400" s="7"/>
      <c r="AS2400" s="7"/>
    </row>
    <row r="2401" spans="1:45" x14ac:dyDescent="0.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Q2401" s="7"/>
      <c r="R2401" s="7"/>
      <c r="S2401" s="7"/>
      <c r="T2401" s="7"/>
      <c r="U2401" s="7"/>
      <c r="V2401" s="7"/>
      <c r="AC2401" s="7"/>
      <c r="AD2401" s="7"/>
      <c r="AE2401" s="7"/>
      <c r="AF2401" s="7"/>
      <c r="AG2401" s="7"/>
      <c r="AO2401" s="7"/>
      <c r="AP2401" s="7"/>
      <c r="AQ2401" s="7"/>
      <c r="AR2401" s="7"/>
      <c r="AS2401" s="7"/>
    </row>
    <row r="2402" spans="1:45" x14ac:dyDescent="0.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Q2402" s="7"/>
      <c r="R2402" s="7"/>
      <c r="S2402" s="7"/>
      <c r="T2402" s="7"/>
      <c r="U2402" s="7"/>
      <c r="V2402" s="7"/>
      <c r="AC2402" s="7"/>
      <c r="AD2402" s="7"/>
      <c r="AE2402" s="7"/>
      <c r="AF2402" s="7"/>
      <c r="AG2402" s="7"/>
      <c r="AO2402" s="7"/>
      <c r="AP2402" s="7"/>
      <c r="AQ2402" s="7"/>
      <c r="AR2402" s="7"/>
      <c r="AS2402" s="7"/>
    </row>
    <row r="2403" spans="1:45" x14ac:dyDescent="0.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Q2403" s="7"/>
      <c r="R2403" s="7"/>
      <c r="S2403" s="7"/>
      <c r="T2403" s="7"/>
      <c r="U2403" s="7"/>
      <c r="V2403" s="7"/>
      <c r="AC2403" s="7"/>
      <c r="AD2403" s="7"/>
      <c r="AE2403" s="7"/>
      <c r="AF2403" s="7"/>
      <c r="AG2403" s="7"/>
      <c r="AO2403" s="7"/>
      <c r="AP2403" s="7"/>
      <c r="AQ2403" s="7"/>
      <c r="AR2403" s="7"/>
      <c r="AS2403" s="7"/>
    </row>
    <row r="2404" spans="1:45" x14ac:dyDescent="0.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Q2404" s="7"/>
      <c r="R2404" s="7"/>
      <c r="S2404" s="7"/>
      <c r="T2404" s="7"/>
      <c r="U2404" s="7"/>
      <c r="V2404" s="7"/>
      <c r="AC2404" s="7"/>
      <c r="AD2404" s="7"/>
      <c r="AE2404" s="7"/>
      <c r="AF2404" s="7"/>
      <c r="AG2404" s="7"/>
      <c r="AO2404" s="7"/>
      <c r="AP2404" s="7"/>
      <c r="AQ2404" s="7"/>
      <c r="AR2404" s="7"/>
      <c r="AS2404" s="7"/>
    </row>
    <row r="2405" spans="1:45" x14ac:dyDescent="0.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Q2405" s="7"/>
      <c r="R2405" s="7"/>
      <c r="S2405" s="7"/>
      <c r="T2405" s="7"/>
      <c r="U2405" s="7"/>
      <c r="V2405" s="7"/>
      <c r="AC2405" s="7"/>
      <c r="AD2405" s="7"/>
      <c r="AE2405" s="7"/>
      <c r="AF2405" s="7"/>
      <c r="AG2405" s="7"/>
      <c r="AO2405" s="7"/>
      <c r="AP2405" s="7"/>
      <c r="AQ2405" s="7"/>
      <c r="AR2405" s="7"/>
      <c r="AS2405" s="7"/>
    </row>
    <row r="2406" spans="1:45" x14ac:dyDescent="0.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Q2406" s="7"/>
      <c r="R2406" s="7"/>
      <c r="S2406" s="7"/>
      <c r="T2406" s="7"/>
      <c r="U2406" s="7"/>
      <c r="V2406" s="7"/>
      <c r="AC2406" s="7"/>
      <c r="AD2406" s="7"/>
      <c r="AE2406" s="7"/>
      <c r="AF2406" s="7"/>
      <c r="AG2406" s="7"/>
      <c r="AO2406" s="7"/>
      <c r="AP2406" s="7"/>
      <c r="AQ2406" s="7"/>
      <c r="AR2406" s="7"/>
      <c r="AS2406" s="7"/>
    </row>
    <row r="2407" spans="1:45" x14ac:dyDescent="0.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Q2407" s="7"/>
      <c r="R2407" s="7"/>
      <c r="S2407" s="7"/>
      <c r="T2407" s="7"/>
      <c r="U2407" s="7"/>
      <c r="V2407" s="7"/>
      <c r="AC2407" s="7"/>
      <c r="AD2407" s="7"/>
      <c r="AE2407" s="7"/>
      <c r="AF2407" s="7"/>
      <c r="AG2407" s="7"/>
      <c r="AO2407" s="7"/>
      <c r="AP2407" s="7"/>
      <c r="AQ2407" s="7"/>
      <c r="AR2407" s="7"/>
      <c r="AS2407" s="7"/>
    </row>
    <row r="2408" spans="1:45" x14ac:dyDescent="0.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Q2408" s="7"/>
      <c r="R2408" s="7"/>
      <c r="S2408" s="7"/>
      <c r="T2408" s="7"/>
      <c r="U2408" s="7"/>
      <c r="V2408" s="7"/>
      <c r="AC2408" s="7"/>
      <c r="AD2408" s="7"/>
      <c r="AE2408" s="7"/>
      <c r="AF2408" s="7"/>
      <c r="AG2408" s="7"/>
      <c r="AO2408" s="7"/>
      <c r="AP2408" s="7"/>
      <c r="AQ2408" s="7"/>
      <c r="AR2408" s="7"/>
      <c r="AS2408" s="7"/>
    </row>
    <row r="2409" spans="1:45" x14ac:dyDescent="0.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Q2409" s="7"/>
      <c r="R2409" s="7"/>
      <c r="S2409" s="7"/>
      <c r="T2409" s="7"/>
      <c r="U2409" s="7"/>
      <c r="V2409" s="7"/>
      <c r="AC2409" s="7"/>
      <c r="AD2409" s="7"/>
      <c r="AE2409" s="7"/>
      <c r="AF2409" s="7"/>
      <c r="AG2409" s="7"/>
      <c r="AO2409" s="7"/>
      <c r="AP2409" s="7"/>
      <c r="AQ2409" s="7"/>
      <c r="AR2409" s="7"/>
      <c r="AS2409" s="7"/>
    </row>
    <row r="2410" spans="1:45" x14ac:dyDescent="0.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Q2410" s="7"/>
      <c r="R2410" s="7"/>
      <c r="S2410" s="7"/>
      <c r="T2410" s="7"/>
      <c r="U2410" s="7"/>
      <c r="V2410" s="7"/>
      <c r="AC2410" s="7"/>
      <c r="AD2410" s="7"/>
      <c r="AE2410" s="7"/>
      <c r="AF2410" s="7"/>
      <c r="AG2410" s="7"/>
      <c r="AO2410" s="7"/>
      <c r="AP2410" s="7"/>
      <c r="AQ2410" s="7"/>
      <c r="AR2410" s="7"/>
      <c r="AS2410" s="7"/>
    </row>
    <row r="2411" spans="1:45" x14ac:dyDescent="0.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Q2411" s="7"/>
      <c r="R2411" s="7"/>
      <c r="S2411" s="7"/>
      <c r="T2411" s="7"/>
      <c r="U2411" s="7"/>
      <c r="V2411" s="7"/>
      <c r="AC2411" s="7"/>
      <c r="AD2411" s="7"/>
      <c r="AE2411" s="7"/>
      <c r="AF2411" s="7"/>
      <c r="AG2411" s="7"/>
      <c r="AO2411" s="7"/>
      <c r="AP2411" s="7"/>
      <c r="AQ2411" s="7"/>
      <c r="AR2411" s="7"/>
      <c r="AS2411" s="7"/>
    </row>
    <row r="2412" spans="1:45" x14ac:dyDescent="0.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Q2412" s="7"/>
      <c r="R2412" s="7"/>
      <c r="S2412" s="7"/>
      <c r="T2412" s="7"/>
      <c r="U2412" s="7"/>
      <c r="V2412" s="7"/>
      <c r="AC2412" s="7"/>
      <c r="AD2412" s="7"/>
      <c r="AE2412" s="7"/>
      <c r="AF2412" s="7"/>
      <c r="AG2412" s="7"/>
      <c r="AO2412" s="7"/>
      <c r="AP2412" s="7"/>
      <c r="AQ2412" s="7"/>
      <c r="AR2412" s="7"/>
      <c r="AS2412" s="7"/>
    </row>
    <row r="2413" spans="1:45" x14ac:dyDescent="0.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Q2413" s="7"/>
      <c r="R2413" s="7"/>
      <c r="S2413" s="7"/>
      <c r="T2413" s="7"/>
      <c r="U2413" s="7"/>
      <c r="V2413" s="7"/>
      <c r="AC2413" s="7"/>
      <c r="AD2413" s="7"/>
      <c r="AE2413" s="7"/>
      <c r="AF2413" s="7"/>
      <c r="AG2413" s="7"/>
      <c r="AO2413" s="7"/>
      <c r="AP2413" s="7"/>
      <c r="AQ2413" s="7"/>
      <c r="AR2413" s="7"/>
      <c r="AS2413" s="7"/>
    </row>
    <row r="2414" spans="1:45" x14ac:dyDescent="0.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Q2414" s="7"/>
      <c r="R2414" s="7"/>
      <c r="S2414" s="7"/>
      <c r="T2414" s="7"/>
      <c r="U2414" s="7"/>
      <c r="V2414" s="7"/>
      <c r="AC2414" s="7"/>
      <c r="AD2414" s="7"/>
      <c r="AE2414" s="7"/>
      <c r="AF2414" s="7"/>
      <c r="AG2414" s="7"/>
      <c r="AO2414" s="7"/>
      <c r="AP2414" s="7"/>
      <c r="AQ2414" s="7"/>
      <c r="AR2414" s="7"/>
      <c r="AS2414" s="7"/>
    </row>
    <row r="2415" spans="1:45" x14ac:dyDescent="0.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Q2415" s="7"/>
      <c r="R2415" s="7"/>
      <c r="S2415" s="7"/>
      <c r="T2415" s="7"/>
      <c r="U2415" s="7"/>
      <c r="V2415" s="7"/>
      <c r="AC2415" s="7"/>
      <c r="AD2415" s="7"/>
      <c r="AE2415" s="7"/>
      <c r="AF2415" s="7"/>
      <c r="AG2415" s="7"/>
      <c r="AO2415" s="7"/>
      <c r="AP2415" s="7"/>
      <c r="AQ2415" s="7"/>
      <c r="AR2415" s="7"/>
      <c r="AS2415" s="7"/>
    </row>
    <row r="2416" spans="1:45" x14ac:dyDescent="0.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Q2416" s="7"/>
      <c r="R2416" s="7"/>
      <c r="S2416" s="7"/>
      <c r="T2416" s="7"/>
      <c r="U2416" s="7"/>
      <c r="V2416" s="7"/>
      <c r="AC2416" s="7"/>
      <c r="AD2416" s="7"/>
      <c r="AE2416" s="7"/>
      <c r="AF2416" s="7"/>
      <c r="AG2416" s="7"/>
      <c r="AO2416" s="7"/>
      <c r="AP2416" s="7"/>
      <c r="AQ2416" s="7"/>
      <c r="AR2416" s="7"/>
      <c r="AS2416" s="7"/>
    </row>
    <row r="2417" spans="1:45" x14ac:dyDescent="0.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Q2417" s="7"/>
      <c r="R2417" s="7"/>
      <c r="S2417" s="7"/>
      <c r="T2417" s="7"/>
      <c r="U2417" s="7"/>
      <c r="V2417" s="7"/>
      <c r="AC2417" s="7"/>
      <c r="AD2417" s="7"/>
      <c r="AE2417" s="7"/>
      <c r="AF2417" s="7"/>
      <c r="AG2417" s="7"/>
      <c r="AO2417" s="7"/>
      <c r="AP2417" s="7"/>
      <c r="AQ2417" s="7"/>
      <c r="AR2417" s="7"/>
      <c r="AS2417" s="7"/>
    </row>
    <row r="2418" spans="1:45" x14ac:dyDescent="0.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Q2418" s="7"/>
      <c r="R2418" s="7"/>
      <c r="S2418" s="7"/>
      <c r="T2418" s="7"/>
      <c r="U2418" s="7"/>
      <c r="V2418" s="7"/>
      <c r="AC2418" s="7"/>
      <c r="AD2418" s="7"/>
      <c r="AE2418" s="7"/>
      <c r="AF2418" s="7"/>
      <c r="AG2418" s="7"/>
      <c r="AO2418" s="7"/>
      <c r="AP2418" s="7"/>
      <c r="AQ2418" s="7"/>
      <c r="AR2418" s="7"/>
      <c r="AS2418" s="7"/>
    </row>
    <row r="2419" spans="1:45" x14ac:dyDescent="0.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Q2419" s="7"/>
      <c r="R2419" s="7"/>
      <c r="S2419" s="7"/>
      <c r="T2419" s="7"/>
      <c r="U2419" s="7"/>
      <c r="V2419" s="7"/>
      <c r="AC2419" s="7"/>
      <c r="AD2419" s="7"/>
      <c r="AE2419" s="7"/>
      <c r="AF2419" s="7"/>
      <c r="AG2419" s="7"/>
      <c r="AO2419" s="7"/>
      <c r="AP2419" s="7"/>
      <c r="AQ2419" s="7"/>
      <c r="AR2419" s="7"/>
      <c r="AS2419" s="7"/>
    </row>
    <row r="2420" spans="1:45" x14ac:dyDescent="0.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Q2420" s="7"/>
      <c r="R2420" s="7"/>
      <c r="S2420" s="7"/>
      <c r="T2420" s="7"/>
      <c r="U2420" s="7"/>
      <c r="V2420" s="7"/>
      <c r="AC2420" s="7"/>
      <c r="AD2420" s="7"/>
      <c r="AE2420" s="7"/>
      <c r="AF2420" s="7"/>
      <c r="AG2420" s="7"/>
      <c r="AO2420" s="7"/>
      <c r="AP2420" s="7"/>
      <c r="AQ2420" s="7"/>
      <c r="AR2420" s="7"/>
      <c r="AS2420" s="7"/>
    </row>
    <row r="2421" spans="1:45" x14ac:dyDescent="0.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Q2421" s="7"/>
      <c r="R2421" s="7"/>
      <c r="S2421" s="7"/>
      <c r="T2421" s="7"/>
      <c r="U2421" s="7"/>
      <c r="V2421" s="7"/>
      <c r="AC2421" s="7"/>
      <c r="AD2421" s="7"/>
      <c r="AE2421" s="7"/>
      <c r="AF2421" s="7"/>
      <c r="AG2421" s="7"/>
      <c r="AO2421" s="7"/>
      <c r="AP2421" s="7"/>
      <c r="AQ2421" s="7"/>
      <c r="AR2421" s="7"/>
      <c r="AS2421" s="7"/>
    </row>
    <row r="2422" spans="1:45" x14ac:dyDescent="0.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Q2422" s="7"/>
      <c r="R2422" s="7"/>
      <c r="S2422" s="7"/>
      <c r="T2422" s="7"/>
      <c r="U2422" s="7"/>
      <c r="V2422" s="7"/>
      <c r="AC2422" s="7"/>
      <c r="AD2422" s="7"/>
      <c r="AE2422" s="7"/>
      <c r="AF2422" s="7"/>
      <c r="AG2422" s="7"/>
      <c r="AO2422" s="7"/>
      <c r="AP2422" s="7"/>
      <c r="AQ2422" s="7"/>
      <c r="AR2422" s="7"/>
      <c r="AS2422" s="7"/>
    </row>
    <row r="2423" spans="1:45" x14ac:dyDescent="0.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Q2423" s="7"/>
      <c r="R2423" s="7"/>
      <c r="S2423" s="7"/>
      <c r="T2423" s="7"/>
      <c r="U2423" s="7"/>
      <c r="V2423" s="7"/>
      <c r="AC2423" s="7"/>
      <c r="AD2423" s="7"/>
      <c r="AE2423" s="7"/>
      <c r="AF2423" s="7"/>
      <c r="AG2423" s="7"/>
      <c r="AO2423" s="7"/>
      <c r="AP2423" s="7"/>
      <c r="AQ2423" s="7"/>
      <c r="AR2423" s="7"/>
      <c r="AS2423" s="7"/>
    </row>
    <row r="2424" spans="1:45" x14ac:dyDescent="0.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Q2424" s="7"/>
      <c r="R2424" s="7"/>
      <c r="S2424" s="7"/>
      <c r="T2424" s="7"/>
      <c r="U2424" s="7"/>
      <c r="V2424" s="7"/>
      <c r="AC2424" s="7"/>
      <c r="AD2424" s="7"/>
      <c r="AE2424" s="7"/>
      <c r="AF2424" s="7"/>
      <c r="AG2424" s="7"/>
      <c r="AO2424" s="7"/>
      <c r="AP2424" s="7"/>
      <c r="AQ2424" s="7"/>
      <c r="AR2424" s="7"/>
      <c r="AS2424" s="7"/>
    </row>
    <row r="2425" spans="1:45" x14ac:dyDescent="0.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Q2425" s="7"/>
      <c r="R2425" s="7"/>
      <c r="S2425" s="7"/>
      <c r="T2425" s="7"/>
      <c r="U2425" s="7"/>
      <c r="V2425" s="7"/>
      <c r="AC2425" s="7"/>
      <c r="AD2425" s="7"/>
      <c r="AE2425" s="7"/>
      <c r="AF2425" s="7"/>
      <c r="AG2425" s="7"/>
      <c r="AO2425" s="7"/>
      <c r="AP2425" s="7"/>
      <c r="AQ2425" s="7"/>
      <c r="AR2425" s="7"/>
      <c r="AS2425" s="7"/>
    </row>
    <row r="2426" spans="1:45" x14ac:dyDescent="0.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Q2426" s="7"/>
      <c r="R2426" s="7"/>
      <c r="S2426" s="7"/>
      <c r="T2426" s="7"/>
      <c r="U2426" s="7"/>
      <c r="V2426" s="7"/>
      <c r="AC2426" s="7"/>
      <c r="AD2426" s="7"/>
      <c r="AE2426" s="7"/>
      <c r="AF2426" s="7"/>
      <c r="AG2426" s="7"/>
      <c r="AO2426" s="7"/>
      <c r="AP2426" s="7"/>
      <c r="AQ2426" s="7"/>
      <c r="AR2426" s="7"/>
      <c r="AS2426" s="7"/>
    </row>
    <row r="2427" spans="1:45" x14ac:dyDescent="0.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Q2427" s="7"/>
      <c r="R2427" s="7"/>
      <c r="S2427" s="7"/>
      <c r="T2427" s="7"/>
      <c r="U2427" s="7"/>
      <c r="V2427" s="7"/>
      <c r="AC2427" s="7"/>
      <c r="AD2427" s="7"/>
      <c r="AE2427" s="7"/>
      <c r="AF2427" s="7"/>
      <c r="AG2427" s="7"/>
      <c r="AO2427" s="7"/>
      <c r="AP2427" s="7"/>
      <c r="AQ2427" s="7"/>
      <c r="AR2427" s="7"/>
      <c r="AS2427" s="7"/>
    </row>
    <row r="2428" spans="1:45" x14ac:dyDescent="0.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Q2428" s="7"/>
      <c r="R2428" s="7"/>
      <c r="S2428" s="7"/>
      <c r="T2428" s="7"/>
      <c r="U2428" s="7"/>
      <c r="V2428" s="7"/>
      <c r="AC2428" s="7"/>
      <c r="AD2428" s="7"/>
      <c r="AE2428" s="7"/>
      <c r="AF2428" s="7"/>
      <c r="AG2428" s="7"/>
      <c r="AO2428" s="7"/>
      <c r="AP2428" s="7"/>
      <c r="AQ2428" s="7"/>
      <c r="AR2428" s="7"/>
      <c r="AS2428" s="7"/>
    </row>
    <row r="2429" spans="1:45" x14ac:dyDescent="0.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Q2429" s="7"/>
      <c r="R2429" s="7"/>
      <c r="S2429" s="7"/>
      <c r="T2429" s="7"/>
      <c r="U2429" s="7"/>
      <c r="V2429" s="7"/>
      <c r="AC2429" s="7"/>
      <c r="AD2429" s="7"/>
      <c r="AE2429" s="7"/>
      <c r="AF2429" s="7"/>
      <c r="AG2429" s="7"/>
      <c r="AO2429" s="7"/>
      <c r="AP2429" s="7"/>
      <c r="AQ2429" s="7"/>
      <c r="AR2429" s="7"/>
      <c r="AS2429" s="7"/>
    </row>
    <row r="2430" spans="1:45" x14ac:dyDescent="0.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Q2430" s="7"/>
      <c r="R2430" s="7"/>
      <c r="S2430" s="7"/>
      <c r="T2430" s="7"/>
      <c r="U2430" s="7"/>
      <c r="V2430" s="7"/>
      <c r="AC2430" s="7"/>
      <c r="AD2430" s="7"/>
      <c r="AE2430" s="7"/>
      <c r="AF2430" s="7"/>
      <c r="AG2430" s="7"/>
      <c r="AO2430" s="7"/>
      <c r="AP2430" s="7"/>
      <c r="AQ2430" s="7"/>
      <c r="AR2430" s="7"/>
      <c r="AS2430" s="7"/>
    </row>
    <row r="2431" spans="1:45" x14ac:dyDescent="0.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Q2431" s="7"/>
      <c r="R2431" s="7"/>
      <c r="S2431" s="7"/>
      <c r="T2431" s="7"/>
      <c r="U2431" s="7"/>
      <c r="V2431" s="7"/>
      <c r="AC2431" s="7"/>
      <c r="AD2431" s="7"/>
      <c r="AE2431" s="7"/>
      <c r="AF2431" s="7"/>
      <c r="AG2431" s="7"/>
      <c r="AO2431" s="7"/>
      <c r="AP2431" s="7"/>
      <c r="AQ2431" s="7"/>
      <c r="AR2431" s="7"/>
      <c r="AS2431" s="7"/>
    </row>
    <row r="2432" spans="1:45" x14ac:dyDescent="0.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Q2432" s="7"/>
      <c r="R2432" s="7"/>
      <c r="S2432" s="7"/>
      <c r="T2432" s="7"/>
      <c r="U2432" s="7"/>
      <c r="V2432" s="7"/>
      <c r="AC2432" s="7"/>
      <c r="AD2432" s="7"/>
      <c r="AE2432" s="7"/>
      <c r="AF2432" s="7"/>
      <c r="AG2432" s="7"/>
      <c r="AO2432" s="7"/>
      <c r="AP2432" s="7"/>
      <c r="AQ2432" s="7"/>
      <c r="AR2432" s="7"/>
      <c r="AS2432" s="7"/>
    </row>
    <row r="2433" spans="1:45" x14ac:dyDescent="0.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Q2433" s="7"/>
      <c r="R2433" s="7"/>
      <c r="S2433" s="7"/>
      <c r="T2433" s="7"/>
      <c r="U2433" s="7"/>
      <c r="V2433" s="7"/>
      <c r="AC2433" s="7"/>
      <c r="AD2433" s="7"/>
      <c r="AE2433" s="7"/>
      <c r="AF2433" s="7"/>
      <c r="AG2433" s="7"/>
      <c r="AO2433" s="7"/>
      <c r="AP2433" s="7"/>
      <c r="AQ2433" s="7"/>
      <c r="AR2433" s="7"/>
      <c r="AS2433" s="7"/>
    </row>
    <row r="2434" spans="1:45" x14ac:dyDescent="0.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Q2434" s="7"/>
      <c r="R2434" s="7"/>
      <c r="S2434" s="7"/>
      <c r="T2434" s="7"/>
      <c r="U2434" s="7"/>
      <c r="V2434" s="7"/>
      <c r="AC2434" s="7"/>
      <c r="AD2434" s="7"/>
      <c r="AE2434" s="7"/>
      <c r="AF2434" s="7"/>
      <c r="AG2434" s="7"/>
      <c r="AO2434" s="7"/>
      <c r="AP2434" s="7"/>
      <c r="AQ2434" s="7"/>
      <c r="AR2434" s="7"/>
      <c r="AS2434" s="7"/>
    </row>
    <row r="2435" spans="1:45" x14ac:dyDescent="0.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Q2435" s="7"/>
      <c r="R2435" s="7"/>
      <c r="S2435" s="7"/>
      <c r="T2435" s="7"/>
      <c r="U2435" s="7"/>
      <c r="V2435" s="7"/>
      <c r="AC2435" s="7"/>
      <c r="AD2435" s="7"/>
      <c r="AE2435" s="7"/>
      <c r="AF2435" s="7"/>
      <c r="AG2435" s="7"/>
      <c r="AO2435" s="7"/>
      <c r="AP2435" s="7"/>
      <c r="AQ2435" s="7"/>
      <c r="AR2435" s="7"/>
      <c r="AS2435" s="7"/>
    </row>
    <row r="2436" spans="1:45" x14ac:dyDescent="0.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Q2436" s="7"/>
      <c r="R2436" s="7"/>
      <c r="S2436" s="7"/>
      <c r="T2436" s="7"/>
      <c r="U2436" s="7"/>
      <c r="V2436" s="7"/>
      <c r="AC2436" s="7"/>
      <c r="AD2436" s="7"/>
      <c r="AE2436" s="7"/>
      <c r="AF2436" s="7"/>
      <c r="AG2436" s="7"/>
      <c r="AO2436" s="7"/>
      <c r="AP2436" s="7"/>
      <c r="AQ2436" s="7"/>
      <c r="AR2436" s="7"/>
      <c r="AS2436" s="7"/>
    </row>
    <row r="2437" spans="1:45" x14ac:dyDescent="0.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Q2437" s="7"/>
      <c r="R2437" s="7"/>
      <c r="S2437" s="7"/>
      <c r="T2437" s="7"/>
      <c r="U2437" s="7"/>
      <c r="V2437" s="7"/>
      <c r="AC2437" s="7"/>
      <c r="AD2437" s="7"/>
      <c r="AE2437" s="7"/>
      <c r="AF2437" s="7"/>
      <c r="AG2437" s="7"/>
      <c r="AO2437" s="7"/>
      <c r="AP2437" s="7"/>
      <c r="AQ2437" s="7"/>
      <c r="AR2437" s="7"/>
      <c r="AS2437" s="7"/>
    </row>
    <row r="2438" spans="1:45" x14ac:dyDescent="0.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Q2438" s="7"/>
      <c r="R2438" s="7"/>
      <c r="S2438" s="7"/>
      <c r="T2438" s="7"/>
      <c r="U2438" s="7"/>
      <c r="V2438" s="7"/>
      <c r="AC2438" s="7"/>
      <c r="AD2438" s="7"/>
      <c r="AE2438" s="7"/>
      <c r="AF2438" s="7"/>
      <c r="AG2438" s="7"/>
      <c r="AO2438" s="7"/>
      <c r="AP2438" s="7"/>
      <c r="AQ2438" s="7"/>
      <c r="AR2438" s="7"/>
      <c r="AS2438" s="7"/>
    </row>
    <row r="2439" spans="1:45" x14ac:dyDescent="0.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Q2439" s="7"/>
      <c r="R2439" s="7"/>
      <c r="S2439" s="7"/>
      <c r="T2439" s="7"/>
      <c r="U2439" s="7"/>
      <c r="V2439" s="7"/>
      <c r="AC2439" s="7"/>
      <c r="AD2439" s="7"/>
      <c r="AE2439" s="7"/>
      <c r="AF2439" s="7"/>
      <c r="AG2439" s="7"/>
      <c r="AO2439" s="7"/>
      <c r="AP2439" s="7"/>
      <c r="AQ2439" s="7"/>
      <c r="AR2439" s="7"/>
      <c r="AS2439" s="7"/>
    </row>
    <row r="2440" spans="1:45" x14ac:dyDescent="0.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Q2440" s="7"/>
      <c r="R2440" s="7"/>
      <c r="S2440" s="7"/>
      <c r="T2440" s="7"/>
      <c r="U2440" s="7"/>
      <c r="V2440" s="7"/>
      <c r="AC2440" s="7"/>
      <c r="AD2440" s="7"/>
      <c r="AE2440" s="7"/>
      <c r="AF2440" s="7"/>
      <c r="AG2440" s="7"/>
      <c r="AO2440" s="7"/>
      <c r="AP2440" s="7"/>
      <c r="AQ2440" s="7"/>
      <c r="AR2440" s="7"/>
      <c r="AS2440" s="7"/>
    </row>
    <row r="2441" spans="1:45" x14ac:dyDescent="0.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Q2441" s="7"/>
      <c r="R2441" s="7"/>
      <c r="S2441" s="7"/>
      <c r="T2441" s="7"/>
      <c r="U2441" s="7"/>
      <c r="V2441" s="7"/>
      <c r="AC2441" s="7"/>
      <c r="AD2441" s="7"/>
      <c r="AE2441" s="7"/>
      <c r="AF2441" s="7"/>
      <c r="AG2441" s="7"/>
      <c r="AO2441" s="7"/>
      <c r="AP2441" s="7"/>
      <c r="AQ2441" s="7"/>
      <c r="AR2441" s="7"/>
      <c r="AS2441" s="7"/>
    </row>
    <row r="2442" spans="1:45" x14ac:dyDescent="0.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Q2442" s="7"/>
      <c r="R2442" s="7"/>
      <c r="S2442" s="7"/>
      <c r="T2442" s="7"/>
      <c r="U2442" s="7"/>
      <c r="V2442" s="7"/>
      <c r="AC2442" s="7"/>
      <c r="AD2442" s="7"/>
      <c r="AE2442" s="7"/>
      <c r="AF2442" s="7"/>
      <c r="AG2442" s="7"/>
      <c r="AO2442" s="7"/>
      <c r="AP2442" s="7"/>
      <c r="AQ2442" s="7"/>
      <c r="AR2442" s="7"/>
      <c r="AS2442" s="7"/>
    </row>
    <row r="2443" spans="1:45" x14ac:dyDescent="0.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Q2443" s="7"/>
      <c r="R2443" s="7"/>
      <c r="S2443" s="7"/>
      <c r="T2443" s="7"/>
      <c r="U2443" s="7"/>
      <c r="V2443" s="7"/>
      <c r="AC2443" s="7"/>
      <c r="AD2443" s="7"/>
      <c r="AE2443" s="7"/>
      <c r="AF2443" s="7"/>
      <c r="AG2443" s="7"/>
      <c r="AO2443" s="7"/>
      <c r="AP2443" s="7"/>
      <c r="AQ2443" s="7"/>
      <c r="AR2443" s="7"/>
      <c r="AS2443" s="7"/>
    </row>
    <row r="2444" spans="1:45" x14ac:dyDescent="0.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Q2444" s="7"/>
      <c r="R2444" s="7"/>
      <c r="S2444" s="7"/>
      <c r="T2444" s="7"/>
      <c r="U2444" s="7"/>
      <c r="V2444" s="7"/>
      <c r="AC2444" s="7"/>
      <c r="AD2444" s="7"/>
      <c r="AE2444" s="7"/>
      <c r="AF2444" s="7"/>
      <c r="AG2444" s="7"/>
      <c r="AO2444" s="7"/>
      <c r="AP2444" s="7"/>
      <c r="AQ2444" s="7"/>
      <c r="AR2444" s="7"/>
      <c r="AS2444" s="7"/>
    </row>
    <row r="2445" spans="1:45" x14ac:dyDescent="0.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Q2445" s="7"/>
      <c r="R2445" s="7"/>
      <c r="S2445" s="7"/>
      <c r="T2445" s="7"/>
      <c r="U2445" s="7"/>
      <c r="V2445" s="7"/>
      <c r="AC2445" s="7"/>
      <c r="AD2445" s="7"/>
      <c r="AE2445" s="7"/>
      <c r="AF2445" s="7"/>
      <c r="AG2445" s="7"/>
      <c r="AO2445" s="7"/>
      <c r="AP2445" s="7"/>
      <c r="AQ2445" s="7"/>
      <c r="AR2445" s="7"/>
      <c r="AS2445" s="7"/>
    </row>
    <row r="2446" spans="1:45" x14ac:dyDescent="0.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Q2446" s="7"/>
      <c r="R2446" s="7"/>
      <c r="S2446" s="7"/>
      <c r="T2446" s="7"/>
      <c r="U2446" s="7"/>
      <c r="V2446" s="7"/>
      <c r="AC2446" s="7"/>
      <c r="AD2446" s="7"/>
      <c r="AE2446" s="7"/>
      <c r="AF2446" s="7"/>
      <c r="AG2446" s="7"/>
      <c r="AO2446" s="7"/>
      <c r="AP2446" s="7"/>
      <c r="AQ2446" s="7"/>
      <c r="AR2446" s="7"/>
      <c r="AS2446" s="7"/>
    </row>
    <row r="2447" spans="1:45" x14ac:dyDescent="0.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Q2447" s="7"/>
      <c r="R2447" s="7"/>
      <c r="S2447" s="7"/>
      <c r="T2447" s="7"/>
      <c r="U2447" s="7"/>
      <c r="V2447" s="7"/>
      <c r="AC2447" s="7"/>
      <c r="AD2447" s="7"/>
      <c r="AE2447" s="7"/>
      <c r="AF2447" s="7"/>
      <c r="AG2447" s="7"/>
      <c r="AO2447" s="7"/>
      <c r="AP2447" s="7"/>
      <c r="AQ2447" s="7"/>
      <c r="AR2447" s="7"/>
      <c r="AS2447" s="7"/>
    </row>
    <row r="2448" spans="1:45" x14ac:dyDescent="0.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Q2448" s="7"/>
      <c r="R2448" s="7"/>
      <c r="S2448" s="7"/>
      <c r="T2448" s="7"/>
      <c r="U2448" s="7"/>
      <c r="V2448" s="7"/>
      <c r="AC2448" s="7"/>
      <c r="AD2448" s="7"/>
      <c r="AE2448" s="7"/>
      <c r="AF2448" s="7"/>
      <c r="AG2448" s="7"/>
      <c r="AO2448" s="7"/>
      <c r="AP2448" s="7"/>
      <c r="AQ2448" s="7"/>
      <c r="AR2448" s="7"/>
      <c r="AS2448" s="7"/>
    </row>
    <row r="2449" spans="1:45" x14ac:dyDescent="0.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Q2449" s="7"/>
      <c r="R2449" s="7"/>
      <c r="S2449" s="7"/>
      <c r="T2449" s="7"/>
      <c r="U2449" s="7"/>
      <c r="V2449" s="7"/>
      <c r="AC2449" s="7"/>
      <c r="AD2449" s="7"/>
      <c r="AE2449" s="7"/>
      <c r="AF2449" s="7"/>
      <c r="AG2449" s="7"/>
      <c r="AO2449" s="7"/>
      <c r="AP2449" s="7"/>
      <c r="AQ2449" s="7"/>
      <c r="AR2449" s="7"/>
      <c r="AS2449" s="7"/>
    </row>
    <row r="2450" spans="1:45" x14ac:dyDescent="0.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Q2450" s="7"/>
      <c r="R2450" s="7"/>
      <c r="S2450" s="7"/>
      <c r="T2450" s="7"/>
      <c r="U2450" s="7"/>
      <c r="V2450" s="7"/>
      <c r="AC2450" s="7"/>
      <c r="AD2450" s="7"/>
      <c r="AE2450" s="7"/>
      <c r="AF2450" s="7"/>
      <c r="AG2450" s="7"/>
      <c r="AO2450" s="7"/>
      <c r="AP2450" s="7"/>
      <c r="AQ2450" s="7"/>
      <c r="AR2450" s="7"/>
      <c r="AS2450" s="7"/>
    </row>
    <row r="2451" spans="1:45" x14ac:dyDescent="0.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Q2451" s="7"/>
      <c r="R2451" s="7"/>
      <c r="S2451" s="7"/>
      <c r="T2451" s="7"/>
      <c r="U2451" s="7"/>
      <c r="V2451" s="7"/>
      <c r="AC2451" s="7"/>
      <c r="AD2451" s="7"/>
      <c r="AE2451" s="7"/>
      <c r="AF2451" s="7"/>
      <c r="AG2451" s="7"/>
      <c r="AO2451" s="7"/>
      <c r="AP2451" s="7"/>
      <c r="AQ2451" s="7"/>
      <c r="AR2451" s="7"/>
      <c r="AS2451" s="7"/>
    </row>
    <row r="2452" spans="1:45" x14ac:dyDescent="0.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Q2452" s="7"/>
      <c r="R2452" s="7"/>
      <c r="S2452" s="7"/>
      <c r="T2452" s="7"/>
      <c r="U2452" s="7"/>
      <c r="V2452" s="7"/>
      <c r="AC2452" s="7"/>
      <c r="AD2452" s="7"/>
      <c r="AE2452" s="7"/>
      <c r="AF2452" s="7"/>
      <c r="AG2452" s="7"/>
      <c r="AO2452" s="7"/>
      <c r="AP2452" s="7"/>
      <c r="AQ2452" s="7"/>
      <c r="AR2452" s="7"/>
      <c r="AS2452" s="7"/>
    </row>
    <row r="2453" spans="1:45" x14ac:dyDescent="0.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Q2453" s="7"/>
      <c r="R2453" s="7"/>
      <c r="S2453" s="7"/>
      <c r="T2453" s="7"/>
      <c r="U2453" s="7"/>
      <c r="V2453" s="7"/>
      <c r="AC2453" s="7"/>
      <c r="AD2453" s="7"/>
      <c r="AE2453" s="7"/>
      <c r="AF2453" s="7"/>
      <c r="AG2453" s="7"/>
      <c r="AO2453" s="7"/>
      <c r="AP2453" s="7"/>
      <c r="AQ2453" s="7"/>
      <c r="AR2453" s="7"/>
      <c r="AS2453" s="7"/>
    </row>
    <row r="2454" spans="1:45" x14ac:dyDescent="0.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Q2454" s="7"/>
      <c r="R2454" s="7"/>
      <c r="S2454" s="7"/>
      <c r="T2454" s="7"/>
      <c r="U2454" s="7"/>
      <c r="V2454" s="7"/>
      <c r="AC2454" s="7"/>
      <c r="AD2454" s="7"/>
      <c r="AE2454" s="7"/>
      <c r="AF2454" s="7"/>
      <c r="AG2454" s="7"/>
      <c r="AO2454" s="7"/>
      <c r="AP2454" s="7"/>
      <c r="AQ2454" s="7"/>
      <c r="AR2454" s="7"/>
      <c r="AS2454" s="7"/>
    </row>
    <row r="2455" spans="1:45" x14ac:dyDescent="0.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Q2455" s="7"/>
      <c r="R2455" s="7"/>
      <c r="S2455" s="7"/>
      <c r="T2455" s="7"/>
      <c r="U2455" s="7"/>
      <c r="V2455" s="7"/>
      <c r="AC2455" s="7"/>
      <c r="AD2455" s="7"/>
      <c r="AE2455" s="7"/>
      <c r="AF2455" s="7"/>
      <c r="AG2455" s="7"/>
      <c r="AO2455" s="7"/>
      <c r="AP2455" s="7"/>
      <c r="AQ2455" s="7"/>
      <c r="AR2455" s="7"/>
      <c r="AS2455" s="7"/>
    </row>
    <row r="2456" spans="1:45" x14ac:dyDescent="0.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Q2456" s="7"/>
      <c r="R2456" s="7"/>
      <c r="S2456" s="7"/>
      <c r="T2456" s="7"/>
      <c r="U2456" s="7"/>
      <c r="V2456" s="7"/>
      <c r="AC2456" s="7"/>
      <c r="AD2456" s="7"/>
      <c r="AE2456" s="7"/>
      <c r="AF2456" s="7"/>
      <c r="AG2456" s="7"/>
      <c r="AO2456" s="7"/>
      <c r="AP2456" s="7"/>
      <c r="AQ2456" s="7"/>
      <c r="AR2456" s="7"/>
      <c r="AS2456" s="7"/>
    </row>
    <row r="2457" spans="1:45" x14ac:dyDescent="0.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Q2457" s="7"/>
      <c r="R2457" s="7"/>
      <c r="S2457" s="7"/>
      <c r="T2457" s="7"/>
      <c r="U2457" s="7"/>
      <c r="V2457" s="7"/>
      <c r="AC2457" s="7"/>
      <c r="AD2457" s="7"/>
      <c r="AE2457" s="7"/>
      <c r="AF2457" s="7"/>
      <c r="AG2457" s="7"/>
      <c r="AO2457" s="7"/>
      <c r="AP2457" s="7"/>
      <c r="AQ2457" s="7"/>
      <c r="AR2457" s="7"/>
      <c r="AS2457" s="7"/>
    </row>
    <row r="2458" spans="1:45" x14ac:dyDescent="0.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Q2458" s="7"/>
      <c r="R2458" s="7"/>
      <c r="S2458" s="7"/>
      <c r="T2458" s="7"/>
      <c r="U2458" s="7"/>
      <c r="V2458" s="7"/>
      <c r="AC2458" s="7"/>
      <c r="AD2458" s="7"/>
      <c r="AE2458" s="7"/>
      <c r="AF2458" s="7"/>
      <c r="AG2458" s="7"/>
      <c r="AO2458" s="7"/>
      <c r="AP2458" s="7"/>
      <c r="AQ2458" s="7"/>
      <c r="AR2458" s="7"/>
      <c r="AS2458" s="7"/>
    </row>
    <row r="2459" spans="1:45" x14ac:dyDescent="0.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Q2459" s="7"/>
      <c r="R2459" s="7"/>
      <c r="S2459" s="7"/>
      <c r="T2459" s="7"/>
      <c r="U2459" s="7"/>
      <c r="V2459" s="7"/>
      <c r="AC2459" s="7"/>
      <c r="AD2459" s="7"/>
      <c r="AE2459" s="7"/>
      <c r="AF2459" s="7"/>
      <c r="AG2459" s="7"/>
      <c r="AO2459" s="7"/>
      <c r="AP2459" s="7"/>
      <c r="AQ2459" s="7"/>
      <c r="AR2459" s="7"/>
      <c r="AS2459" s="7"/>
    </row>
    <row r="2460" spans="1:45" x14ac:dyDescent="0.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Q2460" s="7"/>
      <c r="R2460" s="7"/>
      <c r="S2460" s="7"/>
      <c r="T2460" s="7"/>
      <c r="U2460" s="7"/>
      <c r="V2460" s="7"/>
      <c r="AC2460" s="7"/>
      <c r="AD2460" s="7"/>
      <c r="AE2460" s="7"/>
      <c r="AF2460" s="7"/>
      <c r="AG2460" s="7"/>
      <c r="AO2460" s="7"/>
      <c r="AP2460" s="7"/>
      <c r="AQ2460" s="7"/>
      <c r="AR2460" s="7"/>
      <c r="AS2460" s="7"/>
    </row>
    <row r="2461" spans="1:45" x14ac:dyDescent="0.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Q2461" s="7"/>
      <c r="R2461" s="7"/>
      <c r="S2461" s="7"/>
      <c r="T2461" s="7"/>
      <c r="U2461" s="7"/>
      <c r="V2461" s="7"/>
      <c r="AC2461" s="7"/>
      <c r="AD2461" s="7"/>
      <c r="AE2461" s="7"/>
      <c r="AF2461" s="7"/>
      <c r="AG2461" s="7"/>
      <c r="AO2461" s="7"/>
      <c r="AP2461" s="7"/>
      <c r="AQ2461" s="7"/>
      <c r="AR2461" s="7"/>
      <c r="AS2461" s="7"/>
    </row>
    <row r="2462" spans="1:45" x14ac:dyDescent="0.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Q2462" s="7"/>
      <c r="R2462" s="7"/>
      <c r="S2462" s="7"/>
      <c r="T2462" s="7"/>
      <c r="U2462" s="7"/>
      <c r="V2462" s="7"/>
      <c r="AC2462" s="7"/>
      <c r="AD2462" s="7"/>
      <c r="AE2462" s="7"/>
      <c r="AF2462" s="7"/>
      <c r="AG2462" s="7"/>
      <c r="AO2462" s="7"/>
      <c r="AP2462" s="7"/>
      <c r="AQ2462" s="7"/>
      <c r="AR2462" s="7"/>
      <c r="AS2462" s="7"/>
    </row>
    <row r="2463" spans="1:45" x14ac:dyDescent="0.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Q2463" s="7"/>
      <c r="R2463" s="7"/>
      <c r="S2463" s="7"/>
      <c r="T2463" s="7"/>
      <c r="U2463" s="7"/>
      <c r="V2463" s="7"/>
      <c r="AC2463" s="7"/>
      <c r="AD2463" s="7"/>
      <c r="AE2463" s="7"/>
      <c r="AF2463" s="7"/>
      <c r="AG2463" s="7"/>
      <c r="AO2463" s="7"/>
      <c r="AP2463" s="7"/>
      <c r="AQ2463" s="7"/>
      <c r="AR2463" s="7"/>
      <c r="AS2463" s="7"/>
    </row>
    <row r="2464" spans="1:45" x14ac:dyDescent="0.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Q2464" s="7"/>
      <c r="R2464" s="7"/>
      <c r="S2464" s="7"/>
      <c r="T2464" s="7"/>
      <c r="U2464" s="7"/>
      <c r="V2464" s="7"/>
      <c r="AC2464" s="7"/>
      <c r="AD2464" s="7"/>
      <c r="AE2464" s="7"/>
      <c r="AF2464" s="7"/>
      <c r="AG2464" s="7"/>
      <c r="AO2464" s="7"/>
      <c r="AP2464" s="7"/>
      <c r="AQ2464" s="7"/>
      <c r="AR2464" s="7"/>
      <c r="AS2464" s="7"/>
    </row>
    <row r="2465" spans="1:45" x14ac:dyDescent="0.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Q2465" s="7"/>
      <c r="R2465" s="7"/>
      <c r="S2465" s="7"/>
      <c r="T2465" s="7"/>
      <c r="U2465" s="7"/>
      <c r="V2465" s="7"/>
      <c r="AC2465" s="7"/>
      <c r="AD2465" s="7"/>
      <c r="AE2465" s="7"/>
      <c r="AF2465" s="7"/>
      <c r="AG2465" s="7"/>
      <c r="AO2465" s="7"/>
      <c r="AP2465" s="7"/>
      <c r="AQ2465" s="7"/>
      <c r="AR2465" s="7"/>
      <c r="AS2465" s="7"/>
    </row>
    <row r="2466" spans="1:45" x14ac:dyDescent="0.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Q2466" s="7"/>
      <c r="R2466" s="7"/>
      <c r="S2466" s="7"/>
      <c r="T2466" s="7"/>
      <c r="U2466" s="7"/>
      <c r="V2466" s="7"/>
      <c r="AC2466" s="7"/>
      <c r="AD2466" s="7"/>
      <c r="AE2466" s="7"/>
      <c r="AF2466" s="7"/>
      <c r="AG2466" s="7"/>
      <c r="AO2466" s="7"/>
      <c r="AP2466" s="7"/>
      <c r="AQ2466" s="7"/>
      <c r="AR2466" s="7"/>
      <c r="AS2466" s="7"/>
    </row>
    <row r="2467" spans="1:45" x14ac:dyDescent="0.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Q2467" s="7"/>
      <c r="R2467" s="7"/>
      <c r="S2467" s="7"/>
      <c r="T2467" s="7"/>
      <c r="U2467" s="7"/>
      <c r="V2467" s="7"/>
      <c r="AC2467" s="7"/>
      <c r="AD2467" s="7"/>
      <c r="AE2467" s="7"/>
      <c r="AF2467" s="7"/>
      <c r="AG2467" s="7"/>
      <c r="AO2467" s="7"/>
      <c r="AP2467" s="7"/>
      <c r="AQ2467" s="7"/>
      <c r="AR2467" s="7"/>
      <c r="AS2467" s="7"/>
    </row>
    <row r="2468" spans="1:45" x14ac:dyDescent="0.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Q2468" s="7"/>
      <c r="R2468" s="7"/>
      <c r="S2468" s="7"/>
      <c r="T2468" s="7"/>
      <c r="U2468" s="7"/>
      <c r="V2468" s="7"/>
      <c r="AC2468" s="7"/>
      <c r="AD2468" s="7"/>
      <c r="AE2468" s="7"/>
      <c r="AF2468" s="7"/>
      <c r="AG2468" s="7"/>
      <c r="AO2468" s="7"/>
      <c r="AP2468" s="7"/>
      <c r="AQ2468" s="7"/>
      <c r="AR2468" s="7"/>
      <c r="AS2468" s="7"/>
    </row>
    <row r="2469" spans="1:45" x14ac:dyDescent="0.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Q2469" s="7"/>
      <c r="R2469" s="7"/>
      <c r="S2469" s="7"/>
      <c r="T2469" s="7"/>
      <c r="U2469" s="7"/>
      <c r="V2469" s="7"/>
      <c r="AC2469" s="7"/>
      <c r="AD2469" s="7"/>
      <c r="AE2469" s="7"/>
      <c r="AF2469" s="7"/>
      <c r="AG2469" s="7"/>
      <c r="AO2469" s="7"/>
      <c r="AP2469" s="7"/>
      <c r="AQ2469" s="7"/>
      <c r="AR2469" s="7"/>
      <c r="AS2469" s="7"/>
    </row>
    <row r="2470" spans="1:45" x14ac:dyDescent="0.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Q2470" s="7"/>
      <c r="R2470" s="7"/>
      <c r="S2470" s="7"/>
      <c r="T2470" s="7"/>
      <c r="U2470" s="7"/>
      <c r="V2470" s="7"/>
      <c r="AC2470" s="7"/>
      <c r="AD2470" s="7"/>
      <c r="AE2470" s="7"/>
      <c r="AF2470" s="7"/>
      <c r="AG2470" s="7"/>
      <c r="AO2470" s="7"/>
      <c r="AP2470" s="7"/>
      <c r="AQ2470" s="7"/>
      <c r="AR2470" s="7"/>
      <c r="AS2470" s="7"/>
    </row>
    <row r="2471" spans="1:45" x14ac:dyDescent="0.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Q2471" s="7"/>
      <c r="R2471" s="7"/>
      <c r="S2471" s="7"/>
      <c r="T2471" s="7"/>
      <c r="U2471" s="7"/>
      <c r="V2471" s="7"/>
      <c r="AC2471" s="7"/>
      <c r="AD2471" s="7"/>
      <c r="AE2471" s="7"/>
      <c r="AF2471" s="7"/>
      <c r="AG2471" s="7"/>
      <c r="AO2471" s="7"/>
      <c r="AP2471" s="7"/>
      <c r="AQ2471" s="7"/>
      <c r="AR2471" s="7"/>
      <c r="AS2471" s="7"/>
    </row>
    <row r="2472" spans="1:45" x14ac:dyDescent="0.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Q2472" s="7"/>
      <c r="R2472" s="7"/>
      <c r="S2472" s="7"/>
      <c r="T2472" s="7"/>
      <c r="U2472" s="7"/>
      <c r="V2472" s="7"/>
      <c r="AC2472" s="7"/>
      <c r="AD2472" s="7"/>
      <c r="AE2472" s="7"/>
      <c r="AF2472" s="7"/>
      <c r="AG2472" s="7"/>
      <c r="AO2472" s="7"/>
      <c r="AP2472" s="7"/>
      <c r="AQ2472" s="7"/>
      <c r="AR2472" s="7"/>
      <c r="AS2472" s="7"/>
    </row>
    <row r="2473" spans="1:45" x14ac:dyDescent="0.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Q2473" s="7"/>
      <c r="R2473" s="7"/>
      <c r="S2473" s="7"/>
      <c r="T2473" s="7"/>
      <c r="U2473" s="7"/>
      <c r="V2473" s="7"/>
      <c r="AC2473" s="7"/>
      <c r="AD2473" s="7"/>
      <c r="AE2473" s="7"/>
      <c r="AF2473" s="7"/>
      <c r="AG2473" s="7"/>
      <c r="AO2473" s="7"/>
      <c r="AP2473" s="7"/>
      <c r="AQ2473" s="7"/>
      <c r="AR2473" s="7"/>
      <c r="AS2473" s="7"/>
    </row>
    <row r="2474" spans="1:45" x14ac:dyDescent="0.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Q2474" s="7"/>
      <c r="R2474" s="7"/>
      <c r="S2474" s="7"/>
      <c r="T2474" s="7"/>
      <c r="U2474" s="7"/>
      <c r="V2474" s="7"/>
      <c r="AC2474" s="7"/>
      <c r="AD2474" s="7"/>
      <c r="AE2474" s="7"/>
      <c r="AF2474" s="7"/>
      <c r="AG2474" s="7"/>
      <c r="AO2474" s="7"/>
      <c r="AP2474" s="7"/>
      <c r="AQ2474" s="7"/>
      <c r="AR2474" s="7"/>
      <c r="AS2474" s="7"/>
    </row>
    <row r="2475" spans="1:45" x14ac:dyDescent="0.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Q2475" s="7"/>
      <c r="R2475" s="7"/>
      <c r="S2475" s="7"/>
      <c r="T2475" s="7"/>
      <c r="U2475" s="7"/>
      <c r="V2475" s="7"/>
      <c r="AC2475" s="7"/>
      <c r="AD2475" s="7"/>
      <c r="AE2475" s="7"/>
      <c r="AF2475" s="7"/>
      <c r="AG2475" s="7"/>
      <c r="AO2475" s="7"/>
      <c r="AP2475" s="7"/>
      <c r="AQ2475" s="7"/>
      <c r="AR2475" s="7"/>
      <c r="AS2475" s="7"/>
    </row>
    <row r="2476" spans="1:45" x14ac:dyDescent="0.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Q2476" s="7"/>
      <c r="R2476" s="7"/>
      <c r="S2476" s="7"/>
      <c r="T2476" s="7"/>
      <c r="U2476" s="7"/>
      <c r="V2476" s="7"/>
      <c r="AC2476" s="7"/>
      <c r="AD2476" s="7"/>
      <c r="AE2476" s="7"/>
      <c r="AF2476" s="7"/>
      <c r="AG2476" s="7"/>
      <c r="AO2476" s="7"/>
      <c r="AP2476" s="7"/>
      <c r="AQ2476" s="7"/>
      <c r="AR2476" s="7"/>
      <c r="AS2476" s="7"/>
    </row>
    <row r="2477" spans="1:45" x14ac:dyDescent="0.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Q2477" s="7"/>
      <c r="R2477" s="7"/>
      <c r="S2477" s="7"/>
      <c r="T2477" s="7"/>
      <c r="U2477" s="7"/>
      <c r="V2477" s="7"/>
      <c r="AC2477" s="7"/>
      <c r="AD2477" s="7"/>
      <c r="AE2477" s="7"/>
      <c r="AF2477" s="7"/>
      <c r="AG2477" s="7"/>
      <c r="AO2477" s="7"/>
      <c r="AP2477" s="7"/>
      <c r="AQ2477" s="7"/>
      <c r="AR2477" s="7"/>
      <c r="AS2477" s="7"/>
    </row>
    <row r="2478" spans="1:45" x14ac:dyDescent="0.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Q2478" s="7"/>
      <c r="R2478" s="7"/>
      <c r="S2478" s="7"/>
      <c r="T2478" s="7"/>
      <c r="U2478" s="7"/>
      <c r="V2478" s="7"/>
      <c r="AC2478" s="7"/>
      <c r="AD2478" s="7"/>
      <c r="AE2478" s="7"/>
      <c r="AF2478" s="7"/>
      <c r="AG2478" s="7"/>
      <c r="AO2478" s="7"/>
      <c r="AP2478" s="7"/>
      <c r="AQ2478" s="7"/>
      <c r="AR2478" s="7"/>
      <c r="AS2478" s="7"/>
    </row>
    <row r="2479" spans="1:45" x14ac:dyDescent="0.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Q2479" s="7"/>
      <c r="R2479" s="7"/>
      <c r="S2479" s="7"/>
      <c r="T2479" s="7"/>
      <c r="U2479" s="7"/>
      <c r="V2479" s="7"/>
      <c r="AC2479" s="7"/>
      <c r="AD2479" s="7"/>
      <c r="AE2479" s="7"/>
      <c r="AF2479" s="7"/>
      <c r="AG2479" s="7"/>
      <c r="AO2479" s="7"/>
      <c r="AP2479" s="7"/>
      <c r="AQ2479" s="7"/>
      <c r="AR2479" s="7"/>
      <c r="AS2479" s="7"/>
    </row>
    <row r="2480" spans="1:45" x14ac:dyDescent="0.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Q2480" s="7"/>
      <c r="R2480" s="7"/>
      <c r="S2480" s="7"/>
      <c r="T2480" s="7"/>
      <c r="U2480" s="7"/>
      <c r="V2480" s="7"/>
      <c r="AC2480" s="7"/>
      <c r="AD2480" s="7"/>
      <c r="AE2480" s="7"/>
      <c r="AF2480" s="7"/>
      <c r="AG2480" s="7"/>
      <c r="AO2480" s="7"/>
      <c r="AP2480" s="7"/>
      <c r="AQ2480" s="7"/>
      <c r="AR2480" s="7"/>
      <c r="AS2480" s="7"/>
    </row>
    <row r="2481" spans="1:45" x14ac:dyDescent="0.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Q2481" s="7"/>
      <c r="R2481" s="7"/>
      <c r="S2481" s="7"/>
      <c r="T2481" s="7"/>
      <c r="U2481" s="7"/>
      <c r="V2481" s="7"/>
      <c r="AC2481" s="7"/>
      <c r="AD2481" s="7"/>
      <c r="AE2481" s="7"/>
      <c r="AF2481" s="7"/>
      <c r="AG2481" s="7"/>
      <c r="AO2481" s="7"/>
      <c r="AP2481" s="7"/>
      <c r="AQ2481" s="7"/>
      <c r="AR2481" s="7"/>
      <c r="AS2481" s="7"/>
    </row>
    <row r="2482" spans="1:45" x14ac:dyDescent="0.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Q2482" s="7"/>
      <c r="R2482" s="7"/>
      <c r="S2482" s="7"/>
      <c r="T2482" s="7"/>
      <c r="U2482" s="7"/>
      <c r="V2482" s="7"/>
      <c r="AC2482" s="7"/>
      <c r="AD2482" s="7"/>
      <c r="AE2482" s="7"/>
      <c r="AF2482" s="7"/>
      <c r="AG2482" s="7"/>
      <c r="AO2482" s="7"/>
      <c r="AP2482" s="7"/>
      <c r="AQ2482" s="7"/>
      <c r="AR2482" s="7"/>
      <c r="AS2482" s="7"/>
    </row>
    <row r="2483" spans="1:45" x14ac:dyDescent="0.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Q2483" s="7"/>
      <c r="R2483" s="7"/>
      <c r="S2483" s="7"/>
      <c r="T2483" s="7"/>
      <c r="U2483" s="7"/>
      <c r="V2483" s="7"/>
      <c r="AC2483" s="7"/>
      <c r="AD2483" s="7"/>
      <c r="AE2483" s="7"/>
      <c r="AF2483" s="7"/>
      <c r="AG2483" s="7"/>
      <c r="AO2483" s="7"/>
      <c r="AP2483" s="7"/>
      <c r="AQ2483" s="7"/>
      <c r="AR2483" s="7"/>
      <c r="AS2483" s="7"/>
    </row>
    <row r="2484" spans="1:45" x14ac:dyDescent="0.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Q2484" s="7"/>
      <c r="R2484" s="7"/>
      <c r="S2484" s="7"/>
      <c r="T2484" s="7"/>
      <c r="U2484" s="7"/>
      <c r="V2484" s="7"/>
      <c r="AC2484" s="7"/>
      <c r="AD2484" s="7"/>
      <c r="AE2484" s="7"/>
      <c r="AF2484" s="7"/>
      <c r="AG2484" s="7"/>
      <c r="AO2484" s="7"/>
      <c r="AP2484" s="7"/>
      <c r="AQ2484" s="7"/>
      <c r="AR2484" s="7"/>
      <c r="AS2484" s="7"/>
    </row>
    <row r="2485" spans="1:45" x14ac:dyDescent="0.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Q2485" s="7"/>
      <c r="R2485" s="7"/>
      <c r="S2485" s="7"/>
      <c r="T2485" s="7"/>
      <c r="U2485" s="7"/>
      <c r="V2485" s="7"/>
      <c r="AC2485" s="7"/>
      <c r="AD2485" s="7"/>
      <c r="AE2485" s="7"/>
      <c r="AF2485" s="7"/>
      <c r="AG2485" s="7"/>
      <c r="AO2485" s="7"/>
      <c r="AP2485" s="7"/>
      <c r="AQ2485" s="7"/>
      <c r="AR2485" s="7"/>
      <c r="AS2485" s="7"/>
    </row>
    <row r="2486" spans="1:45" x14ac:dyDescent="0.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Q2486" s="7"/>
      <c r="R2486" s="7"/>
      <c r="S2486" s="7"/>
      <c r="T2486" s="7"/>
      <c r="U2486" s="7"/>
      <c r="V2486" s="7"/>
      <c r="AC2486" s="7"/>
      <c r="AD2486" s="7"/>
      <c r="AE2486" s="7"/>
      <c r="AF2486" s="7"/>
      <c r="AG2486" s="7"/>
      <c r="AO2486" s="7"/>
      <c r="AP2486" s="7"/>
      <c r="AQ2486" s="7"/>
      <c r="AR2486" s="7"/>
      <c r="AS2486" s="7"/>
    </row>
    <row r="2487" spans="1:45" x14ac:dyDescent="0.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Q2487" s="7"/>
      <c r="R2487" s="7"/>
      <c r="S2487" s="7"/>
      <c r="T2487" s="7"/>
      <c r="U2487" s="7"/>
      <c r="V2487" s="7"/>
      <c r="AC2487" s="7"/>
      <c r="AD2487" s="7"/>
      <c r="AE2487" s="7"/>
      <c r="AF2487" s="7"/>
      <c r="AG2487" s="7"/>
      <c r="AO2487" s="7"/>
      <c r="AP2487" s="7"/>
      <c r="AQ2487" s="7"/>
      <c r="AR2487" s="7"/>
      <c r="AS2487" s="7"/>
    </row>
    <row r="2488" spans="1:45" x14ac:dyDescent="0.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Q2488" s="7"/>
      <c r="R2488" s="7"/>
      <c r="S2488" s="7"/>
      <c r="T2488" s="7"/>
      <c r="U2488" s="7"/>
      <c r="V2488" s="7"/>
      <c r="AC2488" s="7"/>
      <c r="AD2488" s="7"/>
      <c r="AE2488" s="7"/>
      <c r="AF2488" s="7"/>
      <c r="AG2488" s="7"/>
      <c r="AO2488" s="7"/>
      <c r="AP2488" s="7"/>
      <c r="AQ2488" s="7"/>
      <c r="AR2488" s="7"/>
      <c r="AS2488" s="7"/>
    </row>
    <row r="2489" spans="1:45" x14ac:dyDescent="0.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Q2489" s="7"/>
      <c r="R2489" s="7"/>
      <c r="S2489" s="7"/>
      <c r="T2489" s="7"/>
      <c r="U2489" s="7"/>
      <c r="V2489" s="7"/>
      <c r="AC2489" s="7"/>
      <c r="AD2489" s="7"/>
      <c r="AE2489" s="7"/>
      <c r="AF2489" s="7"/>
      <c r="AG2489" s="7"/>
      <c r="AO2489" s="7"/>
      <c r="AP2489" s="7"/>
      <c r="AQ2489" s="7"/>
      <c r="AR2489" s="7"/>
      <c r="AS2489" s="7"/>
    </row>
    <row r="2490" spans="1:45" x14ac:dyDescent="0.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Q2490" s="7"/>
      <c r="R2490" s="7"/>
      <c r="S2490" s="7"/>
      <c r="T2490" s="7"/>
      <c r="U2490" s="7"/>
      <c r="V2490" s="7"/>
      <c r="AC2490" s="7"/>
      <c r="AD2490" s="7"/>
      <c r="AE2490" s="7"/>
      <c r="AF2490" s="7"/>
      <c r="AG2490" s="7"/>
      <c r="AO2490" s="7"/>
      <c r="AP2490" s="7"/>
      <c r="AQ2490" s="7"/>
      <c r="AR2490" s="7"/>
      <c r="AS2490" s="7"/>
    </row>
    <row r="2491" spans="1:45" x14ac:dyDescent="0.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Q2491" s="7"/>
      <c r="R2491" s="7"/>
      <c r="S2491" s="7"/>
      <c r="T2491" s="7"/>
      <c r="U2491" s="7"/>
      <c r="V2491" s="7"/>
      <c r="AC2491" s="7"/>
      <c r="AD2491" s="7"/>
      <c r="AE2491" s="7"/>
      <c r="AF2491" s="7"/>
      <c r="AG2491" s="7"/>
      <c r="AO2491" s="7"/>
      <c r="AP2491" s="7"/>
      <c r="AQ2491" s="7"/>
      <c r="AR2491" s="7"/>
      <c r="AS2491" s="7"/>
    </row>
    <row r="2492" spans="1:45" x14ac:dyDescent="0.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Q2492" s="7"/>
      <c r="R2492" s="7"/>
      <c r="S2492" s="7"/>
      <c r="T2492" s="7"/>
      <c r="U2492" s="7"/>
      <c r="V2492" s="7"/>
      <c r="AC2492" s="7"/>
      <c r="AD2492" s="7"/>
      <c r="AE2492" s="7"/>
      <c r="AF2492" s="7"/>
      <c r="AG2492" s="7"/>
      <c r="AO2492" s="7"/>
      <c r="AP2492" s="7"/>
      <c r="AQ2492" s="7"/>
      <c r="AR2492" s="7"/>
      <c r="AS2492" s="7"/>
    </row>
    <row r="2493" spans="1:45" x14ac:dyDescent="0.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Q2493" s="7"/>
      <c r="R2493" s="7"/>
      <c r="S2493" s="7"/>
      <c r="T2493" s="7"/>
      <c r="U2493" s="7"/>
      <c r="V2493" s="7"/>
      <c r="AC2493" s="7"/>
      <c r="AD2493" s="7"/>
      <c r="AE2493" s="7"/>
      <c r="AF2493" s="7"/>
      <c r="AG2493" s="7"/>
      <c r="AO2493" s="7"/>
      <c r="AP2493" s="7"/>
      <c r="AQ2493" s="7"/>
      <c r="AR2493" s="7"/>
      <c r="AS2493" s="7"/>
    </row>
    <row r="2494" spans="1:45" x14ac:dyDescent="0.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Q2494" s="7"/>
      <c r="R2494" s="7"/>
      <c r="S2494" s="7"/>
      <c r="T2494" s="7"/>
      <c r="U2494" s="7"/>
      <c r="V2494" s="7"/>
      <c r="AC2494" s="7"/>
      <c r="AD2494" s="7"/>
      <c r="AE2494" s="7"/>
      <c r="AF2494" s="7"/>
      <c r="AG2494" s="7"/>
      <c r="AO2494" s="7"/>
      <c r="AP2494" s="7"/>
      <c r="AQ2494" s="7"/>
      <c r="AR2494" s="7"/>
      <c r="AS2494" s="7"/>
    </row>
    <row r="2495" spans="1:45" x14ac:dyDescent="0.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Q2495" s="7"/>
      <c r="R2495" s="7"/>
      <c r="S2495" s="7"/>
      <c r="T2495" s="7"/>
      <c r="U2495" s="7"/>
      <c r="V2495" s="7"/>
      <c r="AC2495" s="7"/>
      <c r="AD2495" s="7"/>
      <c r="AE2495" s="7"/>
      <c r="AF2495" s="7"/>
      <c r="AG2495" s="7"/>
      <c r="AO2495" s="7"/>
      <c r="AP2495" s="7"/>
      <c r="AQ2495" s="7"/>
      <c r="AR2495" s="7"/>
      <c r="AS2495" s="7"/>
    </row>
    <row r="2496" spans="1:45" x14ac:dyDescent="0.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Q2496" s="7"/>
      <c r="R2496" s="7"/>
      <c r="S2496" s="7"/>
      <c r="T2496" s="7"/>
      <c r="U2496" s="7"/>
      <c r="V2496" s="7"/>
      <c r="AC2496" s="7"/>
      <c r="AD2496" s="7"/>
      <c r="AE2496" s="7"/>
      <c r="AF2496" s="7"/>
      <c r="AG2496" s="7"/>
      <c r="AO2496" s="7"/>
      <c r="AP2496" s="7"/>
      <c r="AQ2496" s="7"/>
      <c r="AR2496" s="7"/>
      <c r="AS2496" s="7"/>
    </row>
    <row r="2497" spans="1:45" x14ac:dyDescent="0.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Q2497" s="7"/>
      <c r="R2497" s="7"/>
      <c r="S2497" s="7"/>
      <c r="T2497" s="7"/>
      <c r="U2497" s="7"/>
      <c r="V2497" s="7"/>
      <c r="AC2497" s="7"/>
      <c r="AD2497" s="7"/>
      <c r="AE2497" s="7"/>
      <c r="AF2497" s="7"/>
      <c r="AG2497" s="7"/>
      <c r="AO2497" s="7"/>
      <c r="AP2497" s="7"/>
      <c r="AQ2497" s="7"/>
      <c r="AR2497" s="7"/>
      <c r="AS2497" s="7"/>
    </row>
    <row r="2498" spans="1:45" x14ac:dyDescent="0.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Q2498" s="7"/>
      <c r="R2498" s="7"/>
      <c r="S2498" s="7"/>
      <c r="T2498" s="7"/>
      <c r="U2498" s="7"/>
      <c r="V2498" s="7"/>
      <c r="AC2498" s="7"/>
      <c r="AD2498" s="7"/>
      <c r="AE2498" s="7"/>
      <c r="AF2498" s="7"/>
      <c r="AG2498" s="7"/>
      <c r="AO2498" s="7"/>
      <c r="AP2498" s="7"/>
      <c r="AQ2498" s="7"/>
      <c r="AR2498" s="7"/>
      <c r="AS2498" s="7"/>
    </row>
    <row r="2499" spans="1:45" x14ac:dyDescent="0.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Q2499" s="7"/>
      <c r="R2499" s="7"/>
      <c r="S2499" s="7"/>
      <c r="T2499" s="7"/>
      <c r="U2499" s="7"/>
      <c r="V2499" s="7"/>
      <c r="AC2499" s="7"/>
      <c r="AD2499" s="7"/>
      <c r="AE2499" s="7"/>
      <c r="AF2499" s="7"/>
      <c r="AG2499" s="7"/>
      <c r="AO2499" s="7"/>
      <c r="AP2499" s="7"/>
      <c r="AQ2499" s="7"/>
      <c r="AR2499" s="7"/>
      <c r="AS2499" s="7"/>
    </row>
    <row r="2500" spans="1:45" x14ac:dyDescent="0.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Q2500" s="7"/>
      <c r="R2500" s="7"/>
      <c r="S2500" s="7"/>
      <c r="T2500" s="7"/>
      <c r="U2500" s="7"/>
      <c r="V2500" s="7"/>
      <c r="AC2500" s="7"/>
      <c r="AD2500" s="7"/>
      <c r="AE2500" s="7"/>
      <c r="AF2500" s="7"/>
      <c r="AG2500" s="7"/>
      <c r="AO2500" s="7"/>
      <c r="AP2500" s="7"/>
      <c r="AQ2500" s="7"/>
      <c r="AR2500" s="7"/>
      <c r="AS2500" s="7"/>
    </row>
    <row r="2501" spans="1:45" x14ac:dyDescent="0.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Q2501" s="7"/>
      <c r="R2501" s="7"/>
      <c r="S2501" s="7"/>
      <c r="T2501" s="7"/>
      <c r="U2501" s="7"/>
      <c r="V2501" s="7"/>
      <c r="AC2501" s="7"/>
      <c r="AD2501" s="7"/>
      <c r="AE2501" s="7"/>
      <c r="AF2501" s="7"/>
      <c r="AG2501" s="7"/>
      <c r="AO2501" s="7"/>
      <c r="AP2501" s="7"/>
      <c r="AQ2501" s="7"/>
      <c r="AR2501" s="7"/>
      <c r="AS2501" s="7"/>
    </row>
    <row r="2502" spans="1:45" x14ac:dyDescent="0.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Q2502" s="7"/>
      <c r="R2502" s="7"/>
      <c r="S2502" s="7"/>
      <c r="T2502" s="7"/>
      <c r="U2502" s="7"/>
      <c r="V2502" s="7"/>
      <c r="AC2502" s="7"/>
      <c r="AD2502" s="7"/>
      <c r="AE2502" s="7"/>
      <c r="AF2502" s="7"/>
      <c r="AG2502" s="7"/>
      <c r="AO2502" s="7"/>
      <c r="AP2502" s="7"/>
      <c r="AQ2502" s="7"/>
      <c r="AR2502" s="7"/>
      <c r="AS2502" s="7"/>
    </row>
    <row r="2503" spans="1:45" x14ac:dyDescent="0.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Q2503" s="7"/>
      <c r="R2503" s="7"/>
      <c r="S2503" s="7"/>
      <c r="T2503" s="7"/>
      <c r="U2503" s="7"/>
      <c r="V2503" s="7"/>
      <c r="AC2503" s="7"/>
      <c r="AD2503" s="7"/>
      <c r="AE2503" s="7"/>
      <c r="AF2503" s="7"/>
      <c r="AG2503" s="7"/>
      <c r="AO2503" s="7"/>
      <c r="AP2503" s="7"/>
      <c r="AQ2503" s="7"/>
      <c r="AR2503" s="7"/>
      <c r="AS2503" s="7"/>
    </row>
    <row r="2504" spans="1:45" x14ac:dyDescent="0.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Q2504" s="7"/>
      <c r="R2504" s="7"/>
      <c r="S2504" s="7"/>
      <c r="T2504" s="7"/>
      <c r="U2504" s="7"/>
      <c r="V2504" s="7"/>
      <c r="AC2504" s="7"/>
      <c r="AD2504" s="7"/>
      <c r="AE2504" s="7"/>
      <c r="AF2504" s="7"/>
      <c r="AG2504" s="7"/>
      <c r="AO2504" s="7"/>
      <c r="AP2504" s="7"/>
      <c r="AQ2504" s="7"/>
      <c r="AR2504" s="7"/>
      <c r="AS2504" s="7"/>
    </row>
    <row r="2505" spans="1:45" x14ac:dyDescent="0.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Q2505" s="7"/>
      <c r="R2505" s="7"/>
      <c r="S2505" s="7"/>
      <c r="T2505" s="7"/>
      <c r="U2505" s="7"/>
      <c r="V2505" s="7"/>
      <c r="AC2505" s="7"/>
      <c r="AD2505" s="7"/>
      <c r="AE2505" s="7"/>
      <c r="AF2505" s="7"/>
      <c r="AG2505" s="7"/>
      <c r="AO2505" s="7"/>
      <c r="AP2505" s="7"/>
      <c r="AQ2505" s="7"/>
      <c r="AR2505" s="7"/>
      <c r="AS2505" s="7"/>
    </row>
    <row r="2506" spans="1:45" x14ac:dyDescent="0.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Q2506" s="7"/>
      <c r="R2506" s="7"/>
      <c r="S2506" s="7"/>
      <c r="T2506" s="7"/>
      <c r="U2506" s="7"/>
      <c r="V2506" s="7"/>
      <c r="AC2506" s="7"/>
      <c r="AD2506" s="7"/>
      <c r="AE2506" s="7"/>
      <c r="AF2506" s="7"/>
      <c r="AG2506" s="7"/>
      <c r="AO2506" s="7"/>
      <c r="AP2506" s="7"/>
      <c r="AQ2506" s="7"/>
      <c r="AR2506" s="7"/>
      <c r="AS2506" s="7"/>
    </row>
    <row r="2507" spans="1:45" x14ac:dyDescent="0.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Q2507" s="7"/>
      <c r="R2507" s="7"/>
      <c r="S2507" s="7"/>
      <c r="T2507" s="7"/>
      <c r="U2507" s="7"/>
      <c r="V2507" s="7"/>
      <c r="AC2507" s="7"/>
      <c r="AD2507" s="7"/>
      <c r="AE2507" s="7"/>
      <c r="AF2507" s="7"/>
      <c r="AG2507" s="7"/>
      <c r="AO2507" s="7"/>
      <c r="AP2507" s="7"/>
      <c r="AQ2507" s="7"/>
      <c r="AR2507" s="7"/>
      <c r="AS2507" s="7"/>
    </row>
    <row r="2508" spans="1:45" x14ac:dyDescent="0.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Q2508" s="7"/>
      <c r="R2508" s="7"/>
      <c r="S2508" s="7"/>
      <c r="T2508" s="7"/>
      <c r="U2508" s="7"/>
      <c r="V2508" s="7"/>
      <c r="AC2508" s="7"/>
      <c r="AD2508" s="7"/>
      <c r="AE2508" s="7"/>
      <c r="AF2508" s="7"/>
      <c r="AG2508" s="7"/>
      <c r="AO2508" s="7"/>
      <c r="AP2508" s="7"/>
      <c r="AQ2508" s="7"/>
      <c r="AR2508" s="7"/>
      <c r="AS2508" s="7"/>
    </row>
    <row r="2509" spans="1:45" x14ac:dyDescent="0.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Q2509" s="7"/>
      <c r="R2509" s="7"/>
      <c r="S2509" s="7"/>
      <c r="T2509" s="7"/>
      <c r="U2509" s="7"/>
      <c r="V2509" s="7"/>
      <c r="AC2509" s="7"/>
      <c r="AD2509" s="7"/>
      <c r="AE2509" s="7"/>
      <c r="AF2509" s="7"/>
      <c r="AG2509" s="7"/>
      <c r="AO2509" s="7"/>
      <c r="AP2509" s="7"/>
      <c r="AQ2509" s="7"/>
      <c r="AR2509" s="7"/>
      <c r="AS2509" s="7"/>
    </row>
    <row r="2510" spans="1:45" x14ac:dyDescent="0.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Q2510" s="7"/>
      <c r="R2510" s="7"/>
      <c r="S2510" s="7"/>
      <c r="T2510" s="7"/>
      <c r="U2510" s="7"/>
      <c r="V2510" s="7"/>
      <c r="AC2510" s="7"/>
      <c r="AD2510" s="7"/>
      <c r="AE2510" s="7"/>
      <c r="AF2510" s="7"/>
      <c r="AG2510" s="7"/>
      <c r="AO2510" s="7"/>
      <c r="AP2510" s="7"/>
      <c r="AQ2510" s="7"/>
      <c r="AR2510" s="7"/>
      <c r="AS2510" s="7"/>
    </row>
    <row r="2511" spans="1:45" x14ac:dyDescent="0.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Q2511" s="7"/>
      <c r="R2511" s="7"/>
      <c r="S2511" s="7"/>
      <c r="T2511" s="7"/>
      <c r="U2511" s="7"/>
      <c r="V2511" s="7"/>
      <c r="AC2511" s="7"/>
      <c r="AD2511" s="7"/>
      <c r="AE2511" s="7"/>
      <c r="AF2511" s="7"/>
      <c r="AG2511" s="7"/>
      <c r="AO2511" s="7"/>
      <c r="AP2511" s="7"/>
      <c r="AQ2511" s="7"/>
      <c r="AR2511" s="7"/>
      <c r="AS2511" s="7"/>
    </row>
    <row r="2512" spans="1:45" x14ac:dyDescent="0.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Q2512" s="7"/>
      <c r="R2512" s="7"/>
      <c r="S2512" s="7"/>
      <c r="T2512" s="7"/>
      <c r="U2512" s="7"/>
      <c r="V2512" s="7"/>
      <c r="AC2512" s="7"/>
      <c r="AD2512" s="7"/>
      <c r="AE2512" s="7"/>
      <c r="AF2512" s="7"/>
      <c r="AG2512" s="7"/>
      <c r="AO2512" s="7"/>
      <c r="AP2512" s="7"/>
      <c r="AQ2512" s="7"/>
      <c r="AR2512" s="7"/>
      <c r="AS2512" s="7"/>
    </row>
    <row r="2513" spans="1:45" x14ac:dyDescent="0.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Q2513" s="7"/>
      <c r="R2513" s="7"/>
      <c r="S2513" s="7"/>
      <c r="T2513" s="7"/>
      <c r="U2513" s="7"/>
      <c r="V2513" s="7"/>
      <c r="AC2513" s="7"/>
      <c r="AD2513" s="7"/>
      <c r="AE2513" s="7"/>
      <c r="AF2513" s="7"/>
      <c r="AG2513" s="7"/>
      <c r="AO2513" s="7"/>
      <c r="AP2513" s="7"/>
      <c r="AQ2513" s="7"/>
      <c r="AR2513" s="7"/>
      <c r="AS2513" s="7"/>
    </row>
    <row r="2514" spans="1:45" x14ac:dyDescent="0.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Q2514" s="7"/>
      <c r="R2514" s="7"/>
      <c r="S2514" s="7"/>
      <c r="T2514" s="7"/>
      <c r="U2514" s="7"/>
      <c r="V2514" s="7"/>
      <c r="AC2514" s="7"/>
      <c r="AD2514" s="7"/>
      <c r="AE2514" s="7"/>
      <c r="AF2514" s="7"/>
      <c r="AG2514" s="7"/>
      <c r="AO2514" s="7"/>
      <c r="AP2514" s="7"/>
      <c r="AQ2514" s="7"/>
      <c r="AR2514" s="7"/>
      <c r="AS2514" s="7"/>
    </row>
    <row r="2515" spans="1:45" x14ac:dyDescent="0.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Q2515" s="7"/>
      <c r="R2515" s="7"/>
      <c r="S2515" s="7"/>
      <c r="T2515" s="7"/>
      <c r="U2515" s="7"/>
      <c r="V2515" s="7"/>
      <c r="AC2515" s="7"/>
      <c r="AD2515" s="7"/>
      <c r="AE2515" s="7"/>
      <c r="AF2515" s="7"/>
      <c r="AG2515" s="7"/>
      <c r="AO2515" s="7"/>
      <c r="AP2515" s="7"/>
      <c r="AQ2515" s="7"/>
      <c r="AR2515" s="7"/>
      <c r="AS2515" s="7"/>
    </row>
    <row r="2516" spans="1:45" x14ac:dyDescent="0.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Q2516" s="7"/>
      <c r="R2516" s="7"/>
      <c r="S2516" s="7"/>
      <c r="T2516" s="7"/>
      <c r="U2516" s="7"/>
      <c r="V2516" s="7"/>
      <c r="AC2516" s="7"/>
      <c r="AD2516" s="7"/>
      <c r="AE2516" s="7"/>
      <c r="AF2516" s="7"/>
      <c r="AG2516" s="7"/>
      <c r="AO2516" s="7"/>
      <c r="AP2516" s="7"/>
      <c r="AQ2516" s="7"/>
      <c r="AR2516" s="7"/>
      <c r="AS2516" s="7"/>
    </row>
    <row r="2517" spans="1:45" x14ac:dyDescent="0.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Q2517" s="7"/>
      <c r="R2517" s="7"/>
      <c r="S2517" s="7"/>
      <c r="T2517" s="7"/>
      <c r="U2517" s="7"/>
      <c r="V2517" s="7"/>
      <c r="AC2517" s="7"/>
      <c r="AD2517" s="7"/>
      <c r="AE2517" s="7"/>
      <c r="AF2517" s="7"/>
      <c r="AG2517" s="7"/>
      <c r="AO2517" s="7"/>
      <c r="AP2517" s="7"/>
      <c r="AQ2517" s="7"/>
      <c r="AR2517" s="7"/>
      <c r="AS2517" s="7"/>
    </row>
    <row r="2518" spans="1:45" x14ac:dyDescent="0.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Q2518" s="7"/>
      <c r="R2518" s="7"/>
      <c r="S2518" s="7"/>
      <c r="T2518" s="7"/>
      <c r="U2518" s="7"/>
      <c r="V2518" s="7"/>
      <c r="AC2518" s="7"/>
      <c r="AD2518" s="7"/>
      <c r="AE2518" s="7"/>
      <c r="AF2518" s="7"/>
      <c r="AG2518" s="7"/>
      <c r="AO2518" s="7"/>
      <c r="AP2518" s="7"/>
      <c r="AQ2518" s="7"/>
      <c r="AR2518" s="7"/>
      <c r="AS2518" s="7"/>
    </row>
    <row r="2519" spans="1:45" x14ac:dyDescent="0.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Q2519" s="7"/>
      <c r="R2519" s="7"/>
      <c r="S2519" s="7"/>
      <c r="T2519" s="7"/>
      <c r="U2519" s="7"/>
      <c r="V2519" s="7"/>
      <c r="AC2519" s="7"/>
      <c r="AD2519" s="7"/>
      <c r="AE2519" s="7"/>
      <c r="AF2519" s="7"/>
      <c r="AG2519" s="7"/>
      <c r="AO2519" s="7"/>
      <c r="AP2519" s="7"/>
      <c r="AQ2519" s="7"/>
      <c r="AR2519" s="7"/>
      <c r="AS2519" s="7"/>
    </row>
    <row r="2520" spans="1:45" x14ac:dyDescent="0.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Q2520" s="7"/>
      <c r="R2520" s="7"/>
      <c r="S2520" s="7"/>
      <c r="T2520" s="7"/>
      <c r="U2520" s="7"/>
      <c r="V2520" s="7"/>
      <c r="AC2520" s="7"/>
      <c r="AD2520" s="7"/>
      <c r="AE2520" s="7"/>
      <c r="AF2520" s="7"/>
      <c r="AG2520" s="7"/>
      <c r="AO2520" s="7"/>
      <c r="AP2520" s="7"/>
      <c r="AQ2520" s="7"/>
      <c r="AR2520" s="7"/>
      <c r="AS2520" s="7"/>
    </row>
    <row r="2521" spans="1:45" x14ac:dyDescent="0.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Q2521" s="7"/>
      <c r="R2521" s="7"/>
      <c r="S2521" s="7"/>
      <c r="T2521" s="7"/>
      <c r="U2521" s="7"/>
      <c r="V2521" s="7"/>
      <c r="AC2521" s="7"/>
      <c r="AD2521" s="7"/>
      <c r="AE2521" s="7"/>
      <c r="AF2521" s="7"/>
      <c r="AG2521" s="7"/>
      <c r="AO2521" s="7"/>
      <c r="AP2521" s="7"/>
      <c r="AQ2521" s="7"/>
      <c r="AR2521" s="7"/>
      <c r="AS2521" s="7"/>
    </row>
    <row r="2522" spans="1:45" x14ac:dyDescent="0.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Q2522" s="7"/>
      <c r="R2522" s="7"/>
      <c r="S2522" s="7"/>
      <c r="T2522" s="7"/>
      <c r="U2522" s="7"/>
      <c r="V2522" s="7"/>
      <c r="AC2522" s="7"/>
      <c r="AD2522" s="7"/>
      <c r="AE2522" s="7"/>
      <c r="AF2522" s="7"/>
      <c r="AG2522" s="7"/>
      <c r="AO2522" s="7"/>
      <c r="AP2522" s="7"/>
      <c r="AQ2522" s="7"/>
      <c r="AR2522" s="7"/>
      <c r="AS2522" s="7"/>
    </row>
    <row r="2523" spans="1:45" x14ac:dyDescent="0.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Q2523" s="7"/>
      <c r="R2523" s="7"/>
      <c r="S2523" s="7"/>
      <c r="T2523" s="7"/>
      <c r="U2523" s="7"/>
      <c r="V2523" s="7"/>
      <c r="AC2523" s="7"/>
      <c r="AD2523" s="7"/>
      <c r="AE2523" s="7"/>
      <c r="AF2523" s="7"/>
      <c r="AG2523" s="7"/>
      <c r="AO2523" s="7"/>
      <c r="AP2523" s="7"/>
      <c r="AQ2523" s="7"/>
      <c r="AR2523" s="7"/>
      <c r="AS2523" s="7"/>
    </row>
    <row r="2524" spans="1:45" x14ac:dyDescent="0.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Q2524" s="7"/>
      <c r="R2524" s="7"/>
      <c r="S2524" s="7"/>
      <c r="T2524" s="7"/>
      <c r="U2524" s="7"/>
      <c r="V2524" s="7"/>
      <c r="AC2524" s="7"/>
      <c r="AD2524" s="7"/>
      <c r="AE2524" s="7"/>
      <c r="AF2524" s="7"/>
      <c r="AG2524" s="7"/>
      <c r="AO2524" s="7"/>
      <c r="AP2524" s="7"/>
      <c r="AQ2524" s="7"/>
      <c r="AR2524" s="7"/>
      <c r="AS2524" s="7"/>
    </row>
    <row r="2525" spans="1:45" x14ac:dyDescent="0.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Q2525" s="7"/>
      <c r="R2525" s="7"/>
      <c r="S2525" s="7"/>
      <c r="T2525" s="7"/>
      <c r="U2525" s="7"/>
      <c r="V2525" s="7"/>
      <c r="AC2525" s="7"/>
      <c r="AD2525" s="7"/>
      <c r="AE2525" s="7"/>
      <c r="AF2525" s="7"/>
      <c r="AG2525" s="7"/>
      <c r="AO2525" s="7"/>
      <c r="AP2525" s="7"/>
      <c r="AQ2525" s="7"/>
      <c r="AR2525" s="7"/>
      <c r="AS2525" s="7"/>
    </row>
    <row r="2526" spans="1:45" x14ac:dyDescent="0.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Q2526" s="7"/>
      <c r="R2526" s="7"/>
      <c r="S2526" s="7"/>
      <c r="T2526" s="7"/>
      <c r="U2526" s="7"/>
      <c r="V2526" s="7"/>
      <c r="AC2526" s="7"/>
      <c r="AD2526" s="7"/>
      <c r="AE2526" s="7"/>
      <c r="AF2526" s="7"/>
      <c r="AG2526" s="7"/>
      <c r="AO2526" s="7"/>
      <c r="AP2526" s="7"/>
      <c r="AQ2526" s="7"/>
      <c r="AR2526" s="7"/>
      <c r="AS2526" s="7"/>
    </row>
    <row r="2527" spans="1:45" x14ac:dyDescent="0.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Q2527" s="7"/>
      <c r="R2527" s="7"/>
      <c r="S2527" s="7"/>
      <c r="T2527" s="7"/>
      <c r="U2527" s="7"/>
      <c r="V2527" s="7"/>
      <c r="AC2527" s="7"/>
      <c r="AD2527" s="7"/>
      <c r="AE2527" s="7"/>
      <c r="AF2527" s="7"/>
      <c r="AG2527" s="7"/>
      <c r="AO2527" s="7"/>
      <c r="AP2527" s="7"/>
      <c r="AQ2527" s="7"/>
      <c r="AR2527" s="7"/>
      <c r="AS2527" s="7"/>
    </row>
    <row r="2528" spans="1:45" x14ac:dyDescent="0.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Q2528" s="7"/>
      <c r="R2528" s="7"/>
      <c r="S2528" s="7"/>
      <c r="T2528" s="7"/>
      <c r="U2528" s="7"/>
      <c r="V2528" s="7"/>
      <c r="AC2528" s="7"/>
      <c r="AD2528" s="7"/>
      <c r="AE2528" s="7"/>
      <c r="AF2528" s="7"/>
      <c r="AG2528" s="7"/>
      <c r="AO2528" s="7"/>
      <c r="AP2528" s="7"/>
      <c r="AQ2528" s="7"/>
      <c r="AR2528" s="7"/>
      <c r="AS2528" s="7"/>
    </row>
    <row r="2529" spans="1:45" x14ac:dyDescent="0.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Q2529" s="7"/>
      <c r="R2529" s="7"/>
      <c r="S2529" s="7"/>
      <c r="T2529" s="7"/>
      <c r="U2529" s="7"/>
      <c r="V2529" s="7"/>
      <c r="AC2529" s="7"/>
      <c r="AD2529" s="7"/>
      <c r="AE2529" s="7"/>
      <c r="AF2529" s="7"/>
      <c r="AG2529" s="7"/>
      <c r="AO2529" s="7"/>
      <c r="AP2529" s="7"/>
      <c r="AQ2529" s="7"/>
      <c r="AR2529" s="7"/>
      <c r="AS2529" s="7"/>
    </row>
    <row r="2530" spans="1:45" x14ac:dyDescent="0.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Q2530" s="7"/>
      <c r="R2530" s="7"/>
      <c r="S2530" s="7"/>
      <c r="T2530" s="7"/>
      <c r="U2530" s="7"/>
      <c r="V2530" s="7"/>
      <c r="AC2530" s="7"/>
      <c r="AD2530" s="7"/>
      <c r="AE2530" s="7"/>
      <c r="AF2530" s="7"/>
      <c r="AG2530" s="7"/>
      <c r="AO2530" s="7"/>
      <c r="AP2530" s="7"/>
      <c r="AQ2530" s="7"/>
      <c r="AR2530" s="7"/>
      <c r="AS2530" s="7"/>
    </row>
    <row r="2531" spans="1:45" x14ac:dyDescent="0.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Q2531" s="7"/>
      <c r="R2531" s="7"/>
      <c r="S2531" s="7"/>
      <c r="T2531" s="7"/>
      <c r="U2531" s="7"/>
      <c r="V2531" s="7"/>
      <c r="AC2531" s="7"/>
      <c r="AD2531" s="7"/>
      <c r="AE2531" s="7"/>
      <c r="AF2531" s="7"/>
      <c r="AG2531" s="7"/>
      <c r="AO2531" s="7"/>
      <c r="AP2531" s="7"/>
      <c r="AQ2531" s="7"/>
      <c r="AR2531" s="7"/>
      <c r="AS2531" s="7"/>
    </row>
    <row r="2532" spans="1:45" x14ac:dyDescent="0.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Q2532" s="7"/>
      <c r="R2532" s="7"/>
      <c r="S2532" s="7"/>
      <c r="T2532" s="7"/>
      <c r="U2532" s="7"/>
      <c r="V2532" s="7"/>
      <c r="AC2532" s="7"/>
      <c r="AD2532" s="7"/>
      <c r="AE2532" s="7"/>
      <c r="AF2532" s="7"/>
      <c r="AG2532" s="7"/>
      <c r="AO2532" s="7"/>
      <c r="AP2532" s="7"/>
      <c r="AQ2532" s="7"/>
      <c r="AR2532" s="7"/>
      <c r="AS2532" s="7"/>
    </row>
    <row r="2533" spans="1:45" x14ac:dyDescent="0.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Q2533" s="7"/>
      <c r="R2533" s="7"/>
      <c r="S2533" s="7"/>
      <c r="T2533" s="7"/>
      <c r="U2533" s="7"/>
      <c r="V2533" s="7"/>
      <c r="AC2533" s="7"/>
      <c r="AD2533" s="7"/>
      <c r="AE2533" s="7"/>
      <c r="AF2533" s="7"/>
      <c r="AG2533" s="7"/>
      <c r="AO2533" s="7"/>
      <c r="AP2533" s="7"/>
      <c r="AQ2533" s="7"/>
      <c r="AR2533" s="7"/>
      <c r="AS2533" s="7"/>
    </row>
    <row r="2534" spans="1:45" x14ac:dyDescent="0.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Q2534" s="7"/>
      <c r="R2534" s="7"/>
      <c r="S2534" s="7"/>
      <c r="T2534" s="7"/>
      <c r="U2534" s="7"/>
      <c r="V2534" s="7"/>
      <c r="AC2534" s="7"/>
      <c r="AD2534" s="7"/>
      <c r="AE2534" s="7"/>
      <c r="AF2534" s="7"/>
      <c r="AG2534" s="7"/>
      <c r="AO2534" s="7"/>
      <c r="AP2534" s="7"/>
      <c r="AQ2534" s="7"/>
      <c r="AR2534" s="7"/>
      <c r="AS2534" s="7"/>
    </row>
    <row r="2535" spans="1:45" x14ac:dyDescent="0.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Q2535" s="7"/>
      <c r="R2535" s="7"/>
      <c r="S2535" s="7"/>
      <c r="T2535" s="7"/>
      <c r="U2535" s="7"/>
      <c r="V2535" s="7"/>
      <c r="AC2535" s="7"/>
      <c r="AD2535" s="7"/>
      <c r="AE2535" s="7"/>
      <c r="AF2535" s="7"/>
      <c r="AG2535" s="7"/>
      <c r="AO2535" s="7"/>
      <c r="AP2535" s="7"/>
      <c r="AQ2535" s="7"/>
      <c r="AR2535" s="7"/>
      <c r="AS2535" s="7"/>
    </row>
    <row r="2536" spans="1:45" x14ac:dyDescent="0.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Q2536" s="7"/>
      <c r="R2536" s="7"/>
      <c r="S2536" s="7"/>
      <c r="T2536" s="7"/>
      <c r="U2536" s="7"/>
      <c r="V2536" s="7"/>
      <c r="AC2536" s="7"/>
      <c r="AD2536" s="7"/>
      <c r="AE2536" s="7"/>
      <c r="AF2536" s="7"/>
      <c r="AG2536" s="7"/>
      <c r="AO2536" s="7"/>
      <c r="AP2536" s="7"/>
      <c r="AQ2536" s="7"/>
      <c r="AR2536" s="7"/>
      <c r="AS2536" s="7"/>
    </row>
    <row r="2537" spans="1:45" x14ac:dyDescent="0.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Q2537" s="7"/>
      <c r="R2537" s="7"/>
      <c r="S2537" s="7"/>
      <c r="T2537" s="7"/>
      <c r="U2537" s="7"/>
      <c r="V2537" s="7"/>
      <c r="AC2537" s="7"/>
      <c r="AD2537" s="7"/>
      <c r="AE2537" s="7"/>
      <c r="AF2537" s="7"/>
      <c r="AG2537" s="7"/>
      <c r="AO2537" s="7"/>
      <c r="AP2537" s="7"/>
      <c r="AQ2537" s="7"/>
      <c r="AR2537" s="7"/>
      <c r="AS2537" s="7"/>
    </row>
    <row r="2538" spans="1:45" x14ac:dyDescent="0.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Q2538" s="7"/>
      <c r="R2538" s="7"/>
      <c r="S2538" s="7"/>
      <c r="T2538" s="7"/>
      <c r="U2538" s="7"/>
      <c r="V2538" s="7"/>
      <c r="AC2538" s="7"/>
      <c r="AD2538" s="7"/>
      <c r="AE2538" s="7"/>
      <c r="AF2538" s="7"/>
      <c r="AG2538" s="7"/>
      <c r="AO2538" s="7"/>
      <c r="AP2538" s="7"/>
      <c r="AQ2538" s="7"/>
      <c r="AR2538" s="7"/>
      <c r="AS2538" s="7"/>
    </row>
    <row r="2539" spans="1:45" x14ac:dyDescent="0.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Q2539" s="7"/>
      <c r="R2539" s="7"/>
      <c r="S2539" s="7"/>
      <c r="T2539" s="7"/>
      <c r="U2539" s="7"/>
      <c r="V2539" s="7"/>
      <c r="AC2539" s="7"/>
      <c r="AD2539" s="7"/>
      <c r="AE2539" s="7"/>
      <c r="AF2539" s="7"/>
      <c r="AG2539" s="7"/>
      <c r="AO2539" s="7"/>
      <c r="AP2539" s="7"/>
      <c r="AQ2539" s="7"/>
      <c r="AR2539" s="7"/>
      <c r="AS2539" s="7"/>
    </row>
    <row r="2540" spans="1:45" x14ac:dyDescent="0.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Q2540" s="7"/>
      <c r="R2540" s="7"/>
      <c r="S2540" s="7"/>
      <c r="T2540" s="7"/>
      <c r="U2540" s="7"/>
      <c r="V2540" s="7"/>
      <c r="AC2540" s="7"/>
      <c r="AD2540" s="7"/>
      <c r="AE2540" s="7"/>
      <c r="AF2540" s="7"/>
      <c r="AG2540" s="7"/>
      <c r="AO2540" s="7"/>
      <c r="AP2540" s="7"/>
      <c r="AQ2540" s="7"/>
      <c r="AR2540" s="7"/>
      <c r="AS2540" s="7"/>
    </row>
    <row r="2541" spans="1:45" x14ac:dyDescent="0.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Q2541" s="7"/>
      <c r="R2541" s="7"/>
      <c r="S2541" s="7"/>
      <c r="T2541" s="7"/>
      <c r="U2541" s="7"/>
      <c r="V2541" s="7"/>
      <c r="AC2541" s="7"/>
      <c r="AD2541" s="7"/>
      <c r="AE2541" s="7"/>
      <c r="AF2541" s="7"/>
      <c r="AG2541" s="7"/>
      <c r="AO2541" s="7"/>
      <c r="AP2541" s="7"/>
      <c r="AQ2541" s="7"/>
      <c r="AR2541" s="7"/>
      <c r="AS2541" s="7"/>
    </row>
    <row r="2542" spans="1:45" x14ac:dyDescent="0.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Q2542" s="7"/>
      <c r="R2542" s="7"/>
      <c r="S2542" s="7"/>
      <c r="T2542" s="7"/>
      <c r="U2542" s="7"/>
      <c r="V2542" s="7"/>
      <c r="AC2542" s="7"/>
      <c r="AD2542" s="7"/>
      <c r="AE2542" s="7"/>
      <c r="AF2542" s="7"/>
      <c r="AG2542" s="7"/>
      <c r="AO2542" s="7"/>
      <c r="AP2542" s="7"/>
      <c r="AQ2542" s="7"/>
      <c r="AR2542" s="7"/>
      <c r="AS2542" s="7"/>
    </row>
    <row r="2543" spans="1:45" x14ac:dyDescent="0.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Q2543" s="7"/>
      <c r="R2543" s="7"/>
      <c r="S2543" s="7"/>
      <c r="T2543" s="7"/>
      <c r="U2543" s="7"/>
      <c r="V2543" s="7"/>
      <c r="AC2543" s="7"/>
      <c r="AD2543" s="7"/>
      <c r="AE2543" s="7"/>
      <c r="AF2543" s="7"/>
      <c r="AG2543" s="7"/>
      <c r="AO2543" s="7"/>
      <c r="AP2543" s="7"/>
      <c r="AQ2543" s="7"/>
      <c r="AR2543" s="7"/>
      <c r="AS2543" s="7"/>
    </row>
    <row r="2544" spans="1:45" x14ac:dyDescent="0.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Q2544" s="7"/>
      <c r="R2544" s="7"/>
      <c r="S2544" s="7"/>
      <c r="T2544" s="7"/>
      <c r="U2544" s="7"/>
      <c r="V2544" s="7"/>
      <c r="AC2544" s="7"/>
      <c r="AD2544" s="7"/>
      <c r="AE2544" s="7"/>
      <c r="AF2544" s="7"/>
      <c r="AG2544" s="7"/>
      <c r="AO2544" s="7"/>
      <c r="AP2544" s="7"/>
      <c r="AQ2544" s="7"/>
      <c r="AR2544" s="7"/>
      <c r="AS2544" s="7"/>
    </row>
    <row r="2545" spans="1:45" x14ac:dyDescent="0.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Q2545" s="7"/>
      <c r="R2545" s="7"/>
      <c r="S2545" s="7"/>
      <c r="T2545" s="7"/>
      <c r="U2545" s="7"/>
      <c r="V2545" s="7"/>
      <c r="AC2545" s="7"/>
      <c r="AD2545" s="7"/>
      <c r="AE2545" s="7"/>
      <c r="AF2545" s="7"/>
      <c r="AG2545" s="7"/>
      <c r="AO2545" s="7"/>
      <c r="AP2545" s="7"/>
      <c r="AQ2545" s="7"/>
      <c r="AR2545" s="7"/>
      <c r="AS2545" s="7"/>
    </row>
    <row r="2546" spans="1:45" x14ac:dyDescent="0.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Q2546" s="7"/>
      <c r="R2546" s="7"/>
      <c r="S2546" s="7"/>
      <c r="T2546" s="7"/>
      <c r="U2546" s="7"/>
      <c r="V2546" s="7"/>
      <c r="AC2546" s="7"/>
      <c r="AD2546" s="7"/>
      <c r="AE2546" s="7"/>
      <c r="AF2546" s="7"/>
      <c r="AG2546" s="7"/>
      <c r="AO2546" s="7"/>
      <c r="AP2546" s="7"/>
      <c r="AQ2546" s="7"/>
      <c r="AR2546" s="7"/>
      <c r="AS2546" s="7"/>
    </row>
    <row r="2547" spans="1:45" x14ac:dyDescent="0.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Q2547" s="7"/>
      <c r="R2547" s="7"/>
      <c r="S2547" s="7"/>
      <c r="T2547" s="7"/>
      <c r="U2547" s="7"/>
      <c r="V2547" s="7"/>
      <c r="AC2547" s="7"/>
      <c r="AD2547" s="7"/>
      <c r="AE2547" s="7"/>
      <c r="AF2547" s="7"/>
      <c r="AG2547" s="7"/>
      <c r="AO2547" s="7"/>
      <c r="AP2547" s="7"/>
      <c r="AQ2547" s="7"/>
      <c r="AR2547" s="7"/>
      <c r="AS2547" s="7"/>
    </row>
    <row r="2548" spans="1:45" x14ac:dyDescent="0.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Q2548" s="7"/>
      <c r="R2548" s="7"/>
      <c r="S2548" s="7"/>
      <c r="T2548" s="7"/>
      <c r="U2548" s="7"/>
      <c r="V2548" s="7"/>
      <c r="AC2548" s="7"/>
      <c r="AD2548" s="7"/>
      <c r="AE2548" s="7"/>
      <c r="AF2548" s="7"/>
      <c r="AG2548" s="7"/>
      <c r="AO2548" s="7"/>
      <c r="AP2548" s="7"/>
      <c r="AQ2548" s="7"/>
      <c r="AR2548" s="7"/>
      <c r="AS2548" s="7"/>
    </row>
    <row r="2549" spans="1:45" x14ac:dyDescent="0.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Q2549" s="7"/>
      <c r="R2549" s="7"/>
      <c r="S2549" s="7"/>
      <c r="T2549" s="7"/>
      <c r="U2549" s="7"/>
      <c r="V2549" s="7"/>
      <c r="AC2549" s="7"/>
      <c r="AD2549" s="7"/>
      <c r="AE2549" s="7"/>
      <c r="AF2549" s="7"/>
      <c r="AG2549" s="7"/>
      <c r="AO2549" s="7"/>
      <c r="AP2549" s="7"/>
      <c r="AQ2549" s="7"/>
      <c r="AR2549" s="7"/>
      <c r="AS2549" s="7"/>
    </row>
    <row r="2550" spans="1:45" x14ac:dyDescent="0.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Q2550" s="7"/>
      <c r="R2550" s="7"/>
      <c r="S2550" s="7"/>
      <c r="T2550" s="7"/>
      <c r="U2550" s="7"/>
      <c r="V2550" s="7"/>
      <c r="AC2550" s="7"/>
      <c r="AD2550" s="7"/>
      <c r="AE2550" s="7"/>
      <c r="AF2550" s="7"/>
      <c r="AG2550" s="7"/>
      <c r="AO2550" s="7"/>
      <c r="AP2550" s="7"/>
      <c r="AQ2550" s="7"/>
      <c r="AR2550" s="7"/>
      <c r="AS2550" s="7"/>
    </row>
    <row r="2551" spans="1:45" x14ac:dyDescent="0.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Q2551" s="7"/>
      <c r="R2551" s="7"/>
      <c r="S2551" s="7"/>
      <c r="T2551" s="7"/>
      <c r="U2551" s="7"/>
      <c r="V2551" s="7"/>
      <c r="AC2551" s="7"/>
      <c r="AD2551" s="7"/>
      <c r="AE2551" s="7"/>
      <c r="AF2551" s="7"/>
      <c r="AG2551" s="7"/>
      <c r="AO2551" s="7"/>
      <c r="AP2551" s="7"/>
      <c r="AQ2551" s="7"/>
      <c r="AR2551" s="7"/>
      <c r="AS2551" s="7"/>
    </row>
    <row r="2552" spans="1:45" x14ac:dyDescent="0.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Q2552" s="7"/>
      <c r="R2552" s="7"/>
      <c r="S2552" s="7"/>
      <c r="T2552" s="7"/>
      <c r="U2552" s="7"/>
      <c r="V2552" s="7"/>
      <c r="AC2552" s="7"/>
      <c r="AD2552" s="7"/>
      <c r="AE2552" s="7"/>
      <c r="AF2552" s="7"/>
      <c r="AG2552" s="7"/>
      <c r="AO2552" s="7"/>
      <c r="AP2552" s="7"/>
      <c r="AQ2552" s="7"/>
      <c r="AR2552" s="7"/>
      <c r="AS2552" s="7"/>
    </row>
    <row r="2553" spans="1:45" x14ac:dyDescent="0.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Q2553" s="7"/>
      <c r="R2553" s="7"/>
      <c r="S2553" s="7"/>
      <c r="T2553" s="7"/>
      <c r="U2553" s="7"/>
      <c r="V2553" s="7"/>
      <c r="AC2553" s="7"/>
      <c r="AD2553" s="7"/>
      <c r="AE2553" s="7"/>
      <c r="AF2553" s="7"/>
      <c r="AG2553" s="7"/>
      <c r="AO2553" s="7"/>
      <c r="AP2553" s="7"/>
      <c r="AQ2553" s="7"/>
      <c r="AR2553" s="7"/>
      <c r="AS2553" s="7"/>
    </row>
    <row r="2554" spans="1:45" x14ac:dyDescent="0.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Q2554" s="7"/>
      <c r="R2554" s="7"/>
      <c r="S2554" s="7"/>
      <c r="T2554" s="7"/>
      <c r="U2554" s="7"/>
      <c r="V2554" s="7"/>
      <c r="AC2554" s="7"/>
      <c r="AD2554" s="7"/>
      <c r="AE2554" s="7"/>
      <c r="AF2554" s="7"/>
      <c r="AG2554" s="7"/>
      <c r="AO2554" s="7"/>
      <c r="AP2554" s="7"/>
      <c r="AQ2554" s="7"/>
      <c r="AR2554" s="7"/>
      <c r="AS2554" s="7"/>
    </row>
    <row r="2555" spans="1:45" x14ac:dyDescent="0.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Q2555" s="7"/>
      <c r="R2555" s="7"/>
      <c r="S2555" s="7"/>
      <c r="T2555" s="7"/>
      <c r="U2555" s="7"/>
      <c r="V2555" s="7"/>
      <c r="AC2555" s="7"/>
      <c r="AD2555" s="7"/>
      <c r="AE2555" s="7"/>
      <c r="AF2555" s="7"/>
      <c r="AG2555" s="7"/>
      <c r="AO2555" s="7"/>
      <c r="AP2555" s="7"/>
      <c r="AQ2555" s="7"/>
      <c r="AR2555" s="7"/>
      <c r="AS2555" s="7"/>
    </row>
    <row r="2556" spans="1:45" x14ac:dyDescent="0.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Q2556" s="7"/>
      <c r="R2556" s="7"/>
      <c r="S2556" s="7"/>
      <c r="T2556" s="7"/>
      <c r="U2556" s="7"/>
      <c r="V2556" s="7"/>
      <c r="AC2556" s="7"/>
      <c r="AD2556" s="7"/>
      <c r="AE2556" s="7"/>
      <c r="AF2556" s="7"/>
      <c r="AG2556" s="7"/>
      <c r="AO2556" s="7"/>
      <c r="AP2556" s="7"/>
      <c r="AQ2556" s="7"/>
      <c r="AR2556" s="7"/>
      <c r="AS2556" s="7"/>
    </row>
    <row r="2557" spans="1:45" x14ac:dyDescent="0.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Q2557" s="7"/>
      <c r="R2557" s="7"/>
      <c r="S2557" s="7"/>
      <c r="T2557" s="7"/>
      <c r="U2557" s="7"/>
      <c r="V2557" s="7"/>
      <c r="AC2557" s="7"/>
      <c r="AD2557" s="7"/>
      <c r="AE2557" s="7"/>
      <c r="AF2557" s="7"/>
      <c r="AG2557" s="7"/>
      <c r="AO2557" s="7"/>
      <c r="AP2557" s="7"/>
      <c r="AQ2557" s="7"/>
      <c r="AR2557" s="7"/>
      <c r="AS2557" s="7"/>
    </row>
    <row r="2558" spans="1:45" x14ac:dyDescent="0.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Q2558" s="7"/>
      <c r="R2558" s="7"/>
      <c r="S2558" s="7"/>
      <c r="T2558" s="7"/>
      <c r="U2558" s="7"/>
      <c r="V2558" s="7"/>
      <c r="AC2558" s="7"/>
      <c r="AD2558" s="7"/>
      <c r="AE2558" s="7"/>
      <c r="AF2558" s="7"/>
      <c r="AG2558" s="7"/>
      <c r="AO2558" s="7"/>
      <c r="AP2558" s="7"/>
      <c r="AQ2558" s="7"/>
      <c r="AR2558" s="7"/>
      <c r="AS2558" s="7"/>
    </row>
    <row r="2559" spans="1:45" x14ac:dyDescent="0.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Q2559" s="7"/>
      <c r="R2559" s="7"/>
      <c r="S2559" s="7"/>
      <c r="T2559" s="7"/>
      <c r="U2559" s="7"/>
      <c r="V2559" s="7"/>
      <c r="AC2559" s="7"/>
      <c r="AD2559" s="7"/>
      <c r="AE2559" s="7"/>
      <c r="AF2559" s="7"/>
      <c r="AG2559" s="7"/>
      <c r="AO2559" s="7"/>
      <c r="AP2559" s="7"/>
      <c r="AQ2559" s="7"/>
      <c r="AR2559" s="7"/>
      <c r="AS2559" s="7"/>
    </row>
    <row r="2560" spans="1:45" x14ac:dyDescent="0.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Q2560" s="7"/>
      <c r="R2560" s="7"/>
      <c r="S2560" s="7"/>
      <c r="T2560" s="7"/>
      <c r="U2560" s="7"/>
      <c r="V2560" s="7"/>
      <c r="AC2560" s="7"/>
      <c r="AD2560" s="7"/>
      <c r="AE2560" s="7"/>
      <c r="AF2560" s="7"/>
      <c r="AG2560" s="7"/>
      <c r="AO2560" s="7"/>
      <c r="AP2560" s="7"/>
      <c r="AQ2560" s="7"/>
      <c r="AR2560" s="7"/>
      <c r="AS2560" s="7"/>
    </row>
    <row r="2561" spans="1:45" x14ac:dyDescent="0.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Q2561" s="7"/>
      <c r="R2561" s="7"/>
      <c r="S2561" s="7"/>
      <c r="T2561" s="7"/>
      <c r="U2561" s="7"/>
      <c r="V2561" s="7"/>
      <c r="AC2561" s="7"/>
      <c r="AD2561" s="7"/>
      <c r="AE2561" s="7"/>
      <c r="AF2561" s="7"/>
      <c r="AG2561" s="7"/>
      <c r="AO2561" s="7"/>
      <c r="AP2561" s="7"/>
      <c r="AQ2561" s="7"/>
      <c r="AR2561" s="7"/>
      <c r="AS2561" s="7"/>
    </row>
    <row r="2562" spans="1:45" x14ac:dyDescent="0.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Q2562" s="7"/>
      <c r="R2562" s="7"/>
      <c r="S2562" s="7"/>
      <c r="T2562" s="7"/>
      <c r="U2562" s="7"/>
      <c r="V2562" s="7"/>
      <c r="AC2562" s="7"/>
      <c r="AD2562" s="7"/>
      <c r="AE2562" s="7"/>
      <c r="AF2562" s="7"/>
      <c r="AG2562" s="7"/>
      <c r="AO2562" s="7"/>
      <c r="AP2562" s="7"/>
      <c r="AQ2562" s="7"/>
      <c r="AR2562" s="7"/>
      <c r="AS2562" s="7"/>
    </row>
    <row r="2563" spans="1:45" x14ac:dyDescent="0.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Q2563" s="7"/>
      <c r="R2563" s="7"/>
      <c r="S2563" s="7"/>
      <c r="T2563" s="7"/>
      <c r="U2563" s="7"/>
      <c r="V2563" s="7"/>
      <c r="AC2563" s="7"/>
      <c r="AD2563" s="7"/>
      <c r="AE2563" s="7"/>
      <c r="AF2563" s="7"/>
      <c r="AG2563" s="7"/>
      <c r="AO2563" s="7"/>
      <c r="AP2563" s="7"/>
      <c r="AQ2563" s="7"/>
      <c r="AR2563" s="7"/>
      <c r="AS2563" s="7"/>
    </row>
    <row r="2564" spans="1:45" x14ac:dyDescent="0.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Q2564" s="7"/>
      <c r="R2564" s="7"/>
      <c r="S2564" s="7"/>
      <c r="T2564" s="7"/>
      <c r="U2564" s="7"/>
      <c r="V2564" s="7"/>
      <c r="AC2564" s="7"/>
      <c r="AD2564" s="7"/>
      <c r="AE2564" s="7"/>
      <c r="AF2564" s="7"/>
      <c r="AG2564" s="7"/>
      <c r="AO2564" s="7"/>
      <c r="AP2564" s="7"/>
      <c r="AQ2564" s="7"/>
      <c r="AR2564" s="7"/>
      <c r="AS2564" s="7"/>
    </row>
    <row r="2565" spans="1:45" x14ac:dyDescent="0.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Q2565" s="7"/>
      <c r="R2565" s="7"/>
      <c r="S2565" s="7"/>
      <c r="T2565" s="7"/>
      <c r="U2565" s="7"/>
      <c r="V2565" s="7"/>
      <c r="AC2565" s="7"/>
      <c r="AD2565" s="7"/>
      <c r="AE2565" s="7"/>
      <c r="AF2565" s="7"/>
      <c r="AG2565" s="7"/>
      <c r="AO2565" s="7"/>
      <c r="AP2565" s="7"/>
      <c r="AQ2565" s="7"/>
      <c r="AR2565" s="7"/>
      <c r="AS2565" s="7"/>
    </row>
    <row r="2566" spans="1:45" x14ac:dyDescent="0.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Q2566" s="7"/>
      <c r="R2566" s="7"/>
      <c r="S2566" s="7"/>
      <c r="T2566" s="7"/>
      <c r="U2566" s="7"/>
      <c r="V2566" s="7"/>
      <c r="AC2566" s="7"/>
      <c r="AD2566" s="7"/>
      <c r="AE2566" s="7"/>
      <c r="AF2566" s="7"/>
      <c r="AG2566" s="7"/>
      <c r="AO2566" s="7"/>
      <c r="AP2566" s="7"/>
      <c r="AQ2566" s="7"/>
      <c r="AR2566" s="7"/>
      <c r="AS2566" s="7"/>
    </row>
    <row r="2567" spans="1:45" x14ac:dyDescent="0.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Q2567" s="7"/>
      <c r="R2567" s="7"/>
      <c r="S2567" s="7"/>
      <c r="T2567" s="7"/>
      <c r="U2567" s="7"/>
      <c r="V2567" s="7"/>
      <c r="AC2567" s="7"/>
      <c r="AD2567" s="7"/>
      <c r="AE2567" s="7"/>
      <c r="AF2567" s="7"/>
      <c r="AG2567" s="7"/>
      <c r="AO2567" s="7"/>
      <c r="AP2567" s="7"/>
      <c r="AQ2567" s="7"/>
      <c r="AR2567" s="7"/>
      <c r="AS2567" s="7"/>
    </row>
    <row r="2568" spans="1:45" x14ac:dyDescent="0.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Q2568" s="7"/>
      <c r="R2568" s="7"/>
      <c r="S2568" s="7"/>
      <c r="T2568" s="7"/>
      <c r="U2568" s="7"/>
      <c r="V2568" s="7"/>
      <c r="AC2568" s="7"/>
      <c r="AD2568" s="7"/>
      <c r="AE2568" s="7"/>
      <c r="AF2568" s="7"/>
      <c r="AG2568" s="7"/>
      <c r="AO2568" s="7"/>
      <c r="AP2568" s="7"/>
      <c r="AQ2568" s="7"/>
      <c r="AR2568" s="7"/>
      <c r="AS2568" s="7"/>
    </row>
    <row r="2569" spans="1:45" x14ac:dyDescent="0.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Q2569" s="7"/>
      <c r="R2569" s="7"/>
      <c r="S2569" s="7"/>
      <c r="T2569" s="7"/>
      <c r="U2569" s="7"/>
      <c r="V2569" s="7"/>
      <c r="AC2569" s="7"/>
      <c r="AD2569" s="7"/>
      <c r="AE2569" s="7"/>
      <c r="AF2569" s="7"/>
      <c r="AG2569" s="7"/>
      <c r="AO2569" s="7"/>
      <c r="AP2569" s="7"/>
      <c r="AQ2569" s="7"/>
      <c r="AR2569" s="7"/>
      <c r="AS2569" s="7"/>
    </row>
    <row r="2570" spans="1:45" x14ac:dyDescent="0.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Q2570" s="7"/>
      <c r="R2570" s="7"/>
      <c r="S2570" s="7"/>
      <c r="T2570" s="7"/>
      <c r="U2570" s="7"/>
      <c r="V2570" s="7"/>
      <c r="AC2570" s="7"/>
      <c r="AD2570" s="7"/>
      <c r="AE2570" s="7"/>
      <c r="AF2570" s="7"/>
      <c r="AG2570" s="7"/>
      <c r="AO2570" s="7"/>
      <c r="AP2570" s="7"/>
      <c r="AQ2570" s="7"/>
      <c r="AR2570" s="7"/>
      <c r="AS2570" s="7"/>
    </row>
    <row r="2571" spans="1:45" x14ac:dyDescent="0.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Q2571" s="7"/>
      <c r="R2571" s="7"/>
      <c r="S2571" s="7"/>
      <c r="T2571" s="7"/>
      <c r="U2571" s="7"/>
      <c r="V2571" s="7"/>
      <c r="AC2571" s="7"/>
      <c r="AD2571" s="7"/>
      <c r="AE2571" s="7"/>
      <c r="AF2571" s="7"/>
      <c r="AG2571" s="7"/>
      <c r="AO2571" s="7"/>
      <c r="AP2571" s="7"/>
      <c r="AQ2571" s="7"/>
      <c r="AR2571" s="7"/>
      <c r="AS2571" s="7"/>
    </row>
    <row r="2572" spans="1:45" x14ac:dyDescent="0.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Q2572" s="7"/>
      <c r="R2572" s="7"/>
      <c r="S2572" s="7"/>
      <c r="T2572" s="7"/>
      <c r="U2572" s="7"/>
      <c r="V2572" s="7"/>
      <c r="AC2572" s="7"/>
      <c r="AD2572" s="7"/>
      <c r="AE2572" s="7"/>
      <c r="AF2572" s="7"/>
      <c r="AG2572" s="7"/>
      <c r="AO2572" s="7"/>
      <c r="AP2572" s="7"/>
      <c r="AQ2572" s="7"/>
      <c r="AR2572" s="7"/>
      <c r="AS2572" s="7"/>
    </row>
    <row r="2573" spans="1:45" x14ac:dyDescent="0.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Q2573" s="7"/>
      <c r="R2573" s="7"/>
      <c r="S2573" s="7"/>
      <c r="T2573" s="7"/>
      <c r="U2573" s="7"/>
      <c r="V2573" s="7"/>
      <c r="AC2573" s="7"/>
      <c r="AD2573" s="7"/>
      <c r="AE2573" s="7"/>
      <c r="AF2573" s="7"/>
      <c r="AG2573" s="7"/>
      <c r="AO2573" s="7"/>
      <c r="AP2573" s="7"/>
      <c r="AQ2573" s="7"/>
      <c r="AR2573" s="7"/>
      <c r="AS2573" s="7"/>
    </row>
    <row r="2574" spans="1:45" x14ac:dyDescent="0.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Q2574" s="7"/>
      <c r="R2574" s="7"/>
      <c r="S2574" s="7"/>
      <c r="T2574" s="7"/>
      <c r="U2574" s="7"/>
      <c r="V2574" s="7"/>
      <c r="AC2574" s="7"/>
      <c r="AD2574" s="7"/>
      <c r="AE2574" s="7"/>
      <c r="AF2574" s="7"/>
      <c r="AG2574" s="7"/>
      <c r="AO2574" s="7"/>
      <c r="AP2574" s="7"/>
      <c r="AQ2574" s="7"/>
      <c r="AR2574" s="7"/>
      <c r="AS2574" s="7"/>
    </row>
    <row r="2575" spans="1:45" x14ac:dyDescent="0.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Q2575" s="7"/>
      <c r="R2575" s="7"/>
      <c r="S2575" s="7"/>
      <c r="T2575" s="7"/>
      <c r="U2575" s="7"/>
      <c r="V2575" s="7"/>
      <c r="AC2575" s="7"/>
      <c r="AD2575" s="7"/>
      <c r="AE2575" s="7"/>
      <c r="AF2575" s="7"/>
      <c r="AG2575" s="7"/>
      <c r="AO2575" s="7"/>
      <c r="AP2575" s="7"/>
      <c r="AQ2575" s="7"/>
      <c r="AR2575" s="7"/>
      <c r="AS2575" s="7"/>
    </row>
    <row r="2576" spans="1:45" x14ac:dyDescent="0.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Q2576" s="7"/>
      <c r="R2576" s="7"/>
      <c r="S2576" s="7"/>
      <c r="T2576" s="7"/>
      <c r="U2576" s="7"/>
      <c r="V2576" s="7"/>
      <c r="AC2576" s="7"/>
      <c r="AD2576" s="7"/>
      <c r="AE2576" s="7"/>
      <c r="AF2576" s="7"/>
      <c r="AG2576" s="7"/>
      <c r="AO2576" s="7"/>
      <c r="AP2576" s="7"/>
      <c r="AQ2576" s="7"/>
      <c r="AR2576" s="7"/>
      <c r="AS2576" s="7"/>
    </row>
    <row r="2577" spans="1:45" x14ac:dyDescent="0.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Q2577" s="7"/>
      <c r="R2577" s="7"/>
      <c r="S2577" s="7"/>
      <c r="T2577" s="7"/>
      <c r="U2577" s="7"/>
      <c r="V2577" s="7"/>
      <c r="AC2577" s="7"/>
      <c r="AD2577" s="7"/>
      <c r="AE2577" s="7"/>
      <c r="AF2577" s="7"/>
      <c r="AG2577" s="7"/>
      <c r="AO2577" s="7"/>
      <c r="AP2577" s="7"/>
      <c r="AQ2577" s="7"/>
      <c r="AR2577" s="7"/>
      <c r="AS2577" s="7"/>
    </row>
    <row r="2578" spans="1:45" x14ac:dyDescent="0.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Q2578" s="7"/>
      <c r="R2578" s="7"/>
      <c r="S2578" s="7"/>
      <c r="T2578" s="7"/>
      <c r="U2578" s="7"/>
      <c r="V2578" s="7"/>
      <c r="AC2578" s="7"/>
      <c r="AD2578" s="7"/>
      <c r="AE2578" s="7"/>
      <c r="AF2578" s="7"/>
      <c r="AG2578" s="7"/>
      <c r="AO2578" s="7"/>
      <c r="AP2578" s="7"/>
      <c r="AQ2578" s="7"/>
      <c r="AR2578" s="7"/>
      <c r="AS2578" s="7"/>
    </row>
    <row r="2579" spans="1:45" x14ac:dyDescent="0.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Q2579" s="7"/>
      <c r="R2579" s="7"/>
      <c r="S2579" s="7"/>
      <c r="T2579" s="7"/>
      <c r="U2579" s="7"/>
      <c r="V2579" s="7"/>
      <c r="AC2579" s="7"/>
      <c r="AD2579" s="7"/>
      <c r="AE2579" s="7"/>
      <c r="AF2579" s="7"/>
      <c r="AG2579" s="7"/>
      <c r="AO2579" s="7"/>
      <c r="AP2579" s="7"/>
      <c r="AQ2579" s="7"/>
      <c r="AR2579" s="7"/>
      <c r="AS2579" s="7"/>
    </row>
    <row r="2580" spans="1:45" x14ac:dyDescent="0.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Q2580" s="7"/>
      <c r="R2580" s="7"/>
      <c r="S2580" s="7"/>
      <c r="T2580" s="7"/>
      <c r="U2580" s="7"/>
      <c r="V2580" s="7"/>
      <c r="AC2580" s="7"/>
      <c r="AD2580" s="7"/>
      <c r="AE2580" s="7"/>
      <c r="AF2580" s="7"/>
      <c r="AG2580" s="7"/>
      <c r="AO2580" s="7"/>
      <c r="AP2580" s="7"/>
      <c r="AQ2580" s="7"/>
      <c r="AR2580" s="7"/>
      <c r="AS2580" s="7"/>
    </row>
    <row r="2581" spans="1:45" x14ac:dyDescent="0.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Q2581" s="7"/>
      <c r="R2581" s="7"/>
      <c r="S2581" s="7"/>
      <c r="T2581" s="7"/>
      <c r="U2581" s="7"/>
      <c r="V2581" s="7"/>
      <c r="AC2581" s="7"/>
      <c r="AD2581" s="7"/>
      <c r="AE2581" s="7"/>
      <c r="AF2581" s="7"/>
      <c r="AG2581" s="7"/>
      <c r="AO2581" s="7"/>
      <c r="AP2581" s="7"/>
      <c r="AQ2581" s="7"/>
      <c r="AR2581" s="7"/>
      <c r="AS2581" s="7"/>
    </row>
    <row r="2582" spans="1:45" x14ac:dyDescent="0.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Q2582" s="7"/>
      <c r="R2582" s="7"/>
      <c r="S2582" s="7"/>
      <c r="T2582" s="7"/>
      <c r="U2582" s="7"/>
      <c r="V2582" s="7"/>
      <c r="AC2582" s="7"/>
      <c r="AD2582" s="7"/>
      <c r="AE2582" s="7"/>
      <c r="AF2582" s="7"/>
      <c r="AG2582" s="7"/>
      <c r="AO2582" s="7"/>
      <c r="AP2582" s="7"/>
      <c r="AQ2582" s="7"/>
      <c r="AR2582" s="7"/>
      <c r="AS2582" s="7"/>
    </row>
    <row r="2583" spans="1:45" x14ac:dyDescent="0.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Q2583" s="7"/>
      <c r="R2583" s="7"/>
      <c r="S2583" s="7"/>
      <c r="T2583" s="7"/>
      <c r="U2583" s="7"/>
      <c r="V2583" s="7"/>
      <c r="AC2583" s="7"/>
      <c r="AD2583" s="7"/>
      <c r="AE2583" s="7"/>
      <c r="AF2583" s="7"/>
      <c r="AG2583" s="7"/>
      <c r="AO2583" s="7"/>
      <c r="AP2583" s="7"/>
      <c r="AQ2583" s="7"/>
      <c r="AR2583" s="7"/>
      <c r="AS2583" s="7"/>
    </row>
    <row r="2584" spans="1:45" x14ac:dyDescent="0.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Q2584" s="7"/>
      <c r="R2584" s="7"/>
      <c r="S2584" s="7"/>
      <c r="T2584" s="7"/>
      <c r="U2584" s="7"/>
      <c r="V2584" s="7"/>
      <c r="AC2584" s="7"/>
      <c r="AD2584" s="7"/>
      <c r="AE2584" s="7"/>
      <c r="AF2584" s="7"/>
      <c r="AG2584" s="7"/>
      <c r="AO2584" s="7"/>
      <c r="AP2584" s="7"/>
      <c r="AQ2584" s="7"/>
      <c r="AR2584" s="7"/>
      <c r="AS2584" s="7"/>
    </row>
    <row r="2585" spans="1:45" x14ac:dyDescent="0.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Q2585" s="7"/>
      <c r="R2585" s="7"/>
      <c r="S2585" s="7"/>
      <c r="T2585" s="7"/>
      <c r="U2585" s="7"/>
      <c r="V2585" s="7"/>
      <c r="AC2585" s="7"/>
      <c r="AD2585" s="7"/>
      <c r="AE2585" s="7"/>
      <c r="AF2585" s="7"/>
      <c r="AG2585" s="7"/>
      <c r="AO2585" s="7"/>
      <c r="AP2585" s="7"/>
      <c r="AQ2585" s="7"/>
      <c r="AR2585" s="7"/>
      <c r="AS2585" s="7"/>
    </row>
    <row r="2586" spans="1:45" x14ac:dyDescent="0.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Q2586" s="7"/>
      <c r="R2586" s="7"/>
      <c r="S2586" s="7"/>
      <c r="T2586" s="7"/>
      <c r="U2586" s="7"/>
      <c r="V2586" s="7"/>
      <c r="AC2586" s="7"/>
      <c r="AD2586" s="7"/>
      <c r="AE2586" s="7"/>
      <c r="AF2586" s="7"/>
      <c r="AG2586" s="7"/>
      <c r="AO2586" s="7"/>
      <c r="AP2586" s="7"/>
      <c r="AQ2586" s="7"/>
      <c r="AR2586" s="7"/>
      <c r="AS2586" s="7"/>
    </row>
    <row r="2587" spans="1:45" x14ac:dyDescent="0.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Q2587" s="7"/>
      <c r="R2587" s="7"/>
      <c r="S2587" s="7"/>
      <c r="T2587" s="7"/>
      <c r="U2587" s="7"/>
      <c r="V2587" s="7"/>
      <c r="AC2587" s="7"/>
      <c r="AD2587" s="7"/>
      <c r="AE2587" s="7"/>
      <c r="AF2587" s="7"/>
      <c r="AG2587" s="7"/>
      <c r="AO2587" s="7"/>
      <c r="AP2587" s="7"/>
      <c r="AQ2587" s="7"/>
      <c r="AR2587" s="7"/>
      <c r="AS2587" s="7"/>
    </row>
    <row r="2588" spans="1:45" x14ac:dyDescent="0.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Q2588" s="7"/>
      <c r="R2588" s="7"/>
      <c r="S2588" s="7"/>
      <c r="T2588" s="7"/>
      <c r="U2588" s="7"/>
      <c r="V2588" s="7"/>
      <c r="AC2588" s="7"/>
      <c r="AD2588" s="7"/>
      <c r="AE2588" s="7"/>
      <c r="AF2588" s="7"/>
      <c r="AG2588" s="7"/>
      <c r="AO2588" s="7"/>
      <c r="AP2588" s="7"/>
      <c r="AQ2588" s="7"/>
      <c r="AR2588" s="7"/>
      <c r="AS2588" s="7"/>
    </row>
    <row r="2589" spans="1:45" x14ac:dyDescent="0.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Q2589" s="7"/>
      <c r="R2589" s="7"/>
      <c r="S2589" s="7"/>
      <c r="T2589" s="7"/>
      <c r="U2589" s="7"/>
      <c r="V2589" s="7"/>
      <c r="AC2589" s="7"/>
      <c r="AD2589" s="7"/>
      <c r="AE2589" s="7"/>
      <c r="AF2589" s="7"/>
      <c r="AG2589" s="7"/>
      <c r="AO2589" s="7"/>
      <c r="AP2589" s="7"/>
      <c r="AQ2589" s="7"/>
      <c r="AR2589" s="7"/>
      <c r="AS2589" s="7"/>
    </row>
    <row r="2590" spans="1:45" x14ac:dyDescent="0.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Q2590" s="7"/>
      <c r="R2590" s="7"/>
      <c r="S2590" s="7"/>
      <c r="T2590" s="7"/>
      <c r="U2590" s="7"/>
      <c r="V2590" s="7"/>
      <c r="AC2590" s="7"/>
      <c r="AD2590" s="7"/>
      <c r="AE2590" s="7"/>
      <c r="AF2590" s="7"/>
      <c r="AG2590" s="7"/>
      <c r="AO2590" s="7"/>
      <c r="AP2590" s="7"/>
      <c r="AQ2590" s="7"/>
      <c r="AR2590" s="7"/>
      <c r="AS2590" s="7"/>
    </row>
    <row r="2591" spans="1:45" x14ac:dyDescent="0.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Q2591" s="7"/>
      <c r="R2591" s="7"/>
      <c r="S2591" s="7"/>
      <c r="T2591" s="7"/>
      <c r="U2591" s="7"/>
      <c r="V2591" s="7"/>
      <c r="AC2591" s="7"/>
      <c r="AD2591" s="7"/>
      <c r="AE2591" s="7"/>
      <c r="AF2591" s="7"/>
      <c r="AG2591" s="7"/>
      <c r="AO2591" s="7"/>
      <c r="AP2591" s="7"/>
      <c r="AQ2591" s="7"/>
      <c r="AR2591" s="7"/>
      <c r="AS2591" s="7"/>
    </row>
    <row r="2592" spans="1:45" x14ac:dyDescent="0.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Q2592" s="7"/>
      <c r="R2592" s="7"/>
      <c r="S2592" s="7"/>
      <c r="T2592" s="7"/>
      <c r="U2592" s="7"/>
      <c r="V2592" s="7"/>
      <c r="AC2592" s="7"/>
      <c r="AD2592" s="7"/>
      <c r="AE2592" s="7"/>
      <c r="AF2592" s="7"/>
      <c r="AG2592" s="7"/>
      <c r="AO2592" s="7"/>
      <c r="AP2592" s="7"/>
      <c r="AQ2592" s="7"/>
      <c r="AR2592" s="7"/>
      <c r="AS2592" s="7"/>
    </row>
    <row r="2593" spans="1:45" x14ac:dyDescent="0.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Q2593" s="7"/>
      <c r="R2593" s="7"/>
      <c r="S2593" s="7"/>
      <c r="T2593" s="7"/>
      <c r="U2593" s="7"/>
      <c r="V2593" s="7"/>
      <c r="AC2593" s="7"/>
      <c r="AD2593" s="7"/>
      <c r="AE2593" s="7"/>
      <c r="AF2593" s="7"/>
      <c r="AG2593" s="7"/>
      <c r="AO2593" s="7"/>
      <c r="AP2593" s="7"/>
      <c r="AQ2593" s="7"/>
      <c r="AR2593" s="7"/>
      <c r="AS2593" s="7"/>
    </row>
    <row r="2594" spans="1:45" x14ac:dyDescent="0.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Q2594" s="7"/>
      <c r="R2594" s="7"/>
      <c r="S2594" s="7"/>
      <c r="T2594" s="7"/>
      <c r="U2594" s="7"/>
      <c r="V2594" s="7"/>
      <c r="AC2594" s="7"/>
      <c r="AD2594" s="7"/>
      <c r="AE2594" s="7"/>
      <c r="AF2594" s="7"/>
      <c r="AG2594" s="7"/>
      <c r="AO2594" s="7"/>
      <c r="AP2594" s="7"/>
      <c r="AQ2594" s="7"/>
      <c r="AR2594" s="7"/>
      <c r="AS2594" s="7"/>
    </row>
    <row r="2595" spans="1:45" x14ac:dyDescent="0.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Q2595" s="7"/>
      <c r="R2595" s="7"/>
      <c r="S2595" s="7"/>
      <c r="T2595" s="7"/>
      <c r="U2595" s="7"/>
      <c r="V2595" s="7"/>
      <c r="AC2595" s="7"/>
      <c r="AD2595" s="7"/>
      <c r="AE2595" s="7"/>
      <c r="AF2595" s="7"/>
      <c r="AG2595" s="7"/>
      <c r="AO2595" s="7"/>
      <c r="AP2595" s="7"/>
      <c r="AQ2595" s="7"/>
      <c r="AR2595" s="7"/>
      <c r="AS2595" s="7"/>
    </row>
    <row r="2596" spans="1:45" x14ac:dyDescent="0.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Q2596" s="7"/>
      <c r="R2596" s="7"/>
      <c r="S2596" s="7"/>
      <c r="T2596" s="7"/>
      <c r="U2596" s="7"/>
      <c r="V2596" s="7"/>
      <c r="AC2596" s="7"/>
      <c r="AD2596" s="7"/>
      <c r="AE2596" s="7"/>
      <c r="AF2596" s="7"/>
      <c r="AG2596" s="7"/>
      <c r="AO2596" s="7"/>
      <c r="AP2596" s="7"/>
      <c r="AQ2596" s="7"/>
      <c r="AR2596" s="7"/>
      <c r="AS2596" s="7"/>
    </row>
    <row r="2597" spans="1:45" x14ac:dyDescent="0.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Q2597" s="7"/>
      <c r="R2597" s="7"/>
      <c r="S2597" s="7"/>
      <c r="T2597" s="7"/>
      <c r="U2597" s="7"/>
      <c r="V2597" s="7"/>
      <c r="AC2597" s="7"/>
      <c r="AD2597" s="7"/>
      <c r="AE2597" s="7"/>
      <c r="AF2597" s="7"/>
      <c r="AG2597" s="7"/>
      <c r="AO2597" s="7"/>
      <c r="AP2597" s="7"/>
      <c r="AQ2597" s="7"/>
      <c r="AR2597" s="7"/>
      <c r="AS2597" s="7"/>
    </row>
    <row r="2598" spans="1:45" x14ac:dyDescent="0.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Q2598" s="7"/>
      <c r="R2598" s="7"/>
      <c r="S2598" s="7"/>
      <c r="T2598" s="7"/>
      <c r="U2598" s="7"/>
      <c r="V2598" s="7"/>
      <c r="AC2598" s="7"/>
      <c r="AD2598" s="7"/>
      <c r="AE2598" s="7"/>
      <c r="AF2598" s="7"/>
      <c r="AG2598" s="7"/>
      <c r="AO2598" s="7"/>
      <c r="AP2598" s="7"/>
      <c r="AQ2598" s="7"/>
      <c r="AR2598" s="7"/>
      <c r="AS2598" s="7"/>
    </row>
    <row r="2599" spans="1:45" x14ac:dyDescent="0.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Q2599" s="7"/>
      <c r="R2599" s="7"/>
      <c r="S2599" s="7"/>
      <c r="T2599" s="7"/>
      <c r="U2599" s="7"/>
      <c r="V2599" s="7"/>
      <c r="AC2599" s="7"/>
      <c r="AD2599" s="7"/>
      <c r="AE2599" s="7"/>
      <c r="AF2599" s="7"/>
      <c r="AG2599" s="7"/>
      <c r="AO2599" s="7"/>
      <c r="AP2599" s="7"/>
      <c r="AQ2599" s="7"/>
      <c r="AR2599" s="7"/>
      <c r="AS2599" s="7"/>
    </row>
    <row r="2600" spans="1:45" x14ac:dyDescent="0.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Q2600" s="7"/>
      <c r="R2600" s="7"/>
      <c r="S2600" s="7"/>
      <c r="T2600" s="7"/>
      <c r="U2600" s="7"/>
      <c r="V2600" s="7"/>
      <c r="AC2600" s="7"/>
      <c r="AD2600" s="7"/>
      <c r="AE2600" s="7"/>
      <c r="AF2600" s="7"/>
      <c r="AG2600" s="7"/>
      <c r="AO2600" s="7"/>
      <c r="AP2600" s="7"/>
      <c r="AQ2600" s="7"/>
      <c r="AR2600" s="7"/>
      <c r="AS2600" s="7"/>
    </row>
    <row r="2601" spans="1:45" x14ac:dyDescent="0.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Q2601" s="7"/>
      <c r="R2601" s="7"/>
      <c r="S2601" s="7"/>
      <c r="T2601" s="7"/>
      <c r="U2601" s="7"/>
      <c r="V2601" s="7"/>
      <c r="AC2601" s="7"/>
      <c r="AD2601" s="7"/>
      <c r="AE2601" s="7"/>
      <c r="AF2601" s="7"/>
      <c r="AG2601" s="7"/>
      <c r="AO2601" s="7"/>
      <c r="AP2601" s="7"/>
      <c r="AQ2601" s="7"/>
      <c r="AR2601" s="7"/>
      <c r="AS2601" s="7"/>
    </row>
    <row r="2602" spans="1:45" x14ac:dyDescent="0.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Q2602" s="7"/>
      <c r="R2602" s="7"/>
      <c r="S2602" s="7"/>
      <c r="T2602" s="7"/>
      <c r="U2602" s="7"/>
      <c r="V2602" s="7"/>
      <c r="AC2602" s="7"/>
      <c r="AD2602" s="7"/>
      <c r="AE2602" s="7"/>
      <c r="AF2602" s="7"/>
      <c r="AG2602" s="7"/>
      <c r="AO2602" s="7"/>
      <c r="AP2602" s="7"/>
      <c r="AQ2602" s="7"/>
      <c r="AR2602" s="7"/>
      <c r="AS2602" s="7"/>
    </row>
    <row r="2603" spans="1:45" x14ac:dyDescent="0.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Q2603" s="7"/>
      <c r="R2603" s="7"/>
      <c r="S2603" s="7"/>
      <c r="T2603" s="7"/>
      <c r="U2603" s="7"/>
      <c r="V2603" s="7"/>
      <c r="AC2603" s="7"/>
      <c r="AD2603" s="7"/>
      <c r="AE2603" s="7"/>
      <c r="AF2603" s="7"/>
      <c r="AG2603" s="7"/>
      <c r="AO2603" s="7"/>
      <c r="AP2603" s="7"/>
      <c r="AQ2603" s="7"/>
      <c r="AR2603" s="7"/>
      <c r="AS2603" s="7"/>
    </row>
    <row r="2604" spans="1:45" x14ac:dyDescent="0.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Q2604" s="7"/>
      <c r="R2604" s="7"/>
      <c r="S2604" s="7"/>
      <c r="T2604" s="7"/>
      <c r="U2604" s="7"/>
      <c r="V2604" s="7"/>
      <c r="AC2604" s="7"/>
      <c r="AD2604" s="7"/>
      <c r="AE2604" s="7"/>
      <c r="AF2604" s="7"/>
      <c r="AG2604" s="7"/>
      <c r="AO2604" s="7"/>
      <c r="AP2604" s="7"/>
      <c r="AQ2604" s="7"/>
      <c r="AR2604" s="7"/>
      <c r="AS2604" s="7"/>
    </row>
    <row r="2605" spans="1:45" x14ac:dyDescent="0.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Q2605" s="7"/>
      <c r="R2605" s="7"/>
      <c r="S2605" s="7"/>
      <c r="T2605" s="7"/>
      <c r="U2605" s="7"/>
      <c r="V2605" s="7"/>
      <c r="AC2605" s="7"/>
      <c r="AD2605" s="7"/>
      <c r="AE2605" s="7"/>
      <c r="AF2605" s="7"/>
      <c r="AG2605" s="7"/>
      <c r="AO2605" s="7"/>
      <c r="AP2605" s="7"/>
      <c r="AQ2605" s="7"/>
      <c r="AR2605" s="7"/>
      <c r="AS2605" s="7"/>
    </row>
    <row r="2606" spans="1:45" x14ac:dyDescent="0.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Q2606" s="7"/>
      <c r="R2606" s="7"/>
      <c r="S2606" s="7"/>
      <c r="T2606" s="7"/>
      <c r="U2606" s="7"/>
      <c r="V2606" s="7"/>
      <c r="AC2606" s="7"/>
      <c r="AD2606" s="7"/>
      <c r="AE2606" s="7"/>
      <c r="AF2606" s="7"/>
      <c r="AG2606" s="7"/>
      <c r="AO2606" s="7"/>
      <c r="AP2606" s="7"/>
      <c r="AQ2606" s="7"/>
      <c r="AR2606" s="7"/>
      <c r="AS2606" s="7"/>
    </row>
    <row r="2607" spans="1:45" x14ac:dyDescent="0.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Q2607" s="7"/>
      <c r="R2607" s="7"/>
      <c r="S2607" s="7"/>
      <c r="T2607" s="7"/>
      <c r="U2607" s="7"/>
      <c r="V2607" s="7"/>
      <c r="AC2607" s="7"/>
      <c r="AD2607" s="7"/>
      <c r="AE2607" s="7"/>
      <c r="AF2607" s="7"/>
      <c r="AG2607" s="7"/>
      <c r="AO2607" s="7"/>
      <c r="AP2607" s="7"/>
      <c r="AQ2607" s="7"/>
      <c r="AR2607" s="7"/>
      <c r="AS2607" s="7"/>
    </row>
    <row r="2608" spans="1:45" x14ac:dyDescent="0.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Q2608" s="7"/>
      <c r="R2608" s="7"/>
      <c r="S2608" s="7"/>
      <c r="T2608" s="7"/>
      <c r="U2608" s="7"/>
      <c r="V2608" s="7"/>
      <c r="AC2608" s="7"/>
      <c r="AD2608" s="7"/>
      <c r="AE2608" s="7"/>
      <c r="AF2608" s="7"/>
      <c r="AG2608" s="7"/>
      <c r="AO2608" s="7"/>
      <c r="AP2608" s="7"/>
      <c r="AQ2608" s="7"/>
      <c r="AR2608" s="7"/>
      <c r="AS2608" s="7"/>
    </row>
    <row r="2609" spans="1:45" x14ac:dyDescent="0.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Q2609" s="7"/>
      <c r="R2609" s="7"/>
      <c r="S2609" s="7"/>
      <c r="T2609" s="7"/>
      <c r="U2609" s="7"/>
      <c r="V2609" s="7"/>
      <c r="AC2609" s="7"/>
      <c r="AD2609" s="7"/>
      <c r="AE2609" s="7"/>
      <c r="AF2609" s="7"/>
      <c r="AG2609" s="7"/>
      <c r="AO2609" s="7"/>
      <c r="AP2609" s="7"/>
      <c r="AQ2609" s="7"/>
      <c r="AR2609" s="7"/>
      <c r="AS2609" s="7"/>
    </row>
    <row r="2610" spans="1:45" x14ac:dyDescent="0.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Q2610" s="7"/>
      <c r="R2610" s="7"/>
      <c r="S2610" s="7"/>
      <c r="T2610" s="7"/>
      <c r="U2610" s="7"/>
      <c r="V2610" s="7"/>
      <c r="AC2610" s="7"/>
      <c r="AD2610" s="7"/>
      <c r="AE2610" s="7"/>
      <c r="AF2610" s="7"/>
      <c r="AG2610" s="7"/>
      <c r="AO2610" s="7"/>
      <c r="AP2610" s="7"/>
      <c r="AQ2610" s="7"/>
      <c r="AR2610" s="7"/>
      <c r="AS2610" s="7"/>
    </row>
    <row r="2611" spans="1:45" x14ac:dyDescent="0.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Q2611" s="7"/>
      <c r="R2611" s="7"/>
      <c r="S2611" s="7"/>
      <c r="T2611" s="7"/>
      <c r="U2611" s="7"/>
      <c r="V2611" s="7"/>
      <c r="AC2611" s="7"/>
      <c r="AD2611" s="7"/>
      <c r="AE2611" s="7"/>
      <c r="AF2611" s="7"/>
      <c r="AG2611" s="7"/>
      <c r="AO2611" s="7"/>
      <c r="AP2611" s="7"/>
      <c r="AQ2611" s="7"/>
      <c r="AR2611" s="7"/>
      <c r="AS2611" s="7"/>
    </row>
    <row r="2612" spans="1:45" x14ac:dyDescent="0.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Q2612" s="7"/>
      <c r="R2612" s="7"/>
      <c r="S2612" s="7"/>
      <c r="T2612" s="7"/>
      <c r="U2612" s="7"/>
      <c r="V2612" s="7"/>
      <c r="AC2612" s="7"/>
      <c r="AD2612" s="7"/>
      <c r="AE2612" s="7"/>
      <c r="AF2612" s="7"/>
      <c r="AG2612" s="7"/>
      <c r="AO2612" s="7"/>
      <c r="AP2612" s="7"/>
      <c r="AQ2612" s="7"/>
      <c r="AR2612" s="7"/>
      <c r="AS2612" s="7"/>
    </row>
    <row r="2613" spans="1:45" x14ac:dyDescent="0.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Q2613" s="7"/>
      <c r="R2613" s="7"/>
      <c r="S2613" s="7"/>
      <c r="T2613" s="7"/>
      <c r="U2613" s="7"/>
      <c r="V2613" s="7"/>
      <c r="AC2613" s="7"/>
      <c r="AD2613" s="7"/>
      <c r="AE2613" s="7"/>
      <c r="AF2613" s="7"/>
      <c r="AG2613" s="7"/>
      <c r="AO2613" s="7"/>
      <c r="AP2613" s="7"/>
      <c r="AQ2613" s="7"/>
      <c r="AR2613" s="7"/>
      <c r="AS2613" s="7"/>
    </row>
    <row r="2614" spans="1:45" x14ac:dyDescent="0.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Q2614" s="7"/>
      <c r="R2614" s="7"/>
      <c r="S2614" s="7"/>
      <c r="T2614" s="7"/>
      <c r="U2614" s="7"/>
      <c r="V2614" s="7"/>
      <c r="AC2614" s="7"/>
      <c r="AD2614" s="7"/>
      <c r="AE2614" s="7"/>
      <c r="AF2614" s="7"/>
      <c r="AG2614" s="7"/>
      <c r="AO2614" s="7"/>
      <c r="AP2614" s="7"/>
      <c r="AQ2614" s="7"/>
      <c r="AR2614" s="7"/>
      <c r="AS2614" s="7"/>
    </row>
    <row r="2615" spans="1:45" x14ac:dyDescent="0.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Q2615" s="7"/>
      <c r="R2615" s="7"/>
      <c r="S2615" s="7"/>
      <c r="T2615" s="7"/>
      <c r="U2615" s="7"/>
      <c r="V2615" s="7"/>
      <c r="AC2615" s="7"/>
      <c r="AD2615" s="7"/>
      <c r="AE2615" s="7"/>
      <c r="AF2615" s="7"/>
      <c r="AG2615" s="7"/>
      <c r="AO2615" s="7"/>
      <c r="AP2615" s="7"/>
      <c r="AQ2615" s="7"/>
      <c r="AR2615" s="7"/>
      <c r="AS2615" s="7"/>
    </row>
    <row r="2616" spans="1:45" x14ac:dyDescent="0.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Q2616" s="7"/>
      <c r="R2616" s="7"/>
      <c r="S2616" s="7"/>
      <c r="T2616" s="7"/>
      <c r="U2616" s="7"/>
      <c r="V2616" s="7"/>
      <c r="AC2616" s="7"/>
      <c r="AD2616" s="7"/>
      <c r="AE2616" s="7"/>
      <c r="AF2616" s="7"/>
      <c r="AG2616" s="7"/>
      <c r="AO2616" s="7"/>
      <c r="AP2616" s="7"/>
      <c r="AQ2616" s="7"/>
      <c r="AR2616" s="7"/>
      <c r="AS2616" s="7"/>
    </row>
    <row r="2617" spans="1:45" x14ac:dyDescent="0.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Q2617" s="7"/>
      <c r="R2617" s="7"/>
      <c r="S2617" s="7"/>
      <c r="T2617" s="7"/>
      <c r="U2617" s="7"/>
      <c r="V2617" s="7"/>
      <c r="AC2617" s="7"/>
      <c r="AD2617" s="7"/>
      <c r="AE2617" s="7"/>
      <c r="AF2617" s="7"/>
      <c r="AG2617" s="7"/>
      <c r="AO2617" s="7"/>
      <c r="AP2617" s="7"/>
      <c r="AQ2617" s="7"/>
      <c r="AR2617" s="7"/>
      <c r="AS2617" s="7"/>
    </row>
    <row r="2618" spans="1:45" x14ac:dyDescent="0.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Q2618" s="7"/>
      <c r="R2618" s="7"/>
      <c r="S2618" s="7"/>
      <c r="T2618" s="7"/>
      <c r="U2618" s="7"/>
      <c r="V2618" s="7"/>
      <c r="AC2618" s="7"/>
      <c r="AD2618" s="7"/>
      <c r="AE2618" s="7"/>
      <c r="AF2618" s="7"/>
      <c r="AG2618" s="7"/>
      <c r="AO2618" s="7"/>
      <c r="AP2618" s="7"/>
      <c r="AQ2618" s="7"/>
      <c r="AR2618" s="7"/>
      <c r="AS2618" s="7"/>
    </row>
    <row r="2619" spans="1:45" x14ac:dyDescent="0.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Q2619" s="7"/>
      <c r="R2619" s="7"/>
      <c r="S2619" s="7"/>
      <c r="T2619" s="7"/>
      <c r="U2619" s="7"/>
      <c r="V2619" s="7"/>
      <c r="AC2619" s="7"/>
      <c r="AD2619" s="7"/>
      <c r="AE2619" s="7"/>
      <c r="AF2619" s="7"/>
      <c r="AG2619" s="7"/>
      <c r="AO2619" s="7"/>
      <c r="AP2619" s="7"/>
      <c r="AQ2619" s="7"/>
      <c r="AR2619" s="7"/>
      <c r="AS2619" s="7"/>
    </row>
    <row r="2620" spans="1:45" x14ac:dyDescent="0.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Q2620" s="7"/>
      <c r="R2620" s="7"/>
      <c r="S2620" s="7"/>
      <c r="T2620" s="7"/>
      <c r="U2620" s="7"/>
      <c r="V2620" s="7"/>
      <c r="AC2620" s="7"/>
      <c r="AD2620" s="7"/>
      <c r="AE2620" s="7"/>
      <c r="AF2620" s="7"/>
      <c r="AG2620" s="7"/>
      <c r="AO2620" s="7"/>
      <c r="AP2620" s="7"/>
      <c r="AQ2620" s="7"/>
      <c r="AR2620" s="7"/>
      <c r="AS2620" s="7"/>
    </row>
    <row r="2621" spans="1:45" x14ac:dyDescent="0.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Q2621" s="7"/>
      <c r="R2621" s="7"/>
      <c r="S2621" s="7"/>
      <c r="T2621" s="7"/>
      <c r="U2621" s="7"/>
      <c r="V2621" s="7"/>
      <c r="AC2621" s="7"/>
      <c r="AD2621" s="7"/>
      <c r="AE2621" s="7"/>
      <c r="AF2621" s="7"/>
      <c r="AG2621" s="7"/>
      <c r="AO2621" s="7"/>
      <c r="AP2621" s="7"/>
      <c r="AQ2621" s="7"/>
      <c r="AR2621" s="7"/>
      <c r="AS2621" s="7"/>
    </row>
    <row r="2622" spans="1:45" x14ac:dyDescent="0.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Q2622" s="7"/>
      <c r="R2622" s="7"/>
      <c r="S2622" s="7"/>
      <c r="T2622" s="7"/>
      <c r="U2622" s="7"/>
      <c r="V2622" s="7"/>
      <c r="AC2622" s="7"/>
      <c r="AD2622" s="7"/>
      <c r="AE2622" s="7"/>
      <c r="AF2622" s="7"/>
      <c r="AG2622" s="7"/>
      <c r="AO2622" s="7"/>
      <c r="AP2622" s="7"/>
      <c r="AQ2622" s="7"/>
      <c r="AR2622" s="7"/>
      <c r="AS2622" s="7"/>
    </row>
    <row r="2623" spans="1:45" x14ac:dyDescent="0.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Q2623" s="7"/>
      <c r="R2623" s="7"/>
      <c r="S2623" s="7"/>
      <c r="T2623" s="7"/>
      <c r="U2623" s="7"/>
      <c r="V2623" s="7"/>
      <c r="AC2623" s="7"/>
      <c r="AD2623" s="7"/>
      <c r="AE2623" s="7"/>
      <c r="AF2623" s="7"/>
      <c r="AG2623" s="7"/>
      <c r="AO2623" s="7"/>
      <c r="AP2623" s="7"/>
      <c r="AQ2623" s="7"/>
      <c r="AR2623" s="7"/>
      <c r="AS2623" s="7"/>
    </row>
    <row r="2624" spans="1:45" x14ac:dyDescent="0.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Q2624" s="7"/>
      <c r="R2624" s="7"/>
      <c r="S2624" s="7"/>
      <c r="T2624" s="7"/>
      <c r="U2624" s="7"/>
      <c r="V2624" s="7"/>
      <c r="AC2624" s="7"/>
      <c r="AD2624" s="7"/>
      <c r="AE2624" s="7"/>
      <c r="AF2624" s="7"/>
      <c r="AG2624" s="7"/>
      <c r="AO2624" s="7"/>
      <c r="AP2624" s="7"/>
      <c r="AQ2624" s="7"/>
      <c r="AR2624" s="7"/>
      <c r="AS2624" s="7"/>
    </row>
    <row r="2625" spans="1:45" x14ac:dyDescent="0.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Q2625" s="7"/>
      <c r="R2625" s="7"/>
      <c r="S2625" s="7"/>
      <c r="T2625" s="7"/>
      <c r="U2625" s="7"/>
      <c r="V2625" s="7"/>
      <c r="AC2625" s="7"/>
      <c r="AD2625" s="7"/>
      <c r="AE2625" s="7"/>
      <c r="AF2625" s="7"/>
      <c r="AG2625" s="7"/>
      <c r="AO2625" s="7"/>
      <c r="AP2625" s="7"/>
      <c r="AQ2625" s="7"/>
      <c r="AR2625" s="7"/>
      <c r="AS2625" s="7"/>
    </row>
    <row r="2626" spans="1:45" x14ac:dyDescent="0.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Q2626" s="7"/>
      <c r="R2626" s="7"/>
      <c r="S2626" s="7"/>
      <c r="T2626" s="7"/>
      <c r="U2626" s="7"/>
      <c r="V2626" s="7"/>
      <c r="AC2626" s="7"/>
      <c r="AD2626" s="7"/>
      <c r="AE2626" s="7"/>
      <c r="AF2626" s="7"/>
      <c r="AG2626" s="7"/>
      <c r="AO2626" s="7"/>
      <c r="AP2626" s="7"/>
      <c r="AQ2626" s="7"/>
      <c r="AR2626" s="7"/>
      <c r="AS2626" s="7"/>
    </row>
    <row r="2627" spans="1:45" x14ac:dyDescent="0.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Q2627" s="7"/>
      <c r="R2627" s="7"/>
      <c r="S2627" s="7"/>
      <c r="T2627" s="7"/>
      <c r="U2627" s="7"/>
      <c r="V2627" s="7"/>
      <c r="AC2627" s="7"/>
      <c r="AD2627" s="7"/>
      <c r="AE2627" s="7"/>
      <c r="AF2627" s="7"/>
      <c r="AG2627" s="7"/>
      <c r="AO2627" s="7"/>
      <c r="AP2627" s="7"/>
      <c r="AQ2627" s="7"/>
      <c r="AR2627" s="7"/>
      <c r="AS2627" s="7"/>
    </row>
    <row r="2628" spans="1:45" x14ac:dyDescent="0.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Q2628" s="7"/>
      <c r="R2628" s="7"/>
      <c r="S2628" s="7"/>
      <c r="T2628" s="7"/>
      <c r="U2628" s="7"/>
      <c r="V2628" s="7"/>
      <c r="AC2628" s="7"/>
      <c r="AD2628" s="7"/>
      <c r="AE2628" s="7"/>
      <c r="AF2628" s="7"/>
      <c r="AG2628" s="7"/>
      <c r="AO2628" s="7"/>
      <c r="AP2628" s="7"/>
      <c r="AQ2628" s="7"/>
      <c r="AR2628" s="7"/>
      <c r="AS2628" s="7"/>
    </row>
    <row r="2629" spans="1:45" x14ac:dyDescent="0.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Q2629" s="7"/>
      <c r="R2629" s="7"/>
      <c r="S2629" s="7"/>
      <c r="T2629" s="7"/>
      <c r="U2629" s="7"/>
      <c r="V2629" s="7"/>
      <c r="AC2629" s="7"/>
      <c r="AD2629" s="7"/>
      <c r="AE2629" s="7"/>
      <c r="AF2629" s="7"/>
      <c r="AG2629" s="7"/>
      <c r="AO2629" s="7"/>
      <c r="AP2629" s="7"/>
      <c r="AQ2629" s="7"/>
      <c r="AR2629" s="7"/>
      <c r="AS2629" s="7"/>
    </row>
    <row r="2630" spans="1:45" x14ac:dyDescent="0.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Q2630" s="7"/>
      <c r="R2630" s="7"/>
      <c r="S2630" s="7"/>
      <c r="T2630" s="7"/>
      <c r="U2630" s="7"/>
      <c r="V2630" s="7"/>
      <c r="AC2630" s="7"/>
      <c r="AD2630" s="7"/>
      <c r="AE2630" s="7"/>
      <c r="AF2630" s="7"/>
      <c r="AG2630" s="7"/>
      <c r="AO2630" s="7"/>
      <c r="AP2630" s="7"/>
      <c r="AQ2630" s="7"/>
      <c r="AR2630" s="7"/>
      <c r="AS2630" s="7"/>
    </row>
    <row r="2631" spans="1:45" x14ac:dyDescent="0.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Q2631" s="7"/>
      <c r="R2631" s="7"/>
      <c r="S2631" s="7"/>
      <c r="T2631" s="7"/>
      <c r="U2631" s="7"/>
      <c r="V2631" s="7"/>
      <c r="AC2631" s="7"/>
      <c r="AD2631" s="7"/>
      <c r="AE2631" s="7"/>
      <c r="AF2631" s="7"/>
      <c r="AG2631" s="7"/>
      <c r="AO2631" s="7"/>
      <c r="AP2631" s="7"/>
      <c r="AQ2631" s="7"/>
      <c r="AR2631" s="7"/>
      <c r="AS2631" s="7"/>
    </row>
    <row r="2632" spans="1:45" x14ac:dyDescent="0.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Q2632" s="7"/>
      <c r="R2632" s="7"/>
      <c r="S2632" s="7"/>
      <c r="T2632" s="7"/>
      <c r="U2632" s="7"/>
      <c r="V2632" s="7"/>
      <c r="AC2632" s="7"/>
      <c r="AD2632" s="7"/>
      <c r="AE2632" s="7"/>
      <c r="AF2632" s="7"/>
      <c r="AG2632" s="7"/>
      <c r="AO2632" s="7"/>
      <c r="AP2632" s="7"/>
      <c r="AQ2632" s="7"/>
      <c r="AR2632" s="7"/>
      <c r="AS2632" s="7"/>
    </row>
    <row r="2633" spans="1:45" x14ac:dyDescent="0.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Q2633" s="7"/>
      <c r="R2633" s="7"/>
      <c r="S2633" s="7"/>
      <c r="T2633" s="7"/>
      <c r="U2633" s="7"/>
      <c r="V2633" s="7"/>
      <c r="AC2633" s="7"/>
      <c r="AD2633" s="7"/>
      <c r="AE2633" s="7"/>
      <c r="AF2633" s="7"/>
      <c r="AG2633" s="7"/>
      <c r="AO2633" s="7"/>
      <c r="AP2633" s="7"/>
      <c r="AQ2633" s="7"/>
      <c r="AR2633" s="7"/>
      <c r="AS2633" s="7"/>
    </row>
    <row r="2634" spans="1:45" x14ac:dyDescent="0.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Q2634" s="7"/>
      <c r="R2634" s="7"/>
      <c r="S2634" s="7"/>
      <c r="T2634" s="7"/>
      <c r="U2634" s="7"/>
      <c r="V2634" s="7"/>
      <c r="AC2634" s="7"/>
      <c r="AD2634" s="7"/>
      <c r="AE2634" s="7"/>
      <c r="AF2634" s="7"/>
      <c r="AG2634" s="7"/>
      <c r="AO2634" s="7"/>
      <c r="AP2634" s="7"/>
      <c r="AQ2634" s="7"/>
      <c r="AR2634" s="7"/>
      <c r="AS2634" s="7"/>
    </row>
    <row r="2635" spans="1:45" x14ac:dyDescent="0.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Q2635" s="7"/>
      <c r="R2635" s="7"/>
      <c r="S2635" s="7"/>
      <c r="T2635" s="7"/>
      <c r="U2635" s="7"/>
      <c r="V2635" s="7"/>
      <c r="AC2635" s="7"/>
      <c r="AD2635" s="7"/>
      <c r="AE2635" s="7"/>
      <c r="AF2635" s="7"/>
      <c r="AG2635" s="7"/>
      <c r="AO2635" s="7"/>
      <c r="AP2635" s="7"/>
      <c r="AQ2635" s="7"/>
      <c r="AR2635" s="7"/>
      <c r="AS2635" s="7"/>
    </row>
    <row r="2636" spans="1:45" x14ac:dyDescent="0.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Q2636" s="7"/>
      <c r="R2636" s="7"/>
      <c r="S2636" s="7"/>
      <c r="T2636" s="7"/>
      <c r="U2636" s="7"/>
      <c r="V2636" s="7"/>
      <c r="AC2636" s="7"/>
      <c r="AD2636" s="7"/>
      <c r="AE2636" s="7"/>
      <c r="AF2636" s="7"/>
      <c r="AG2636" s="7"/>
      <c r="AO2636" s="7"/>
      <c r="AP2636" s="7"/>
      <c r="AQ2636" s="7"/>
      <c r="AR2636" s="7"/>
      <c r="AS2636" s="7"/>
    </row>
    <row r="2637" spans="1:45" x14ac:dyDescent="0.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Q2637" s="7"/>
      <c r="R2637" s="7"/>
      <c r="S2637" s="7"/>
      <c r="T2637" s="7"/>
      <c r="U2637" s="7"/>
      <c r="V2637" s="7"/>
      <c r="AC2637" s="7"/>
      <c r="AD2637" s="7"/>
      <c r="AE2637" s="7"/>
      <c r="AF2637" s="7"/>
      <c r="AG2637" s="7"/>
      <c r="AO2637" s="7"/>
      <c r="AP2637" s="7"/>
      <c r="AQ2637" s="7"/>
      <c r="AR2637" s="7"/>
      <c r="AS2637" s="7"/>
    </row>
    <row r="2638" spans="1:45" x14ac:dyDescent="0.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Q2638" s="7"/>
      <c r="R2638" s="7"/>
      <c r="S2638" s="7"/>
      <c r="T2638" s="7"/>
      <c r="U2638" s="7"/>
      <c r="V2638" s="7"/>
      <c r="AC2638" s="7"/>
      <c r="AD2638" s="7"/>
      <c r="AE2638" s="7"/>
      <c r="AF2638" s="7"/>
      <c r="AG2638" s="7"/>
      <c r="AO2638" s="7"/>
      <c r="AP2638" s="7"/>
      <c r="AQ2638" s="7"/>
      <c r="AR2638" s="7"/>
      <c r="AS2638" s="7"/>
    </row>
    <row r="2639" spans="1:45" x14ac:dyDescent="0.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Q2639" s="7"/>
      <c r="R2639" s="7"/>
      <c r="S2639" s="7"/>
      <c r="T2639" s="7"/>
      <c r="U2639" s="7"/>
      <c r="V2639" s="7"/>
      <c r="AC2639" s="7"/>
      <c r="AD2639" s="7"/>
      <c r="AE2639" s="7"/>
      <c r="AF2639" s="7"/>
      <c r="AG2639" s="7"/>
      <c r="AO2639" s="7"/>
      <c r="AP2639" s="7"/>
      <c r="AQ2639" s="7"/>
      <c r="AR2639" s="7"/>
      <c r="AS2639" s="7"/>
    </row>
    <row r="2640" spans="1:45" x14ac:dyDescent="0.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Q2640" s="7"/>
      <c r="R2640" s="7"/>
      <c r="S2640" s="7"/>
      <c r="T2640" s="7"/>
      <c r="U2640" s="7"/>
      <c r="V2640" s="7"/>
      <c r="AC2640" s="7"/>
      <c r="AD2640" s="7"/>
      <c r="AE2640" s="7"/>
      <c r="AF2640" s="7"/>
      <c r="AG2640" s="7"/>
      <c r="AO2640" s="7"/>
      <c r="AP2640" s="7"/>
      <c r="AQ2640" s="7"/>
      <c r="AR2640" s="7"/>
      <c r="AS2640" s="7"/>
    </row>
    <row r="2641" spans="1:45" x14ac:dyDescent="0.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Q2641" s="7"/>
      <c r="R2641" s="7"/>
      <c r="S2641" s="7"/>
      <c r="T2641" s="7"/>
      <c r="U2641" s="7"/>
      <c r="V2641" s="7"/>
      <c r="AC2641" s="7"/>
      <c r="AD2641" s="7"/>
      <c r="AE2641" s="7"/>
      <c r="AF2641" s="7"/>
      <c r="AG2641" s="7"/>
      <c r="AO2641" s="7"/>
      <c r="AP2641" s="7"/>
      <c r="AQ2641" s="7"/>
      <c r="AR2641" s="7"/>
      <c r="AS2641" s="7"/>
    </row>
    <row r="2642" spans="1:45" x14ac:dyDescent="0.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Q2642" s="7"/>
      <c r="R2642" s="7"/>
      <c r="S2642" s="7"/>
      <c r="T2642" s="7"/>
      <c r="U2642" s="7"/>
      <c r="V2642" s="7"/>
      <c r="AC2642" s="7"/>
      <c r="AD2642" s="7"/>
      <c r="AE2642" s="7"/>
      <c r="AF2642" s="7"/>
      <c r="AG2642" s="7"/>
      <c r="AO2642" s="7"/>
      <c r="AP2642" s="7"/>
      <c r="AQ2642" s="7"/>
      <c r="AR2642" s="7"/>
      <c r="AS2642" s="7"/>
    </row>
    <row r="2643" spans="1:45" x14ac:dyDescent="0.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Q2643" s="7"/>
      <c r="R2643" s="7"/>
      <c r="S2643" s="7"/>
      <c r="T2643" s="7"/>
      <c r="U2643" s="7"/>
      <c r="V2643" s="7"/>
      <c r="AC2643" s="7"/>
      <c r="AD2643" s="7"/>
      <c r="AE2643" s="7"/>
      <c r="AF2643" s="7"/>
      <c r="AG2643" s="7"/>
      <c r="AO2643" s="7"/>
      <c r="AP2643" s="7"/>
      <c r="AQ2643" s="7"/>
      <c r="AR2643" s="7"/>
      <c r="AS2643" s="7"/>
    </row>
    <row r="2644" spans="1:45" x14ac:dyDescent="0.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Q2644" s="7"/>
      <c r="R2644" s="7"/>
      <c r="S2644" s="7"/>
      <c r="T2644" s="7"/>
      <c r="U2644" s="7"/>
      <c r="V2644" s="7"/>
      <c r="AC2644" s="7"/>
      <c r="AD2644" s="7"/>
      <c r="AE2644" s="7"/>
      <c r="AF2644" s="7"/>
      <c r="AG2644" s="7"/>
      <c r="AO2644" s="7"/>
      <c r="AP2644" s="7"/>
      <c r="AQ2644" s="7"/>
      <c r="AR2644" s="7"/>
      <c r="AS2644" s="7"/>
    </row>
    <row r="2645" spans="1:45" x14ac:dyDescent="0.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Q2645" s="7"/>
      <c r="R2645" s="7"/>
      <c r="S2645" s="7"/>
      <c r="T2645" s="7"/>
      <c r="U2645" s="7"/>
      <c r="V2645" s="7"/>
      <c r="AC2645" s="7"/>
      <c r="AD2645" s="7"/>
      <c r="AE2645" s="7"/>
      <c r="AF2645" s="7"/>
      <c r="AG2645" s="7"/>
      <c r="AO2645" s="7"/>
      <c r="AP2645" s="7"/>
      <c r="AQ2645" s="7"/>
      <c r="AR2645" s="7"/>
      <c r="AS2645" s="7"/>
    </row>
    <row r="2646" spans="1:45" x14ac:dyDescent="0.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Q2646" s="7"/>
      <c r="R2646" s="7"/>
      <c r="S2646" s="7"/>
      <c r="T2646" s="7"/>
      <c r="U2646" s="7"/>
      <c r="V2646" s="7"/>
      <c r="AC2646" s="7"/>
      <c r="AD2646" s="7"/>
      <c r="AE2646" s="7"/>
      <c r="AF2646" s="7"/>
      <c r="AG2646" s="7"/>
      <c r="AO2646" s="7"/>
      <c r="AP2646" s="7"/>
      <c r="AQ2646" s="7"/>
      <c r="AR2646" s="7"/>
      <c r="AS2646" s="7"/>
    </row>
    <row r="2647" spans="1:45" x14ac:dyDescent="0.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Q2647" s="7"/>
      <c r="R2647" s="7"/>
      <c r="S2647" s="7"/>
      <c r="T2647" s="7"/>
      <c r="U2647" s="7"/>
      <c r="V2647" s="7"/>
      <c r="AC2647" s="7"/>
      <c r="AD2647" s="7"/>
      <c r="AE2647" s="7"/>
      <c r="AF2647" s="7"/>
      <c r="AG2647" s="7"/>
      <c r="AO2647" s="7"/>
      <c r="AP2647" s="7"/>
      <c r="AQ2647" s="7"/>
      <c r="AR2647" s="7"/>
      <c r="AS2647" s="7"/>
    </row>
    <row r="2648" spans="1:45" x14ac:dyDescent="0.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Q2648" s="7"/>
      <c r="R2648" s="7"/>
      <c r="S2648" s="7"/>
      <c r="T2648" s="7"/>
      <c r="U2648" s="7"/>
      <c r="V2648" s="7"/>
      <c r="AC2648" s="7"/>
      <c r="AD2648" s="7"/>
      <c r="AE2648" s="7"/>
      <c r="AF2648" s="7"/>
      <c r="AG2648" s="7"/>
      <c r="AO2648" s="7"/>
      <c r="AP2648" s="7"/>
      <c r="AQ2648" s="7"/>
      <c r="AR2648" s="7"/>
      <c r="AS2648" s="7"/>
    </row>
    <row r="2649" spans="1:45" x14ac:dyDescent="0.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Q2649" s="7"/>
      <c r="R2649" s="7"/>
      <c r="S2649" s="7"/>
      <c r="T2649" s="7"/>
      <c r="U2649" s="7"/>
      <c r="V2649" s="7"/>
      <c r="AC2649" s="7"/>
      <c r="AD2649" s="7"/>
      <c r="AE2649" s="7"/>
      <c r="AF2649" s="7"/>
      <c r="AG2649" s="7"/>
      <c r="AO2649" s="7"/>
      <c r="AP2649" s="7"/>
      <c r="AQ2649" s="7"/>
      <c r="AR2649" s="7"/>
      <c r="AS2649" s="7"/>
    </row>
    <row r="2650" spans="1:45" x14ac:dyDescent="0.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Q2650" s="7"/>
      <c r="R2650" s="7"/>
      <c r="S2650" s="7"/>
      <c r="T2650" s="7"/>
      <c r="U2650" s="7"/>
      <c r="V2650" s="7"/>
      <c r="AC2650" s="7"/>
      <c r="AD2650" s="7"/>
      <c r="AE2650" s="7"/>
      <c r="AF2650" s="7"/>
      <c r="AG2650" s="7"/>
      <c r="AO2650" s="7"/>
      <c r="AP2650" s="7"/>
      <c r="AQ2650" s="7"/>
      <c r="AR2650" s="7"/>
      <c r="AS2650" s="7"/>
    </row>
    <row r="2651" spans="1:45" x14ac:dyDescent="0.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Q2651" s="7"/>
      <c r="R2651" s="7"/>
      <c r="S2651" s="7"/>
      <c r="T2651" s="7"/>
      <c r="U2651" s="7"/>
      <c r="V2651" s="7"/>
      <c r="AC2651" s="7"/>
      <c r="AD2651" s="7"/>
      <c r="AE2651" s="7"/>
      <c r="AF2651" s="7"/>
      <c r="AG2651" s="7"/>
      <c r="AO2651" s="7"/>
      <c r="AP2651" s="7"/>
      <c r="AQ2651" s="7"/>
      <c r="AR2651" s="7"/>
      <c r="AS2651" s="7"/>
    </row>
    <row r="2652" spans="1:45" x14ac:dyDescent="0.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Q2652" s="7"/>
      <c r="R2652" s="7"/>
      <c r="S2652" s="7"/>
      <c r="T2652" s="7"/>
      <c r="U2652" s="7"/>
      <c r="V2652" s="7"/>
      <c r="AC2652" s="7"/>
      <c r="AD2652" s="7"/>
      <c r="AE2652" s="7"/>
      <c r="AF2652" s="7"/>
      <c r="AG2652" s="7"/>
      <c r="AO2652" s="7"/>
      <c r="AP2652" s="7"/>
      <c r="AQ2652" s="7"/>
      <c r="AR2652" s="7"/>
      <c r="AS2652" s="7"/>
    </row>
    <row r="2653" spans="1:45" x14ac:dyDescent="0.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Q2653" s="7"/>
      <c r="R2653" s="7"/>
      <c r="S2653" s="7"/>
      <c r="T2653" s="7"/>
      <c r="U2653" s="7"/>
      <c r="V2653" s="7"/>
      <c r="AC2653" s="7"/>
      <c r="AD2653" s="7"/>
      <c r="AE2653" s="7"/>
      <c r="AF2653" s="7"/>
      <c r="AG2653" s="7"/>
      <c r="AO2653" s="7"/>
      <c r="AP2653" s="7"/>
      <c r="AQ2653" s="7"/>
      <c r="AR2653" s="7"/>
      <c r="AS2653" s="7"/>
    </row>
    <row r="2654" spans="1:45" x14ac:dyDescent="0.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Q2654" s="7"/>
      <c r="R2654" s="7"/>
      <c r="S2654" s="7"/>
      <c r="T2654" s="7"/>
      <c r="U2654" s="7"/>
      <c r="V2654" s="7"/>
      <c r="AC2654" s="7"/>
      <c r="AD2654" s="7"/>
      <c r="AE2654" s="7"/>
      <c r="AF2654" s="7"/>
      <c r="AG2654" s="7"/>
      <c r="AO2654" s="7"/>
      <c r="AP2654" s="7"/>
      <c r="AQ2654" s="7"/>
      <c r="AR2654" s="7"/>
      <c r="AS2654" s="7"/>
    </row>
    <row r="2655" spans="1:45" x14ac:dyDescent="0.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Q2655" s="7"/>
      <c r="R2655" s="7"/>
      <c r="S2655" s="7"/>
      <c r="T2655" s="7"/>
      <c r="U2655" s="7"/>
      <c r="V2655" s="7"/>
      <c r="AC2655" s="7"/>
      <c r="AD2655" s="7"/>
      <c r="AE2655" s="7"/>
      <c r="AF2655" s="7"/>
      <c r="AG2655" s="7"/>
      <c r="AO2655" s="7"/>
      <c r="AP2655" s="7"/>
      <c r="AQ2655" s="7"/>
      <c r="AR2655" s="7"/>
      <c r="AS2655" s="7"/>
    </row>
    <row r="2656" spans="1:45" x14ac:dyDescent="0.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Q2656" s="7"/>
      <c r="R2656" s="7"/>
      <c r="S2656" s="7"/>
      <c r="T2656" s="7"/>
      <c r="U2656" s="7"/>
      <c r="V2656" s="7"/>
      <c r="AC2656" s="7"/>
      <c r="AD2656" s="7"/>
      <c r="AE2656" s="7"/>
      <c r="AF2656" s="7"/>
      <c r="AG2656" s="7"/>
      <c r="AO2656" s="7"/>
      <c r="AP2656" s="7"/>
      <c r="AQ2656" s="7"/>
      <c r="AR2656" s="7"/>
      <c r="AS2656" s="7"/>
    </row>
    <row r="2657" spans="1:45" x14ac:dyDescent="0.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Q2657" s="7"/>
      <c r="R2657" s="7"/>
      <c r="S2657" s="7"/>
      <c r="T2657" s="7"/>
      <c r="U2657" s="7"/>
      <c r="V2657" s="7"/>
      <c r="AC2657" s="7"/>
      <c r="AD2657" s="7"/>
      <c r="AE2657" s="7"/>
      <c r="AF2657" s="7"/>
      <c r="AG2657" s="7"/>
      <c r="AO2657" s="7"/>
      <c r="AP2657" s="7"/>
      <c r="AQ2657" s="7"/>
      <c r="AR2657" s="7"/>
      <c r="AS2657" s="7"/>
    </row>
    <row r="2658" spans="1:45" x14ac:dyDescent="0.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Q2658" s="7"/>
      <c r="R2658" s="7"/>
      <c r="S2658" s="7"/>
      <c r="T2658" s="7"/>
      <c r="U2658" s="7"/>
      <c r="V2658" s="7"/>
      <c r="AC2658" s="7"/>
      <c r="AD2658" s="7"/>
      <c r="AE2658" s="7"/>
      <c r="AF2658" s="7"/>
      <c r="AG2658" s="7"/>
      <c r="AO2658" s="7"/>
      <c r="AP2658" s="7"/>
      <c r="AQ2658" s="7"/>
      <c r="AR2658" s="7"/>
      <c r="AS2658" s="7"/>
    </row>
    <row r="2659" spans="1:45" x14ac:dyDescent="0.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Q2659" s="7"/>
      <c r="R2659" s="7"/>
      <c r="S2659" s="7"/>
      <c r="T2659" s="7"/>
      <c r="U2659" s="7"/>
      <c r="V2659" s="7"/>
      <c r="AC2659" s="7"/>
      <c r="AD2659" s="7"/>
      <c r="AE2659" s="7"/>
      <c r="AF2659" s="7"/>
      <c r="AG2659" s="7"/>
      <c r="AO2659" s="7"/>
      <c r="AP2659" s="7"/>
      <c r="AQ2659" s="7"/>
      <c r="AR2659" s="7"/>
      <c r="AS2659" s="7"/>
    </row>
    <row r="2660" spans="1:45" x14ac:dyDescent="0.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Q2660" s="7"/>
      <c r="R2660" s="7"/>
      <c r="S2660" s="7"/>
      <c r="T2660" s="7"/>
      <c r="U2660" s="7"/>
      <c r="V2660" s="7"/>
      <c r="AC2660" s="7"/>
      <c r="AD2660" s="7"/>
      <c r="AE2660" s="7"/>
      <c r="AF2660" s="7"/>
      <c r="AG2660" s="7"/>
      <c r="AO2660" s="7"/>
      <c r="AP2660" s="7"/>
      <c r="AQ2660" s="7"/>
      <c r="AR2660" s="7"/>
      <c r="AS2660" s="7"/>
    </row>
    <row r="2661" spans="1:45" x14ac:dyDescent="0.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Q2661" s="7"/>
      <c r="R2661" s="7"/>
      <c r="S2661" s="7"/>
      <c r="T2661" s="7"/>
      <c r="U2661" s="7"/>
      <c r="V2661" s="7"/>
      <c r="AC2661" s="7"/>
      <c r="AD2661" s="7"/>
      <c r="AE2661" s="7"/>
      <c r="AF2661" s="7"/>
      <c r="AG2661" s="7"/>
      <c r="AO2661" s="7"/>
      <c r="AP2661" s="7"/>
      <c r="AQ2661" s="7"/>
      <c r="AR2661" s="7"/>
      <c r="AS2661" s="7"/>
    </row>
    <row r="2662" spans="1:45" x14ac:dyDescent="0.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Q2662" s="7"/>
      <c r="R2662" s="7"/>
      <c r="S2662" s="7"/>
      <c r="T2662" s="7"/>
      <c r="U2662" s="7"/>
      <c r="V2662" s="7"/>
      <c r="AC2662" s="7"/>
      <c r="AD2662" s="7"/>
      <c r="AE2662" s="7"/>
      <c r="AF2662" s="7"/>
      <c r="AG2662" s="7"/>
      <c r="AO2662" s="7"/>
      <c r="AP2662" s="7"/>
      <c r="AQ2662" s="7"/>
      <c r="AR2662" s="7"/>
      <c r="AS2662" s="7"/>
    </row>
    <row r="2663" spans="1:45" x14ac:dyDescent="0.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Q2663" s="7"/>
      <c r="R2663" s="7"/>
      <c r="S2663" s="7"/>
      <c r="T2663" s="7"/>
      <c r="U2663" s="7"/>
      <c r="V2663" s="7"/>
      <c r="AC2663" s="7"/>
      <c r="AD2663" s="7"/>
      <c r="AE2663" s="7"/>
      <c r="AF2663" s="7"/>
      <c r="AG2663" s="7"/>
      <c r="AO2663" s="7"/>
      <c r="AP2663" s="7"/>
      <c r="AQ2663" s="7"/>
      <c r="AR2663" s="7"/>
      <c r="AS2663" s="7"/>
    </row>
    <row r="2664" spans="1:45" x14ac:dyDescent="0.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Q2664" s="7"/>
      <c r="R2664" s="7"/>
      <c r="S2664" s="7"/>
      <c r="T2664" s="7"/>
      <c r="U2664" s="7"/>
      <c r="V2664" s="7"/>
      <c r="AC2664" s="7"/>
      <c r="AD2664" s="7"/>
      <c r="AE2664" s="7"/>
      <c r="AF2664" s="7"/>
      <c r="AG2664" s="7"/>
      <c r="AO2664" s="7"/>
      <c r="AP2664" s="7"/>
      <c r="AQ2664" s="7"/>
      <c r="AR2664" s="7"/>
      <c r="AS2664" s="7"/>
    </row>
    <row r="2665" spans="1:45" x14ac:dyDescent="0.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Q2665" s="7"/>
      <c r="R2665" s="7"/>
      <c r="S2665" s="7"/>
      <c r="T2665" s="7"/>
      <c r="U2665" s="7"/>
      <c r="V2665" s="7"/>
      <c r="AC2665" s="7"/>
      <c r="AD2665" s="7"/>
      <c r="AE2665" s="7"/>
      <c r="AF2665" s="7"/>
      <c r="AG2665" s="7"/>
      <c r="AO2665" s="7"/>
      <c r="AP2665" s="7"/>
      <c r="AQ2665" s="7"/>
      <c r="AR2665" s="7"/>
      <c r="AS2665" s="7"/>
    </row>
    <row r="2666" spans="1:45" x14ac:dyDescent="0.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Q2666" s="7"/>
      <c r="R2666" s="7"/>
      <c r="S2666" s="7"/>
      <c r="T2666" s="7"/>
      <c r="U2666" s="7"/>
      <c r="V2666" s="7"/>
      <c r="AC2666" s="7"/>
      <c r="AD2666" s="7"/>
      <c r="AE2666" s="7"/>
      <c r="AF2666" s="7"/>
      <c r="AG2666" s="7"/>
      <c r="AO2666" s="7"/>
      <c r="AP2666" s="7"/>
      <c r="AQ2666" s="7"/>
      <c r="AR2666" s="7"/>
      <c r="AS2666" s="7"/>
    </row>
    <row r="2667" spans="1:45" x14ac:dyDescent="0.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Q2667" s="7"/>
      <c r="R2667" s="7"/>
      <c r="S2667" s="7"/>
      <c r="T2667" s="7"/>
      <c r="U2667" s="7"/>
      <c r="V2667" s="7"/>
      <c r="AC2667" s="7"/>
      <c r="AD2667" s="7"/>
      <c r="AE2667" s="7"/>
      <c r="AF2667" s="7"/>
      <c r="AG2667" s="7"/>
      <c r="AO2667" s="7"/>
      <c r="AP2667" s="7"/>
      <c r="AQ2667" s="7"/>
      <c r="AR2667" s="7"/>
      <c r="AS2667" s="7"/>
    </row>
    <row r="2668" spans="1:45" x14ac:dyDescent="0.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Q2668" s="7"/>
      <c r="R2668" s="7"/>
      <c r="S2668" s="7"/>
      <c r="T2668" s="7"/>
      <c r="U2668" s="7"/>
      <c r="V2668" s="7"/>
      <c r="AC2668" s="7"/>
      <c r="AD2668" s="7"/>
      <c r="AE2668" s="7"/>
      <c r="AF2668" s="7"/>
      <c r="AG2668" s="7"/>
      <c r="AO2668" s="7"/>
      <c r="AP2668" s="7"/>
      <c r="AQ2668" s="7"/>
      <c r="AR2668" s="7"/>
      <c r="AS2668" s="7"/>
    </row>
    <row r="2669" spans="1:45" x14ac:dyDescent="0.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Q2669" s="7"/>
      <c r="R2669" s="7"/>
      <c r="S2669" s="7"/>
      <c r="T2669" s="7"/>
      <c r="U2669" s="7"/>
      <c r="V2669" s="7"/>
      <c r="AC2669" s="7"/>
      <c r="AD2669" s="7"/>
      <c r="AE2669" s="7"/>
      <c r="AF2669" s="7"/>
      <c r="AG2669" s="7"/>
      <c r="AO2669" s="7"/>
      <c r="AP2669" s="7"/>
      <c r="AQ2669" s="7"/>
      <c r="AR2669" s="7"/>
      <c r="AS2669" s="7"/>
    </row>
    <row r="2670" spans="1:45" x14ac:dyDescent="0.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Q2670" s="7"/>
      <c r="R2670" s="7"/>
      <c r="S2670" s="7"/>
      <c r="T2670" s="7"/>
      <c r="U2670" s="7"/>
      <c r="V2670" s="7"/>
      <c r="AC2670" s="7"/>
      <c r="AD2670" s="7"/>
      <c r="AE2670" s="7"/>
      <c r="AF2670" s="7"/>
      <c r="AG2670" s="7"/>
      <c r="AO2670" s="7"/>
      <c r="AP2670" s="7"/>
      <c r="AQ2670" s="7"/>
      <c r="AR2670" s="7"/>
      <c r="AS2670" s="7"/>
    </row>
    <row r="2671" spans="1:45" s="7" customFormat="1" x14ac:dyDescent="0.3"/>
    <row r="2672" spans="1:45" s="7" customFormat="1" x14ac:dyDescent="0.3"/>
    <row r="2673" s="7" customFormat="1" x14ac:dyDescent="0.3"/>
    <row r="2674" s="7" customFormat="1" x14ac:dyDescent="0.3"/>
    <row r="2675" s="7" customFormat="1" x14ac:dyDescent="0.3"/>
    <row r="2676" s="7" customFormat="1" x14ac:dyDescent="0.3"/>
    <row r="2677" s="7" customFormat="1" x14ac:dyDescent="0.3"/>
    <row r="2678" s="7" customFormat="1" x14ac:dyDescent="0.3"/>
    <row r="2679" s="7" customFormat="1" x14ac:dyDescent="0.3"/>
    <row r="2680" s="7" customFormat="1" x14ac:dyDescent="0.3"/>
    <row r="2681" s="7" customFormat="1" x14ac:dyDescent="0.3"/>
    <row r="2682" s="7" customFormat="1" x14ac:dyDescent="0.3"/>
    <row r="2683" s="7" customFormat="1" x14ac:dyDescent="0.3"/>
    <row r="2684" s="7" customFormat="1" x14ac:dyDescent="0.3"/>
    <row r="2685" s="7" customFormat="1" x14ac:dyDescent="0.3"/>
    <row r="2686" s="7" customFormat="1" x14ac:dyDescent="0.3"/>
    <row r="2687" s="7" customFormat="1" x14ac:dyDescent="0.3"/>
    <row r="2688" s="7" customFormat="1" x14ac:dyDescent="0.3"/>
    <row r="2689" s="7" customFormat="1" x14ac:dyDescent="0.3"/>
    <row r="2690" s="7" customFormat="1" x14ac:dyDescent="0.3"/>
    <row r="2691" s="7" customFormat="1" x14ac:dyDescent="0.3"/>
    <row r="2692" s="7" customFormat="1" x14ac:dyDescent="0.3"/>
    <row r="2693" s="7" customFormat="1" x14ac:dyDescent="0.3"/>
    <row r="2694" s="7" customFormat="1" x14ac:dyDescent="0.3"/>
    <row r="2695" s="7" customFormat="1" x14ac:dyDescent="0.3"/>
    <row r="2696" s="7" customFormat="1" x14ac:dyDescent="0.3"/>
    <row r="2697" s="7" customFormat="1" x14ac:dyDescent="0.3"/>
    <row r="2698" s="7" customFormat="1" x14ac:dyDescent="0.3"/>
    <row r="2699" s="7" customFormat="1" x14ac:dyDescent="0.3"/>
    <row r="2700" s="7" customFormat="1" x14ac:dyDescent="0.3"/>
    <row r="2701" s="7" customFormat="1" x14ac:dyDescent="0.3"/>
    <row r="2702" s="7" customFormat="1" x14ac:dyDescent="0.3"/>
    <row r="2703" s="7" customFormat="1" x14ac:dyDescent="0.3"/>
    <row r="2704" s="7" customFormat="1" x14ac:dyDescent="0.3"/>
    <row r="2705" s="7" customFormat="1" x14ac:dyDescent="0.3"/>
    <row r="2706" s="7" customFormat="1" x14ac:dyDescent="0.3"/>
    <row r="2707" s="7" customFormat="1" x14ac:dyDescent="0.3"/>
    <row r="2708" s="7" customFormat="1" x14ac:dyDescent="0.3"/>
    <row r="2709" s="7" customFormat="1" x14ac:dyDescent="0.3"/>
    <row r="2710" s="7" customFormat="1" x14ac:dyDescent="0.3"/>
    <row r="2711" s="7" customFormat="1" x14ac:dyDescent="0.3"/>
    <row r="2712" s="7" customFormat="1" x14ac:dyDescent="0.3"/>
    <row r="2713" s="7" customFormat="1" x14ac:dyDescent="0.3"/>
    <row r="2714" s="7" customFormat="1" x14ac:dyDescent="0.3"/>
    <row r="2715" s="7" customFormat="1" x14ac:dyDescent="0.3"/>
    <row r="2716" s="7" customFormat="1" x14ac:dyDescent="0.3"/>
    <row r="2717" s="7" customFormat="1" x14ac:dyDescent="0.3"/>
    <row r="2718" s="7" customFormat="1" x14ac:dyDescent="0.3"/>
    <row r="2719" s="7" customFormat="1" x14ac:dyDescent="0.3"/>
    <row r="2720" s="7" customFormat="1" x14ac:dyDescent="0.3"/>
    <row r="2721" s="7" customFormat="1" x14ac:dyDescent="0.3"/>
    <row r="2722" s="7" customFormat="1" x14ac:dyDescent="0.3"/>
    <row r="2723" s="7" customFormat="1" x14ac:dyDescent="0.3"/>
    <row r="2724" s="7" customFormat="1" x14ac:dyDescent="0.3"/>
    <row r="2725" s="7" customFormat="1" x14ac:dyDescent="0.3"/>
    <row r="2726" s="7" customFormat="1" x14ac:dyDescent="0.3"/>
    <row r="2727" s="7" customFormat="1" x14ac:dyDescent="0.3"/>
    <row r="2728" s="7" customFormat="1" x14ac:dyDescent="0.3"/>
    <row r="2729" s="7" customFormat="1" x14ac:dyDescent="0.3"/>
    <row r="2730" s="7" customFormat="1" x14ac:dyDescent="0.3"/>
    <row r="2731" s="7" customFormat="1" x14ac:dyDescent="0.3"/>
    <row r="2732" s="7" customFormat="1" x14ac:dyDescent="0.3"/>
    <row r="2733" s="7" customFormat="1" x14ac:dyDescent="0.3"/>
    <row r="2734" s="7" customFormat="1" x14ac:dyDescent="0.3"/>
    <row r="2735" s="7" customFormat="1" x14ac:dyDescent="0.3"/>
    <row r="2736" s="7" customFormat="1" x14ac:dyDescent="0.3"/>
    <row r="2737" s="7" customFormat="1" x14ac:dyDescent="0.3"/>
    <row r="2738" s="7" customFormat="1" x14ac:dyDescent="0.3"/>
    <row r="2739" s="7" customFormat="1" x14ac:dyDescent="0.3"/>
    <row r="2740" s="7" customFormat="1" x14ac:dyDescent="0.3"/>
    <row r="2741" s="7" customFormat="1" x14ac:dyDescent="0.3"/>
    <row r="2742" s="7" customFormat="1" x14ac:dyDescent="0.3"/>
    <row r="2743" s="7" customFormat="1" x14ac:dyDescent="0.3"/>
    <row r="2744" s="7" customFormat="1" x14ac:dyDescent="0.3"/>
    <row r="2745" s="7" customFormat="1" x14ac:dyDescent="0.3"/>
    <row r="2746" s="7" customFormat="1" x14ac:dyDescent="0.3"/>
    <row r="2747" s="7" customFormat="1" x14ac:dyDescent="0.3"/>
    <row r="2748" s="7" customFormat="1" x14ac:dyDescent="0.3"/>
    <row r="2749" s="7" customFormat="1" x14ac:dyDescent="0.3"/>
    <row r="2750" s="7" customFormat="1" x14ac:dyDescent="0.3"/>
    <row r="2751" s="7" customFormat="1" x14ac:dyDescent="0.3"/>
    <row r="2752" s="7" customFormat="1" x14ac:dyDescent="0.3"/>
    <row r="2753" s="7" customFormat="1" x14ac:dyDescent="0.3"/>
    <row r="2754" s="7" customFormat="1" x14ac:dyDescent="0.3"/>
    <row r="2755" s="7" customFormat="1" x14ac:dyDescent="0.3"/>
    <row r="2756" s="7" customFormat="1" x14ac:dyDescent="0.3"/>
    <row r="2757" s="7" customFormat="1" x14ac:dyDescent="0.3"/>
    <row r="2758" s="7" customFormat="1" x14ac:dyDescent="0.3"/>
    <row r="2759" s="7" customFormat="1" x14ac:dyDescent="0.3"/>
    <row r="2760" s="7" customFormat="1" x14ac:dyDescent="0.3"/>
    <row r="2761" s="7" customFormat="1" x14ac:dyDescent="0.3"/>
    <row r="2762" s="7" customFormat="1" x14ac:dyDescent="0.3"/>
    <row r="2763" s="7" customFormat="1" x14ac:dyDescent="0.3"/>
    <row r="2764" s="7" customFormat="1" x14ac:dyDescent="0.3"/>
    <row r="2765" s="7" customFormat="1" x14ac:dyDescent="0.3"/>
    <row r="2766" s="7" customFormat="1" x14ac:dyDescent="0.3"/>
    <row r="2767" s="7" customFormat="1" x14ac:dyDescent="0.3"/>
    <row r="2768" s="7" customFormat="1" x14ac:dyDescent="0.3"/>
    <row r="2769" s="7" customFormat="1" x14ac:dyDescent="0.3"/>
    <row r="2770" s="7" customFormat="1" x14ac:dyDescent="0.3"/>
    <row r="2771" s="7" customFormat="1" x14ac:dyDescent="0.3"/>
    <row r="2772" s="7" customFormat="1" x14ac:dyDescent="0.3"/>
    <row r="2773" s="7" customFormat="1" x14ac:dyDescent="0.3"/>
    <row r="2774" s="7" customFormat="1" x14ac:dyDescent="0.3"/>
    <row r="2775" s="7" customFormat="1" x14ac:dyDescent="0.3"/>
    <row r="2776" s="7" customFormat="1" x14ac:dyDescent="0.3"/>
    <row r="2777" s="7" customFormat="1" x14ac:dyDescent="0.3"/>
    <row r="2778" s="7" customFormat="1" x14ac:dyDescent="0.3"/>
    <row r="2779" s="7" customFormat="1" x14ac:dyDescent="0.3"/>
    <row r="2780" s="7" customFormat="1" x14ac:dyDescent="0.3"/>
    <row r="2781" s="7" customFormat="1" x14ac:dyDescent="0.3"/>
    <row r="2782" s="7" customFormat="1" x14ac:dyDescent="0.3"/>
    <row r="2783" s="7" customFormat="1" x14ac:dyDescent="0.3"/>
    <row r="2784" s="7" customFormat="1" x14ac:dyDescent="0.3"/>
    <row r="2785" s="7" customFormat="1" x14ac:dyDescent="0.3"/>
    <row r="2786" s="7" customFormat="1" x14ac:dyDescent="0.3"/>
    <row r="2787" s="7" customFormat="1" x14ac:dyDescent="0.3"/>
    <row r="2788" s="7" customFormat="1" x14ac:dyDescent="0.3"/>
    <row r="2789" s="7" customFormat="1" x14ac:dyDescent="0.3"/>
    <row r="2790" s="7" customFormat="1" x14ac:dyDescent="0.3"/>
    <row r="2791" s="7" customFormat="1" x14ac:dyDescent="0.3"/>
    <row r="2792" s="7" customFormat="1" x14ac:dyDescent="0.3"/>
    <row r="2793" s="7" customFormat="1" x14ac:dyDescent="0.3"/>
    <row r="2794" s="7" customFormat="1" x14ac:dyDescent="0.3"/>
    <row r="2795" s="7" customFormat="1" x14ac:dyDescent="0.3"/>
    <row r="2796" s="7" customFormat="1" x14ac:dyDescent="0.3"/>
    <row r="2797" s="7" customFormat="1" x14ac:dyDescent="0.3"/>
    <row r="2798" s="7" customFormat="1" x14ac:dyDescent="0.3"/>
    <row r="2799" s="7" customFormat="1" x14ac:dyDescent="0.3"/>
    <row r="2800" s="7" customFormat="1" x14ac:dyDescent="0.3"/>
    <row r="2801" s="7" customFormat="1" x14ac:dyDescent="0.3"/>
    <row r="2802" s="7" customFormat="1" x14ac:dyDescent="0.3"/>
    <row r="2803" s="7" customFormat="1" x14ac:dyDescent="0.3"/>
    <row r="2804" s="7" customFormat="1" x14ac:dyDescent="0.3"/>
    <row r="2805" s="7" customFormat="1" x14ac:dyDescent="0.3"/>
    <row r="2806" s="7" customFormat="1" x14ac:dyDescent="0.3"/>
    <row r="2807" s="7" customFormat="1" x14ac:dyDescent="0.3"/>
    <row r="2808" s="7" customFormat="1" x14ac:dyDescent="0.3"/>
    <row r="2809" s="7" customFormat="1" x14ac:dyDescent="0.3"/>
    <row r="2810" s="7" customFormat="1" x14ac:dyDescent="0.3"/>
    <row r="2811" s="7" customFormat="1" x14ac:dyDescent="0.3"/>
    <row r="2812" s="7" customFormat="1" x14ac:dyDescent="0.3"/>
    <row r="2813" s="7" customFormat="1" x14ac:dyDescent="0.3"/>
    <row r="2814" s="7" customFormat="1" x14ac:dyDescent="0.3"/>
    <row r="2815" s="7" customFormat="1" x14ac:dyDescent="0.3"/>
    <row r="2816" s="7" customFormat="1" x14ac:dyDescent="0.3"/>
    <row r="2817" s="7" customFormat="1" x14ac:dyDescent="0.3"/>
    <row r="2818" s="7" customFormat="1" x14ac:dyDescent="0.3"/>
    <row r="2819" s="7" customFormat="1" x14ac:dyDescent="0.3"/>
    <row r="2820" s="7" customFormat="1" x14ac:dyDescent="0.3"/>
    <row r="2821" s="7" customFormat="1" x14ac:dyDescent="0.3"/>
    <row r="2822" s="7" customFormat="1" x14ac:dyDescent="0.3"/>
    <row r="2823" s="7" customFormat="1" x14ac:dyDescent="0.3"/>
    <row r="2824" s="7" customFormat="1" x14ac:dyDescent="0.3"/>
    <row r="2825" s="7" customFormat="1" x14ac:dyDescent="0.3"/>
    <row r="2826" s="7" customFormat="1" x14ac:dyDescent="0.3"/>
    <row r="2827" s="7" customFormat="1" x14ac:dyDescent="0.3"/>
    <row r="2828" s="7" customFormat="1" x14ac:dyDescent="0.3"/>
    <row r="2829" s="7" customFormat="1" x14ac:dyDescent="0.3"/>
    <row r="2830" s="7" customFormat="1" x14ac:dyDescent="0.3"/>
    <row r="2831" s="7" customFormat="1" x14ac:dyDescent="0.3"/>
    <row r="2832" s="7" customFormat="1" x14ac:dyDescent="0.3"/>
    <row r="2833" s="7" customFormat="1" x14ac:dyDescent="0.3"/>
    <row r="2834" s="7" customFormat="1" x14ac:dyDescent="0.3"/>
    <row r="2835" s="7" customFormat="1" x14ac:dyDescent="0.3"/>
    <row r="2836" s="7" customFormat="1" x14ac:dyDescent="0.3"/>
    <row r="2837" s="7" customFormat="1" x14ac:dyDescent="0.3"/>
    <row r="2838" s="7" customFormat="1" x14ac:dyDescent="0.3"/>
    <row r="2839" s="7" customFormat="1" x14ac:dyDescent="0.3"/>
    <row r="2840" s="7" customFormat="1" x14ac:dyDescent="0.3"/>
    <row r="2841" s="7" customFormat="1" x14ac:dyDescent="0.3"/>
    <row r="2842" s="7" customFormat="1" x14ac:dyDescent="0.3"/>
    <row r="2843" s="7" customFormat="1" x14ac:dyDescent="0.3"/>
    <row r="2844" s="7" customFormat="1" x14ac:dyDescent="0.3"/>
    <row r="2845" s="7" customFormat="1" x14ac:dyDescent="0.3"/>
    <row r="2846" s="7" customFormat="1" x14ac:dyDescent="0.3"/>
    <row r="2847" s="7" customFormat="1" x14ac:dyDescent="0.3"/>
    <row r="2848" s="7" customFormat="1" x14ac:dyDescent="0.3"/>
    <row r="2849" s="7" customFormat="1" x14ac:dyDescent="0.3"/>
    <row r="2850" s="7" customFormat="1" x14ac:dyDescent="0.3"/>
    <row r="2851" s="7" customFormat="1" x14ac:dyDescent="0.3"/>
    <row r="2852" s="7" customFormat="1" x14ac:dyDescent="0.3"/>
    <row r="2853" s="7" customFormat="1" x14ac:dyDescent="0.3"/>
    <row r="2854" s="7" customFormat="1" x14ac:dyDescent="0.3"/>
    <row r="2855" s="7" customFormat="1" x14ac:dyDescent="0.3"/>
    <row r="2856" s="7" customFormat="1" x14ac:dyDescent="0.3"/>
    <row r="2857" s="7" customFormat="1" x14ac:dyDescent="0.3"/>
    <row r="2858" s="7" customFormat="1" x14ac:dyDescent="0.3"/>
    <row r="2859" s="7" customFormat="1" x14ac:dyDescent="0.3"/>
    <row r="2860" s="7" customFormat="1" x14ac:dyDescent="0.3"/>
    <row r="2861" s="7" customFormat="1" x14ac:dyDescent="0.3"/>
    <row r="2862" s="7" customFormat="1" x14ac:dyDescent="0.3"/>
    <row r="2863" s="7" customFormat="1" x14ac:dyDescent="0.3"/>
    <row r="2864" s="7" customFormat="1" x14ac:dyDescent="0.3"/>
    <row r="2865" s="7" customFormat="1" x14ac:dyDescent="0.3"/>
    <row r="2866" s="7" customFormat="1" x14ac:dyDescent="0.3"/>
    <row r="2867" s="7" customFormat="1" x14ac:dyDescent="0.3"/>
    <row r="2868" s="7" customFormat="1" x14ac:dyDescent="0.3"/>
    <row r="2869" s="7" customFormat="1" x14ac:dyDescent="0.3"/>
    <row r="2870" s="7" customFormat="1" x14ac:dyDescent="0.3"/>
    <row r="2871" s="7" customFormat="1" x14ac:dyDescent="0.3"/>
    <row r="2872" s="7" customFormat="1" x14ac:dyDescent="0.3"/>
    <row r="2873" s="7" customFormat="1" x14ac:dyDescent="0.3"/>
    <row r="2874" s="7" customFormat="1" x14ac:dyDescent="0.3"/>
    <row r="2875" s="7" customFormat="1" x14ac:dyDescent="0.3"/>
    <row r="2876" s="7" customFormat="1" x14ac:dyDescent="0.3"/>
    <row r="2877" s="7" customFormat="1" x14ac:dyDescent="0.3"/>
    <row r="2878" s="7" customFormat="1" x14ac:dyDescent="0.3"/>
    <row r="2879" s="7" customFormat="1" x14ac:dyDescent="0.3"/>
    <row r="2880" s="7" customFormat="1" x14ac:dyDescent="0.3"/>
    <row r="2881" s="7" customFormat="1" x14ac:dyDescent="0.3"/>
    <row r="2882" s="7" customFormat="1" x14ac:dyDescent="0.3"/>
    <row r="2883" s="7" customFormat="1" x14ac:dyDescent="0.3"/>
    <row r="2884" s="7" customFormat="1" x14ac:dyDescent="0.3"/>
    <row r="2885" s="7" customFormat="1" x14ac:dyDescent="0.3"/>
    <row r="2886" s="7" customFormat="1" x14ac:dyDescent="0.3"/>
    <row r="2887" s="7" customFormat="1" x14ac:dyDescent="0.3"/>
    <row r="2888" s="7" customFormat="1" x14ac:dyDescent="0.3"/>
    <row r="2889" s="7" customFormat="1" x14ac:dyDescent="0.3"/>
    <row r="2890" s="7" customFormat="1" x14ac:dyDescent="0.3"/>
    <row r="2891" s="7" customFormat="1" x14ac:dyDescent="0.3"/>
    <row r="2892" s="7" customFormat="1" x14ac:dyDescent="0.3"/>
    <row r="2893" s="7" customFormat="1" x14ac:dyDescent="0.3"/>
    <row r="2894" s="7" customFormat="1" x14ac:dyDescent="0.3"/>
    <row r="2895" s="7" customFormat="1" x14ac:dyDescent="0.3"/>
    <row r="2896" s="7" customFormat="1" x14ac:dyDescent="0.3"/>
    <row r="2897" s="7" customFormat="1" x14ac:dyDescent="0.3"/>
    <row r="2898" s="7" customFormat="1" x14ac:dyDescent="0.3"/>
    <row r="2899" s="7" customFormat="1" x14ac:dyDescent="0.3"/>
    <row r="2900" s="7" customFormat="1" x14ac:dyDescent="0.3"/>
    <row r="2901" s="7" customFormat="1" x14ac:dyDescent="0.3"/>
    <row r="2902" s="7" customFormat="1" x14ac:dyDescent="0.3"/>
    <row r="2903" s="7" customFormat="1" x14ac:dyDescent="0.3"/>
    <row r="2904" s="7" customFormat="1" x14ac:dyDescent="0.3"/>
    <row r="2905" s="7" customFormat="1" x14ac:dyDescent="0.3"/>
    <row r="2906" s="7" customFormat="1" x14ac:dyDescent="0.3"/>
    <row r="2907" s="7" customFormat="1" x14ac:dyDescent="0.3"/>
    <row r="2908" s="7" customFormat="1" x14ac:dyDescent="0.3"/>
    <row r="2909" s="7" customFormat="1" x14ac:dyDescent="0.3"/>
    <row r="2910" s="7" customFormat="1" x14ac:dyDescent="0.3"/>
    <row r="2911" s="7" customFormat="1" x14ac:dyDescent="0.3"/>
    <row r="2912" s="7" customFormat="1" x14ac:dyDescent="0.3"/>
    <row r="2913" s="7" customFormat="1" x14ac:dyDescent="0.3"/>
    <row r="2914" s="7" customFormat="1" x14ac:dyDescent="0.3"/>
    <row r="2915" s="7" customFormat="1" x14ac:dyDescent="0.3"/>
    <row r="2916" s="7" customFormat="1" x14ac:dyDescent="0.3"/>
    <row r="2917" s="7" customFormat="1" x14ac:dyDescent="0.3"/>
    <row r="2918" s="7" customFormat="1" x14ac:dyDescent="0.3"/>
    <row r="2919" s="7" customFormat="1" x14ac:dyDescent="0.3"/>
    <row r="2920" s="7" customFormat="1" x14ac:dyDescent="0.3"/>
    <row r="2921" s="7" customFormat="1" x14ac:dyDescent="0.3"/>
    <row r="2922" s="7" customFormat="1" x14ac:dyDescent="0.3"/>
    <row r="2923" s="7" customFormat="1" x14ac:dyDescent="0.3"/>
    <row r="2924" s="7" customFormat="1" x14ac:dyDescent="0.3"/>
    <row r="2925" s="7" customFormat="1" x14ac:dyDescent="0.3"/>
    <row r="2926" s="7" customFormat="1" x14ac:dyDescent="0.3"/>
    <row r="2927" s="7" customFormat="1" x14ac:dyDescent="0.3"/>
    <row r="2928" s="7" customFormat="1" x14ac:dyDescent="0.3"/>
    <row r="2929" s="7" customFormat="1" x14ac:dyDescent="0.3"/>
    <row r="2930" s="7" customFormat="1" x14ac:dyDescent="0.3"/>
    <row r="2931" s="7" customFormat="1" x14ac:dyDescent="0.3"/>
    <row r="2932" s="7" customFormat="1" x14ac:dyDescent="0.3"/>
    <row r="2933" s="7" customFormat="1" x14ac:dyDescent="0.3"/>
    <row r="2934" s="7" customFormat="1" x14ac:dyDescent="0.3"/>
    <row r="2935" s="7" customFormat="1" x14ac:dyDescent="0.3"/>
    <row r="2936" s="7" customFormat="1" x14ac:dyDescent="0.3"/>
    <row r="2937" s="7" customFormat="1" x14ac:dyDescent="0.3"/>
    <row r="2938" s="7" customFormat="1" x14ac:dyDescent="0.3"/>
    <row r="2939" s="7" customFormat="1" x14ac:dyDescent="0.3"/>
    <row r="2940" s="7" customFormat="1" x14ac:dyDescent="0.3"/>
    <row r="2941" s="7" customFormat="1" x14ac:dyDescent="0.3"/>
    <row r="2942" s="7" customFormat="1" x14ac:dyDescent="0.3"/>
    <row r="2943" s="7" customFormat="1" x14ac:dyDescent="0.3"/>
    <row r="2944" s="7" customFormat="1" x14ac:dyDescent="0.3"/>
    <row r="2945" s="7" customFormat="1" x14ac:dyDescent="0.3"/>
    <row r="2946" s="7" customFormat="1" x14ac:dyDescent="0.3"/>
    <row r="2947" s="7" customFormat="1" x14ac:dyDescent="0.3"/>
    <row r="2948" s="7" customFormat="1" x14ac:dyDescent="0.3"/>
    <row r="2949" s="7" customFormat="1" x14ac:dyDescent="0.3"/>
    <row r="2950" s="7" customFormat="1" x14ac:dyDescent="0.3"/>
    <row r="2951" s="7" customFormat="1" x14ac:dyDescent="0.3"/>
    <row r="2952" s="7" customFormat="1" x14ac:dyDescent="0.3"/>
    <row r="2953" s="7" customFormat="1" x14ac:dyDescent="0.3"/>
    <row r="2954" s="7" customFormat="1" x14ac:dyDescent="0.3"/>
    <row r="2955" s="7" customFormat="1" x14ac:dyDescent="0.3"/>
    <row r="2956" s="7" customFormat="1" x14ac:dyDescent="0.3"/>
    <row r="2957" s="7" customFormat="1" x14ac:dyDescent="0.3"/>
    <row r="2958" s="7" customFormat="1" x14ac:dyDescent="0.3"/>
    <row r="2959" s="7" customFormat="1" x14ac:dyDescent="0.3"/>
    <row r="2960" s="7" customFormat="1" x14ac:dyDescent="0.3"/>
    <row r="2961" s="7" customFormat="1" x14ac:dyDescent="0.3"/>
    <row r="2962" s="7" customFormat="1" x14ac:dyDescent="0.3"/>
    <row r="2963" s="7" customFormat="1" x14ac:dyDescent="0.3"/>
    <row r="2964" s="7" customFormat="1" x14ac:dyDescent="0.3"/>
    <row r="2965" s="7" customFormat="1" x14ac:dyDescent="0.3"/>
    <row r="2966" s="7" customFormat="1" x14ac:dyDescent="0.3"/>
    <row r="2967" s="7" customFormat="1" x14ac:dyDescent="0.3"/>
    <row r="2968" s="7" customFormat="1" x14ac:dyDescent="0.3"/>
    <row r="2969" s="7" customFormat="1" x14ac:dyDescent="0.3"/>
    <row r="2970" s="7" customFormat="1" x14ac:dyDescent="0.3"/>
    <row r="2971" s="7" customFormat="1" x14ac:dyDescent="0.3"/>
    <row r="2972" s="7" customFormat="1" x14ac:dyDescent="0.3"/>
    <row r="2973" s="7" customFormat="1" x14ac:dyDescent="0.3"/>
    <row r="2974" s="7" customFormat="1" x14ac:dyDescent="0.3"/>
    <row r="2975" s="7" customFormat="1" x14ac:dyDescent="0.3"/>
    <row r="2976" s="7" customFormat="1" x14ac:dyDescent="0.3"/>
    <row r="2977" s="7" customFormat="1" x14ac:dyDescent="0.3"/>
    <row r="2978" s="7" customFormat="1" x14ac:dyDescent="0.3"/>
    <row r="2979" s="7" customFormat="1" x14ac:dyDescent="0.3"/>
    <row r="2980" s="7" customFormat="1" x14ac:dyDescent="0.3"/>
    <row r="2981" s="7" customFormat="1" x14ac:dyDescent="0.3"/>
    <row r="2982" s="7" customFormat="1" x14ac:dyDescent="0.3"/>
    <row r="2983" s="7" customFormat="1" x14ac:dyDescent="0.3"/>
    <row r="2984" s="7" customFormat="1" x14ac:dyDescent="0.3"/>
    <row r="2985" s="7" customFormat="1" x14ac:dyDescent="0.3"/>
    <row r="2986" s="7" customFormat="1" x14ac:dyDescent="0.3"/>
    <row r="2987" s="7" customFormat="1" x14ac:dyDescent="0.3"/>
    <row r="2988" s="7" customFormat="1" x14ac:dyDescent="0.3"/>
    <row r="2989" s="7" customFormat="1" x14ac:dyDescent="0.3"/>
    <row r="2990" s="7" customFormat="1" x14ac:dyDescent="0.3"/>
    <row r="2991" s="7" customFormat="1" x14ac:dyDescent="0.3"/>
    <row r="2992" s="7" customFormat="1" x14ac:dyDescent="0.3"/>
    <row r="2993" s="7" customFormat="1" x14ac:dyDescent="0.3"/>
    <row r="2994" s="7" customFormat="1" x14ac:dyDescent="0.3"/>
    <row r="2995" s="7" customFormat="1" x14ac:dyDescent="0.3"/>
    <row r="2996" s="7" customFormat="1" x14ac:dyDescent="0.3"/>
    <row r="2997" s="7" customFormat="1" x14ac:dyDescent="0.3"/>
    <row r="2998" s="7" customFormat="1" x14ac:dyDescent="0.3"/>
    <row r="2999" s="7" customFormat="1" x14ac:dyDescent="0.3"/>
    <row r="3000" s="7" customFormat="1" x14ac:dyDescent="0.3"/>
    <row r="3001" s="7" customFormat="1" x14ac:dyDescent="0.3"/>
    <row r="3002" s="7" customFormat="1" x14ac:dyDescent="0.3"/>
    <row r="3003" s="7" customFormat="1" x14ac:dyDescent="0.3"/>
    <row r="3004" s="7" customFormat="1" x14ac:dyDescent="0.3"/>
    <row r="3005" s="7" customFormat="1" x14ac:dyDescent="0.3"/>
    <row r="3006" s="7" customFormat="1" x14ac:dyDescent="0.3"/>
    <row r="3007" s="7" customFormat="1" x14ac:dyDescent="0.3"/>
    <row r="3008" s="7" customFormat="1" x14ac:dyDescent="0.3"/>
    <row r="3009" s="7" customFormat="1" x14ac:dyDescent="0.3"/>
    <row r="3010" s="7" customFormat="1" x14ac:dyDescent="0.3"/>
    <row r="3011" s="7" customFormat="1" x14ac:dyDescent="0.3"/>
    <row r="3012" s="7" customFormat="1" x14ac:dyDescent="0.3"/>
    <row r="3013" s="7" customFormat="1" x14ac:dyDescent="0.3"/>
    <row r="3014" s="7" customFormat="1" x14ac:dyDescent="0.3"/>
    <row r="3015" s="7" customFormat="1" x14ac:dyDescent="0.3"/>
    <row r="3016" s="7" customFormat="1" x14ac:dyDescent="0.3"/>
    <row r="3017" s="7" customFormat="1" x14ac:dyDescent="0.3"/>
    <row r="3018" s="7" customFormat="1" x14ac:dyDescent="0.3"/>
    <row r="3019" s="7" customFormat="1" x14ac:dyDescent="0.3"/>
    <row r="3020" s="7" customFormat="1" x14ac:dyDescent="0.3"/>
    <row r="3021" s="7" customFormat="1" x14ac:dyDescent="0.3"/>
    <row r="3022" s="7" customFormat="1" x14ac:dyDescent="0.3"/>
    <row r="3023" s="7" customFormat="1" x14ac:dyDescent="0.3"/>
    <row r="3024" s="7" customFormat="1" x14ac:dyDescent="0.3"/>
    <row r="3025" s="7" customFormat="1" x14ac:dyDescent="0.3"/>
    <row r="3026" s="7" customFormat="1" x14ac:dyDescent="0.3"/>
    <row r="3027" s="7" customFormat="1" x14ac:dyDescent="0.3"/>
    <row r="3028" s="7" customFormat="1" x14ac:dyDescent="0.3"/>
    <row r="3029" s="7" customFormat="1" x14ac:dyDescent="0.3"/>
    <row r="3030" s="7" customFormat="1" x14ac:dyDescent="0.3"/>
    <row r="3031" s="7" customFormat="1" x14ac:dyDescent="0.3"/>
    <row r="3032" s="7" customFormat="1" x14ac:dyDescent="0.3"/>
    <row r="3033" s="7" customFormat="1" x14ac:dyDescent="0.3"/>
    <row r="3034" s="7" customFormat="1" x14ac:dyDescent="0.3"/>
    <row r="3035" s="7" customFormat="1" x14ac:dyDescent="0.3"/>
    <row r="3036" s="7" customFormat="1" x14ac:dyDescent="0.3"/>
    <row r="3037" s="7" customFormat="1" x14ac:dyDescent="0.3"/>
    <row r="3038" s="7" customFormat="1" x14ac:dyDescent="0.3"/>
    <row r="3039" s="7" customFormat="1" x14ac:dyDescent="0.3"/>
    <row r="3040" s="7" customFormat="1" x14ac:dyDescent="0.3"/>
    <row r="3041" s="7" customFormat="1" x14ac:dyDescent="0.3"/>
    <row r="3042" s="7" customFormat="1" x14ac:dyDescent="0.3"/>
    <row r="3043" s="7" customFormat="1" x14ac:dyDescent="0.3"/>
    <row r="3044" s="7" customFormat="1" x14ac:dyDescent="0.3"/>
    <row r="3045" s="7" customFormat="1" x14ac:dyDescent="0.3"/>
    <row r="3046" s="7" customFormat="1" x14ac:dyDescent="0.3"/>
    <row r="3047" s="7" customFormat="1" x14ac:dyDescent="0.3"/>
    <row r="3048" s="7" customFormat="1" x14ac:dyDescent="0.3"/>
    <row r="3049" s="7" customFormat="1" x14ac:dyDescent="0.3"/>
    <row r="3050" s="7" customFormat="1" x14ac:dyDescent="0.3"/>
    <row r="3051" s="7" customFormat="1" x14ac:dyDescent="0.3"/>
    <row r="3052" s="7" customFormat="1" x14ac:dyDescent="0.3"/>
    <row r="3053" s="7" customFormat="1" x14ac:dyDescent="0.3"/>
    <row r="3054" s="7" customFormat="1" x14ac:dyDescent="0.3"/>
    <row r="3055" s="7" customFormat="1" x14ac:dyDescent="0.3"/>
    <row r="3056" s="7" customFormat="1" x14ac:dyDescent="0.3"/>
    <row r="3057" s="7" customFormat="1" x14ac:dyDescent="0.3"/>
    <row r="3058" s="7" customFormat="1" x14ac:dyDescent="0.3"/>
    <row r="3059" s="7" customFormat="1" x14ac:dyDescent="0.3"/>
    <row r="3060" s="7" customFormat="1" x14ac:dyDescent="0.3"/>
    <row r="3061" s="7" customFormat="1" x14ac:dyDescent="0.3"/>
    <row r="3062" s="7" customFormat="1" x14ac:dyDescent="0.3"/>
    <row r="3063" s="7" customFormat="1" x14ac:dyDescent="0.3"/>
    <row r="3064" s="7" customFormat="1" x14ac:dyDescent="0.3"/>
    <row r="3065" s="7" customFormat="1" x14ac:dyDescent="0.3"/>
    <row r="3066" s="7" customFormat="1" x14ac:dyDescent="0.3"/>
    <row r="3067" s="7" customFormat="1" x14ac:dyDescent="0.3"/>
    <row r="3068" s="7" customFormat="1" x14ac:dyDescent="0.3"/>
    <row r="3069" s="7" customFormat="1" x14ac:dyDescent="0.3"/>
    <row r="3070" s="7" customFormat="1" x14ac:dyDescent="0.3"/>
    <row r="3071" s="7" customFormat="1" x14ac:dyDescent="0.3"/>
    <row r="3072" s="7" customFormat="1" x14ac:dyDescent="0.3"/>
    <row r="3073" s="7" customFormat="1" x14ac:dyDescent="0.3"/>
    <row r="3074" s="7" customFormat="1" x14ac:dyDescent="0.3"/>
    <row r="3075" s="7" customFormat="1" x14ac:dyDescent="0.3"/>
    <row r="3076" s="7" customFormat="1" x14ac:dyDescent="0.3"/>
    <row r="3077" s="7" customFormat="1" x14ac:dyDescent="0.3"/>
    <row r="3078" s="7" customFormat="1" x14ac:dyDescent="0.3"/>
    <row r="3079" s="7" customFormat="1" x14ac:dyDescent="0.3"/>
    <row r="3080" s="7" customFormat="1" x14ac:dyDescent="0.3"/>
    <row r="3081" s="7" customFormat="1" x14ac:dyDescent="0.3"/>
    <row r="3082" s="7" customFormat="1" x14ac:dyDescent="0.3"/>
    <row r="3083" s="7" customFormat="1" x14ac:dyDescent="0.3"/>
    <row r="3084" s="7" customFormat="1" x14ac:dyDescent="0.3"/>
    <row r="3085" s="7" customFormat="1" x14ac:dyDescent="0.3"/>
    <row r="3086" s="7" customFormat="1" x14ac:dyDescent="0.3"/>
    <row r="3087" s="7" customFormat="1" x14ac:dyDescent="0.3"/>
    <row r="3088" s="7" customFormat="1" x14ac:dyDescent="0.3"/>
    <row r="3089" s="7" customFormat="1" x14ac:dyDescent="0.3"/>
    <row r="3090" s="7" customFormat="1" x14ac:dyDescent="0.3"/>
    <row r="3091" s="7" customFormat="1" x14ac:dyDescent="0.3"/>
    <row r="3092" s="7" customFormat="1" x14ac:dyDescent="0.3"/>
    <row r="3093" s="7" customFormat="1" x14ac:dyDescent="0.3"/>
    <row r="3094" s="7" customFormat="1" x14ac:dyDescent="0.3"/>
    <row r="3095" s="7" customFormat="1" x14ac:dyDescent="0.3"/>
    <row r="3096" s="7" customFormat="1" x14ac:dyDescent="0.3"/>
    <row r="3097" s="7" customFormat="1" x14ac:dyDescent="0.3"/>
    <row r="3098" s="7" customFormat="1" x14ac:dyDescent="0.3"/>
    <row r="3099" s="7" customFormat="1" x14ac:dyDescent="0.3"/>
    <row r="3100" s="7" customFormat="1" x14ac:dyDescent="0.3"/>
    <row r="3101" s="7" customFormat="1" x14ac:dyDescent="0.3"/>
    <row r="3102" s="7" customFormat="1" x14ac:dyDescent="0.3"/>
    <row r="3103" s="7" customFormat="1" x14ac:dyDescent="0.3"/>
    <row r="3104" s="7" customFormat="1" x14ac:dyDescent="0.3"/>
    <row r="3105" s="7" customFormat="1" x14ac:dyDescent="0.3"/>
    <row r="3106" s="7" customFormat="1" x14ac:dyDescent="0.3"/>
    <row r="3107" s="7" customFormat="1" x14ac:dyDescent="0.3"/>
    <row r="3108" s="7" customFormat="1" x14ac:dyDescent="0.3"/>
    <row r="3109" s="7" customFormat="1" x14ac:dyDescent="0.3"/>
    <row r="3110" s="7" customFormat="1" x14ac:dyDescent="0.3"/>
    <row r="3111" s="7" customFormat="1" x14ac:dyDescent="0.3"/>
    <row r="3112" s="7" customFormat="1" x14ac:dyDescent="0.3"/>
    <row r="3113" s="7" customFormat="1" x14ac:dyDescent="0.3"/>
    <row r="3114" s="7" customFormat="1" x14ac:dyDescent="0.3"/>
    <row r="3115" s="7" customFormat="1" x14ac:dyDescent="0.3"/>
    <row r="3116" s="7" customFormat="1" x14ac:dyDescent="0.3"/>
    <row r="3117" s="7" customFormat="1" x14ac:dyDescent="0.3"/>
    <row r="3118" s="7" customFormat="1" x14ac:dyDescent="0.3"/>
    <row r="3119" s="7" customFormat="1" x14ac:dyDescent="0.3"/>
    <row r="3120" s="7" customFormat="1" x14ac:dyDescent="0.3"/>
    <row r="3121" s="7" customFormat="1" x14ac:dyDescent="0.3"/>
    <row r="3122" s="7" customFormat="1" x14ac:dyDescent="0.3"/>
    <row r="3123" s="7" customFormat="1" x14ac:dyDescent="0.3"/>
    <row r="3124" s="7" customFormat="1" x14ac:dyDescent="0.3"/>
    <row r="3125" s="7" customFormat="1" x14ac:dyDescent="0.3"/>
    <row r="3126" s="7" customFormat="1" x14ac:dyDescent="0.3"/>
    <row r="3127" s="7" customFormat="1" x14ac:dyDescent="0.3"/>
    <row r="3128" s="7" customFormat="1" x14ac:dyDescent="0.3"/>
    <row r="3129" s="7" customFormat="1" x14ac:dyDescent="0.3"/>
    <row r="3130" s="7" customFormat="1" x14ac:dyDescent="0.3"/>
    <row r="3131" s="7" customFormat="1" x14ac:dyDescent="0.3"/>
    <row r="3132" s="7" customFormat="1" x14ac:dyDescent="0.3"/>
    <row r="3133" s="7" customFormat="1" x14ac:dyDescent="0.3"/>
    <row r="3134" s="7" customFormat="1" x14ac:dyDescent="0.3"/>
    <row r="3135" s="7" customFormat="1" x14ac:dyDescent="0.3"/>
    <row r="3136" s="7" customFormat="1" x14ac:dyDescent="0.3"/>
    <row r="3137" s="7" customFormat="1" x14ac:dyDescent="0.3"/>
    <row r="3138" s="7" customFormat="1" x14ac:dyDescent="0.3"/>
    <row r="3139" s="7" customFormat="1" x14ac:dyDescent="0.3"/>
    <row r="3140" s="7" customFormat="1" x14ac:dyDescent="0.3"/>
    <row r="3141" s="7" customFormat="1" x14ac:dyDescent="0.3"/>
    <row r="3142" s="7" customFormat="1" x14ac:dyDescent="0.3"/>
    <row r="3143" s="7" customFormat="1" x14ac:dyDescent="0.3"/>
    <row r="3144" s="7" customFormat="1" x14ac:dyDescent="0.3"/>
    <row r="3145" s="7" customFormat="1" x14ac:dyDescent="0.3"/>
    <row r="3146" s="7" customFormat="1" x14ac:dyDescent="0.3"/>
    <row r="3147" s="7" customFormat="1" x14ac:dyDescent="0.3"/>
    <row r="3148" s="7" customFormat="1" x14ac:dyDescent="0.3"/>
    <row r="3149" s="7" customFormat="1" x14ac:dyDescent="0.3"/>
    <row r="3150" s="7" customFormat="1" x14ac:dyDescent="0.3"/>
    <row r="3151" s="7" customFormat="1" x14ac:dyDescent="0.3"/>
    <row r="3152" s="7" customFormat="1" x14ac:dyDescent="0.3"/>
    <row r="3153" s="7" customFormat="1" x14ac:dyDescent="0.3"/>
    <row r="3154" s="7" customFormat="1" x14ac:dyDescent="0.3"/>
    <row r="3155" s="7" customFormat="1" x14ac:dyDescent="0.3"/>
    <row r="3156" s="7" customFormat="1" x14ac:dyDescent="0.3"/>
    <row r="3157" s="7" customFormat="1" x14ac:dyDescent="0.3"/>
    <row r="3158" s="7" customFormat="1" x14ac:dyDescent="0.3"/>
    <row r="3159" s="7" customFormat="1" x14ac:dyDescent="0.3"/>
    <row r="3160" s="7" customFormat="1" x14ac:dyDescent="0.3"/>
    <row r="3161" s="7" customFormat="1" x14ac:dyDescent="0.3"/>
    <row r="3162" s="7" customFormat="1" x14ac:dyDescent="0.3"/>
    <row r="3163" s="7" customFormat="1" x14ac:dyDescent="0.3"/>
    <row r="3164" s="7" customFormat="1" x14ac:dyDescent="0.3"/>
    <row r="3165" s="7" customFormat="1" x14ac:dyDescent="0.3"/>
    <row r="3166" s="7" customFormat="1" x14ac:dyDescent="0.3"/>
    <row r="3167" s="7" customFormat="1" x14ac:dyDescent="0.3"/>
    <row r="3168" s="7" customFormat="1" x14ac:dyDescent="0.3"/>
    <row r="3169" s="7" customFormat="1" x14ac:dyDescent="0.3"/>
    <row r="3170" s="7" customFormat="1" x14ac:dyDescent="0.3"/>
    <row r="3171" s="7" customFormat="1" x14ac:dyDescent="0.3"/>
    <row r="3172" s="7" customFormat="1" x14ac:dyDescent="0.3"/>
    <row r="3173" s="7" customFormat="1" x14ac:dyDescent="0.3"/>
    <row r="3174" s="7" customFormat="1" x14ac:dyDescent="0.3"/>
    <row r="3175" s="7" customFormat="1" x14ac:dyDescent="0.3"/>
    <row r="3176" s="7" customFormat="1" x14ac:dyDescent="0.3"/>
    <row r="3177" s="7" customFormat="1" x14ac:dyDescent="0.3"/>
    <row r="3178" s="7" customFormat="1" x14ac:dyDescent="0.3"/>
    <row r="3179" s="7" customFormat="1" x14ac:dyDescent="0.3"/>
    <row r="3180" s="7" customFormat="1" x14ac:dyDescent="0.3"/>
    <row r="3181" s="7" customFormat="1" x14ac:dyDescent="0.3"/>
    <row r="3182" s="7" customFormat="1" x14ac:dyDescent="0.3"/>
    <row r="3183" s="7" customFormat="1" x14ac:dyDescent="0.3"/>
    <row r="3184" s="7" customFormat="1" x14ac:dyDescent="0.3"/>
    <row r="3185" s="7" customFormat="1" x14ac:dyDescent="0.3"/>
    <row r="3186" s="7" customFormat="1" x14ac:dyDescent="0.3"/>
    <row r="3187" s="7" customFormat="1" x14ac:dyDescent="0.3"/>
    <row r="3188" s="7" customFormat="1" x14ac:dyDescent="0.3"/>
    <row r="3189" s="7" customFormat="1" x14ac:dyDescent="0.3"/>
    <row r="3190" s="7" customFormat="1" x14ac:dyDescent="0.3"/>
    <row r="3191" s="7" customFormat="1" x14ac:dyDescent="0.3"/>
    <row r="3192" s="7" customFormat="1" x14ac:dyDescent="0.3"/>
    <row r="3193" s="7" customFormat="1" x14ac:dyDescent="0.3"/>
    <row r="3194" s="7" customFormat="1" x14ac:dyDescent="0.3"/>
    <row r="3195" s="7" customFormat="1" x14ac:dyDescent="0.3"/>
    <row r="3196" s="7" customFormat="1" x14ac:dyDescent="0.3"/>
    <row r="3197" s="7" customFormat="1" x14ac:dyDescent="0.3"/>
    <row r="3198" s="7" customFormat="1" x14ac:dyDescent="0.3"/>
    <row r="3199" s="7" customFormat="1" x14ac:dyDescent="0.3"/>
    <row r="3200" s="7" customFormat="1" x14ac:dyDescent="0.3"/>
    <row r="3201" s="7" customFormat="1" x14ac:dyDescent="0.3"/>
    <row r="3202" s="7" customFormat="1" x14ac:dyDescent="0.3"/>
    <row r="3203" s="7" customFormat="1" x14ac:dyDescent="0.3"/>
    <row r="3204" s="7" customFormat="1" x14ac:dyDescent="0.3"/>
    <row r="3205" s="7" customFormat="1" x14ac:dyDescent="0.3"/>
    <row r="3206" s="7" customFormat="1" x14ac:dyDescent="0.3"/>
    <row r="3207" s="7" customFormat="1" x14ac:dyDescent="0.3"/>
    <row r="3208" s="7" customFormat="1" x14ac:dyDescent="0.3"/>
    <row r="3209" s="7" customFormat="1" x14ac:dyDescent="0.3"/>
    <row r="3210" s="7" customFormat="1" x14ac:dyDescent="0.3"/>
    <row r="3211" s="7" customFormat="1" x14ac:dyDescent="0.3"/>
    <row r="3212" s="7" customFormat="1" x14ac:dyDescent="0.3"/>
    <row r="3213" s="7" customFormat="1" x14ac:dyDescent="0.3"/>
    <row r="3214" s="7" customFormat="1" x14ac:dyDescent="0.3"/>
    <row r="3215" s="7" customFormat="1" x14ac:dyDescent="0.3"/>
    <row r="3216" s="7" customFormat="1" x14ac:dyDescent="0.3"/>
    <row r="3217" s="7" customFormat="1" x14ac:dyDescent="0.3"/>
    <row r="3218" s="7" customFormat="1" x14ac:dyDescent="0.3"/>
    <row r="3219" s="7" customFormat="1" x14ac:dyDescent="0.3"/>
    <row r="3220" s="7" customFormat="1" x14ac:dyDescent="0.3"/>
    <row r="3221" s="7" customFormat="1" x14ac:dyDescent="0.3"/>
    <row r="3222" s="7" customFormat="1" x14ac:dyDescent="0.3"/>
    <row r="3223" s="7" customFormat="1" x14ac:dyDescent="0.3"/>
    <row r="3224" s="7" customFormat="1" x14ac:dyDescent="0.3"/>
    <row r="3225" s="7" customFormat="1" x14ac:dyDescent="0.3"/>
    <row r="3226" s="7" customFormat="1" x14ac:dyDescent="0.3"/>
    <row r="3227" s="7" customFormat="1" x14ac:dyDescent="0.3"/>
    <row r="3228" s="7" customFormat="1" x14ac:dyDescent="0.3"/>
    <row r="3229" s="7" customFormat="1" x14ac:dyDescent="0.3"/>
    <row r="3230" s="7" customFormat="1" x14ac:dyDescent="0.3"/>
    <row r="3231" s="7" customFormat="1" x14ac:dyDescent="0.3"/>
    <row r="3232" s="7" customFormat="1" x14ac:dyDescent="0.3"/>
    <row r="3233" s="7" customFormat="1" x14ac:dyDescent="0.3"/>
    <row r="3234" s="7" customFormat="1" x14ac:dyDescent="0.3"/>
    <row r="3235" s="7" customFormat="1" x14ac:dyDescent="0.3"/>
    <row r="3236" s="7" customFormat="1" x14ac:dyDescent="0.3"/>
    <row r="3237" s="7" customFormat="1" x14ac:dyDescent="0.3"/>
    <row r="3238" s="7" customFormat="1" x14ac:dyDescent="0.3"/>
    <row r="3239" s="7" customFormat="1" x14ac:dyDescent="0.3"/>
    <row r="3240" s="7" customFormat="1" x14ac:dyDescent="0.3"/>
    <row r="3241" s="7" customFormat="1" x14ac:dyDescent="0.3"/>
    <row r="3242" s="7" customFormat="1" x14ac:dyDescent="0.3"/>
    <row r="3243" s="7" customFormat="1" x14ac:dyDescent="0.3"/>
    <row r="3244" s="7" customFormat="1" x14ac:dyDescent="0.3"/>
    <row r="3245" s="7" customFormat="1" x14ac:dyDescent="0.3"/>
    <row r="3246" s="7" customFormat="1" x14ac:dyDescent="0.3"/>
    <row r="3247" s="7" customFormat="1" x14ac:dyDescent="0.3"/>
    <row r="3248" s="7" customFormat="1" x14ac:dyDescent="0.3"/>
    <row r="3249" s="7" customFormat="1" x14ac:dyDescent="0.3"/>
    <row r="3250" s="7" customFormat="1" x14ac:dyDescent="0.3"/>
    <row r="3251" s="7" customFormat="1" x14ac:dyDescent="0.3"/>
    <row r="3252" s="7" customFormat="1" x14ac:dyDescent="0.3"/>
    <row r="3253" s="7" customFormat="1" x14ac:dyDescent="0.3"/>
    <row r="3254" s="7" customFormat="1" x14ac:dyDescent="0.3"/>
    <row r="3255" s="7" customFormat="1" x14ac:dyDescent="0.3"/>
    <row r="3256" s="7" customFormat="1" x14ac:dyDescent="0.3"/>
    <row r="3257" s="7" customFormat="1" x14ac:dyDescent="0.3"/>
    <row r="3258" s="7" customFormat="1" x14ac:dyDescent="0.3"/>
    <row r="3259" s="7" customFormat="1" x14ac:dyDescent="0.3"/>
    <row r="3260" s="7" customFormat="1" x14ac:dyDescent="0.3"/>
    <row r="3261" s="7" customFormat="1" x14ac:dyDescent="0.3"/>
    <row r="3262" s="7" customFormat="1" x14ac:dyDescent="0.3"/>
    <row r="3263" s="7" customFormat="1" x14ac:dyDescent="0.3"/>
    <row r="3264" s="7" customFormat="1" x14ac:dyDescent="0.3"/>
    <row r="3265" s="7" customFormat="1" x14ac:dyDescent="0.3"/>
    <row r="3266" s="7" customFormat="1" x14ac:dyDescent="0.3"/>
    <row r="3267" s="7" customFormat="1" x14ac:dyDescent="0.3"/>
    <row r="3268" s="7" customFormat="1" x14ac:dyDescent="0.3"/>
    <row r="3269" s="7" customFormat="1" x14ac:dyDescent="0.3"/>
    <row r="3270" s="7" customFormat="1" x14ac:dyDescent="0.3"/>
    <row r="3271" s="7" customFormat="1" x14ac:dyDescent="0.3"/>
    <row r="3272" s="7" customFormat="1" x14ac:dyDescent="0.3"/>
    <row r="3273" s="7" customFormat="1" x14ac:dyDescent="0.3"/>
    <row r="3274" s="7" customFormat="1" x14ac:dyDescent="0.3"/>
    <row r="3275" s="7" customFormat="1" x14ac:dyDescent="0.3"/>
    <row r="3276" s="7" customFormat="1" x14ac:dyDescent="0.3"/>
    <row r="3277" s="7" customFormat="1" x14ac:dyDescent="0.3"/>
    <row r="3278" s="7" customFormat="1" x14ac:dyDescent="0.3"/>
    <row r="3279" s="7" customFormat="1" x14ac:dyDescent="0.3"/>
    <row r="3280" s="7" customFormat="1" hidden="1" x14ac:dyDescent="0.3"/>
    <row r="3281" s="7" customFormat="1" hidden="1" x14ac:dyDescent="0.3"/>
    <row r="3282" s="7" customFormat="1" hidden="1" x14ac:dyDescent="0.3"/>
    <row r="3283" s="7" customFormat="1" hidden="1" x14ac:dyDescent="0.3"/>
    <row r="3284" s="7" customFormat="1" hidden="1" x14ac:dyDescent="0.3"/>
    <row r="3285" s="7" customFormat="1" hidden="1" x14ac:dyDescent="0.3"/>
    <row r="3286" s="7" customFormat="1" hidden="1" x14ac:dyDescent="0.3"/>
    <row r="3287" s="7" customFormat="1" hidden="1" x14ac:dyDescent="0.3"/>
    <row r="3288" s="7" customFormat="1" hidden="1" x14ac:dyDescent="0.3"/>
    <row r="3289" s="7" customFormat="1" hidden="1" x14ac:dyDescent="0.3"/>
    <row r="3290" s="7" customFormat="1" hidden="1" x14ac:dyDescent="0.3"/>
    <row r="3291" s="7" customFormat="1" hidden="1" x14ac:dyDescent="0.3"/>
    <row r="3292" s="7" customFormat="1" hidden="1" x14ac:dyDescent="0.3"/>
    <row r="3293" s="7" customFormat="1" hidden="1" x14ac:dyDescent="0.3"/>
    <row r="3294" s="7" customFormat="1" hidden="1" x14ac:dyDescent="0.3"/>
    <row r="3295" s="7" customFormat="1" hidden="1" x14ac:dyDescent="0.3"/>
    <row r="3296" s="7" customFormat="1" hidden="1" x14ac:dyDescent="0.3"/>
    <row r="3297" spans="29:45" s="7" customFormat="1" hidden="1" x14ac:dyDescent="0.3"/>
    <row r="3298" spans="29:45" s="7" customFormat="1" hidden="1" x14ac:dyDescent="0.3"/>
    <row r="3299" spans="29:45" s="7" customFormat="1" hidden="1" x14ac:dyDescent="0.3"/>
    <row r="3300" spans="29:45" hidden="1" x14ac:dyDescent="0.3">
      <c r="AC3300" s="7"/>
      <c r="AD3300" s="7"/>
      <c r="AE3300" s="7"/>
      <c r="AF3300" s="7"/>
      <c r="AG3300" s="7"/>
      <c r="AO3300" s="7"/>
      <c r="AP3300" s="7"/>
      <c r="AQ3300" s="7"/>
      <c r="AR3300" s="7"/>
      <c r="AS3300" s="7"/>
    </row>
    <row r="3301" spans="29:45" s="7" customFormat="1" hidden="1" x14ac:dyDescent="0.3">
      <c r="AC3301"/>
      <c r="AD3301"/>
      <c r="AE3301"/>
      <c r="AF3301"/>
      <c r="AG3301"/>
      <c r="AO3301"/>
      <c r="AP3301"/>
      <c r="AQ3301"/>
      <c r="AR3301"/>
      <c r="AS3301"/>
    </row>
    <row r="3302" spans="29:45" s="7" customFormat="1" hidden="1" x14ac:dyDescent="0.3"/>
    <row r="3303" spans="29:45" hidden="1" x14ac:dyDescent="0.3">
      <c r="AC3303" s="7"/>
      <c r="AD3303" s="7"/>
      <c r="AE3303" s="7"/>
      <c r="AF3303" s="7"/>
      <c r="AG3303" s="7"/>
      <c r="AO3303" s="7"/>
      <c r="AP3303" s="7"/>
      <c r="AQ3303" s="7"/>
      <c r="AR3303" s="7"/>
      <c r="AS3303" s="7"/>
    </row>
  </sheetData>
  <autoFilter ref="E8:AY3279"/>
  <mergeCells count="4">
    <mergeCell ref="W4:AA4"/>
    <mergeCell ref="AI4:AM4"/>
    <mergeCell ref="K4:O4"/>
    <mergeCell ref="AU4:A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CC"/>
  </sheetPr>
  <dimension ref="A1:Z240"/>
  <sheetViews>
    <sheetView topLeftCell="A166" zoomScale="70" zoomScaleNormal="70" workbookViewId="0">
      <selection activeCell="I208" sqref="I208"/>
    </sheetView>
  </sheetViews>
  <sheetFormatPr defaultColWidth="5.3828125" defaultRowHeight="13.5" zeroHeight="1" x14ac:dyDescent="0.3"/>
  <cols>
    <col min="1" max="1" width="2.4609375" customWidth="1"/>
    <col min="2" max="4" width="2.3828125" customWidth="1"/>
    <col min="5" max="5" width="10.765625" bestFit="1" customWidth="1"/>
    <col min="6" max="6" width="54.23046875" bestFit="1" customWidth="1"/>
    <col min="7" max="11" width="17.23046875" bestFit="1" customWidth="1"/>
    <col min="12" max="12" width="22.4609375" customWidth="1"/>
    <col min="13" max="13" width="4.23046875" customWidth="1"/>
    <col min="14" max="18" width="12.4609375" customWidth="1"/>
    <col min="19" max="19" width="4.23046875" customWidth="1"/>
    <col min="20" max="24" width="12.4609375" customWidth="1"/>
    <col min="25" max="25" width="4.23046875" customWidth="1"/>
    <col min="26" max="44" width="10.4609375" customWidth="1"/>
  </cols>
  <sheetData>
    <row r="1" spans="1:24" x14ac:dyDescent="0.3">
      <c r="A1" s="13" t="str">
        <f>Control!$G$9</f>
        <v>UE Consolidated Capex</v>
      </c>
      <c r="B1" s="13"/>
      <c r="C1" s="14"/>
      <c r="D1" s="15"/>
      <c r="E1" s="16"/>
      <c r="F1" s="16"/>
      <c r="G1" s="16"/>
      <c r="H1" s="16"/>
      <c r="I1" s="16"/>
      <c r="J1" s="16"/>
      <c r="K1" s="16"/>
      <c r="L1" s="16"/>
      <c r="N1" s="152"/>
    </row>
    <row r="2" spans="1:24" x14ac:dyDescent="0.3">
      <c r="A2" s="21" t="str">
        <f ca="1" xml:space="preserve"> "Sheet: " &amp; RIGHT(CELL("filename", $A$1), LEN(CELL("filename", $A$1)) - SEARCH("]", CELL("filename", $A$1)))</f>
        <v>Sheet: Input|Forecast Data</v>
      </c>
      <c r="B2" s="21"/>
      <c r="C2" s="14"/>
      <c r="D2" s="15"/>
      <c r="E2" s="16"/>
      <c r="F2" s="16"/>
      <c r="G2" s="16"/>
      <c r="H2" s="16"/>
      <c r="I2" s="16"/>
      <c r="J2" s="16"/>
      <c r="K2" s="16"/>
      <c r="L2" s="16"/>
    </row>
    <row r="3" spans="1:24" x14ac:dyDescent="0.3">
      <c r="A3" s="21" t="s">
        <v>0</v>
      </c>
      <c r="B3" s="21"/>
      <c r="C3" s="14"/>
      <c r="D3" s="15"/>
      <c r="E3" s="15"/>
      <c r="F3" s="15"/>
      <c r="G3" s="16"/>
      <c r="H3" s="16"/>
      <c r="I3" s="16"/>
      <c r="J3" s="16"/>
      <c r="K3" s="16"/>
      <c r="L3" s="16"/>
    </row>
    <row r="4" spans="1:24" x14ac:dyDescent="0.3">
      <c r="A4" s="21"/>
      <c r="B4" s="21"/>
      <c r="C4" s="14"/>
      <c r="D4" s="15"/>
      <c r="E4" s="16"/>
      <c r="F4" s="16"/>
      <c r="G4" s="16"/>
      <c r="H4" s="16"/>
      <c r="I4" s="16"/>
      <c r="J4" s="16"/>
      <c r="K4" s="16"/>
      <c r="L4" s="16"/>
      <c r="N4" s="139" t="s">
        <v>1057</v>
      </c>
      <c r="O4" s="138"/>
      <c r="P4" s="138"/>
      <c r="Q4" s="138"/>
      <c r="R4" s="138"/>
      <c r="T4" s="139" t="s">
        <v>1056</v>
      </c>
      <c r="U4" s="138"/>
      <c r="V4" s="138"/>
      <c r="W4" s="138"/>
      <c r="X4" s="138"/>
    </row>
    <row r="5" spans="1:24" x14ac:dyDescent="0.3">
      <c r="A5" s="21"/>
      <c r="B5" s="21"/>
      <c r="C5" s="21"/>
      <c r="D5" s="21"/>
      <c r="E5" s="31" t="s">
        <v>14</v>
      </c>
      <c r="F5" s="28"/>
      <c r="G5" s="30" t="s">
        <v>603</v>
      </c>
      <c r="H5" s="30" t="s">
        <v>604</v>
      </c>
      <c r="I5" s="30" t="s">
        <v>605</v>
      </c>
      <c r="J5" s="30" t="s">
        <v>606</v>
      </c>
      <c r="K5" s="30" t="s">
        <v>607</v>
      </c>
      <c r="L5" s="16"/>
      <c r="N5" s="108" t="s">
        <v>603</v>
      </c>
      <c r="O5" s="108" t="s">
        <v>604</v>
      </c>
      <c r="P5" s="108" t="s">
        <v>605</v>
      </c>
      <c r="Q5" s="108" t="s">
        <v>606</v>
      </c>
      <c r="R5" s="108" t="s">
        <v>607</v>
      </c>
      <c r="T5" s="108" t="s">
        <v>603</v>
      </c>
      <c r="U5" s="108" t="s">
        <v>604</v>
      </c>
      <c r="V5" s="108" t="s">
        <v>605</v>
      </c>
      <c r="W5" s="108" t="s">
        <v>606</v>
      </c>
      <c r="X5" s="108" t="s">
        <v>607</v>
      </c>
    </row>
    <row r="6" spans="1:24" x14ac:dyDescent="0.3">
      <c r="A6" s="1"/>
      <c r="B6" s="1"/>
      <c r="C6" s="2"/>
      <c r="D6" s="3"/>
      <c r="E6" s="149"/>
      <c r="F6" s="4"/>
      <c r="G6" s="4"/>
      <c r="H6" s="4"/>
      <c r="I6" s="4"/>
      <c r="J6" s="4"/>
      <c r="K6" s="4"/>
      <c r="L6" s="4"/>
      <c r="N6" s="140"/>
      <c r="O6" s="140"/>
      <c r="P6" s="140"/>
      <c r="Q6" s="140"/>
      <c r="R6" s="140"/>
      <c r="T6" s="140"/>
      <c r="U6" s="140"/>
      <c r="V6" s="140"/>
      <c r="W6" s="140"/>
      <c r="X6" s="140"/>
    </row>
    <row r="7" spans="1:24" x14ac:dyDescent="0.3">
      <c r="A7" s="21" t="s">
        <v>32</v>
      </c>
      <c r="B7" s="21"/>
      <c r="C7" s="14"/>
      <c r="D7" s="23"/>
      <c r="E7" s="150"/>
      <c r="F7" s="24"/>
      <c r="G7" s="34" t="s">
        <v>602</v>
      </c>
      <c r="H7" s="34" t="s">
        <v>602</v>
      </c>
      <c r="I7" s="34" t="s">
        <v>602</v>
      </c>
      <c r="J7" s="34" t="s">
        <v>602</v>
      </c>
      <c r="K7" s="34" t="s">
        <v>602</v>
      </c>
      <c r="L7" s="24"/>
      <c r="N7" s="34" t="s">
        <v>602</v>
      </c>
      <c r="O7" s="34" t="s">
        <v>602</v>
      </c>
      <c r="P7" s="34" t="s">
        <v>602</v>
      </c>
      <c r="Q7" s="34" t="s">
        <v>602</v>
      </c>
      <c r="R7" s="34" t="s">
        <v>602</v>
      </c>
      <c r="T7" s="34" t="s">
        <v>602</v>
      </c>
      <c r="U7" s="34" t="s">
        <v>602</v>
      </c>
      <c r="V7" s="34" t="s">
        <v>602</v>
      </c>
      <c r="W7" s="34" t="s">
        <v>602</v>
      </c>
      <c r="X7" s="34" t="s">
        <v>602</v>
      </c>
    </row>
    <row r="8" spans="1:24" x14ac:dyDescent="0.3">
      <c r="A8" s="7"/>
      <c r="B8" s="7"/>
      <c r="C8" s="7"/>
      <c r="D8" s="7"/>
      <c r="E8" s="7"/>
      <c r="F8" s="7"/>
      <c r="G8" s="7">
        <v>9</v>
      </c>
      <c r="H8" s="7">
        <v>10</v>
      </c>
      <c r="I8" s="7">
        <v>11</v>
      </c>
      <c r="J8" s="7">
        <v>12</v>
      </c>
      <c r="K8" s="7">
        <v>13</v>
      </c>
      <c r="L8" s="7"/>
    </row>
    <row r="9" spans="1:24" x14ac:dyDescent="0.3">
      <c r="A9" s="7"/>
      <c r="B9" s="7"/>
      <c r="C9" s="7"/>
      <c r="D9" s="7"/>
      <c r="E9" s="147" t="s">
        <v>96</v>
      </c>
      <c r="F9" s="38" t="s">
        <v>270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99" t="str">
        <f>VLOOKUP(E9,Mapping!$E$11:$G$204,3,0)</f>
        <v>Connections</v>
      </c>
      <c r="N9" s="143"/>
      <c r="O9" s="143"/>
      <c r="P9" s="143"/>
      <c r="Q9" s="143"/>
      <c r="R9" s="143"/>
      <c r="T9" s="143"/>
      <c r="U9" s="143"/>
      <c r="V9" s="143"/>
      <c r="W9" s="143"/>
      <c r="X9" s="143"/>
    </row>
    <row r="10" spans="1:24" x14ac:dyDescent="0.3">
      <c r="A10" s="7"/>
      <c r="B10" s="7"/>
      <c r="C10" s="7"/>
      <c r="D10" s="151"/>
      <c r="E10" s="147" t="s">
        <v>546</v>
      </c>
      <c r="F10" s="38" t="s">
        <v>271</v>
      </c>
      <c r="G10" s="228">
        <v>2001.7359117641954</v>
      </c>
      <c r="H10" s="26">
        <v>1939.248798065287</v>
      </c>
      <c r="I10" s="26">
        <v>1824.7348585380198</v>
      </c>
      <c r="J10" s="26">
        <v>1939.2536132142691</v>
      </c>
      <c r="K10" s="26">
        <v>2139.8518818864377</v>
      </c>
      <c r="L10" s="99" t="str">
        <f>VLOOKUP(E10,Mapping!$E$11:$G$204,3,0)</f>
        <v>Connections</v>
      </c>
      <c r="N10" s="143"/>
      <c r="O10" s="143"/>
      <c r="P10" s="143"/>
      <c r="Q10" s="143"/>
      <c r="R10" s="143"/>
      <c r="T10" s="143"/>
      <c r="U10" s="143"/>
      <c r="V10" s="143"/>
      <c r="W10" s="143"/>
      <c r="X10" s="143"/>
    </row>
    <row r="11" spans="1:24" x14ac:dyDescent="0.3">
      <c r="A11" s="7"/>
      <c r="B11" s="7"/>
      <c r="C11" s="7"/>
      <c r="D11" s="7"/>
      <c r="E11" s="147" t="s">
        <v>547</v>
      </c>
      <c r="F11" s="38" t="s">
        <v>272</v>
      </c>
      <c r="G11" s="228">
        <v>226.91996822076288</v>
      </c>
      <c r="H11" s="26">
        <v>219.8363295792067</v>
      </c>
      <c r="I11" s="26">
        <v>206.85484717403773</v>
      </c>
      <c r="J11" s="26">
        <v>219.83687543215746</v>
      </c>
      <c r="K11" s="26">
        <v>242.57701437092012</v>
      </c>
      <c r="L11" s="99" t="str">
        <f>VLOOKUP(E11,Mapping!$E$11:$G$204,3,0)</f>
        <v>Connections</v>
      </c>
      <c r="N11" s="143"/>
      <c r="O11" s="143"/>
      <c r="P11" s="143"/>
      <c r="Q11" s="143"/>
      <c r="R11" s="143"/>
      <c r="T11" s="143"/>
      <c r="U11" s="143"/>
      <c r="V11" s="143"/>
      <c r="W11" s="143"/>
      <c r="X11" s="143"/>
    </row>
    <row r="12" spans="1:24" x14ac:dyDescent="0.3">
      <c r="A12" s="7"/>
      <c r="B12" s="7"/>
      <c r="C12" s="7"/>
      <c r="D12" s="7"/>
      <c r="E12" s="147" t="s">
        <v>548</v>
      </c>
      <c r="F12" s="38" t="s">
        <v>273</v>
      </c>
      <c r="G12" s="228">
        <v>393.11524370965202</v>
      </c>
      <c r="H12" s="26">
        <v>408.46628652219613</v>
      </c>
      <c r="I12" s="26">
        <v>387.19805766441419</v>
      </c>
      <c r="J12" s="26">
        <v>402.9158603787962</v>
      </c>
      <c r="K12" s="26">
        <v>440.07984131379544</v>
      </c>
      <c r="L12" s="99" t="str">
        <f>VLOOKUP(E12,Mapping!$E$11:$G$204,3,0)</f>
        <v>Connections</v>
      </c>
      <c r="N12" s="143"/>
      <c r="O12" s="143"/>
      <c r="P12" s="143"/>
      <c r="Q12" s="143"/>
      <c r="R12" s="143"/>
      <c r="T12" s="143"/>
      <c r="U12" s="143"/>
      <c r="V12" s="143"/>
      <c r="W12" s="143"/>
      <c r="X12" s="143"/>
    </row>
    <row r="13" spans="1:24" x14ac:dyDescent="0.3">
      <c r="A13" s="7"/>
      <c r="B13" s="7"/>
      <c r="C13" s="7"/>
      <c r="D13" s="7"/>
      <c r="E13" s="147" t="s">
        <v>555</v>
      </c>
      <c r="F13" s="38" t="s">
        <v>273</v>
      </c>
      <c r="G13" s="228">
        <v>1994.3893649008301</v>
      </c>
      <c r="H13" s="26">
        <v>2813.009599477582</v>
      </c>
      <c r="I13" s="26">
        <v>1649.2931611263875</v>
      </c>
      <c r="J13" s="26">
        <v>3074.5489840180521</v>
      </c>
      <c r="K13" s="26">
        <v>2181.4962620552956</v>
      </c>
      <c r="L13" s="99" t="str">
        <f>VLOOKUP(E13,Mapping!$E$11:$G$204,3,0)</f>
        <v>Connections</v>
      </c>
      <c r="N13" s="143"/>
      <c r="O13" s="143"/>
      <c r="P13" s="143"/>
      <c r="Q13" s="143"/>
      <c r="R13" s="143"/>
      <c r="T13" s="143"/>
      <c r="U13" s="143"/>
      <c r="V13" s="143"/>
      <c r="W13" s="143"/>
      <c r="X13" s="143"/>
    </row>
    <row r="14" spans="1:24" x14ac:dyDescent="0.3">
      <c r="A14" s="7"/>
      <c r="B14" s="7"/>
      <c r="C14" s="7"/>
      <c r="D14" s="7"/>
      <c r="E14" s="147" t="s">
        <v>549</v>
      </c>
      <c r="F14" s="38" t="s">
        <v>274</v>
      </c>
      <c r="G14" s="228">
        <v>4566.1094682855646</v>
      </c>
      <c r="H14" s="26">
        <v>4423.5716840406094</v>
      </c>
      <c r="I14" s="26">
        <v>4162.3568152593916</v>
      </c>
      <c r="J14" s="26">
        <v>4423.5826677559089</v>
      </c>
      <c r="K14" s="26">
        <v>4881.1623357443914</v>
      </c>
      <c r="L14" s="99" t="str">
        <f>VLOOKUP(E14,Mapping!$E$11:$G$204,3,0)</f>
        <v>Connections</v>
      </c>
      <c r="N14" s="143"/>
      <c r="O14" s="143"/>
      <c r="P14" s="143"/>
      <c r="Q14" s="143"/>
      <c r="R14" s="143"/>
      <c r="T14" s="143"/>
      <c r="U14" s="143"/>
      <c r="V14" s="143"/>
      <c r="W14" s="143"/>
      <c r="X14" s="143"/>
    </row>
    <row r="15" spans="1:24" x14ac:dyDescent="0.3">
      <c r="A15" s="7"/>
      <c r="B15" s="7"/>
      <c r="C15" s="7"/>
      <c r="D15" s="7"/>
      <c r="E15" s="147" t="s">
        <v>556</v>
      </c>
      <c r="F15" s="38" t="s">
        <v>274</v>
      </c>
      <c r="G15" s="228">
        <v>771.54055718234929</v>
      </c>
      <c r="H15" s="26">
        <v>747.45579043732835</v>
      </c>
      <c r="I15" s="26">
        <v>703.31802571583432</v>
      </c>
      <c r="J15" s="26">
        <v>747.45764636782701</v>
      </c>
      <c r="K15" s="26">
        <v>824.77538796978286</v>
      </c>
      <c r="L15" s="99" t="str">
        <f>VLOOKUP(E15,Mapping!$E$11:$G$204,3,0)</f>
        <v>Connections</v>
      </c>
      <c r="N15" s="143"/>
      <c r="O15" s="143"/>
      <c r="P15" s="143"/>
      <c r="Q15" s="143"/>
      <c r="R15" s="143"/>
      <c r="T15" s="143"/>
      <c r="U15" s="143"/>
      <c r="V15" s="143"/>
      <c r="W15" s="143"/>
      <c r="X15" s="143"/>
    </row>
    <row r="16" spans="1:24" x14ac:dyDescent="0.3">
      <c r="A16" s="7"/>
      <c r="B16" s="7"/>
      <c r="C16" s="7"/>
      <c r="D16" s="7"/>
      <c r="E16" s="147" t="s">
        <v>550</v>
      </c>
      <c r="F16" s="38" t="s">
        <v>275</v>
      </c>
      <c r="G16" s="228">
        <v>8301.0670531193773</v>
      </c>
      <c r="H16" s="26">
        <v>8041.9371060958565</v>
      </c>
      <c r="I16" s="26">
        <v>7567.0553372540744</v>
      </c>
      <c r="J16" s="26">
        <v>8041.9570742017095</v>
      </c>
      <c r="K16" s="26">
        <v>8873.8248891322746</v>
      </c>
      <c r="L16" s="99" t="str">
        <f>VLOOKUP(E16,Mapping!$E$11:$G$204,3,0)</f>
        <v>Connections</v>
      </c>
      <c r="N16" s="143"/>
      <c r="O16" s="143"/>
      <c r="P16" s="143"/>
      <c r="Q16" s="143"/>
      <c r="R16" s="143"/>
      <c r="T16" s="143"/>
      <c r="U16" s="143"/>
      <c r="V16" s="143"/>
      <c r="W16" s="143"/>
      <c r="X16" s="143"/>
    </row>
    <row r="17" spans="1:24" x14ac:dyDescent="0.3">
      <c r="A17" s="7"/>
      <c r="B17" s="7"/>
      <c r="C17" s="7"/>
      <c r="D17" s="7"/>
      <c r="E17" s="147" t="s">
        <v>557</v>
      </c>
      <c r="F17" s="38" t="s">
        <v>275</v>
      </c>
      <c r="G17" s="228">
        <v>1624.9225013191308</v>
      </c>
      <c r="H17" s="26">
        <v>1574.1981692555892</v>
      </c>
      <c r="I17" s="26">
        <v>1481.2407136996462</v>
      </c>
      <c r="J17" s="26">
        <v>1574.2020779849486</v>
      </c>
      <c r="K17" s="26">
        <v>1737.0390629115921</v>
      </c>
      <c r="L17" s="99" t="str">
        <f>VLOOKUP(E17,Mapping!$E$11:$G$204,3,0)</f>
        <v>Connections</v>
      </c>
      <c r="N17" s="143"/>
      <c r="O17" s="143"/>
      <c r="P17" s="143"/>
      <c r="Q17" s="143"/>
      <c r="R17" s="143"/>
      <c r="T17" s="143"/>
      <c r="U17" s="143"/>
      <c r="V17" s="143"/>
      <c r="W17" s="143"/>
      <c r="X17" s="143"/>
    </row>
    <row r="18" spans="1:24" x14ac:dyDescent="0.3">
      <c r="A18" s="7"/>
      <c r="B18" s="7"/>
      <c r="C18" s="7"/>
      <c r="D18" s="7"/>
      <c r="E18" s="147" t="s">
        <v>551</v>
      </c>
      <c r="F18" s="38" t="s">
        <v>276</v>
      </c>
      <c r="G18" s="228">
        <v>1818.5948794893834</v>
      </c>
      <c r="H18" s="26">
        <v>1761.8247809269046</v>
      </c>
      <c r="I18" s="26">
        <v>1657.787848367253</v>
      </c>
      <c r="J18" s="26">
        <v>1761.8291555325818</v>
      </c>
      <c r="K18" s="26">
        <v>1944.0744667635352</v>
      </c>
      <c r="L18" s="99" t="str">
        <f>VLOOKUP(E18,Mapping!$E$11:$G$204,3,0)</f>
        <v>Connections</v>
      </c>
      <c r="N18" s="143"/>
      <c r="O18" s="143"/>
      <c r="P18" s="143"/>
      <c r="Q18" s="143"/>
      <c r="R18" s="143"/>
      <c r="T18" s="143"/>
      <c r="U18" s="143"/>
      <c r="V18" s="143"/>
      <c r="W18" s="143"/>
      <c r="X18" s="143"/>
    </row>
    <row r="19" spans="1:24" x14ac:dyDescent="0.3">
      <c r="A19" s="7"/>
      <c r="B19" s="7"/>
      <c r="C19" s="7"/>
      <c r="D19" s="7"/>
      <c r="E19" s="147" t="s">
        <v>552</v>
      </c>
      <c r="F19" s="38" t="s">
        <v>277</v>
      </c>
      <c r="G19" s="228">
        <v>4535.2933639444354</v>
      </c>
      <c r="H19" s="26">
        <v>4393.7175494600278</v>
      </c>
      <c r="I19" s="26">
        <v>4134.2655873081267</v>
      </c>
      <c r="J19" s="26">
        <v>4393.7284590476011</v>
      </c>
      <c r="K19" s="26">
        <v>4848.219978823463</v>
      </c>
      <c r="L19" s="99" t="str">
        <f>VLOOKUP(E19,Mapping!$E$11:$G$204,3,0)</f>
        <v>Connections</v>
      </c>
      <c r="N19" s="143"/>
      <c r="O19" s="143"/>
      <c r="P19" s="143"/>
      <c r="Q19" s="143"/>
      <c r="R19" s="143"/>
      <c r="T19" s="143"/>
      <c r="U19" s="143"/>
      <c r="V19" s="143"/>
      <c r="W19" s="143"/>
      <c r="X19" s="143"/>
    </row>
    <row r="20" spans="1:24" x14ac:dyDescent="0.3">
      <c r="A20" s="7"/>
      <c r="B20" s="7"/>
      <c r="C20" s="7"/>
      <c r="D20" s="147" t="s">
        <v>524</v>
      </c>
      <c r="E20" s="7" t="s">
        <v>97</v>
      </c>
      <c r="F20" s="38" t="s">
        <v>278</v>
      </c>
      <c r="G20" s="26">
        <v>8709.7004492079741</v>
      </c>
      <c r="H20" s="26">
        <v>14761.221910871256</v>
      </c>
      <c r="I20" s="26">
        <v>14219.717443648669</v>
      </c>
      <c r="J20" s="26">
        <v>14912.588861046524</v>
      </c>
      <c r="K20" s="26">
        <v>16371.83678110041</v>
      </c>
      <c r="L20" s="99" t="str">
        <f>VLOOKUP(E20,Mapping!$E$11:$G$204,3,0)</f>
        <v>Connections</v>
      </c>
      <c r="N20" s="143"/>
      <c r="O20" s="143"/>
      <c r="P20" s="143"/>
      <c r="Q20" s="143"/>
      <c r="R20" s="143"/>
      <c r="T20" s="143"/>
      <c r="U20" s="143"/>
      <c r="V20" s="143"/>
      <c r="W20" s="143"/>
      <c r="X20" s="143"/>
    </row>
    <row r="21" spans="1:24" x14ac:dyDescent="0.3">
      <c r="A21" s="7"/>
      <c r="B21" s="7"/>
      <c r="C21" s="7"/>
      <c r="D21" s="7"/>
      <c r="E21" s="147" t="s">
        <v>525</v>
      </c>
      <c r="F21" s="38" t="s">
        <v>278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99" t="str">
        <f>VLOOKUP(E21,Mapping!$E$11:$G$204,3,0)</f>
        <v>Connections</v>
      </c>
      <c r="N21" s="143"/>
      <c r="O21" s="143"/>
      <c r="P21" s="143"/>
      <c r="Q21" s="143"/>
      <c r="R21" s="143"/>
      <c r="T21" s="143"/>
      <c r="U21" s="143"/>
      <c r="V21" s="143"/>
      <c r="W21" s="143"/>
      <c r="X21" s="143"/>
    </row>
    <row r="22" spans="1:24" x14ac:dyDescent="0.3">
      <c r="A22" s="7"/>
      <c r="B22" s="7"/>
      <c r="C22" s="7"/>
      <c r="D22" s="7"/>
      <c r="E22" s="147" t="s">
        <v>526</v>
      </c>
      <c r="F22" s="38" t="s">
        <v>279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99" t="str">
        <f>VLOOKUP(E22,Mapping!$E$11:$G$204,3,0)</f>
        <v>Connections</v>
      </c>
      <c r="N22" s="143"/>
      <c r="O22" s="143"/>
      <c r="P22" s="143"/>
      <c r="Q22" s="143"/>
      <c r="R22" s="143"/>
      <c r="T22" s="143"/>
      <c r="U22" s="143"/>
      <c r="V22" s="143"/>
      <c r="W22" s="143"/>
      <c r="X22" s="143"/>
    </row>
    <row r="23" spans="1:24" x14ac:dyDescent="0.3">
      <c r="A23" s="7"/>
      <c r="B23" s="7"/>
      <c r="C23" s="7"/>
      <c r="D23" s="7"/>
      <c r="E23" s="147" t="s">
        <v>527</v>
      </c>
      <c r="F23" s="38" t="s">
        <v>279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99" t="str">
        <f>VLOOKUP(E23,Mapping!$E$11:$G$204,3,0)</f>
        <v>Connections</v>
      </c>
      <c r="N23" s="143"/>
      <c r="O23" s="143"/>
      <c r="P23" s="143"/>
      <c r="Q23" s="143"/>
      <c r="R23" s="143"/>
      <c r="T23" s="143"/>
      <c r="U23" s="143"/>
      <c r="V23" s="143"/>
      <c r="W23" s="143"/>
      <c r="X23" s="143"/>
    </row>
    <row r="24" spans="1:24" x14ac:dyDescent="0.3">
      <c r="A24" s="7"/>
      <c r="B24" s="7"/>
      <c r="C24" s="7"/>
      <c r="D24" s="7"/>
      <c r="E24" s="147" t="s">
        <v>99</v>
      </c>
      <c r="F24" s="38" t="s">
        <v>280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99" t="str">
        <f>VLOOKUP(E24,Mapping!$E$11:$G$204,3,0)</f>
        <v>Connections</v>
      </c>
      <c r="N24" s="143"/>
      <c r="O24" s="143"/>
      <c r="P24" s="143"/>
      <c r="Q24" s="143"/>
      <c r="R24" s="143"/>
      <c r="T24" s="143"/>
      <c r="U24" s="143"/>
      <c r="V24" s="143"/>
      <c r="W24" s="143"/>
      <c r="X24" s="143"/>
    </row>
    <row r="25" spans="1:24" x14ac:dyDescent="0.3">
      <c r="A25" s="7"/>
      <c r="B25" s="7"/>
      <c r="C25" s="7"/>
      <c r="D25" s="7"/>
      <c r="E25" s="147" t="s">
        <v>100</v>
      </c>
      <c r="F25" s="38" t="s">
        <v>281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99" t="str">
        <f>VLOOKUP(E25,Mapping!$E$11:$G$204,3,0)</f>
        <v>Connections</v>
      </c>
      <c r="N25" s="143"/>
      <c r="O25" s="143"/>
      <c r="P25" s="143"/>
      <c r="Q25" s="143"/>
      <c r="R25" s="143"/>
      <c r="T25" s="143"/>
      <c r="U25" s="143"/>
      <c r="V25" s="143"/>
      <c r="W25" s="143"/>
      <c r="X25" s="143"/>
    </row>
    <row r="26" spans="1:24" x14ac:dyDescent="0.3">
      <c r="A26" s="7"/>
      <c r="B26" s="7"/>
      <c r="C26" s="7"/>
      <c r="D26" s="7"/>
      <c r="E26" s="147" t="s">
        <v>553</v>
      </c>
      <c r="F26" s="38" t="s">
        <v>282</v>
      </c>
      <c r="G26" s="26">
        <v>1035.3062793274325</v>
      </c>
      <c r="H26" s="26">
        <v>1745.553139162753</v>
      </c>
      <c r="I26" s="26">
        <v>1831.8912099766137</v>
      </c>
      <c r="J26" s="26">
        <v>1969.1907941980644</v>
      </c>
      <c r="K26" s="26">
        <v>2163.9900079516037</v>
      </c>
      <c r="L26" s="99" t="str">
        <f>VLOOKUP(E26,Mapping!$E$11:$G$204,3,0)</f>
        <v>Connections</v>
      </c>
      <c r="N26" s="143"/>
      <c r="O26" s="143"/>
      <c r="P26" s="143"/>
      <c r="Q26" s="143"/>
      <c r="R26" s="143"/>
      <c r="T26" s="143"/>
      <c r="U26" s="143"/>
      <c r="V26" s="143"/>
      <c r="W26" s="143"/>
      <c r="X26" s="143"/>
    </row>
    <row r="27" spans="1:24" x14ac:dyDescent="0.3">
      <c r="A27" s="7"/>
      <c r="B27" s="7"/>
      <c r="C27" s="7"/>
      <c r="D27" s="7"/>
      <c r="E27" s="147" t="s">
        <v>554</v>
      </c>
      <c r="F27" s="38" t="s">
        <v>282</v>
      </c>
      <c r="G27" s="26">
        <v>238.67159546000141</v>
      </c>
      <c r="H27" s="26">
        <v>402.40647719709921</v>
      </c>
      <c r="I27" s="26">
        <v>422.31019604971669</v>
      </c>
      <c r="J27" s="26">
        <v>453.9621926389932</v>
      </c>
      <c r="K27" s="26">
        <v>498.8697142770485</v>
      </c>
      <c r="L27" s="99" t="str">
        <f>VLOOKUP(E27,Mapping!$E$11:$G$204,3,0)</f>
        <v>Connections</v>
      </c>
      <c r="N27" s="143"/>
      <c r="O27" s="143"/>
      <c r="P27" s="143"/>
      <c r="Q27" s="143"/>
      <c r="R27" s="143"/>
      <c r="T27" s="143"/>
      <c r="U27" s="143"/>
      <c r="V27" s="143"/>
      <c r="W27" s="143"/>
      <c r="X27" s="143"/>
    </row>
    <row r="28" spans="1:24" x14ac:dyDescent="0.3">
      <c r="A28" s="7"/>
      <c r="B28" s="7"/>
      <c r="C28" s="7"/>
      <c r="D28" s="7"/>
      <c r="E28" s="147" t="s">
        <v>528</v>
      </c>
      <c r="F28" s="38" t="s">
        <v>283</v>
      </c>
      <c r="G28" s="26">
        <v>1002.4564307049277</v>
      </c>
      <c r="H28" s="26">
        <v>1690.1674455482166</v>
      </c>
      <c r="I28" s="26">
        <v>1773.7660443688842</v>
      </c>
      <c r="J28" s="26">
        <v>1906.709168431958</v>
      </c>
      <c r="K28" s="26">
        <v>2095.3274820872739</v>
      </c>
      <c r="L28" s="99" t="str">
        <f>VLOOKUP(E28,Mapping!$E$11:$G$204,3,0)</f>
        <v>Connections</v>
      </c>
      <c r="N28" s="143"/>
      <c r="O28" s="143"/>
      <c r="P28" s="143"/>
      <c r="Q28" s="143"/>
      <c r="R28" s="143"/>
      <c r="T28" s="143"/>
      <c r="U28" s="143"/>
      <c r="V28" s="143"/>
      <c r="W28" s="143"/>
      <c r="X28" s="143"/>
    </row>
    <row r="29" spans="1:24" x14ac:dyDescent="0.3">
      <c r="A29" s="7"/>
      <c r="B29" s="7"/>
      <c r="C29" s="7"/>
      <c r="D29" s="7"/>
      <c r="E29" s="147" t="s">
        <v>529</v>
      </c>
      <c r="F29" s="38" t="s">
        <v>283</v>
      </c>
      <c r="G29" s="26">
        <v>198.54805542226359</v>
      </c>
      <c r="H29" s="26">
        <v>334.75715190497954</v>
      </c>
      <c r="I29" s="26">
        <v>351.31481837652638</v>
      </c>
      <c r="J29" s="26">
        <v>377.64573706385778</v>
      </c>
      <c r="K29" s="26">
        <v>415.0037690403247</v>
      </c>
      <c r="L29" s="99" t="str">
        <f>VLOOKUP(E29,Mapping!$E$11:$G$204,3,0)</f>
        <v>Connections</v>
      </c>
      <c r="N29" s="143"/>
      <c r="O29" s="143"/>
      <c r="P29" s="143"/>
      <c r="Q29" s="143"/>
      <c r="R29" s="143"/>
      <c r="T29" s="143"/>
      <c r="U29" s="143"/>
      <c r="V29" s="143"/>
      <c r="W29" s="143"/>
      <c r="X29" s="143"/>
    </row>
    <row r="30" spans="1:24" x14ac:dyDescent="0.3">
      <c r="A30" s="7"/>
      <c r="B30" s="7"/>
      <c r="C30" s="7"/>
      <c r="D30" s="7"/>
      <c r="E30" s="147" t="s">
        <v>102</v>
      </c>
      <c r="F30" s="38" t="s">
        <v>284</v>
      </c>
      <c r="G30" s="40"/>
      <c r="H30" s="40"/>
      <c r="I30" s="40"/>
      <c r="J30" s="40"/>
      <c r="K30" s="40"/>
      <c r="L30" s="99" t="str">
        <f>VLOOKUP(E30,Mapping!$E$11:$G$204,3,0)</f>
        <v>Public Lighting</v>
      </c>
      <c r="N30" s="143"/>
      <c r="O30" s="143"/>
      <c r="P30" s="143"/>
      <c r="Q30" s="143"/>
      <c r="R30" s="143"/>
      <c r="T30" s="143"/>
      <c r="U30" s="143"/>
      <c r="V30" s="143"/>
      <c r="W30" s="143"/>
      <c r="X30" s="143"/>
    </row>
    <row r="31" spans="1:24" x14ac:dyDescent="0.3">
      <c r="A31" s="7"/>
      <c r="B31" s="7"/>
      <c r="C31" s="7"/>
      <c r="D31" s="7"/>
      <c r="E31" s="147" t="s">
        <v>103</v>
      </c>
      <c r="F31" s="38" t="s">
        <v>285</v>
      </c>
      <c r="G31" s="40"/>
      <c r="H31" s="40"/>
      <c r="I31" s="40"/>
      <c r="J31" s="40"/>
      <c r="K31" s="40"/>
      <c r="L31" s="99" t="str">
        <f>VLOOKUP(E31,Mapping!$E$11:$G$204,3,0)</f>
        <v>Public Lighting</v>
      </c>
      <c r="N31" s="143"/>
      <c r="O31" s="143"/>
      <c r="P31" s="143"/>
      <c r="Q31" s="143"/>
      <c r="R31" s="143"/>
      <c r="T31" s="143"/>
      <c r="U31" s="143"/>
      <c r="V31" s="143"/>
      <c r="W31" s="143"/>
      <c r="X31" s="143"/>
    </row>
    <row r="32" spans="1:24" x14ac:dyDescent="0.3">
      <c r="A32" s="7"/>
      <c r="B32" s="7"/>
      <c r="C32" s="7"/>
      <c r="D32" s="7"/>
      <c r="E32" s="147" t="s">
        <v>104</v>
      </c>
      <c r="F32" s="38" t="s">
        <v>286</v>
      </c>
      <c r="G32" s="40"/>
      <c r="H32" s="40"/>
      <c r="I32" s="40"/>
      <c r="J32" s="40"/>
      <c r="K32" s="40"/>
      <c r="L32" s="99" t="str">
        <f>VLOOKUP(E32,Mapping!$E$11:$G$204,3,0)</f>
        <v>Public Lighting</v>
      </c>
      <c r="N32" s="143"/>
      <c r="O32" s="143"/>
      <c r="P32" s="143"/>
      <c r="Q32" s="143"/>
      <c r="R32" s="143"/>
      <c r="T32" s="143"/>
      <c r="U32" s="143"/>
      <c r="V32" s="143"/>
      <c r="W32" s="143"/>
      <c r="X32" s="143"/>
    </row>
    <row r="33" spans="1:24" x14ac:dyDescent="0.3">
      <c r="A33" s="7"/>
      <c r="B33" s="7"/>
      <c r="C33" s="7"/>
      <c r="D33" s="7"/>
      <c r="E33" s="147" t="s">
        <v>105</v>
      </c>
      <c r="F33" s="38" t="s">
        <v>287</v>
      </c>
      <c r="G33" s="40"/>
      <c r="H33" s="40"/>
      <c r="I33" s="40"/>
      <c r="J33" s="40"/>
      <c r="K33" s="40"/>
      <c r="L33" s="99" t="str">
        <f>VLOOKUP(E33,Mapping!$E$11:$G$204,3,0)</f>
        <v>ACS</v>
      </c>
      <c r="N33" s="143"/>
      <c r="O33" s="143"/>
      <c r="P33" s="143"/>
      <c r="Q33" s="143"/>
      <c r="R33" s="143"/>
      <c r="T33" s="143"/>
      <c r="U33" s="143"/>
      <c r="V33" s="143"/>
      <c r="W33" s="143"/>
      <c r="X33" s="143"/>
    </row>
    <row r="34" spans="1:24" x14ac:dyDescent="0.3">
      <c r="A34" s="7"/>
      <c r="B34" s="7"/>
      <c r="C34" s="7"/>
      <c r="D34" s="7"/>
      <c r="E34" s="147" t="s">
        <v>106</v>
      </c>
      <c r="F34" s="38" t="s">
        <v>288</v>
      </c>
      <c r="G34" s="40"/>
      <c r="H34" s="40"/>
      <c r="I34" s="40"/>
      <c r="J34" s="40"/>
      <c r="K34" s="40"/>
      <c r="L34" s="99" t="str">
        <f>VLOOKUP(E34,Mapping!$E$11:$G$204,3,0)</f>
        <v>ACS</v>
      </c>
      <c r="N34" s="143"/>
      <c r="O34" s="143"/>
      <c r="P34" s="143"/>
      <c r="Q34" s="143"/>
      <c r="R34" s="143"/>
      <c r="T34" s="143"/>
      <c r="U34" s="143"/>
      <c r="V34" s="143"/>
      <c r="W34" s="143"/>
      <c r="X34" s="143"/>
    </row>
    <row r="35" spans="1:24" x14ac:dyDescent="0.3">
      <c r="A35" s="7"/>
      <c r="B35" s="7"/>
      <c r="C35" s="7"/>
      <c r="D35" s="7"/>
      <c r="E35" s="147" t="s">
        <v>107</v>
      </c>
      <c r="F35" s="38" t="s">
        <v>289</v>
      </c>
      <c r="G35" s="40"/>
      <c r="H35" s="40"/>
      <c r="I35" s="40"/>
      <c r="J35" s="40"/>
      <c r="K35" s="40"/>
      <c r="L35" s="99" t="str">
        <f>VLOOKUP(E35,Mapping!$E$11:$G$204,3,0)</f>
        <v>Public Lighting</v>
      </c>
      <c r="N35" s="143"/>
      <c r="O35" s="143"/>
      <c r="P35" s="143"/>
      <c r="Q35" s="143"/>
      <c r="R35" s="143"/>
      <c r="T35" s="143"/>
      <c r="U35" s="143"/>
      <c r="V35" s="143"/>
      <c r="W35" s="143"/>
      <c r="X35" s="143"/>
    </row>
    <row r="36" spans="1:24" x14ac:dyDescent="0.3">
      <c r="A36" s="7"/>
      <c r="B36" s="7"/>
      <c r="C36" s="7"/>
      <c r="D36" s="7"/>
      <c r="E36" s="147" t="s">
        <v>108</v>
      </c>
      <c r="F36" s="38" t="s">
        <v>290</v>
      </c>
      <c r="G36" s="40"/>
      <c r="H36" s="40"/>
      <c r="I36" s="40"/>
      <c r="J36" s="40"/>
      <c r="K36" s="40"/>
      <c r="L36" s="99" t="str">
        <f>VLOOKUP(E36,Mapping!$E$11:$G$204,3,0)</f>
        <v>Public Lighting</v>
      </c>
      <c r="N36" s="143"/>
      <c r="O36" s="143"/>
      <c r="P36" s="143"/>
      <c r="Q36" s="143"/>
      <c r="R36" s="143"/>
      <c r="T36" s="143"/>
      <c r="U36" s="143"/>
      <c r="V36" s="143"/>
      <c r="W36" s="143"/>
      <c r="X36" s="143"/>
    </row>
    <row r="37" spans="1:24" x14ac:dyDescent="0.3">
      <c r="A37" s="7"/>
      <c r="B37" s="7"/>
      <c r="C37" s="7"/>
      <c r="D37" s="7"/>
      <c r="E37" s="147" t="s">
        <v>109</v>
      </c>
      <c r="F37" s="38" t="s">
        <v>291</v>
      </c>
      <c r="G37" s="40"/>
      <c r="H37" s="40"/>
      <c r="I37" s="40"/>
      <c r="J37" s="40"/>
      <c r="K37" s="40"/>
      <c r="L37" s="99" t="str">
        <f>VLOOKUP(E37,Mapping!$E$11:$G$204,3,0)</f>
        <v>Public Lighting</v>
      </c>
      <c r="N37" s="143"/>
      <c r="O37" s="143"/>
      <c r="P37" s="143"/>
      <c r="Q37" s="143"/>
      <c r="R37" s="143"/>
      <c r="T37" s="143"/>
      <c r="U37" s="143"/>
      <c r="V37" s="143"/>
      <c r="W37" s="143"/>
      <c r="X37" s="143"/>
    </row>
    <row r="38" spans="1:24" x14ac:dyDescent="0.3">
      <c r="A38" s="7"/>
      <c r="B38" s="7"/>
      <c r="C38" s="7"/>
      <c r="D38" s="7"/>
      <c r="E38" s="147" t="s">
        <v>110</v>
      </c>
      <c r="F38" s="38" t="s">
        <v>292</v>
      </c>
      <c r="G38" s="40"/>
      <c r="H38" s="40"/>
      <c r="I38" s="40"/>
      <c r="J38" s="40"/>
      <c r="K38" s="40"/>
      <c r="L38" s="99" t="str">
        <f>VLOOKUP(E38,Mapping!$E$11:$G$204,3,0)</f>
        <v>Public Lighting</v>
      </c>
      <c r="N38" s="143"/>
      <c r="O38" s="143"/>
      <c r="P38" s="143"/>
      <c r="Q38" s="143"/>
      <c r="R38" s="143"/>
      <c r="T38" s="143"/>
      <c r="U38" s="143"/>
      <c r="V38" s="143"/>
      <c r="W38" s="143"/>
      <c r="X38" s="143"/>
    </row>
    <row r="39" spans="1:24" x14ac:dyDescent="0.3">
      <c r="A39" s="7"/>
      <c r="B39" s="7"/>
      <c r="C39" s="7"/>
      <c r="D39" s="7"/>
      <c r="E39" s="147" t="s">
        <v>111</v>
      </c>
      <c r="F39" s="38" t="s">
        <v>293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99" t="str">
        <f>VLOOKUP(E39,Mapping!$E$11:$G$204,3,0)</f>
        <v>Connections</v>
      </c>
      <c r="N39" s="143"/>
      <c r="O39" s="143"/>
      <c r="P39" s="143"/>
      <c r="Q39" s="143"/>
      <c r="R39" s="143"/>
      <c r="T39" s="143"/>
      <c r="U39" s="143"/>
      <c r="V39" s="143"/>
      <c r="W39" s="143"/>
      <c r="X39" s="143"/>
    </row>
    <row r="40" spans="1:24" x14ac:dyDescent="0.3">
      <c r="A40" s="7"/>
      <c r="B40" s="7"/>
      <c r="C40" s="7"/>
      <c r="D40" s="7"/>
      <c r="E40" s="147" t="s">
        <v>112</v>
      </c>
      <c r="F40" s="38" t="s">
        <v>294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99" t="str">
        <f>VLOOKUP(E40,Mapping!$E$11:$G$204,3,0)</f>
        <v>Connections</v>
      </c>
      <c r="N40" s="143"/>
      <c r="O40" s="143"/>
      <c r="P40" s="143"/>
      <c r="Q40" s="143"/>
      <c r="R40" s="143"/>
      <c r="T40" s="143"/>
      <c r="U40" s="143"/>
      <c r="V40" s="143"/>
      <c r="W40" s="143"/>
      <c r="X40" s="143"/>
    </row>
    <row r="41" spans="1:24" x14ac:dyDescent="0.3">
      <c r="A41" s="7"/>
      <c r="B41" s="7"/>
      <c r="C41" s="7"/>
      <c r="D41" s="7"/>
      <c r="E41" s="147" t="s">
        <v>113</v>
      </c>
      <c r="F41" s="38" t="s">
        <v>295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99" t="str">
        <f>VLOOKUP(E41,Mapping!$E$11:$G$204,3,0)</f>
        <v>Connections</v>
      </c>
      <c r="N41" s="143"/>
      <c r="O41" s="143"/>
      <c r="P41" s="143"/>
      <c r="Q41" s="143"/>
      <c r="R41" s="143"/>
      <c r="T41" s="143"/>
      <c r="U41" s="143"/>
      <c r="V41" s="143"/>
      <c r="W41" s="143"/>
      <c r="X41" s="143"/>
    </row>
    <row r="42" spans="1:24" x14ac:dyDescent="0.3">
      <c r="A42" s="7"/>
      <c r="B42" s="7"/>
      <c r="C42" s="7"/>
      <c r="D42" s="7"/>
      <c r="E42" s="147" t="s">
        <v>114</v>
      </c>
      <c r="F42" s="38" t="s">
        <v>296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99" t="str">
        <f>VLOOKUP(E42,Mapping!$E$11:$G$204,3,0)</f>
        <v>Connections</v>
      </c>
      <c r="N42" s="143"/>
      <c r="O42" s="143"/>
      <c r="P42" s="143"/>
      <c r="Q42" s="143"/>
      <c r="R42" s="143"/>
      <c r="T42" s="143"/>
      <c r="U42" s="143"/>
      <c r="V42" s="143"/>
      <c r="W42" s="143"/>
      <c r="X42" s="143"/>
    </row>
    <row r="43" spans="1:24" x14ac:dyDescent="0.3">
      <c r="A43" s="7"/>
      <c r="B43" s="7"/>
      <c r="C43" s="7"/>
      <c r="D43" s="7"/>
      <c r="E43" s="147" t="s">
        <v>115</v>
      </c>
      <c r="F43" s="38" t="s">
        <v>297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99" t="str">
        <f>VLOOKUP(E43,Mapping!$E$11:$G$204,3,0)</f>
        <v>Connections</v>
      </c>
      <c r="N43" s="143"/>
      <c r="O43" s="143"/>
      <c r="P43" s="143"/>
      <c r="Q43" s="143"/>
      <c r="R43" s="143"/>
      <c r="T43" s="143"/>
      <c r="U43" s="143"/>
      <c r="V43" s="143"/>
      <c r="W43" s="143"/>
      <c r="X43" s="143"/>
    </row>
    <row r="44" spans="1:24" x14ac:dyDescent="0.3">
      <c r="A44" s="7"/>
      <c r="B44" s="7"/>
      <c r="C44" s="7"/>
      <c r="D44" s="7"/>
      <c r="E44" s="147" t="s">
        <v>116</v>
      </c>
      <c r="F44" s="38" t="s">
        <v>298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99" t="str">
        <f>VLOOKUP(E44,Mapping!$E$11:$G$204,3,0)</f>
        <v>Connections</v>
      </c>
      <c r="N44" s="143"/>
      <c r="O44" s="143"/>
      <c r="P44" s="143"/>
      <c r="Q44" s="143"/>
      <c r="R44" s="143"/>
      <c r="T44" s="143"/>
      <c r="U44" s="143"/>
      <c r="V44" s="143"/>
      <c r="W44" s="143"/>
      <c r="X44" s="143"/>
    </row>
    <row r="45" spans="1:24" x14ac:dyDescent="0.3">
      <c r="A45" s="7"/>
      <c r="B45" s="7"/>
      <c r="C45" s="7"/>
      <c r="D45" s="7"/>
      <c r="E45" s="147" t="s">
        <v>509</v>
      </c>
      <c r="F45" s="134" t="s">
        <v>615</v>
      </c>
      <c r="G45" s="228">
        <v>8756.0077505718091</v>
      </c>
      <c r="H45" s="26">
        <v>9097.9274598600914</v>
      </c>
      <c r="I45" s="26">
        <v>8624.2119789686494</v>
      </c>
      <c r="J45" s="26">
        <v>8974.3006732924314</v>
      </c>
      <c r="K45" s="26">
        <v>9802.0683834382562</v>
      </c>
      <c r="L45" s="99" t="str">
        <f>VLOOKUP(E45,Mapping!$E$11:$G$204,3,0)</f>
        <v>Connections</v>
      </c>
      <c r="N45" s="143"/>
      <c r="O45" s="143"/>
      <c r="P45" s="143"/>
      <c r="Q45" s="143"/>
      <c r="R45" s="143"/>
      <c r="T45" s="143"/>
      <c r="U45" s="143"/>
      <c r="V45" s="143"/>
      <c r="W45" s="143"/>
      <c r="X45" s="143"/>
    </row>
    <row r="46" spans="1:24" x14ac:dyDescent="0.3">
      <c r="A46" s="7"/>
      <c r="B46" s="7"/>
      <c r="C46" s="7"/>
      <c r="D46" s="7"/>
      <c r="E46" s="147" t="s">
        <v>510</v>
      </c>
      <c r="F46" s="134" t="s">
        <v>616</v>
      </c>
      <c r="G46" s="228">
        <v>10739.217926140953</v>
      </c>
      <c r="H46" s="26">
        <v>9059.8184714567178</v>
      </c>
      <c r="I46" s="26">
        <v>12423.019319381969</v>
      </c>
      <c r="J46" s="26">
        <v>8243.505643538283</v>
      </c>
      <c r="K46" s="26">
        <v>3939.1916348970349</v>
      </c>
      <c r="L46" s="99" t="str">
        <f>VLOOKUP(E46,Mapping!$E$11:$G$204,3,0)</f>
        <v>Connections</v>
      </c>
      <c r="N46" s="143"/>
      <c r="O46" s="143"/>
      <c r="P46" s="143"/>
      <c r="Q46" s="143"/>
      <c r="R46" s="143"/>
      <c r="T46" s="143"/>
      <c r="U46" s="143"/>
      <c r="V46" s="143"/>
      <c r="W46" s="143"/>
      <c r="X46" s="143"/>
    </row>
    <row r="47" spans="1:24" x14ac:dyDescent="0.3">
      <c r="A47" s="7"/>
      <c r="B47" s="7"/>
      <c r="C47" s="7"/>
      <c r="D47" s="7"/>
      <c r="E47" s="147" t="s">
        <v>511</v>
      </c>
      <c r="F47" s="134" t="s">
        <v>617</v>
      </c>
      <c r="G47" s="26">
        <v>388.70653184741275</v>
      </c>
      <c r="H47" s="26">
        <v>655.24715463597306</v>
      </c>
      <c r="I47" s="26">
        <v>631.57773800070197</v>
      </c>
      <c r="J47" s="26">
        <v>660.78587795268049</v>
      </c>
      <c r="K47" s="26">
        <v>726.07762689446884</v>
      </c>
      <c r="L47" s="99" t="str">
        <f>VLOOKUP(E47,Mapping!$E$11:$G$204,3,0)</f>
        <v>Connections</v>
      </c>
      <c r="N47" s="143"/>
      <c r="O47" s="143"/>
      <c r="P47" s="143"/>
      <c r="Q47" s="143"/>
      <c r="R47" s="143"/>
      <c r="T47" s="143"/>
      <c r="U47" s="143"/>
      <c r="V47" s="143"/>
      <c r="W47" s="143"/>
      <c r="X47" s="143"/>
    </row>
    <row r="48" spans="1:24" x14ac:dyDescent="0.3">
      <c r="A48" s="7"/>
      <c r="B48" s="7"/>
      <c r="C48" s="7"/>
      <c r="D48" s="7"/>
      <c r="E48" s="147" t="s">
        <v>117</v>
      </c>
      <c r="F48" s="38" t="s">
        <v>299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99" t="str">
        <f>VLOOKUP(E48,Mapping!$E$11:$G$204,3,0)</f>
        <v>Connections</v>
      </c>
      <c r="N48" s="143"/>
      <c r="O48" s="143"/>
      <c r="P48" s="143"/>
      <c r="Q48" s="143"/>
      <c r="R48" s="143"/>
      <c r="T48" s="143"/>
      <c r="U48" s="143"/>
      <c r="V48" s="143"/>
      <c r="W48" s="143"/>
      <c r="X48" s="143"/>
    </row>
    <row r="49" spans="1:24" x14ac:dyDescent="0.3">
      <c r="A49" s="7"/>
      <c r="B49" s="7"/>
      <c r="C49" s="7"/>
      <c r="D49" s="7"/>
      <c r="E49" s="147" t="s">
        <v>118</v>
      </c>
      <c r="F49" s="38" t="s">
        <v>300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99" t="str">
        <f>VLOOKUP(E49,Mapping!$E$11:$G$204,3,0)</f>
        <v>Connections</v>
      </c>
      <c r="N49" s="143"/>
      <c r="O49" s="143"/>
      <c r="P49" s="143"/>
      <c r="Q49" s="143"/>
      <c r="R49" s="143"/>
      <c r="T49" s="143"/>
      <c r="U49" s="143"/>
      <c r="V49" s="143"/>
      <c r="W49" s="143"/>
      <c r="X49" s="143"/>
    </row>
    <row r="50" spans="1:24" x14ac:dyDescent="0.3">
      <c r="A50" s="7"/>
      <c r="B50" s="7"/>
      <c r="C50" s="7"/>
      <c r="D50" s="7"/>
      <c r="E50" s="147" t="s">
        <v>119</v>
      </c>
      <c r="F50" s="38" t="s">
        <v>301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99" t="str">
        <f>VLOOKUP(E50,Mapping!$E$11:$G$204,3,0)</f>
        <v>Connections</v>
      </c>
      <c r="N50" s="143"/>
      <c r="O50" s="143"/>
      <c r="P50" s="143"/>
      <c r="Q50" s="143"/>
      <c r="R50" s="143"/>
      <c r="T50" s="143"/>
      <c r="U50" s="143"/>
      <c r="V50" s="143"/>
      <c r="W50" s="143"/>
      <c r="X50" s="143"/>
    </row>
    <row r="51" spans="1:24" x14ac:dyDescent="0.3">
      <c r="A51" s="7"/>
      <c r="B51" s="7"/>
      <c r="C51" s="7"/>
      <c r="D51" s="7"/>
      <c r="E51" s="147" t="s">
        <v>120</v>
      </c>
      <c r="F51" s="38" t="s">
        <v>302</v>
      </c>
      <c r="G51" s="144">
        <f>SUM(N51,T51)</f>
        <v>0</v>
      </c>
      <c r="H51" s="144">
        <f t="shared" ref="H51:H57" si="0">SUM(O51,U51)</f>
        <v>0</v>
      </c>
      <c r="I51" s="144">
        <f t="shared" ref="I51:I57" si="1">SUM(P51,V51)</f>
        <v>0</v>
      </c>
      <c r="J51" s="144">
        <f t="shared" ref="J51:J57" si="2">SUM(Q51,W51)</f>
        <v>0</v>
      </c>
      <c r="K51" s="144">
        <f t="shared" ref="K51:K57" si="3">SUM(R51,X51)</f>
        <v>0</v>
      </c>
      <c r="L51" s="99" t="str">
        <f>VLOOKUP(E51,Mapping!$E$11:$G$204,3,0)</f>
        <v>Augmentation</v>
      </c>
      <c r="N51" s="141">
        <v>0</v>
      </c>
      <c r="O51" s="141">
        <v>0</v>
      </c>
      <c r="P51" s="141">
        <v>0</v>
      </c>
      <c r="Q51" s="141">
        <v>0</v>
      </c>
      <c r="R51" s="141">
        <v>0</v>
      </c>
      <c r="T51" s="141">
        <v>0</v>
      </c>
      <c r="U51" s="141">
        <v>0</v>
      </c>
      <c r="V51" s="141">
        <v>0</v>
      </c>
      <c r="W51" s="141">
        <v>0</v>
      </c>
      <c r="X51" s="141">
        <v>0</v>
      </c>
    </row>
    <row r="52" spans="1:24" x14ac:dyDescent="0.3">
      <c r="A52" s="7"/>
      <c r="B52" s="7"/>
      <c r="C52" s="7"/>
      <c r="D52" s="7"/>
      <c r="E52" s="147" t="s">
        <v>121</v>
      </c>
      <c r="F52" s="38" t="s">
        <v>303</v>
      </c>
      <c r="G52" s="144">
        <f t="shared" ref="G52:G57" si="4">SUM(N52,T52)</f>
        <v>0</v>
      </c>
      <c r="H52" s="144">
        <f t="shared" si="0"/>
        <v>0</v>
      </c>
      <c r="I52" s="144">
        <f t="shared" si="1"/>
        <v>0</v>
      </c>
      <c r="J52" s="144">
        <f t="shared" si="2"/>
        <v>0</v>
      </c>
      <c r="K52" s="144">
        <f t="shared" si="3"/>
        <v>0</v>
      </c>
      <c r="L52" s="99" t="str">
        <f>VLOOKUP(E52,Mapping!$E$11:$G$204,3,0)</f>
        <v>Augmentation</v>
      </c>
      <c r="N52" s="141">
        <v>0</v>
      </c>
      <c r="O52" s="141">
        <v>0</v>
      </c>
      <c r="P52" s="141">
        <v>0</v>
      </c>
      <c r="Q52" s="228">
        <v>0</v>
      </c>
      <c r="R52" s="228">
        <v>0</v>
      </c>
      <c r="T52" s="141">
        <v>0</v>
      </c>
      <c r="U52" s="141">
        <v>0</v>
      </c>
      <c r="V52" s="141">
        <v>0</v>
      </c>
      <c r="W52" s="141">
        <v>0</v>
      </c>
      <c r="X52" s="141">
        <v>0</v>
      </c>
    </row>
    <row r="53" spans="1:24" x14ac:dyDescent="0.3">
      <c r="A53" s="7"/>
      <c r="B53" s="7"/>
      <c r="C53" s="7"/>
      <c r="D53" s="7"/>
      <c r="E53" s="147" t="s">
        <v>122</v>
      </c>
      <c r="F53" s="38" t="s">
        <v>304</v>
      </c>
      <c r="G53" s="144">
        <f>SUM(N53,T53)</f>
        <v>14302.51817278759</v>
      </c>
      <c r="H53" s="144">
        <f t="shared" si="0"/>
        <v>14302.51817278759</v>
      </c>
      <c r="I53" s="144">
        <f t="shared" si="1"/>
        <v>14302.51817278759</v>
      </c>
      <c r="J53" s="144">
        <f t="shared" si="2"/>
        <v>14302.51817278759</v>
      </c>
      <c r="K53" s="144">
        <f t="shared" si="3"/>
        <v>14302.51817278759</v>
      </c>
      <c r="L53" s="99" t="str">
        <f>VLOOKUP(E53,Mapping!$E$11:$G$204,3,0)</f>
        <v>Augmentation</v>
      </c>
      <c r="N53" s="228">
        <v>14302.51817278759</v>
      </c>
      <c r="O53" s="228">
        <v>14302.51817278759</v>
      </c>
      <c r="P53" s="228">
        <v>14302.51817278759</v>
      </c>
      <c r="Q53" s="228">
        <v>14302.51817278759</v>
      </c>
      <c r="R53" s="228">
        <v>14302.51817278759</v>
      </c>
      <c r="T53" s="141">
        <v>0</v>
      </c>
      <c r="U53" s="141">
        <v>0</v>
      </c>
      <c r="V53" s="141">
        <v>0</v>
      </c>
      <c r="W53" s="141">
        <v>0</v>
      </c>
      <c r="X53" s="141">
        <v>0</v>
      </c>
    </row>
    <row r="54" spans="1:24" x14ac:dyDescent="0.3">
      <c r="A54" s="7"/>
      <c r="B54" s="7"/>
      <c r="C54" s="7"/>
      <c r="D54" s="7"/>
      <c r="E54" s="147" t="s">
        <v>123</v>
      </c>
      <c r="F54" s="38" t="s">
        <v>305</v>
      </c>
      <c r="G54" s="144">
        <f t="shared" si="4"/>
        <v>0</v>
      </c>
      <c r="H54" s="144">
        <f t="shared" si="0"/>
        <v>0</v>
      </c>
      <c r="I54" s="144">
        <f t="shared" si="1"/>
        <v>0</v>
      </c>
      <c r="J54" s="144">
        <f t="shared" si="2"/>
        <v>0</v>
      </c>
      <c r="K54" s="144">
        <f t="shared" si="3"/>
        <v>0</v>
      </c>
      <c r="L54" s="99" t="str">
        <f>VLOOKUP(E54,Mapping!$E$11:$G$204,3,0)</f>
        <v>Augmentation</v>
      </c>
      <c r="N54" s="228">
        <v>0</v>
      </c>
      <c r="O54" s="228">
        <v>0</v>
      </c>
      <c r="P54" s="228">
        <v>0</v>
      </c>
      <c r="Q54" s="228">
        <v>0</v>
      </c>
      <c r="R54" s="228">
        <v>0</v>
      </c>
      <c r="T54" s="141">
        <v>0</v>
      </c>
      <c r="U54" s="141">
        <v>0</v>
      </c>
      <c r="V54" s="141">
        <v>0</v>
      </c>
      <c r="W54" s="141">
        <v>0</v>
      </c>
      <c r="X54" s="141">
        <v>0</v>
      </c>
    </row>
    <row r="55" spans="1:24" x14ac:dyDescent="0.3">
      <c r="A55" s="7"/>
      <c r="B55" s="7"/>
      <c r="C55" s="7"/>
      <c r="D55" s="7"/>
      <c r="E55" s="147" t="s">
        <v>124</v>
      </c>
      <c r="F55" s="38" t="s">
        <v>306</v>
      </c>
      <c r="G55" s="144">
        <f t="shared" si="4"/>
        <v>0</v>
      </c>
      <c r="H55" s="144">
        <f t="shared" si="0"/>
        <v>0</v>
      </c>
      <c r="I55" s="144">
        <f t="shared" si="1"/>
        <v>0</v>
      </c>
      <c r="J55" s="144">
        <f t="shared" si="2"/>
        <v>0</v>
      </c>
      <c r="K55" s="144">
        <f t="shared" si="3"/>
        <v>0</v>
      </c>
      <c r="L55" s="99" t="str">
        <f>VLOOKUP(E55,Mapping!$E$11:$G$204,3,0)</f>
        <v>Augmentation</v>
      </c>
      <c r="N55" s="228">
        <v>0</v>
      </c>
      <c r="O55" s="228">
        <v>0</v>
      </c>
      <c r="P55" s="228">
        <v>0</v>
      </c>
      <c r="Q55" s="228">
        <v>0</v>
      </c>
      <c r="R55" s="228">
        <v>0</v>
      </c>
      <c r="T55" s="141">
        <v>0</v>
      </c>
      <c r="U55" s="141">
        <v>0</v>
      </c>
      <c r="V55" s="141">
        <v>0</v>
      </c>
      <c r="W55" s="141">
        <v>0</v>
      </c>
      <c r="X55" s="141">
        <v>0</v>
      </c>
    </row>
    <row r="56" spans="1:24" x14ac:dyDescent="0.3">
      <c r="A56" s="7"/>
      <c r="B56" s="7"/>
      <c r="C56" s="7"/>
      <c r="D56" s="7"/>
      <c r="E56" s="147" t="s">
        <v>125</v>
      </c>
      <c r="F56" s="38" t="s">
        <v>307</v>
      </c>
      <c r="G56" s="144">
        <f t="shared" si="4"/>
        <v>0</v>
      </c>
      <c r="H56" s="144">
        <f t="shared" si="0"/>
        <v>0</v>
      </c>
      <c r="I56" s="144">
        <f t="shared" si="1"/>
        <v>0</v>
      </c>
      <c r="J56" s="144">
        <f t="shared" si="2"/>
        <v>0</v>
      </c>
      <c r="K56" s="144">
        <f t="shared" si="3"/>
        <v>0</v>
      </c>
      <c r="L56" s="99" t="str">
        <f>VLOOKUP(E56,Mapping!$E$11:$G$204,3,0)</f>
        <v>Augmentation</v>
      </c>
      <c r="N56" s="228">
        <v>0</v>
      </c>
      <c r="O56" s="228">
        <v>0</v>
      </c>
      <c r="P56" s="228">
        <v>0</v>
      </c>
      <c r="Q56" s="228">
        <v>0</v>
      </c>
      <c r="R56" s="228">
        <v>0</v>
      </c>
      <c r="T56" s="141">
        <v>0</v>
      </c>
      <c r="U56" s="141">
        <v>0</v>
      </c>
      <c r="V56" s="141">
        <v>0</v>
      </c>
      <c r="W56" s="141">
        <v>0</v>
      </c>
      <c r="X56" s="141">
        <v>0</v>
      </c>
    </row>
    <row r="57" spans="1:24" x14ac:dyDescent="0.3">
      <c r="A57" s="7"/>
      <c r="B57" s="7"/>
      <c r="C57" s="7"/>
      <c r="D57" s="7"/>
      <c r="E57" s="147" t="s">
        <v>126</v>
      </c>
      <c r="F57" s="38" t="s">
        <v>308</v>
      </c>
      <c r="G57" s="144">
        <f t="shared" si="4"/>
        <v>0</v>
      </c>
      <c r="H57" s="144">
        <f t="shared" si="0"/>
        <v>0</v>
      </c>
      <c r="I57" s="144">
        <f t="shared" si="1"/>
        <v>0</v>
      </c>
      <c r="J57" s="144">
        <f t="shared" si="2"/>
        <v>0</v>
      </c>
      <c r="K57" s="144">
        <f t="shared" si="3"/>
        <v>0</v>
      </c>
      <c r="L57" s="99" t="str">
        <f>VLOOKUP(E57,Mapping!$E$11:$G$204,3,0)</f>
        <v>Augmentation</v>
      </c>
      <c r="N57" s="228">
        <v>0</v>
      </c>
      <c r="O57" s="228">
        <v>0</v>
      </c>
      <c r="P57" s="228">
        <v>0</v>
      </c>
      <c r="Q57" s="228">
        <v>0</v>
      </c>
      <c r="R57" s="228">
        <v>0</v>
      </c>
      <c r="T57" s="141">
        <v>0</v>
      </c>
      <c r="U57" s="141">
        <v>0</v>
      </c>
      <c r="V57" s="141">
        <v>0</v>
      </c>
      <c r="W57" s="141">
        <v>0</v>
      </c>
      <c r="X57" s="141">
        <v>0</v>
      </c>
    </row>
    <row r="58" spans="1:24" x14ac:dyDescent="0.3">
      <c r="A58" s="7"/>
      <c r="B58" s="7"/>
      <c r="C58" s="7"/>
      <c r="D58" s="7"/>
      <c r="E58" s="147" t="s">
        <v>127</v>
      </c>
      <c r="F58" s="38" t="s">
        <v>17</v>
      </c>
      <c r="G58" s="100">
        <v>421.29753409864247</v>
      </c>
      <c r="H58" s="100">
        <v>421.29753409864247</v>
      </c>
      <c r="I58" s="100">
        <v>421.29753409864247</v>
      </c>
      <c r="J58" s="100">
        <v>421.29753409864247</v>
      </c>
      <c r="K58" s="100">
        <v>421.29753409864247</v>
      </c>
      <c r="L58" s="99" t="str">
        <f>VLOOKUP(E58,Mapping!$E$11:$G$204,3,0)</f>
        <v>Non-network general assets - Other</v>
      </c>
      <c r="N58" s="143"/>
      <c r="O58" s="143"/>
      <c r="P58" s="143"/>
      <c r="Q58" s="143"/>
      <c r="R58" s="143"/>
      <c r="T58" s="143"/>
      <c r="U58" s="143"/>
      <c r="V58" s="143"/>
      <c r="W58" s="143"/>
      <c r="X58" s="143"/>
    </row>
    <row r="59" spans="1:24" x14ac:dyDescent="0.3">
      <c r="A59" s="7"/>
      <c r="B59" s="7"/>
      <c r="C59" s="7"/>
      <c r="D59" s="7"/>
      <c r="E59" s="147" t="s">
        <v>128</v>
      </c>
      <c r="F59" s="38" t="s">
        <v>309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99" t="str">
        <f>VLOOKUP(E59,Mapping!$E$11:$G$204,3,0)</f>
        <v>Non-network general assets - Other</v>
      </c>
      <c r="N59" s="143"/>
      <c r="O59" s="143"/>
      <c r="P59" s="143"/>
      <c r="Q59" s="143"/>
      <c r="R59" s="143"/>
      <c r="T59" s="143"/>
      <c r="U59" s="143"/>
      <c r="V59" s="143"/>
      <c r="W59" s="143"/>
      <c r="X59" s="143"/>
    </row>
    <row r="60" spans="1:24" x14ac:dyDescent="0.3">
      <c r="A60" s="7"/>
      <c r="B60" s="7"/>
      <c r="C60" s="7"/>
      <c r="D60" s="7"/>
      <c r="E60" s="147" t="s">
        <v>129</v>
      </c>
      <c r="F60" s="38" t="s">
        <v>310</v>
      </c>
      <c r="G60" s="228">
        <v>37817.198462745597</v>
      </c>
      <c r="H60" s="228">
        <v>13598.119590702692</v>
      </c>
      <c r="I60" s="100">
        <v>921.36759361693146</v>
      </c>
      <c r="J60" s="228">
        <v>4310.3058689895533</v>
      </c>
      <c r="K60" s="228">
        <v>9139.5429113955379</v>
      </c>
      <c r="L60" s="99" t="str">
        <f>VLOOKUP(E60,Mapping!$E$11:$G$204,3,0)</f>
        <v>Non-network general assets - Other</v>
      </c>
      <c r="N60" s="143"/>
      <c r="O60" s="143"/>
      <c r="P60" s="143"/>
      <c r="Q60" s="143"/>
      <c r="R60" s="143"/>
      <c r="T60" s="143"/>
      <c r="U60" s="143"/>
      <c r="V60" s="143"/>
      <c r="W60" s="143"/>
      <c r="X60" s="143"/>
    </row>
    <row r="61" spans="1:24" x14ac:dyDescent="0.3">
      <c r="A61" s="7"/>
      <c r="B61" s="7"/>
      <c r="C61" s="7"/>
      <c r="D61" s="7"/>
      <c r="E61" s="147" t="s">
        <v>130</v>
      </c>
      <c r="F61" s="38" t="s">
        <v>311</v>
      </c>
      <c r="G61" s="100">
        <v>5439.2459319730588</v>
      </c>
      <c r="H61" s="100">
        <v>1338.6306187721857</v>
      </c>
      <c r="I61" s="100">
        <v>2016.4182738467098</v>
      </c>
      <c r="J61" s="100">
        <v>1556.7935202492981</v>
      </c>
      <c r="K61" s="100">
        <v>1892.5102181533985</v>
      </c>
      <c r="L61" s="99" t="str">
        <f>VLOOKUP(E61,Mapping!$E$11:$G$204,3,0)</f>
        <v>Non-network general assets - Other</v>
      </c>
      <c r="N61" s="143"/>
      <c r="O61" s="143"/>
      <c r="P61" s="143"/>
      <c r="Q61" s="143"/>
      <c r="R61" s="143"/>
      <c r="T61" s="143"/>
      <c r="U61" s="143"/>
      <c r="V61" s="143"/>
      <c r="W61" s="143"/>
      <c r="X61" s="143"/>
    </row>
    <row r="62" spans="1:24" x14ac:dyDescent="0.3">
      <c r="A62" s="7"/>
      <c r="B62" s="7"/>
      <c r="C62" s="7"/>
      <c r="D62" s="7"/>
      <c r="E62" s="147" t="s">
        <v>131</v>
      </c>
      <c r="F62" s="38" t="s">
        <v>312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99" t="str">
        <f>VLOOKUP(E62,Mapping!$E$11:$G$204,3,0)</f>
        <v>Non-network general assets - Other</v>
      </c>
      <c r="N62" s="143"/>
      <c r="O62" s="143"/>
      <c r="P62" s="143"/>
      <c r="Q62" s="143"/>
      <c r="R62" s="143"/>
      <c r="T62" s="143"/>
      <c r="U62" s="143"/>
      <c r="V62" s="143"/>
      <c r="W62" s="143"/>
      <c r="X62" s="143"/>
    </row>
    <row r="63" spans="1:24" x14ac:dyDescent="0.3">
      <c r="A63" s="7"/>
      <c r="B63" s="7"/>
      <c r="C63" s="7"/>
      <c r="D63" s="7"/>
      <c r="E63" s="147" t="s">
        <v>601</v>
      </c>
      <c r="F63" s="38" t="s">
        <v>44</v>
      </c>
      <c r="G63" s="100">
        <v>0</v>
      </c>
      <c r="H63" s="100">
        <v>0</v>
      </c>
      <c r="I63" s="228">
        <v>0</v>
      </c>
      <c r="J63" s="100">
        <v>2118.0864221078882</v>
      </c>
      <c r="K63" s="100">
        <v>0</v>
      </c>
      <c r="L63" s="99" t="str">
        <f>VLOOKUP(E63,Mapping!$E$11:$G$204,3,0)</f>
        <v>Non-network general assets - Other</v>
      </c>
      <c r="N63" s="143"/>
      <c r="O63" s="143"/>
      <c r="P63" s="143"/>
      <c r="Q63" s="143"/>
      <c r="R63" s="143"/>
      <c r="T63" s="143"/>
      <c r="U63" s="143"/>
      <c r="V63" s="143"/>
      <c r="W63" s="143"/>
      <c r="X63" s="143"/>
    </row>
    <row r="64" spans="1:24" x14ac:dyDescent="0.3">
      <c r="A64" s="7"/>
      <c r="B64" s="7"/>
      <c r="C64" s="7"/>
      <c r="D64" s="7"/>
      <c r="E64" s="147" t="s">
        <v>132</v>
      </c>
      <c r="F64" s="38" t="s">
        <v>314</v>
      </c>
      <c r="G64" s="40"/>
      <c r="H64" s="40"/>
      <c r="I64" s="40"/>
      <c r="J64" s="40"/>
      <c r="K64" s="40"/>
      <c r="L64" s="99" t="str">
        <f>VLOOKUP(E64,Mapping!$E$11:$G$204,3,0)</f>
        <v>ACS</v>
      </c>
      <c r="N64" s="143"/>
      <c r="O64" s="143"/>
      <c r="P64" s="143"/>
      <c r="Q64" s="143"/>
      <c r="R64" s="143"/>
      <c r="T64" s="143"/>
      <c r="U64" s="143"/>
      <c r="V64" s="143"/>
      <c r="W64" s="143"/>
      <c r="X64" s="143"/>
    </row>
    <row r="65" spans="1:24" x14ac:dyDescent="0.3">
      <c r="A65" s="7"/>
      <c r="B65" s="7"/>
      <c r="C65" s="7"/>
      <c r="D65" s="7"/>
      <c r="E65" s="147" t="s">
        <v>133</v>
      </c>
      <c r="F65" s="38" t="s">
        <v>315</v>
      </c>
      <c r="G65" s="40"/>
      <c r="H65" s="40"/>
      <c r="I65" s="40"/>
      <c r="J65" s="40"/>
      <c r="K65" s="40"/>
      <c r="L65" s="99" t="str">
        <f>VLOOKUP(E65,Mapping!$E$11:$G$204,3,0)</f>
        <v>ACS</v>
      </c>
      <c r="N65" s="143"/>
      <c r="O65" s="143"/>
      <c r="P65" s="143"/>
      <c r="Q65" s="143"/>
      <c r="R65" s="143"/>
      <c r="T65" s="143"/>
      <c r="U65" s="143"/>
      <c r="V65" s="143"/>
      <c r="W65" s="143"/>
      <c r="X65" s="143"/>
    </row>
    <row r="66" spans="1:24" x14ac:dyDescent="0.3">
      <c r="A66" s="7"/>
      <c r="B66" s="7"/>
      <c r="C66" s="7"/>
      <c r="D66" s="7"/>
      <c r="E66" s="147" t="s">
        <v>134</v>
      </c>
      <c r="F66" s="38" t="s">
        <v>316</v>
      </c>
      <c r="G66" s="40"/>
      <c r="H66" s="40"/>
      <c r="I66" s="40"/>
      <c r="J66" s="40"/>
      <c r="K66" s="40"/>
      <c r="L66" s="99" t="str">
        <f>VLOOKUP(E66,Mapping!$E$11:$G$204,3,0)</f>
        <v>ACS</v>
      </c>
      <c r="N66" s="143"/>
      <c r="O66" s="143"/>
      <c r="P66" s="143"/>
      <c r="Q66" s="143"/>
      <c r="R66" s="143"/>
      <c r="T66" s="143"/>
      <c r="U66" s="143"/>
      <c r="V66" s="143"/>
      <c r="W66" s="143"/>
      <c r="X66" s="143"/>
    </row>
    <row r="67" spans="1:24" x14ac:dyDescent="0.3">
      <c r="A67" s="7"/>
      <c r="B67" s="7"/>
      <c r="C67" s="7"/>
      <c r="D67" s="7"/>
      <c r="E67" s="147" t="s">
        <v>135</v>
      </c>
      <c r="F67" s="38" t="s">
        <v>317</v>
      </c>
      <c r="G67" s="40"/>
      <c r="H67" s="40"/>
      <c r="I67" s="40"/>
      <c r="J67" s="40"/>
      <c r="K67" s="40"/>
      <c r="L67" s="99" t="str">
        <f>VLOOKUP(E67,Mapping!$E$11:$G$204,3,0)</f>
        <v>ACS</v>
      </c>
      <c r="N67" s="143"/>
      <c r="O67" s="143"/>
      <c r="P67" s="143"/>
      <c r="Q67" s="143"/>
      <c r="R67" s="143"/>
      <c r="T67" s="143"/>
      <c r="U67" s="143"/>
      <c r="V67" s="143"/>
      <c r="W67" s="143"/>
      <c r="X67" s="143"/>
    </row>
    <row r="68" spans="1:24" x14ac:dyDescent="0.3">
      <c r="A68" s="7"/>
      <c r="B68" s="7"/>
      <c r="C68" s="7"/>
      <c r="D68" s="7"/>
      <c r="E68" s="147" t="s">
        <v>136</v>
      </c>
      <c r="F68" s="38" t="s">
        <v>318</v>
      </c>
      <c r="G68" s="40"/>
      <c r="H68" s="40"/>
      <c r="I68" s="40"/>
      <c r="J68" s="40"/>
      <c r="K68" s="40"/>
      <c r="L68" s="99" t="str">
        <f>VLOOKUP(E68,Mapping!$E$11:$G$204,3,0)</f>
        <v>ACS</v>
      </c>
      <c r="N68" s="143"/>
      <c r="O68" s="143"/>
      <c r="P68" s="143"/>
      <c r="Q68" s="143"/>
      <c r="R68" s="143"/>
      <c r="T68" s="143"/>
      <c r="U68" s="143"/>
      <c r="V68" s="143"/>
      <c r="W68" s="143"/>
      <c r="X68" s="143"/>
    </row>
    <row r="69" spans="1:24" x14ac:dyDescent="0.3">
      <c r="A69" s="7"/>
      <c r="B69" s="7"/>
      <c r="C69" s="7"/>
      <c r="D69" s="7"/>
      <c r="E69" s="147" t="s">
        <v>137</v>
      </c>
      <c r="F69" s="38" t="s">
        <v>319</v>
      </c>
      <c r="G69" s="40"/>
      <c r="H69" s="40"/>
      <c r="I69" s="40"/>
      <c r="J69" s="40"/>
      <c r="K69" s="40"/>
      <c r="L69" s="99" t="str">
        <f>VLOOKUP(E69,Mapping!$E$11:$G$204,3,0)</f>
        <v>ACS</v>
      </c>
      <c r="N69" s="143"/>
      <c r="O69" s="143"/>
      <c r="P69" s="143"/>
      <c r="Q69" s="143"/>
      <c r="R69" s="143"/>
      <c r="T69" s="143"/>
      <c r="U69" s="143"/>
      <c r="V69" s="143"/>
      <c r="W69" s="143"/>
      <c r="X69" s="143"/>
    </row>
    <row r="70" spans="1:24" x14ac:dyDescent="0.3">
      <c r="A70" s="7"/>
      <c r="B70" s="7"/>
      <c r="C70" s="7"/>
      <c r="D70" s="7"/>
      <c r="E70" s="147" t="s">
        <v>138</v>
      </c>
      <c r="F70" s="38" t="s">
        <v>320</v>
      </c>
      <c r="G70" s="40"/>
      <c r="H70" s="40"/>
      <c r="I70" s="40"/>
      <c r="J70" s="40"/>
      <c r="K70" s="40"/>
      <c r="L70" s="99" t="str">
        <f>VLOOKUP(E70,Mapping!$E$11:$G$204,3,0)</f>
        <v>ACS</v>
      </c>
      <c r="N70" s="143"/>
      <c r="O70" s="143"/>
      <c r="P70" s="143"/>
      <c r="Q70" s="143"/>
      <c r="R70" s="143"/>
      <c r="T70" s="143"/>
      <c r="U70" s="143"/>
      <c r="V70" s="143"/>
      <c r="W70" s="143"/>
      <c r="X70" s="143"/>
    </row>
    <row r="71" spans="1:24" x14ac:dyDescent="0.3">
      <c r="A71" s="7"/>
      <c r="B71" s="7"/>
      <c r="C71" s="7"/>
      <c r="D71" s="7"/>
      <c r="E71" s="147" t="s">
        <v>139</v>
      </c>
      <c r="F71" s="38" t="s">
        <v>321</v>
      </c>
      <c r="G71" s="40"/>
      <c r="H71" s="40"/>
      <c r="I71" s="40"/>
      <c r="J71" s="40"/>
      <c r="K71" s="40"/>
      <c r="L71" s="99" t="str">
        <f>VLOOKUP(E71,Mapping!$E$11:$G$204,3,0)</f>
        <v>ACS</v>
      </c>
      <c r="N71" s="143"/>
      <c r="O71" s="143"/>
      <c r="P71" s="143"/>
      <c r="Q71" s="143"/>
      <c r="R71" s="143"/>
      <c r="T71" s="143"/>
      <c r="U71" s="143"/>
      <c r="V71" s="143"/>
      <c r="W71" s="143"/>
      <c r="X71" s="143"/>
    </row>
    <row r="72" spans="1:24" x14ac:dyDescent="0.3">
      <c r="A72" s="7"/>
      <c r="B72" s="7"/>
      <c r="C72" s="7"/>
      <c r="D72" s="7"/>
      <c r="E72" s="147" t="s">
        <v>140</v>
      </c>
      <c r="F72" s="38" t="s">
        <v>322</v>
      </c>
      <c r="G72" s="40"/>
      <c r="H72" s="40"/>
      <c r="I72" s="40"/>
      <c r="J72" s="40"/>
      <c r="K72" s="40"/>
      <c r="L72" s="99" t="str">
        <f>VLOOKUP(E72,Mapping!$E$11:$G$204,3,0)</f>
        <v>ACS</v>
      </c>
      <c r="N72" s="143"/>
      <c r="O72" s="143"/>
      <c r="P72" s="143"/>
      <c r="Q72" s="143"/>
      <c r="R72" s="143"/>
      <c r="T72" s="143"/>
      <c r="U72" s="143"/>
      <c r="V72" s="143"/>
      <c r="W72" s="143"/>
      <c r="X72" s="143"/>
    </row>
    <row r="73" spans="1:24" x14ac:dyDescent="0.3">
      <c r="A73" s="7"/>
      <c r="B73" s="7"/>
      <c r="C73" s="7"/>
      <c r="D73" s="7"/>
      <c r="E73" s="147" t="s">
        <v>141</v>
      </c>
      <c r="F73" s="38" t="s">
        <v>323</v>
      </c>
      <c r="G73" s="40"/>
      <c r="H73" s="40"/>
      <c r="I73" s="40"/>
      <c r="J73" s="40"/>
      <c r="K73" s="40"/>
      <c r="L73" s="99" t="str">
        <f>VLOOKUP(E73,Mapping!$E$11:$G$204,3,0)</f>
        <v>ACS</v>
      </c>
      <c r="N73" s="143"/>
      <c r="O73" s="143"/>
      <c r="P73" s="143"/>
      <c r="Q73" s="143"/>
      <c r="R73" s="143"/>
      <c r="T73" s="143"/>
      <c r="U73" s="143"/>
      <c r="V73" s="143"/>
      <c r="W73" s="143"/>
      <c r="X73" s="143"/>
    </row>
    <row r="74" spans="1:24" x14ac:dyDescent="0.3">
      <c r="A74" s="7"/>
      <c r="B74" s="7"/>
      <c r="C74" s="7"/>
      <c r="D74" s="7"/>
      <c r="E74" s="147" t="s">
        <v>142</v>
      </c>
      <c r="F74" s="38" t="s">
        <v>324</v>
      </c>
      <c r="G74" s="40"/>
      <c r="H74" s="40"/>
      <c r="I74" s="40"/>
      <c r="J74" s="40"/>
      <c r="K74" s="40"/>
      <c r="L74" s="99" t="str">
        <f>VLOOKUP(E74,Mapping!$E$11:$G$204,3,0)</f>
        <v>ACS</v>
      </c>
      <c r="N74" s="143"/>
      <c r="O74" s="143"/>
      <c r="P74" s="143"/>
      <c r="Q74" s="143"/>
      <c r="R74" s="143"/>
      <c r="T74" s="143"/>
      <c r="U74" s="143"/>
      <c r="V74" s="143"/>
      <c r="W74" s="143"/>
      <c r="X74" s="143"/>
    </row>
    <row r="75" spans="1:24" x14ac:dyDescent="0.3">
      <c r="A75" s="7"/>
      <c r="B75" s="7"/>
      <c r="C75" s="7"/>
      <c r="D75" s="7"/>
      <c r="E75" s="147" t="s">
        <v>143</v>
      </c>
      <c r="F75" s="38" t="s">
        <v>325</v>
      </c>
      <c r="G75" s="40"/>
      <c r="H75" s="40"/>
      <c r="I75" s="40"/>
      <c r="J75" s="40"/>
      <c r="K75" s="40"/>
      <c r="L75" s="99" t="str">
        <f>VLOOKUP(E75,Mapping!$E$11:$G$204,3,0)</f>
        <v>ACS</v>
      </c>
      <c r="N75" s="143"/>
      <c r="O75" s="143"/>
      <c r="P75" s="143"/>
      <c r="Q75" s="143"/>
      <c r="R75" s="143"/>
      <c r="T75" s="143"/>
      <c r="U75" s="143"/>
      <c r="V75" s="143"/>
      <c r="W75" s="143"/>
      <c r="X75" s="143"/>
    </row>
    <row r="76" spans="1:24" x14ac:dyDescent="0.3">
      <c r="A76" s="7"/>
      <c r="B76" s="7"/>
      <c r="C76" s="7"/>
      <c r="D76" s="7"/>
      <c r="E76" s="147" t="s">
        <v>144</v>
      </c>
      <c r="F76" s="38" t="s">
        <v>326</v>
      </c>
      <c r="G76" s="144">
        <f t="shared" ref="G76:G140" si="5">SUM(N76,T76)</f>
        <v>1522.2348232737879</v>
      </c>
      <c r="H76" s="144">
        <f t="shared" ref="G76:H140" si="6">SUM(O76,U76)</f>
        <v>1522.2348232737879</v>
      </c>
      <c r="I76" s="144">
        <f t="shared" ref="I76:I140" si="7">SUM(P76,V76)</f>
        <v>1522.2348232737879</v>
      </c>
      <c r="J76" s="144">
        <f t="shared" ref="J76:J140" si="8">SUM(Q76,W76)</f>
        <v>1522.2348232737879</v>
      </c>
      <c r="K76" s="144">
        <f t="shared" ref="K76:K140" si="9">SUM(R76,X76)</f>
        <v>1522.2348232737879</v>
      </c>
      <c r="L76" s="99" t="str">
        <f>VLOOKUP(E76,Mapping!$E$11:$G$204,3,0)</f>
        <v>Augmentation</v>
      </c>
      <c r="N76" s="228">
        <v>1522.2348232737879</v>
      </c>
      <c r="O76" s="228">
        <v>1522.2348232737879</v>
      </c>
      <c r="P76" s="228">
        <v>1522.2348232737879</v>
      </c>
      <c r="Q76" s="228">
        <v>1522.2348232737879</v>
      </c>
      <c r="R76" s="228">
        <v>1522.2348232737879</v>
      </c>
      <c r="T76" s="141">
        <v>0</v>
      </c>
      <c r="U76" s="141">
        <v>0</v>
      </c>
      <c r="V76" s="141">
        <v>0</v>
      </c>
      <c r="W76" s="141">
        <v>0</v>
      </c>
      <c r="X76" s="141">
        <v>0</v>
      </c>
    </row>
    <row r="77" spans="1:24" x14ac:dyDescent="0.3">
      <c r="A77" s="7"/>
      <c r="B77" s="7"/>
      <c r="C77" s="7"/>
      <c r="D77" s="7"/>
      <c r="E77" s="147" t="s">
        <v>145</v>
      </c>
      <c r="F77" s="38" t="s">
        <v>327</v>
      </c>
      <c r="G77" s="144">
        <f t="shared" si="5"/>
        <v>573.53084937930873</v>
      </c>
      <c r="H77" s="144">
        <f t="shared" si="6"/>
        <v>573.53084937930873</v>
      </c>
      <c r="I77" s="144">
        <f t="shared" si="7"/>
        <v>573.53084937930873</v>
      </c>
      <c r="J77" s="144">
        <f t="shared" si="8"/>
        <v>573.53084937930873</v>
      </c>
      <c r="K77" s="144">
        <f t="shared" si="9"/>
        <v>573.53084937930873</v>
      </c>
      <c r="L77" s="99" t="str">
        <f>VLOOKUP(E77,Mapping!$E$11:$G$204,3,0)</f>
        <v>Augmentation</v>
      </c>
      <c r="N77" s="141">
        <v>573.53084937930873</v>
      </c>
      <c r="O77" s="141">
        <v>573.53084937930873</v>
      </c>
      <c r="P77" s="228">
        <v>573.53084937930873</v>
      </c>
      <c r="Q77" s="228">
        <v>573.53084937930873</v>
      </c>
      <c r="R77" s="141">
        <v>573.53084937930873</v>
      </c>
      <c r="T77" s="141">
        <v>0</v>
      </c>
      <c r="U77" s="141">
        <v>0</v>
      </c>
      <c r="V77" s="141">
        <v>0</v>
      </c>
      <c r="W77" s="141">
        <v>0</v>
      </c>
      <c r="X77" s="141">
        <v>0</v>
      </c>
    </row>
    <row r="78" spans="1:24" x14ac:dyDescent="0.3">
      <c r="A78" s="7"/>
      <c r="B78" s="7"/>
      <c r="C78" s="7"/>
      <c r="D78" s="7"/>
      <c r="E78" s="147" t="s">
        <v>146</v>
      </c>
      <c r="F78" s="38" t="s">
        <v>328</v>
      </c>
      <c r="G78" s="144">
        <f t="shared" si="5"/>
        <v>0</v>
      </c>
      <c r="H78" s="144">
        <f t="shared" si="6"/>
        <v>0</v>
      </c>
      <c r="I78" s="144">
        <f t="shared" si="7"/>
        <v>0</v>
      </c>
      <c r="J78" s="144">
        <f t="shared" si="8"/>
        <v>0</v>
      </c>
      <c r="K78" s="144">
        <f t="shared" si="9"/>
        <v>0</v>
      </c>
      <c r="L78" s="99" t="str">
        <f>VLOOKUP(E78,Mapping!$E$11:$G$204,3,0)</f>
        <v>VBRC</v>
      </c>
      <c r="N78" s="141">
        <v>0</v>
      </c>
      <c r="O78" s="141">
        <v>0</v>
      </c>
      <c r="P78" s="141">
        <v>0</v>
      </c>
      <c r="Q78" s="141">
        <v>0</v>
      </c>
      <c r="R78" s="141">
        <v>0</v>
      </c>
      <c r="T78" s="141">
        <v>0</v>
      </c>
      <c r="U78" s="141">
        <v>0</v>
      </c>
      <c r="V78" s="141">
        <v>0</v>
      </c>
      <c r="W78" s="141">
        <v>0</v>
      </c>
      <c r="X78" s="141">
        <v>0</v>
      </c>
    </row>
    <row r="79" spans="1:24" x14ac:dyDescent="0.3">
      <c r="A79" s="7"/>
      <c r="B79" s="7"/>
      <c r="C79" s="7"/>
      <c r="D79" s="7"/>
      <c r="E79" s="147" t="s">
        <v>147</v>
      </c>
      <c r="F79" s="38" t="s">
        <v>329</v>
      </c>
      <c r="G79" s="144">
        <f t="shared" si="5"/>
        <v>311.68388648881023</v>
      </c>
      <c r="H79" s="144">
        <f t="shared" si="6"/>
        <v>311.68388648881023</v>
      </c>
      <c r="I79" s="144">
        <f t="shared" si="7"/>
        <v>207.78925765920681</v>
      </c>
      <c r="J79" s="144">
        <f t="shared" si="8"/>
        <v>103.89462882960341</v>
      </c>
      <c r="K79" s="144">
        <f t="shared" si="9"/>
        <v>103.89462882960341</v>
      </c>
      <c r="L79" s="99" t="str">
        <f>VLOOKUP(E79,Mapping!$E$11:$G$204,3,0)</f>
        <v>Augmentation</v>
      </c>
      <c r="N79" s="228">
        <v>311.68388648881023</v>
      </c>
      <c r="O79" s="228">
        <v>311.68388648881023</v>
      </c>
      <c r="P79" s="228">
        <v>207.78925765920681</v>
      </c>
      <c r="Q79" s="228">
        <v>103.89462882960341</v>
      </c>
      <c r="R79" s="228">
        <v>103.89462882960341</v>
      </c>
      <c r="T79" s="141">
        <v>0</v>
      </c>
      <c r="U79" s="141">
        <v>0</v>
      </c>
      <c r="V79" s="141">
        <v>0</v>
      </c>
      <c r="W79" s="141">
        <v>0</v>
      </c>
      <c r="X79" s="141">
        <v>0</v>
      </c>
    </row>
    <row r="80" spans="1:24" x14ac:dyDescent="0.3">
      <c r="A80" s="7"/>
      <c r="B80" s="7"/>
      <c r="C80" s="7"/>
      <c r="D80" s="7"/>
      <c r="E80" s="147" t="s">
        <v>148</v>
      </c>
      <c r="F80" s="38" t="s">
        <v>330</v>
      </c>
      <c r="G80" s="144">
        <f t="shared" si="5"/>
        <v>0</v>
      </c>
      <c r="H80" s="144">
        <f t="shared" si="6"/>
        <v>0</v>
      </c>
      <c r="I80" s="144">
        <f t="shared" si="7"/>
        <v>0</v>
      </c>
      <c r="J80" s="144">
        <f t="shared" si="8"/>
        <v>0</v>
      </c>
      <c r="K80" s="144">
        <f t="shared" si="9"/>
        <v>0</v>
      </c>
      <c r="L80" s="99" t="str">
        <f>VLOOKUP(E80,Mapping!$E$11:$G$204,3,0)</f>
        <v>VBRC</v>
      </c>
      <c r="N80" s="228">
        <v>0</v>
      </c>
      <c r="O80" s="228">
        <v>0</v>
      </c>
      <c r="P80" s="228">
        <v>0</v>
      </c>
      <c r="Q80" s="228">
        <v>0</v>
      </c>
      <c r="R80" s="228">
        <v>0</v>
      </c>
      <c r="T80" s="141">
        <v>0</v>
      </c>
      <c r="U80" s="141">
        <v>0</v>
      </c>
      <c r="V80" s="141">
        <v>0</v>
      </c>
      <c r="W80" s="141">
        <v>0</v>
      </c>
      <c r="X80" s="141">
        <v>0</v>
      </c>
    </row>
    <row r="81" spans="1:24" x14ac:dyDescent="0.3">
      <c r="A81" s="7"/>
      <c r="B81" s="7"/>
      <c r="C81" s="7"/>
      <c r="D81" s="7"/>
      <c r="E81" s="147" t="s">
        <v>149</v>
      </c>
      <c r="F81" s="38" t="s">
        <v>331</v>
      </c>
      <c r="G81" s="144">
        <f t="shared" si="5"/>
        <v>0</v>
      </c>
      <c r="H81" s="144">
        <f t="shared" si="6"/>
        <v>0</v>
      </c>
      <c r="I81" s="144">
        <f t="shared" si="7"/>
        <v>0</v>
      </c>
      <c r="J81" s="144">
        <f t="shared" si="8"/>
        <v>0</v>
      </c>
      <c r="K81" s="144">
        <f t="shared" si="9"/>
        <v>0</v>
      </c>
      <c r="L81" s="99" t="str">
        <f>VLOOKUP(E81,Mapping!$E$11:$G$204,3,0)</f>
        <v>VBRC</v>
      </c>
      <c r="N81" s="228">
        <v>0</v>
      </c>
      <c r="O81" s="228">
        <v>0</v>
      </c>
      <c r="P81" s="228">
        <v>0</v>
      </c>
      <c r="Q81" s="228">
        <v>0</v>
      </c>
      <c r="R81" s="228">
        <v>0</v>
      </c>
      <c r="T81" s="141">
        <v>0</v>
      </c>
      <c r="U81" s="141">
        <v>0</v>
      </c>
      <c r="V81" s="141">
        <v>0</v>
      </c>
      <c r="W81" s="141">
        <v>0</v>
      </c>
      <c r="X81" s="141">
        <v>0</v>
      </c>
    </row>
    <row r="82" spans="1:24" x14ac:dyDescent="0.3">
      <c r="A82" s="7"/>
      <c r="B82" s="7"/>
      <c r="C82" s="7"/>
      <c r="D82" s="7"/>
      <c r="E82" s="147" t="s">
        <v>150</v>
      </c>
      <c r="F82" s="38" t="s">
        <v>332</v>
      </c>
      <c r="G82" s="144">
        <f t="shared" si="6"/>
        <v>108.808976685391</v>
      </c>
      <c r="H82" s="144">
        <f t="shared" si="6"/>
        <v>108.808976685391</v>
      </c>
      <c r="I82" s="144">
        <f t="shared" si="7"/>
        <v>108.808976685391</v>
      </c>
      <c r="J82" s="144">
        <f t="shared" si="8"/>
        <v>108.808976685391</v>
      </c>
      <c r="K82" s="144">
        <f>SUM(R82,T82)</f>
        <v>108.808976685391</v>
      </c>
      <c r="L82" s="99" t="str">
        <f>VLOOKUP(E82,Mapping!$E$11:$G$204,3,0)</f>
        <v>Replacement</v>
      </c>
      <c r="N82" s="141">
        <v>0</v>
      </c>
      <c r="O82" s="141">
        <v>0</v>
      </c>
      <c r="P82" s="141">
        <v>0</v>
      </c>
      <c r="Q82" s="141">
        <v>0</v>
      </c>
      <c r="R82" s="141">
        <v>0</v>
      </c>
      <c r="T82" s="141">
        <v>108.808976685391</v>
      </c>
      <c r="U82" s="141">
        <v>108.808976685391</v>
      </c>
      <c r="V82" s="141">
        <v>108.808976685391</v>
      </c>
      <c r="W82" s="141">
        <v>108.808976685391</v>
      </c>
      <c r="X82" s="141">
        <v>108.808976685391</v>
      </c>
    </row>
    <row r="83" spans="1:24" x14ac:dyDescent="0.3">
      <c r="A83" s="7"/>
      <c r="B83" s="7"/>
      <c r="C83" s="7"/>
      <c r="D83" s="7"/>
      <c r="E83" s="147" t="s">
        <v>151</v>
      </c>
      <c r="F83" s="38" t="s">
        <v>333</v>
      </c>
      <c r="G83" s="144">
        <f t="shared" si="5"/>
        <v>16.232976178972311</v>
      </c>
      <c r="H83" s="144">
        <f t="shared" si="6"/>
        <v>16.232976178972311</v>
      </c>
      <c r="I83" s="144">
        <f t="shared" si="7"/>
        <v>16.232976178972311</v>
      </c>
      <c r="J83" s="144">
        <f t="shared" si="8"/>
        <v>16.232976178972311</v>
      </c>
      <c r="K83" s="144">
        <f t="shared" si="9"/>
        <v>16.232976178972311</v>
      </c>
      <c r="L83" s="99" t="str">
        <f>VLOOKUP(E83,Mapping!$E$11:$G$204,3,0)</f>
        <v>Replacement</v>
      </c>
      <c r="N83" s="141">
        <v>0</v>
      </c>
      <c r="O83" s="141">
        <v>0</v>
      </c>
      <c r="P83" s="141">
        <v>0</v>
      </c>
      <c r="Q83" s="141">
        <v>0</v>
      </c>
      <c r="R83" s="141">
        <v>0</v>
      </c>
      <c r="T83" s="228">
        <v>16.232976178972311</v>
      </c>
      <c r="U83" s="228">
        <v>16.232976178972311</v>
      </c>
      <c r="V83" s="228">
        <v>16.232976178972311</v>
      </c>
      <c r="W83" s="228">
        <v>16.232976178972311</v>
      </c>
      <c r="X83" s="228">
        <v>16.232976178972311</v>
      </c>
    </row>
    <row r="84" spans="1:24" x14ac:dyDescent="0.3">
      <c r="A84" s="7"/>
      <c r="B84" s="7"/>
      <c r="C84" s="7"/>
      <c r="D84" s="7"/>
      <c r="E84" s="147" t="s">
        <v>152</v>
      </c>
      <c r="F84" s="38" t="s">
        <v>334</v>
      </c>
      <c r="G84" s="144">
        <f t="shared" ref="G84:G85" si="10">SUM(N84,T84)</f>
        <v>531.16133144919888</v>
      </c>
      <c r="H84" s="144">
        <f t="shared" ref="H84:H85" si="11">SUM(O84,U84)</f>
        <v>531.16133144919888</v>
      </c>
      <c r="I84" s="144">
        <f t="shared" ref="I84:I85" si="12">SUM(P84,V84)</f>
        <v>531.16133144919888</v>
      </c>
      <c r="J84" s="144">
        <f t="shared" ref="J84:J85" si="13">SUM(Q84,W84)</f>
        <v>531.16133144919888</v>
      </c>
      <c r="K84" s="144">
        <f t="shared" ref="K84:K85" si="14">SUM(R84,X84)</f>
        <v>531.16133144919888</v>
      </c>
      <c r="L84" s="99" t="str">
        <f>VLOOKUP(E84,Mapping!$E$11:$G$204,3,0)</f>
        <v>Augmentation</v>
      </c>
      <c r="N84" s="141">
        <v>531.16133144919888</v>
      </c>
      <c r="O84" s="141">
        <v>531.16133144919888</v>
      </c>
      <c r="P84" s="141">
        <v>531.16133144919888</v>
      </c>
      <c r="Q84" s="141">
        <v>531.16133144919888</v>
      </c>
      <c r="R84" s="141">
        <v>531.16133144919888</v>
      </c>
      <c r="T84" s="143"/>
      <c r="U84" s="143"/>
      <c r="V84" s="143"/>
      <c r="W84" s="143"/>
      <c r="X84" s="143"/>
    </row>
    <row r="85" spans="1:24" x14ac:dyDescent="0.3">
      <c r="A85" s="7"/>
      <c r="B85" s="7"/>
      <c r="C85" s="7"/>
      <c r="D85" s="7"/>
      <c r="E85" s="147" t="s">
        <v>152</v>
      </c>
      <c r="F85" s="148" t="s">
        <v>334</v>
      </c>
      <c r="G85" s="144">
        <f t="shared" si="10"/>
        <v>583.83841689150859</v>
      </c>
      <c r="H85" s="144">
        <f t="shared" si="11"/>
        <v>583.83841689150859</v>
      </c>
      <c r="I85" s="144">
        <f t="shared" si="12"/>
        <v>583.83841689150859</v>
      </c>
      <c r="J85" s="144">
        <f t="shared" si="13"/>
        <v>583.83841689150859</v>
      </c>
      <c r="K85" s="144">
        <f t="shared" si="14"/>
        <v>583.83841689150859</v>
      </c>
      <c r="L85" s="152" t="s">
        <v>29</v>
      </c>
      <c r="N85" s="143"/>
      <c r="O85" s="143"/>
      <c r="P85" s="143"/>
      <c r="Q85" s="143"/>
      <c r="R85" s="143"/>
      <c r="T85" s="141">
        <v>583.83841689150859</v>
      </c>
      <c r="U85" s="141">
        <v>583.83841689150859</v>
      </c>
      <c r="V85" s="141">
        <v>583.83841689150859</v>
      </c>
      <c r="W85" s="141">
        <v>583.83841689150859</v>
      </c>
      <c r="X85" s="141">
        <v>583.83841689150859</v>
      </c>
    </row>
    <row r="86" spans="1:24" x14ac:dyDescent="0.3">
      <c r="A86" s="7"/>
      <c r="B86" s="7"/>
      <c r="C86" s="7"/>
      <c r="D86" s="7"/>
      <c r="E86" s="147" t="s">
        <v>153</v>
      </c>
      <c r="F86" s="38" t="s">
        <v>335</v>
      </c>
      <c r="G86" s="144">
        <f t="shared" si="5"/>
        <v>1.9981207784939914</v>
      </c>
      <c r="H86" s="144">
        <f t="shared" si="6"/>
        <v>1.9981207784939914</v>
      </c>
      <c r="I86" s="144">
        <f t="shared" si="7"/>
        <v>1.9981207784939914</v>
      </c>
      <c r="J86" s="144">
        <f t="shared" si="8"/>
        <v>1.9981207784939914</v>
      </c>
      <c r="K86" s="144">
        <f t="shared" si="9"/>
        <v>1.9981207784939914</v>
      </c>
      <c r="L86" s="152" t="s">
        <v>29</v>
      </c>
      <c r="N86" s="141">
        <v>0</v>
      </c>
      <c r="O86" s="141">
        <v>0</v>
      </c>
      <c r="P86" s="141">
        <v>0</v>
      </c>
      <c r="Q86" s="141">
        <v>0</v>
      </c>
      <c r="R86" s="141">
        <v>0</v>
      </c>
      <c r="T86" s="141">
        <v>1.9981207784939914</v>
      </c>
      <c r="U86" s="141">
        <v>1.9981207784939914</v>
      </c>
      <c r="V86" s="141">
        <v>1.9981207784939914</v>
      </c>
      <c r="W86" s="141">
        <v>1.9981207784939914</v>
      </c>
      <c r="X86" s="141">
        <v>1.9981207784939914</v>
      </c>
    </row>
    <row r="87" spans="1:24" x14ac:dyDescent="0.3">
      <c r="A87" s="7"/>
      <c r="B87" s="7"/>
      <c r="C87" s="7"/>
      <c r="D87" s="7"/>
      <c r="E87" s="147" t="s">
        <v>154</v>
      </c>
      <c r="F87" s="38" t="s">
        <v>336</v>
      </c>
      <c r="G87" s="144">
        <f t="shared" si="5"/>
        <v>0</v>
      </c>
      <c r="H87" s="144">
        <f t="shared" si="6"/>
        <v>0</v>
      </c>
      <c r="I87" s="144">
        <f t="shared" si="7"/>
        <v>0</v>
      </c>
      <c r="J87" s="144">
        <f t="shared" si="8"/>
        <v>0</v>
      </c>
      <c r="K87" s="144">
        <f t="shared" si="9"/>
        <v>0</v>
      </c>
      <c r="L87" s="99" t="str">
        <f>VLOOKUP(E87,Mapping!$E$11:$G$204,3,0)</f>
        <v>Augmentation</v>
      </c>
      <c r="N87" s="141">
        <v>0</v>
      </c>
      <c r="O87" s="141">
        <v>0</v>
      </c>
      <c r="P87" s="141">
        <v>0</v>
      </c>
      <c r="Q87" s="141">
        <v>0</v>
      </c>
      <c r="R87" s="141">
        <v>0</v>
      </c>
      <c r="T87" s="141">
        <v>0</v>
      </c>
      <c r="U87" s="141">
        <v>0</v>
      </c>
      <c r="V87" s="141">
        <v>0</v>
      </c>
      <c r="W87" s="141">
        <v>0</v>
      </c>
      <c r="X87" s="141">
        <v>0</v>
      </c>
    </row>
    <row r="88" spans="1:24" x14ac:dyDescent="0.3">
      <c r="A88" s="7"/>
      <c r="B88" s="7"/>
      <c r="C88" s="7"/>
      <c r="D88" s="7"/>
      <c r="E88" s="147" t="s">
        <v>155</v>
      </c>
      <c r="F88" s="38" t="s">
        <v>337</v>
      </c>
      <c r="G88" s="144">
        <f t="shared" si="5"/>
        <v>605.47431595422188</v>
      </c>
      <c r="H88" s="144">
        <f t="shared" si="6"/>
        <v>659.99263406635112</v>
      </c>
      <c r="I88" s="144">
        <f t="shared" si="7"/>
        <v>714.51095217846955</v>
      </c>
      <c r="J88" s="144">
        <f t="shared" si="8"/>
        <v>769.02927029058787</v>
      </c>
      <c r="K88" s="144">
        <f t="shared" si="9"/>
        <v>823.54758840271722</v>
      </c>
      <c r="L88" s="99" t="str">
        <f>VLOOKUP(E88,Mapping!$E$11:$G$204,3,0)</f>
        <v>Replacement</v>
      </c>
      <c r="N88" s="141">
        <v>0</v>
      </c>
      <c r="O88" s="141">
        <v>0</v>
      </c>
      <c r="P88" s="141">
        <v>0</v>
      </c>
      <c r="Q88" s="141">
        <v>0</v>
      </c>
      <c r="R88" s="141">
        <v>0</v>
      </c>
      <c r="T88" s="141">
        <v>605.47431595422188</v>
      </c>
      <c r="U88" s="141">
        <v>659.99263406635112</v>
      </c>
      <c r="V88" s="141">
        <v>714.51095217846955</v>
      </c>
      <c r="W88" s="141">
        <v>769.02927029058787</v>
      </c>
      <c r="X88" s="141">
        <v>823.54758840271722</v>
      </c>
    </row>
    <row r="89" spans="1:24" x14ac:dyDescent="0.3">
      <c r="A89" s="7"/>
      <c r="B89" s="7"/>
      <c r="C89" s="7"/>
      <c r="D89" s="7"/>
      <c r="E89" s="147" t="s">
        <v>156</v>
      </c>
      <c r="F89" s="38" t="s">
        <v>338</v>
      </c>
      <c r="G89" s="144">
        <f t="shared" si="5"/>
        <v>0</v>
      </c>
      <c r="H89" s="144">
        <f t="shared" si="6"/>
        <v>0</v>
      </c>
      <c r="I89" s="144">
        <f t="shared" si="7"/>
        <v>0</v>
      </c>
      <c r="J89" s="144">
        <f t="shared" si="8"/>
        <v>0</v>
      </c>
      <c r="K89" s="144">
        <f t="shared" si="9"/>
        <v>0</v>
      </c>
      <c r="L89" s="99" t="str">
        <f>VLOOKUP(E89,Mapping!$E$11:$G$204,3,0)</f>
        <v>VBRC</v>
      </c>
      <c r="N89" s="228">
        <v>0</v>
      </c>
      <c r="O89" s="228">
        <v>0</v>
      </c>
      <c r="P89" s="228">
        <v>0</v>
      </c>
      <c r="Q89" s="228">
        <v>0</v>
      </c>
      <c r="R89" s="228">
        <v>0</v>
      </c>
      <c r="T89" s="141">
        <v>0</v>
      </c>
      <c r="U89" s="141">
        <v>0</v>
      </c>
      <c r="V89" s="141">
        <v>0</v>
      </c>
      <c r="W89" s="141">
        <v>0</v>
      </c>
      <c r="X89" s="141">
        <v>0</v>
      </c>
    </row>
    <row r="90" spans="1:24" x14ac:dyDescent="0.3">
      <c r="A90" s="7"/>
      <c r="B90" s="7"/>
      <c r="C90" s="7"/>
      <c r="D90" s="7"/>
      <c r="E90" s="147" t="s">
        <v>157</v>
      </c>
      <c r="F90" s="38" t="s">
        <v>16</v>
      </c>
      <c r="G90" s="144">
        <f>SUM(N90,T90)</f>
        <v>208.23511895881634</v>
      </c>
      <c r="H90" s="144">
        <f t="shared" si="6"/>
        <v>208.23511895881634</v>
      </c>
      <c r="I90" s="144">
        <f t="shared" si="7"/>
        <v>208.23511895881634</v>
      </c>
      <c r="J90" s="144">
        <f t="shared" si="8"/>
        <v>208.23511895881634</v>
      </c>
      <c r="K90" s="144">
        <f t="shared" si="9"/>
        <v>208.23511895881634</v>
      </c>
      <c r="L90" s="99" t="str">
        <f>VLOOKUP(E90,Mapping!$E$11:$G$204,3,0)</f>
        <v>Replacement</v>
      </c>
      <c r="N90" s="141">
        <v>0</v>
      </c>
      <c r="O90" s="141">
        <v>0</v>
      </c>
      <c r="P90" s="141">
        <v>0</v>
      </c>
      <c r="Q90" s="141">
        <v>0</v>
      </c>
      <c r="R90" s="141">
        <v>0</v>
      </c>
      <c r="T90" s="228">
        <v>208.23511895881634</v>
      </c>
      <c r="U90" s="228">
        <v>208.23511895881634</v>
      </c>
      <c r="V90" s="228">
        <v>208.23511895881634</v>
      </c>
      <c r="W90" s="228">
        <v>208.23511895881634</v>
      </c>
      <c r="X90" s="228">
        <v>208.23511895881634</v>
      </c>
    </row>
    <row r="91" spans="1:24" x14ac:dyDescent="0.3">
      <c r="A91" s="7"/>
      <c r="B91" s="7"/>
      <c r="C91" s="7"/>
      <c r="D91" s="7"/>
      <c r="E91" s="147" t="s">
        <v>158</v>
      </c>
      <c r="F91" s="38" t="s">
        <v>339</v>
      </c>
      <c r="G91" s="144">
        <f t="shared" si="5"/>
        <v>80.749727203824733</v>
      </c>
      <c r="H91" s="144">
        <f t="shared" si="6"/>
        <v>80.749727203824733</v>
      </c>
      <c r="I91" s="144">
        <f t="shared" si="7"/>
        <v>80.749727203824733</v>
      </c>
      <c r="J91" s="144">
        <f t="shared" si="8"/>
        <v>80.749727203824733</v>
      </c>
      <c r="K91" s="144">
        <f t="shared" si="9"/>
        <v>80.749727203824733</v>
      </c>
      <c r="L91" s="99" t="str">
        <f>VLOOKUP(E91,Mapping!$E$11:$G$204,3,0)</f>
        <v>Replacement</v>
      </c>
      <c r="N91" s="141">
        <v>0</v>
      </c>
      <c r="O91" s="141">
        <v>0</v>
      </c>
      <c r="P91" s="141">
        <v>0</v>
      </c>
      <c r="Q91" s="141">
        <v>0</v>
      </c>
      <c r="R91" s="141">
        <v>0</v>
      </c>
      <c r="T91" s="141">
        <v>80.749727203824733</v>
      </c>
      <c r="U91" s="141">
        <v>80.749727203824733</v>
      </c>
      <c r="V91" s="141">
        <v>80.749727203824733</v>
      </c>
      <c r="W91" s="141">
        <v>80.749727203824733</v>
      </c>
      <c r="X91" s="141">
        <v>80.749727203824733</v>
      </c>
    </row>
    <row r="92" spans="1:24" x14ac:dyDescent="0.3">
      <c r="A92" s="7"/>
      <c r="B92" s="7"/>
      <c r="C92" s="7"/>
      <c r="D92" s="7"/>
      <c r="E92" s="147" t="s">
        <v>159</v>
      </c>
      <c r="F92" s="38" t="s">
        <v>340</v>
      </c>
      <c r="G92" s="144">
        <f t="shared" si="5"/>
        <v>0</v>
      </c>
      <c r="H92" s="144">
        <f t="shared" si="6"/>
        <v>0</v>
      </c>
      <c r="I92" s="144">
        <f t="shared" si="7"/>
        <v>0</v>
      </c>
      <c r="J92" s="144">
        <f t="shared" si="8"/>
        <v>0</v>
      </c>
      <c r="K92" s="144">
        <f t="shared" si="9"/>
        <v>0</v>
      </c>
      <c r="L92" s="99" t="str">
        <f>VLOOKUP(E92,Mapping!$E$11:$G$204,3,0)</f>
        <v>Replacement</v>
      </c>
      <c r="N92" s="141">
        <v>0</v>
      </c>
      <c r="O92" s="141">
        <v>0</v>
      </c>
      <c r="P92" s="141">
        <v>0</v>
      </c>
      <c r="Q92" s="141">
        <v>0</v>
      </c>
      <c r="R92" s="141">
        <v>0</v>
      </c>
      <c r="T92" s="141">
        <v>0</v>
      </c>
      <c r="U92" s="141">
        <v>0</v>
      </c>
      <c r="V92" s="141">
        <v>0</v>
      </c>
      <c r="W92" s="141">
        <v>0</v>
      </c>
      <c r="X92" s="141">
        <v>0</v>
      </c>
    </row>
    <row r="93" spans="1:24" x14ac:dyDescent="0.3">
      <c r="A93" s="7"/>
      <c r="B93" s="7"/>
      <c r="C93" s="7"/>
      <c r="D93" s="7"/>
      <c r="E93" s="147" t="s">
        <v>160</v>
      </c>
      <c r="F93" s="38" t="s">
        <v>341</v>
      </c>
      <c r="G93" s="144">
        <f t="shared" si="5"/>
        <v>2337.0146369258391</v>
      </c>
      <c r="H93" s="144">
        <f t="shared" si="6"/>
        <v>2983.4229573788671</v>
      </c>
      <c r="I93" s="144">
        <f t="shared" si="7"/>
        <v>2709.9441472366816</v>
      </c>
      <c r="J93" s="144">
        <f t="shared" si="8"/>
        <v>2883.9755384871783</v>
      </c>
      <c r="K93" s="144">
        <f t="shared" si="9"/>
        <v>2337.0146369258391</v>
      </c>
      <c r="L93" s="99" t="str">
        <f>VLOOKUP(E93,Mapping!$E$11:$G$204,3,0)</f>
        <v>Augmentation</v>
      </c>
      <c r="N93" s="228">
        <v>2337.0146369258391</v>
      </c>
      <c r="O93" s="228">
        <v>2983.4229573788671</v>
      </c>
      <c r="P93" s="228">
        <v>2709.9441472366816</v>
      </c>
      <c r="Q93" s="228">
        <v>2883.9755384871783</v>
      </c>
      <c r="R93" s="228">
        <v>2337.0146369258391</v>
      </c>
      <c r="T93" s="141">
        <v>0</v>
      </c>
      <c r="U93" s="141">
        <v>0</v>
      </c>
      <c r="V93" s="141">
        <v>0</v>
      </c>
      <c r="W93" s="141">
        <v>0</v>
      </c>
      <c r="X93" s="141">
        <v>0</v>
      </c>
    </row>
    <row r="94" spans="1:24" x14ac:dyDescent="0.3">
      <c r="A94" s="7"/>
      <c r="B94" s="7"/>
      <c r="C94" s="7"/>
      <c r="D94" s="7"/>
      <c r="E94" s="147" t="s">
        <v>161</v>
      </c>
      <c r="F94" s="38" t="s">
        <v>342</v>
      </c>
      <c r="G94" s="144">
        <f t="shared" si="5"/>
        <v>427.05367707264332</v>
      </c>
      <c r="H94" s="144">
        <f t="shared" si="6"/>
        <v>365.97012873513842</v>
      </c>
      <c r="I94" s="144">
        <f t="shared" si="7"/>
        <v>0</v>
      </c>
      <c r="J94" s="144">
        <f t="shared" si="8"/>
        <v>0</v>
      </c>
      <c r="K94" s="144">
        <f t="shared" si="9"/>
        <v>40.368258031742407</v>
      </c>
      <c r="L94" s="99" t="str">
        <f>VLOOKUP(E94,Mapping!$E$11:$G$204,3,0)</f>
        <v>Augmentation</v>
      </c>
      <c r="N94" s="228">
        <v>427.05367707264332</v>
      </c>
      <c r="O94" s="228">
        <v>365.97012873513842</v>
      </c>
      <c r="P94" s="228">
        <v>0</v>
      </c>
      <c r="Q94" s="228">
        <v>0</v>
      </c>
      <c r="R94" s="228">
        <v>40.368258031742407</v>
      </c>
      <c r="T94" s="141">
        <v>0</v>
      </c>
      <c r="U94" s="141">
        <v>0</v>
      </c>
      <c r="V94" s="141">
        <v>0</v>
      </c>
      <c r="W94" s="141">
        <v>0</v>
      </c>
      <c r="X94" s="141">
        <v>0</v>
      </c>
    </row>
    <row r="95" spans="1:24" x14ac:dyDescent="0.3">
      <c r="A95" s="7"/>
      <c r="B95" s="7"/>
      <c r="C95" s="7"/>
      <c r="D95" s="7"/>
      <c r="E95" s="147" t="s">
        <v>162</v>
      </c>
      <c r="F95" s="38" t="s">
        <v>343</v>
      </c>
      <c r="G95" s="144">
        <f t="shared" si="5"/>
        <v>5647.9886714763115</v>
      </c>
      <c r="H95" s="144">
        <f t="shared" si="6"/>
        <v>5204.8703004224217</v>
      </c>
      <c r="I95" s="144">
        <f t="shared" si="7"/>
        <v>4093.1124321118764</v>
      </c>
      <c r="J95" s="144">
        <f t="shared" si="8"/>
        <v>6175.8871709038449</v>
      </c>
      <c r="K95" s="144">
        <f t="shared" si="9"/>
        <v>5016.4677952433158</v>
      </c>
      <c r="L95" s="99" t="str">
        <f>VLOOKUP(E95,Mapping!$E$11:$G$204,3,0)</f>
        <v>Replacement</v>
      </c>
      <c r="N95" s="141">
        <v>0</v>
      </c>
      <c r="O95" s="141">
        <v>0</v>
      </c>
      <c r="P95" s="141">
        <v>0</v>
      </c>
      <c r="Q95" s="141">
        <v>0</v>
      </c>
      <c r="R95" s="141">
        <v>0</v>
      </c>
      <c r="T95" s="228">
        <v>5647.9886714763115</v>
      </c>
      <c r="U95" s="228">
        <v>5204.8703004224217</v>
      </c>
      <c r="V95" s="228">
        <v>4093.1124321118764</v>
      </c>
      <c r="W95" s="228">
        <v>6175.8871709038449</v>
      </c>
      <c r="X95" s="228">
        <v>5016.4677952433158</v>
      </c>
    </row>
    <row r="96" spans="1:24" x14ac:dyDescent="0.3">
      <c r="A96" s="7"/>
      <c r="B96" s="7"/>
      <c r="C96" s="7"/>
      <c r="D96" s="7"/>
      <c r="E96" s="147" t="s">
        <v>163</v>
      </c>
      <c r="F96" s="38" t="s">
        <v>344</v>
      </c>
      <c r="G96" s="144">
        <f t="shared" si="5"/>
        <v>695.96271403418507</v>
      </c>
      <c r="H96" s="144">
        <f t="shared" si="6"/>
        <v>695.96271403418507</v>
      </c>
      <c r="I96" s="144">
        <f t="shared" si="7"/>
        <v>695.96271403418507</v>
      </c>
      <c r="J96" s="144">
        <f t="shared" si="8"/>
        <v>695.96271403418507</v>
      </c>
      <c r="K96" s="144">
        <f t="shared" si="9"/>
        <v>695.96271403418507</v>
      </c>
      <c r="L96" s="99" t="str">
        <f>VLOOKUP(E96,Mapping!$E$11:$G$204,3,0)</f>
        <v>Replacement</v>
      </c>
      <c r="N96" s="141">
        <v>0</v>
      </c>
      <c r="O96" s="141">
        <v>0</v>
      </c>
      <c r="P96" s="141">
        <v>0</v>
      </c>
      <c r="Q96" s="141">
        <v>0</v>
      </c>
      <c r="R96" s="141">
        <v>0</v>
      </c>
      <c r="T96" s="141">
        <v>695.96271403418507</v>
      </c>
      <c r="U96" s="141">
        <v>695.96271403418507</v>
      </c>
      <c r="V96" s="141">
        <v>695.96271403418507</v>
      </c>
      <c r="W96" s="141">
        <v>695.96271403418507</v>
      </c>
      <c r="X96" s="141">
        <v>695.96271403418507</v>
      </c>
    </row>
    <row r="97" spans="1:26" x14ac:dyDescent="0.3">
      <c r="A97" s="7"/>
      <c r="B97" s="7"/>
      <c r="C97" s="7"/>
      <c r="D97" s="7"/>
      <c r="E97" s="147" t="s">
        <v>164</v>
      </c>
      <c r="F97" s="38" t="s">
        <v>345</v>
      </c>
      <c r="G97" s="144">
        <f t="shared" si="5"/>
        <v>388.44438389638856</v>
      </c>
      <c r="H97" s="144">
        <f t="shared" si="6"/>
        <v>388.44438389638856</v>
      </c>
      <c r="I97" s="144">
        <f t="shared" si="7"/>
        <v>388.44438389638856</v>
      </c>
      <c r="J97" s="144">
        <f t="shared" si="8"/>
        <v>388.44438389638856</v>
      </c>
      <c r="K97" s="144">
        <f t="shared" si="9"/>
        <v>388.44438389638856</v>
      </c>
      <c r="L97" s="99" t="str">
        <f>VLOOKUP(E97,Mapping!$E$11:$G$204,3,0)</f>
        <v>Replacement</v>
      </c>
      <c r="N97" s="141">
        <v>0</v>
      </c>
      <c r="O97" s="141">
        <v>0</v>
      </c>
      <c r="P97" s="141">
        <v>0</v>
      </c>
      <c r="Q97" s="141">
        <v>0</v>
      </c>
      <c r="R97" s="141">
        <v>0</v>
      </c>
      <c r="T97" s="141">
        <v>388.44438389638856</v>
      </c>
      <c r="U97" s="141">
        <v>388.44438389638856</v>
      </c>
      <c r="V97" s="141">
        <v>388.44438389638856</v>
      </c>
      <c r="W97" s="141">
        <v>388.44438389638856</v>
      </c>
      <c r="X97" s="141">
        <v>388.44438389638856</v>
      </c>
    </row>
    <row r="98" spans="1:26" x14ac:dyDescent="0.3">
      <c r="A98" s="7"/>
      <c r="B98" s="7"/>
      <c r="C98" s="7"/>
      <c r="D98" s="7"/>
      <c r="E98" s="147" t="s">
        <v>165</v>
      </c>
      <c r="F98" s="38" t="s">
        <v>346</v>
      </c>
      <c r="G98" s="144">
        <f t="shared" si="5"/>
        <v>547.03449819346088</v>
      </c>
      <c r="H98" s="144">
        <f t="shared" si="6"/>
        <v>547.03449819346088</v>
      </c>
      <c r="I98" s="144">
        <f t="shared" si="7"/>
        <v>547.03449819346088</v>
      </c>
      <c r="J98" s="144">
        <f t="shared" si="8"/>
        <v>547.03449819346088</v>
      </c>
      <c r="K98" s="144">
        <f t="shared" si="9"/>
        <v>547.03449819346088</v>
      </c>
      <c r="L98" s="99" t="str">
        <f>VLOOKUP(E98,Mapping!$E$11:$G$204,3,0)</f>
        <v>Replacement</v>
      </c>
      <c r="M98" s="233"/>
      <c r="N98" s="141">
        <v>0</v>
      </c>
      <c r="O98" s="141">
        <v>0</v>
      </c>
      <c r="P98" s="141">
        <v>0</v>
      </c>
      <c r="Q98" s="141">
        <v>0</v>
      </c>
      <c r="R98" s="141">
        <v>0</v>
      </c>
      <c r="S98" s="233"/>
      <c r="T98" s="141">
        <v>547.03449819346088</v>
      </c>
      <c r="U98" s="141">
        <v>547.03449819346088</v>
      </c>
      <c r="V98" s="141">
        <v>547.03449819346088</v>
      </c>
      <c r="W98" s="141">
        <v>547.03449819346088</v>
      </c>
      <c r="X98" s="141">
        <v>547.03449819346088</v>
      </c>
      <c r="Y98" s="233"/>
      <c r="Z98" s="235"/>
    </row>
    <row r="99" spans="1:26" x14ac:dyDescent="0.3">
      <c r="A99" s="7"/>
      <c r="B99" s="7"/>
      <c r="C99" s="7"/>
      <c r="D99" s="7"/>
      <c r="E99" s="147" t="s">
        <v>166</v>
      </c>
      <c r="F99" s="38" t="s">
        <v>347</v>
      </c>
      <c r="G99" s="144">
        <f t="shared" si="5"/>
        <v>1679.0950703842136</v>
      </c>
      <c r="H99" s="144">
        <f t="shared" si="6"/>
        <v>1679.0950703842136</v>
      </c>
      <c r="I99" s="144">
        <f t="shared" si="7"/>
        <v>1679.0950703842136</v>
      </c>
      <c r="J99" s="144">
        <f t="shared" si="8"/>
        <v>1679.0950703842136</v>
      </c>
      <c r="K99" s="144">
        <f t="shared" si="9"/>
        <v>1679.0950703842136</v>
      </c>
      <c r="L99" s="99" t="str">
        <f>VLOOKUP(E99,Mapping!$E$11:$G$204,3,0)</f>
        <v>Replacement</v>
      </c>
      <c r="N99" s="141">
        <v>0</v>
      </c>
      <c r="O99" s="141">
        <v>0</v>
      </c>
      <c r="P99" s="141">
        <v>0</v>
      </c>
      <c r="Q99" s="141">
        <v>0</v>
      </c>
      <c r="R99" s="141">
        <v>0</v>
      </c>
      <c r="T99" s="141">
        <v>1679.0950703842136</v>
      </c>
      <c r="U99" s="141">
        <v>1679.0950703842136</v>
      </c>
      <c r="V99" s="141">
        <v>1679.0950703842136</v>
      </c>
      <c r="W99" s="141">
        <v>1679.0950703842136</v>
      </c>
      <c r="X99" s="141">
        <v>1679.0950703842136</v>
      </c>
    </row>
    <row r="100" spans="1:26" x14ac:dyDescent="0.3">
      <c r="A100" s="7"/>
      <c r="B100" s="7"/>
      <c r="C100" s="7"/>
      <c r="D100" s="7"/>
      <c r="E100" s="147" t="s">
        <v>167</v>
      </c>
      <c r="F100" s="38" t="s">
        <v>348</v>
      </c>
      <c r="G100" s="144">
        <f t="shared" si="5"/>
        <v>369.58845445972554</v>
      </c>
      <c r="H100" s="144">
        <f t="shared" si="6"/>
        <v>369.58845445972554</v>
      </c>
      <c r="I100" s="144">
        <f t="shared" si="7"/>
        <v>369.58845445972554</v>
      </c>
      <c r="J100" s="144">
        <f t="shared" si="8"/>
        <v>369.58845445972554</v>
      </c>
      <c r="K100" s="144">
        <f t="shared" si="9"/>
        <v>369.58845445972554</v>
      </c>
      <c r="L100" s="99" t="str">
        <f>VLOOKUP(E100,Mapping!$E$11:$G$204,3,0)</f>
        <v>Replacement</v>
      </c>
      <c r="N100" s="141">
        <v>0</v>
      </c>
      <c r="O100" s="141">
        <v>0</v>
      </c>
      <c r="P100" s="141">
        <v>0</v>
      </c>
      <c r="Q100" s="141">
        <v>0</v>
      </c>
      <c r="R100" s="141">
        <v>0</v>
      </c>
      <c r="T100" s="141">
        <v>369.58845445972554</v>
      </c>
      <c r="U100" s="141">
        <v>369.58845445972554</v>
      </c>
      <c r="V100" s="141">
        <v>369.58845445972554</v>
      </c>
      <c r="W100" s="141">
        <v>369.58845445972554</v>
      </c>
      <c r="X100" s="141">
        <v>369.58845445972554</v>
      </c>
    </row>
    <row r="101" spans="1:26" x14ac:dyDescent="0.3">
      <c r="A101" s="7"/>
      <c r="B101" s="7"/>
      <c r="C101" s="7"/>
      <c r="D101" s="7"/>
      <c r="E101" s="147" t="s">
        <v>168</v>
      </c>
      <c r="F101" s="38" t="s">
        <v>349</v>
      </c>
      <c r="G101" s="144">
        <f t="shared" si="5"/>
        <v>1479.4038168831194</v>
      </c>
      <c r="H101" s="144">
        <f t="shared" si="6"/>
        <v>1479.4038168831194</v>
      </c>
      <c r="I101" s="144">
        <f t="shared" si="7"/>
        <v>1479.4038168831194</v>
      </c>
      <c r="J101" s="144">
        <f t="shared" si="8"/>
        <v>1479.4038168831194</v>
      </c>
      <c r="K101" s="144">
        <f t="shared" si="9"/>
        <v>1479.4038168831194</v>
      </c>
      <c r="L101" s="99" t="str">
        <f>VLOOKUP(E101,Mapping!$E$11:$G$204,3,0)</f>
        <v>Replacement</v>
      </c>
      <c r="N101" s="141">
        <v>0</v>
      </c>
      <c r="O101" s="141">
        <v>0</v>
      </c>
      <c r="P101" s="141">
        <v>0</v>
      </c>
      <c r="Q101" s="141">
        <v>0</v>
      </c>
      <c r="R101" s="141">
        <v>0</v>
      </c>
      <c r="T101" s="141">
        <v>1479.4038168831194</v>
      </c>
      <c r="U101" s="141">
        <v>1479.4038168831194</v>
      </c>
      <c r="V101" s="141">
        <v>1479.4038168831194</v>
      </c>
      <c r="W101" s="141">
        <v>1479.4038168831194</v>
      </c>
      <c r="X101" s="141">
        <v>1479.4038168831194</v>
      </c>
    </row>
    <row r="102" spans="1:26" x14ac:dyDescent="0.3">
      <c r="A102" s="7"/>
      <c r="B102" s="7"/>
      <c r="C102" s="7"/>
      <c r="D102" s="7"/>
      <c r="E102" s="147" t="s">
        <v>169</v>
      </c>
      <c r="F102" s="38" t="s">
        <v>350</v>
      </c>
      <c r="G102" s="144">
        <f t="shared" si="5"/>
        <v>120.31680634935391</v>
      </c>
      <c r="H102" s="144">
        <f t="shared" si="6"/>
        <v>120.31680634935391</v>
      </c>
      <c r="I102" s="144">
        <f t="shared" si="7"/>
        <v>120.31680634935391</v>
      </c>
      <c r="J102" s="144">
        <f t="shared" si="8"/>
        <v>120.31680634935391</v>
      </c>
      <c r="K102" s="144">
        <f t="shared" si="9"/>
        <v>120.31680634935391</v>
      </c>
      <c r="L102" s="99" t="str">
        <f>VLOOKUP(E102,Mapping!$E$11:$G$204,3,0)</f>
        <v>Replacement</v>
      </c>
      <c r="N102" s="141">
        <v>0</v>
      </c>
      <c r="O102" s="141">
        <v>0</v>
      </c>
      <c r="P102" s="141">
        <v>0</v>
      </c>
      <c r="Q102" s="141">
        <v>0</v>
      </c>
      <c r="R102" s="141">
        <v>0</v>
      </c>
      <c r="T102" s="141">
        <v>120.31680634935391</v>
      </c>
      <c r="U102" s="141">
        <v>120.31680634935391</v>
      </c>
      <c r="V102" s="141">
        <v>120.31680634935391</v>
      </c>
      <c r="W102" s="141">
        <v>120.31680634935391</v>
      </c>
      <c r="X102" s="141">
        <v>120.31680634935391</v>
      </c>
    </row>
    <row r="103" spans="1:26" x14ac:dyDescent="0.3">
      <c r="A103" s="7"/>
      <c r="B103" s="7"/>
      <c r="C103" s="7"/>
      <c r="D103" s="7"/>
      <c r="E103" s="147" t="s">
        <v>170</v>
      </c>
      <c r="F103" s="38" t="s">
        <v>351</v>
      </c>
      <c r="G103" s="144">
        <f t="shared" si="5"/>
        <v>0</v>
      </c>
      <c r="H103" s="144">
        <f t="shared" si="6"/>
        <v>0</v>
      </c>
      <c r="I103" s="144">
        <f t="shared" si="7"/>
        <v>0</v>
      </c>
      <c r="J103" s="144">
        <f t="shared" si="8"/>
        <v>0</v>
      </c>
      <c r="K103" s="144">
        <f t="shared" si="9"/>
        <v>0</v>
      </c>
      <c r="L103" s="99" t="str">
        <f>VLOOKUP(E103,Mapping!$E$11:$G$204,3,0)</f>
        <v>Replacement</v>
      </c>
      <c r="N103" s="141">
        <v>0</v>
      </c>
      <c r="O103" s="141">
        <v>0</v>
      </c>
      <c r="P103" s="141">
        <v>0</v>
      </c>
      <c r="Q103" s="141">
        <v>0</v>
      </c>
      <c r="R103" s="141">
        <v>0</v>
      </c>
      <c r="T103" s="141">
        <v>0</v>
      </c>
      <c r="U103" s="141">
        <v>0</v>
      </c>
      <c r="V103" s="141">
        <v>0</v>
      </c>
      <c r="W103" s="141">
        <v>0</v>
      </c>
      <c r="X103" s="141">
        <v>0</v>
      </c>
    </row>
    <row r="104" spans="1:26" x14ac:dyDescent="0.3">
      <c r="A104" s="7"/>
      <c r="B104" s="7"/>
      <c r="C104" s="7"/>
      <c r="D104" s="7"/>
      <c r="E104" s="147" t="s">
        <v>171</v>
      </c>
      <c r="F104" s="38" t="s">
        <v>352</v>
      </c>
      <c r="G104" s="144">
        <f t="shared" si="5"/>
        <v>1240.7604235500987</v>
      </c>
      <c r="H104" s="144">
        <f t="shared" si="6"/>
        <v>1240.7604235500987</v>
      </c>
      <c r="I104" s="144">
        <f t="shared" si="7"/>
        <v>1240.7604235500987</v>
      </c>
      <c r="J104" s="144">
        <f t="shared" si="8"/>
        <v>1240.7604235500987</v>
      </c>
      <c r="K104" s="144">
        <f t="shared" si="9"/>
        <v>1240.7604235500987</v>
      </c>
      <c r="L104" s="99" t="str">
        <f>VLOOKUP(E104,Mapping!$E$11:$G$204,3,0)</f>
        <v>Replacement</v>
      </c>
      <c r="N104" s="141">
        <v>0</v>
      </c>
      <c r="O104" s="141">
        <v>0</v>
      </c>
      <c r="P104" s="141">
        <v>0</v>
      </c>
      <c r="Q104" s="141">
        <v>0</v>
      </c>
      <c r="R104" s="141">
        <v>0</v>
      </c>
      <c r="T104" s="141">
        <v>1240.7604235500987</v>
      </c>
      <c r="U104" s="141">
        <v>1240.7604235500987</v>
      </c>
      <c r="V104" s="141">
        <v>1240.7604235500987</v>
      </c>
      <c r="W104" s="141">
        <v>1240.7604235500987</v>
      </c>
      <c r="X104" s="141">
        <v>1240.7604235500987</v>
      </c>
    </row>
    <row r="105" spans="1:26" x14ac:dyDescent="0.3">
      <c r="A105" s="7"/>
      <c r="B105" s="7"/>
      <c r="C105" s="7"/>
      <c r="D105" s="7"/>
      <c r="E105" s="147" t="s">
        <v>172</v>
      </c>
      <c r="F105" s="38" t="s">
        <v>353</v>
      </c>
      <c r="G105" s="144">
        <f t="shared" si="5"/>
        <v>1262.2969886019951</v>
      </c>
      <c r="H105" s="144">
        <f t="shared" si="6"/>
        <v>1262.2969886019951</v>
      </c>
      <c r="I105" s="144">
        <f t="shared" si="7"/>
        <v>1262.2969886019951</v>
      </c>
      <c r="J105" s="144">
        <f t="shared" si="8"/>
        <v>1262.2969886019951</v>
      </c>
      <c r="K105" s="144">
        <f t="shared" si="9"/>
        <v>1262.2969886019951</v>
      </c>
      <c r="L105" s="99" t="str">
        <f>VLOOKUP(E105,Mapping!$E$11:$G$204,3,0)</f>
        <v>Replacement</v>
      </c>
      <c r="N105" s="141">
        <v>0</v>
      </c>
      <c r="O105" s="141">
        <v>0</v>
      </c>
      <c r="P105" s="141">
        <v>0</v>
      </c>
      <c r="Q105" s="141">
        <v>0</v>
      </c>
      <c r="R105" s="141">
        <v>0</v>
      </c>
      <c r="T105" s="141">
        <v>1262.2969886019951</v>
      </c>
      <c r="U105" s="141">
        <v>1262.2969886019951</v>
      </c>
      <c r="V105" s="141">
        <v>1262.2969886019951</v>
      </c>
      <c r="W105" s="141">
        <v>1262.2969886019951</v>
      </c>
      <c r="X105" s="141">
        <v>1262.2969886019951</v>
      </c>
    </row>
    <row r="106" spans="1:26" x14ac:dyDescent="0.3">
      <c r="A106" s="7"/>
      <c r="B106" s="7"/>
      <c r="C106" s="7"/>
      <c r="D106" s="7"/>
      <c r="E106" s="147" t="s">
        <v>173</v>
      </c>
      <c r="F106" s="38" t="s">
        <v>354</v>
      </c>
      <c r="G106" s="144">
        <f t="shared" si="5"/>
        <v>5.9490433246689616</v>
      </c>
      <c r="H106" s="144">
        <f t="shared" si="6"/>
        <v>5.9490433246689616</v>
      </c>
      <c r="I106" s="144">
        <f t="shared" si="7"/>
        <v>5.9490433246689616</v>
      </c>
      <c r="J106" s="144">
        <f t="shared" si="8"/>
        <v>5.9490433246689616</v>
      </c>
      <c r="K106" s="144">
        <f t="shared" si="9"/>
        <v>5.9490433246689616</v>
      </c>
      <c r="L106" s="99" t="str">
        <f>VLOOKUP(E106,Mapping!$E$11:$G$204,3,0)</f>
        <v>Replacement</v>
      </c>
      <c r="N106" s="141">
        <v>0</v>
      </c>
      <c r="O106" s="141">
        <v>0</v>
      </c>
      <c r="P106" s="141">
        <v>0</v>
      </c>
      <c r="Q106" s="141">
        <v>0</v>
      </c>
      <c r="R106" s="141">
        <v>0</v>
      </c>
      <c r="T106" s="141">
        <v>5.9490433246689616</v>
      </c>
      <c r="U106" s="141">
        <v>5.9490433246689616</v>
      </c>
      <c r="V106" s="141">
        <v>5.9490433246689616</v>
      </c>
      <c r="W106" s="141">
        <v>5.9490433246689616</v>
      </c>
      <c r="X106" s="141">
        <v>5.9490433246689616</v>
      </c>
    </row>
    <row r="107" spans="1:26" x14ac:dyDescent="0.3">
      <c r="A107" s="7"/>
      <c r="B107" s="7"/>
      <c r="C107" s="7"/>
      <c r="D107" s="7"/>
      <c r="E107" s="147" t="s">
        <v>174</v>
      </c>
      <c r="F107" s="38" t="s">
        <v>355</v>
      </c>
      <c r="G107" s="144">
        <f t="shared" si="5"/>
        <v>0</v>
      </c>
      <c r="H107" s="144">
        <f t="shared" si="6"/>
        <v>0</v>
      </c>
      <c r="I107" s="144">
        <f t="shared" si="7"/>
        <v>0</v>
      </c>
      <c r="J107" s="144">
        <f t="shared" si="8"/>
        <v>0</v>
      </c>
      <c r="K107" s="144">
        <f t="shared" si="9"/>
        <v>0</v>
      </c>
      <c r="L107" s="99" t="str">
        <f>VLOOKUP(E107,Mapping!$E$11:$G$204,3,0)</f>
        <v>Replacement</v>
      </c>
      <c r="N107" s="141">
        <v>0</v>
      </c>
      <c r="O107" s="141">
        <v>0</v>
      </c>
      <c r="P107" s="141">
        <v>0</v>
      </c>
      <c r="Q107" s="141">
        <v>0</v>
      </c>
      <c r="R107" s="141">
        <v>0</v>
      </c>
      <c r="T107" s="141">
        <v>0</v>
      </c>
      <c r="U107" s="141">
        <v>0</v>
      </c>
      <c r="V107" s="141">
        <v>0</v>
      </c>
      <c r="W107" s="141">
        <v>0</v>
      </c>
      <c r="X107" s="141">
        <v>0</v>
      </c>
    </row>
    <row r="108" spans="1:26" x14ac:dyDescent="0.3">
      <c r="A108" s="7"/>
      <c r="B108" s="7"/>
      <c r="C108" s="7"/>
      <c r="D108" s="7"/>
      <c r="E108" s="147" t="s">
        <v>175</v>
      </c>
      <c r="F108" s="38" t="s">
        <v>356</v>
      </c>
      <c r="G108" s="144">
        <f t="shared" si="5"/>
        <v>0.28694145298100282</v>
      </c>
      <c r="H108" s="144">
        <f t="shared" si="6"/>
        <v>0.28694145298100282</v>
      </c>
      <c r="I108" s="144">
        <f t="shared" si="7"/>
        <v>0.28694145298100282</v>
      </c>
      <c r="J108" s="144">
        <f t="shared" si="8"/>
        <v>0.28694145298100282</v>
      </c>
      <c r="K108" s="144">
        <f t="shared" si="9"/>
        <v>0.28694145298100282</v>
      </c>
      <c r="L108" s="99" t="str">
        <f>VLOOKUP(E108,Mapping!$E$11:$G$204,3,0)</f>
        <v>Replacement</v>
      </c>
      <c r="N108" s="141">
        <v>0</v>
      </c>
      <c r="O108" s="141">
        <v>0</v>
      </c>
      <c r="P108" s="141">
        <v>0</v>
      </c>
      <c r="Q108" s="141">
        <v>0</v>
      </c>
      <c r="R108" s="141">
        <v>0</v>
      </c>
      <c r="T108" s="141">
        <v>0.28694145298100282</v>
      </c>
      <c r="U108" s="141">
        <v>0.28694145298100282</v>
      </c>
      <c r="V108" s="141">
        <v>0.28694145298100282</v>
      </c>
      <c r="W108" s="141">
        <v>0.28694145298100282</v>
      </c>
      <c r="X108" s="141">
        <v>0.28694145298100282</v>
      </c>
    </row>
    <row r="109" spans="1:26" x14ac:dyDescent="0.3">
      <c r="A109" s="7"/>
      <c r="B109" s="7"/>
      <c r="C109" s="7"/>
      <c r="D109" s="7"/>
      <c r="E109" s="147" t="s">
        <v>176</v>
      </c>
      <c r="F109" s="38" t="s">
        <v>357</v>
      </c>
      <c r="G109" s="144">
        <f t="shared" si="5"/>
        <v>0</v>
      </c>
      <c r="H109" s="144">
        <f t="shared" si="6"/>
        <v>0</v>
      </c>
      <c r="I109" s="144">
        <f t="shared" si="7"/>
        <v>0</v>
      </c>
      <c r="J109" s="144">
        <f t="shared" si="8"/>
        <v>0</v>
      </c>
      <c r="K109" s="144">
        <f t="shared" si="9"/>
        <v>0</v>
      </c>
      <c r="L109" s="99" t="str">
        <f>VLOOKUP(E109,Mapping!$E$11:$G$204,3,0)</f>
        <v>Replacement</v>
      </c>
      <c r="N109" s="141">
        <v>0</v>
      </c>
      <c r="O109" s="141">
        <v>0</v>
      </c>
      <c r="P109" s="141">
        <v>0</v>
      </c>
      <c r="Q109" s="141">
        <v>0</v>
      </c>
      <c r="R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</row>
    <row r="110" spans="1:26" x14ac:dyDescent="0.3">
      <c r="A110" s="7"/>
      <c r="B110" s="7"/>
      <c r="C110" s="7"/>
      <c r="D110" s="7"/>
      <c r="E110" s="147" t="s">
        <v>177</v>
      </c>
      <c r="F110" s="38" t="s">
        <v>358</v>
      </c>
      <c r="G110" s="144">
        <f t="shared" si="5"/>
        <v>94.191555529927101</v>
      </c>
      <c r="H110" s="144">
        <f t="shared" si="6"/>
        <v>94.191555529927101</v>
      </c>
      <c r="I110" s="144">
        <f t="shared" si="7"/>
        <v>94.191555529927101</v>
      </c>
      <c r="J110" s="144">
        <f t="shared" si="8"/>
        <v>94.191555529927101</v>
      </c>
      <c r="K110" s="144">
        <f t="shared" si="9"/>
        <v>94.191555529927101</v>
      </c>
      <c r="L110" s="99" t="str">
        <f>VLOOKUP(E110,Mapping!$E$11:$G$204,3,0)</f>
        <v>Replacement</v>
      </c>
      <c r="N110" s="141">
        <v>0</v>
      </c>
      <c r="O110" s="141">
        <v>0</v>
      </c>
      <c r="P110" s="141">
        <v>0</v>
      </c>
      <c r="Q110" s="141">
        <v>0</v>
      </c>
      <c r="R110" s="141">
        <v>0</v>
      </c>
      <c r="T110" s="141">
        <v>94.191555529927101</v>
      </c>
      <c r="U110" s="141">
        <v>94.191555529927101</v>
      </c>
      <c r="V110" s="141">
        <v>94.191555529927101</v>
      </c>
      <c r="W110" s="141">
        <v>94.191555529927101</v>
      </c>
      <c r="X110" s="141">
        <v>94.191555529927101</v>
      </c>
    </row>
    <row r="111" spans="1:26" x14ac:dyDescent="0.3">
      <c r="A111" s="7"/>
      <c r="B111" s="7"/>
      <c r="C111" s="7"/>
      <c r="D111" s="7"/>
      <c r="E111" s="147" t="s">
        <v>178</v>
      </c>
      <c r="F111" s="38" t="s">
        <v>359</v>
      </c>
      <c r="G111" s="144">
        <f t="shared" si="5"/>
        <v>70.181033673573054</v>
      </c>
      <c r="H111" s="144">
        <f t="shared" si="6"/>
        <v>70.181033673573054</v>
      </c>
      <c r="I111" s="144">
        <f t="shared" si="7"/>
        <v>70.181033673573054</v>
      </c>
      <c r="J111" s="144">
        <f t="shared" si="8"/>
        <v>70.181033673573054</v>
      </c>
      <c r="K111" s="144">
        <f t="shared" si="9"/>
        <v>70.181033673573054</v>
      </c>
      <c r="L111" s="99" t="str">
        <f>VLOOKUP(E111,Mapping!$E$11:$G$204,3,0)</f>
        <v>Replacement</v>
      </c>
      <c r="N111" s="141">
        <v>0</v>
      </c>
      <c r="O111" s="141">
        <v>0</v>
      </c>
      <c r="P111" s="141">
        <v>0</v>
      </c>
      <c r="Q111" s="141">
        <v>0</v>
      </c>
      <c r="R111" s="141">
        <v>0</v>
      </c>
      <c r="T111" s="141">
        <v>70.181033673573054</v>
      </c>
      <c r="U111" s="141">
        <v>70.181033673573054</v>
      </c>
      <c r="V111" s="141">
        <v>70.181033673573054</v>
      </c>
      <c r="W111" s="141">
        <v>70.181033673573054</v>
      </c>
      <c r="X111" s="141">
        <v>70.181033673573054</v>
      </c>
    </row>
    <row r="112" spans="1:26" x14ac:dyDescent="0.3">
      <c r="A112" s="7"/>
      <c r="B112" s="7"/>
      <c r="C112" s="7"/>
      <c r="D112" s="7"/>
      <c r="E112" s="147" t="s">
        <v>179</v>
      </c>
      <c r="F112" s="38" t="s">
        <v>360</v>
      </c>
      <c r="G112" s="144">
        <f t="shared" si="5"/>
        <v>95.593301954228181</v>
      </c>
      <c r="H112" s="144">
        <f t="shared" si="6"/>
        <v>95.593301954228181</v>
      </c>
      <c r="I112" s="144">
        <f t="shared" si="7"/>
        <v>95.593301954228181</v>
      </c>
      <c r="J112" s="144">
        <f t="shared" si="8"/>
        <v>95.593301954228181</v>
      </c>
      <c r="K112" s="144">
        <f t="shared" si="9"/>
        <v>95.593301954228181</v>
      </c>
      <c r="L112" s="99" t="str">
        <f>VLOOKUP(E112,Mapping!$E$11:$G$204,3,0)</f>
        <v>Replacement</v>
      </c>
      <c r="N112" s="141">
        <v>0</v>
      </c>
      <c r="O112" s="141">
        <v>0</v>
      </c>
      <c r="P112" s="141">
        <v>0</v>
      </c>
      <c r="Q112" s="141">
        <v>0</v>
      </c>
      <c r="R112" s="141">
        <v>0</v>
      </c>
      <c r="T112" s="141">
        <v>95.593301954228181</v>
      </c>
      <c r="U112" s="141">
        <v>95.593301954228181</v>
      </c>
      <c r="V112" s="141">
        <v>95.593301954228181</v>
      </c>
      <c r="W112" s="141">
        <v>95.593301954228181</v>
      </c>
      <c r="X112" s="141">
        <v>95.593301954228181</v>
      </c>
    </row>
    <row r="113" spans="1:24" x14ac:dyDescent="0.3">
      <c r="A113" s="7"/>
      <c r="B113" s="7"/>
      <c r="C113" s="7"/>
      <c r="D113" s="7"/>
      <c r="E113" s="147" t="s">
        <v>180</v>
      </c>
      <c r="F113" s="38" t="s">
        <v>361</v>
      </c>
      <c r="G113" s="144">
        <f t="shared" si="5"/>
        <v>463.18343639250043</v>
      </c>
      <c r="H113" s="144">
        <f t="shared" si="6"/>
        <v>463.18343639250043</v>
      </c>
      <c r="I113" s="144">
        <f t="shared" si="7"/>
        <v>463.18343639250043</v>
      </c>
      <c r="J113" s="144">
        <f t="shared" si="8"/>
        <v>463.18343639250043</v>
      </c>
      <c r="K113" s="144">
        <f t="shared" si="9"/>
        <v>463.18343639250043</v>
      </c>
      <c r="L113" s="99" t="str">
        <f>VLOOKUP(E113,Mapping!$E$11:$G$204,3,0)</f>
        <v>Replacement</v>
      </c>
      <c r="N113" s="141">
        <v>0</v>
      </c>
      <c r="O113" s="141">
        <v>0</v>
      </c>
      <c r="P113" s="141">
        <v>0</v>
      </c>
      <c r="Q113" s="141">
        <v>0</v>
      </c>
      <c r="R113" s="141">
        <v>0</v>
      </c>
      <c r="T113" s="141">
        <v>463.18343639250043</v>
      </c>
      <c r="U113" s="141">
        <v>463.18343639250043</v>
      </c>
      <c r="V113" s="141">
        <v>463.18343639250043</v>
      </c>
      <c r="W113" s="141">
        <v>463.18343639250043</v>
      </c>
      <c r="X113" s="141">
        <v>463.18343639250043</v>
      </c>
    </row>
    <row r="114" spans="1:24" x14ac:dyDescent="0.3">
      <c r="A114" s="7"/>
      <c r="B114" s="7"/>
      <c r="C114" s="7"/>
      <c r="D114" s="7"/>
      <c r="E114" s="147" t="s">
        <v>181</v>
      </c>
      <c r="F114" s="38" t="s">
        <v>362</v>
      </c>
      <c r="G114" s="144">
        <f t="shared" si="5"/>
        <v>76.71089898256011</v>
      </c>
      <c r="H114" s="144">
        <f t="shared" si="6"/>
        <v>76.71089898256011</v>
      </c>
      <c r="I114" s="144">
        <f t="shared" si="7"/>
        <v>76.71089898256011</v>
      </c>
      <c r="J114" s="144">
        <f t="shared" si="8"/>
        <v>76.71089898256011</v>
      </c>
      <c r="K114" s="144">
        <f t="shared" si="9"/>
        <v>76.71089898256011</v>
      </c>
      <c r="L114" s="99" t="str">
        <f>VLOOKUP(E114,Mapping!$E$11:$G$204,3,0)</f>
        <v>Replacement</v>
      </c>
      <c r="N114" s="141">
        <v>0</v>
      </c>
      <c r="O114" s="141">
        <v>0</v>
      </c>
      <c r="P114" s="141">
        <v>0</v>
      </c>
      <c r="Q114" s="141">
        <v>0</v>
      </c>
      <c r="R114" s="141">
        <v>0</v>
      </c>
      <c r="T114" s="141">
        <v>76.71089898256011</v>
      </c>
      <c r="U114" s="141">
        <v>76.71089898256011</v>
      </c>
      <c r="V114" s="141">
        <v>76.71089898256011</v>
      </c>
      <c r="W114" s="141">
        <v>76.71089898256011</v>
      </c>
      <c r="X114" s="141">
        <v>76.71089898256011</v>
      </c>
    </row>
    <row r="115" spans="1:24" x14ac:dyDescent="0.3">
      <c r="A115" s="7"/>
      <c r="B115" s="7"/>
      <c r="C115" s="7"/>
      <c r="D115" s="7"/>
      <c r="E115" s="147" t="s">
        <v>182</v>
      </c>
      <c r="F115" s="38" t="s">
        <v>363</v>
      </c>
      <c r="G115" s="144">
        <f t="shared" si="5"/>
        <v>11.845118065426815</v>
      </c>
      <c r="H115" s="144">
        <f t="shared" si="6"/>
        <v>11.845118065426815</v>
      </c>
      <c r="I115" s="144">
        <f t="shared" si="7"/>
        <v>11.845118065426815</v>
      </c>
      <c r="J115" s="144">
        <f t="shared" si="8"/>
        <v>11.845118065426815</v>
      </c>
      <c r="K115" s="144">
        <f t="shared" si="9"/>
        <v>11.845118065426815</v>
      </c>
      <c r="L115" s="99" t="str">
        <f>VLOOKUP(E115,Mapping!$E$11:$G$204,3,0)</f>
        <v>Replacement</v>
      </c>
      <c r="N115" s="141">
        <v>0</v>
      </c>
      <c r="O115" s="141">
        <v>0</v>
      </c>
      <c r="P115" s="141">
        <v>0</v>
      </c>
      <c r="Q115" s="141">
        <v>0</v>
      </c>
      <c r="R115" s="141">
        <v>0</v>
      </c>
      <c r="T115" s="141">
        <v>11.845118065426815</v>
      </c>
      <c r="U115" s="141">
        <v>11.845118065426815</v>
      </c>
      <c r="V115" s="141">
        <v>11.845118065426815</v>
      </c>
      <c r="W115" s="141">
        <v>11.845118065426815</v>
      </c>
      <c r="X115" s="141">
        <v>11.845118065426815</v>
      </c>
    </row>
    <row r="116" spans="1:24" x14ac:dyDescent="0.3">
      <c r="A116" s="7"/>
      <c r="B116" s="7"/>
      <c r="C116" s="7"/>
      <c r="D116" s="7"/>
      <c r="E116" s="147" t="s">
        <v>183</v>
      </c>
      <c r="F116" s="38" t="s">
        <v>364</v>
      </c>
      <c r="G116" s="144">
        <f t="shared" si="5"/>
        <v>0</v>
      </c>
      <c r="H116" s="144">
        <f t="shared" si="6"/>
        <v>0</v>
      </c>
      <c r="I116" s="144">
        <f t="shared" si="7"/>
        <v>0</v>
      </c>
      <c r="J116" s="144">
        <f t="shared" si="8"/>
        <v>0</v>
      </c>
      <c r="K116" s="144">
        <f t="shared" si="9"/>
        <v>0</v>
      </c>
      <c r="L116" s="99" t="str">
        <f>VLOOKUP(E116,Mapping!$E$11:$G$204,3,0)</f>
        <v>Public Lighting</v>
      </c>
      <c r="N116" s="141">
        <v>0</v>
      </c>
      <c r="O116" s="141">
        <v>0</v>
      </c>
      <c r="P116" s="141">
        <v>0</v>
      </c>
      <c r="Q116" s="141">
        <v>0</v>
      </c>
      <c r="R116" s="141">
        <v>0</v>
      </c>
      <c r="T116" s="141">
        <v>0</v>
      </c>
      <c r="U116" s="141">
        <v>0</v>
      </c>
      <c r="V116" s="141">
        <v>0</v>
      </c>
      <c r="W116" s="141">
        <v>0</v>
      </c>
      <c r="X116" s="141">
        <v>0</v>
      </c>
    </row>
    <row r="117" spans="1:24" x14ac:dyDescent="0.3">
      <c r="A117" s="7"/>
      <c r="B117" s="7"/>
      <c r="C117" s="7"/>
      <c r="D117" s="7"/>
      <c r="E117" s="147" t="s">
        <v>184</v>
      </c>
      <c r="F117" s="38" t="s">
        <v>365</v>
      </c>
      <c r="G117" s="144">
        <f t="shared" si="5"/>
        <v>0</v>
      </c>
      <c r="H117" s="144">
        <f t="shared" si="6"/>
        <v>0</v>
      </c>
      <c r="I117" s="144">
        <f t="shared" si="7"/>
        <v>0</v>
      </c>
      <c r="J117" s="144">
        <f t="shared" si="8"/>
        <v>0</v>
      </c>
      <c r="K117" s="144">
        <f t="shared" si="9"/>
        <v>0</v>
      </c>
      <c r="L117" s="99" t="str">
        <f>VLOOKUP(E117,Mapping!$E$11:$G$204,3,0)</f>
        <v>Public Lighting</v>
      </c>
      <c r="N117" s="141">
        <v>0</v>
      </c>
      <c r="O117" s="141">
        <v>0</v>
      </c>
      <c r="P117" s="141">
        <v>0</v>
      </c>
      <c r="Q117" s="141">
        <v>0</v>
      </c>
      <c r="R117" s="141">
        <v>0</v>
      </c>
      <c r="T117" s="141">
        <v>0</v>
      </c>
      <c r="U117" s="141">
        <v>0</v>
      </c>
      <c r="V117" s="141">
        <v>0</v>
      </c>
      <c r="W117" s="141">
        <v>0</v>
      </c>
      <c r="X117" s="141">
        <v>0</v>
      </c>
    </row>
    <row r="118" spans="1:24" x14ac:dyDescent="0.3">
      <c r="A118" s="7"/>
      <c r="B118" s="7"/>
      <c r="C118" s="7"/>
      <c r="D118" s="7"/>
      <c r="E118" s="147" t="s">
        <v>185</v>
      </c>
      <c r="F118" s="38" t="s">
        <v>366</v>
      </c>
      <c r="G118" s="144">
        <f t="shared" si="5"/>
        <v>0</v>
      </c>
      <c r="H118" s="144">
        <f t="shared" si="6"/>
        <v>0</v>
      </c>
      <c r="I118" s="144">
        <f t="shared" si="7"/>
        <v>0</v>
      </c>
      <c r="J118" s="144">
        <f t="shared" si="8"/>
        <v>0</v>
      </c>
      <c r="K118" s="144">
        <f t="shared" si="9"/>
        <v>0</v>
      </c>
      <c r="L118" s="99" t="str">
        <f>VLOOKUP(E118,Mapping!$E$11:$G$204,3,0)</f>
        <v>Public Lighting</v>
      </c>
      <c r="N118" s="141">
        <v>0</v>
      </c>
      <c r="O118" s="141">
        <v>0</v>
      </c>
      <c r="P118" s="141">
        <v>0</v>
      </c>
      <c r="Q118" s="141">
        <v>0</v>
      </c>
      <c r="R118" s="141">
        <v>0</v>
      </c>
      <c r="T118" s="141">
        <v>0</v>
      </c>
      <c r="U118" s="141">
        <v>0</v>
      </c>
      <c r="V118" s="141">
        <v>0</v>
      </c>
      <c r="W118" s="141">
        <v>0</v>
      </c>
      <c r="X118" s="141">
        <v>0</v>
      </c>
    </row>
    <row r="119" spans="1:24" x14ac:dyDescent="0.3">
      <c r="A119" s="7"/>
      <c r="B119" s="7"/>
      <c r="C119" s="7"/>
      <c r="D119" s="7"/>
      <c r="E119" s="147" t="s">
        <v>186</v>
      </c>
      <c r="F119" s="38" t="s">
        <v>367</v>
      </c>
      <c r="G119" s="144">
        <f t="shared" si="5"/>
        <v>1329.0112289464375</v>
      </c>
      <c r="H119" s="144">
        <f t="shared" si="6"/>
        <v>1329.0112289464375</v>
      </c>
      <c r="I119" s="144">
        <f t="shared" si="7"/>
        <v>1329.0112289464375</v>
      </c>
      <c r="J119" s="144">
        <f t="shared" si="8"/>
        <v>1329.0112289464375</v>
      </c>
      <c r="K119" s="144">
        <f t="shared" si="9"/>
        <v>1329.0112289464375</v>
      </c>
      <c r="L119" s="99" t="str">
        <f>VLOOKUP(E119,Mapping!$E$11:$G$204,3,0)</f>
        <v>Replacement</v>
      </c>
      <c r="N119" s="141">
        <v>0</v>
      </c>
      <c r="O119" s="141">
        <v>0</v>
      </c>
      <c r="P119" s="141">
        <v>0</v>
      </c>
      <c r="Q119" s="141">
        <v>0</v>
      </c>
      <c r="R119" s="141">
        <v>0</v>
      </c>
      <c r="T119" s="141">
        <v>1329.0112289464375</v>
      </c>
      <c r="U119" s="141">
        <v>1329.0112289464375</v>
      </c>
      <c r="V119" s="141">
        <v>1329.0112289464375</v>
      </c>
      <c r="W119" s="141">
        <v>1329.0112289464375</v>
      </c>
      <c r="X119" s="141">
        <v>1329.0112289464375</v>
      </c>
    </row>
    <row r="120" spans="1:24" x14ac:dyDescent="0.3">
      <c r="A120" s="7"/>
      <c r="B120" s="7"/>
      <c r="C120" s="7"/>
      <c r="D120" s="7"/>
      <c r="E120" s="147" t="s">
        <v>187</v>
      </c>
      <c r="F120" s="38" t="s">
        <v>368</v>
      </c>
      <c r="G120" s="144">
        <f t="shared" si="5"/>
        <v>0</v>
      </c>
      <c r="H120" s="144">
        <f t="shared" si="6"/>
        <v>0</v>
      </c>
      <c r="I120" s="144">
        <f t="shared" si="7"/>
        <v>0</v>
      </c>
      <c r="J120" s="144">
        <f t="shared" si="8"/>
        <v>0</v>
      </c>
      <c r="K120" s="144">
        <f t="shared" si="9"/>
        <v>0</v>
      </c>
      <c r="L120" s="99" t="str">
        <f>VLOOKUP(E120,Mapping!$E$11:$G$204,3,0)</f>
        <v>Replacement</v>
      </c>
      <c r="N120" s="141">
        <v>0</v>
      </c>
      <c r="O120" s="141">
        <v>0</v>
      </c>
      <c r="P120" s="141">
        <v>0</v>
      </c>
      <c r="Q120" s="141">
        <v>0</v>
      </c>
      <c r="R120" s="141">
        <v>0</v>
      </c>
      <c r="T120" s="141">
        <v>0</v>
      </c>
      <c r="U120" s="141">
        <v>0</v>
      </c>
      <c r="V120" s="141">
        <v>0</v>
      </c>
      <c r="W120" s="141">
        <v>0</v>
      </c>
      <c r="X120" s="141">
        <v>0</v>
      </c>
    </row>
    <row r="121" spans="1:24" x14ac:dyDescent="0.3">
      <c r="A121" s="7"/>
      <c r="B121" s="7"/>
      <c r="C121" s="7"/>
      <c r="D121" s="7"/>
      <c r="E121" s="147" t="s">
        <v>188</v>
      </c>
      <c r="F121" s="38" t="s">
        <v>369</v>
      </c>
      <c r="G121" s="144">
        <f t="shared" si="5"/>
        <v>0</v>
      </c>
      <c r="H121" s="144">
        <f t="shared" si="6"/>
        <v>0</v>
      </c>
      <c r="I121" s="144">
        <f t="shared" si="7"/>
        <v>0</v>
      </c>
      <c r="J121" s="144">
        <f t="shared" si="8"/>
        <v>0</v>
      </c>
      <c r="K121" s="144">
        <f t="shared" si="9"/>
        <v>0</v>
      </c>
      <c r="L121" s="99" t="str">
        <f>VLOOKUP(E121,Mapping!$E$11:$G$204,3,0)</f>
        <v>Replacement</v>
      </c>
      <c r="N121" s="141">
        <v>0</v>
      </c>
      <c r="O121" s="141">
        <v>0</v>
      </c>
      <c r="P121" s="141">
        <v>0</v>
      </c>
      <c r="Q121" s="141">
        <v>0</v>
      </c>
      <c r="R121" s="141">
        <v>0</v>
      </c>
      <c r="T121" s="141">
        <v>0</v>
      </c>
      <c r="U121" s="141">
        <v>0</v>
      </c>
      <c r="V121" s="141">
        <v>0</v>
      </c>
      <c r="W121" s="141">
        <v>0</v>
      </c>
      <c r="X121" s="141">
        <v>0</v>
      </c>
    </row>
    <row r="122" spans="1:24" x14ac:dyDescent="0.3">
      <c r="A122" s="7"/>
      <c r="B122" s="7"/>
      <c r="C122" s="7"/>
      <c r="D122" s="7"/>
      <c r="E122" s="147" t="s">
        <v>189</v>
      </c>
      <c r="F122" s="38" t="s">
        <v>370</v>
      </c>
      <c r="G122" s="144">
        <f t="shared" si="5"/>
        <v>0</v>
      </c>
      <c r="H122" s="144">
        <f t="shared" si="6"/>
        <v>0</v>
      </c>
      <c r="I122" s="144">
        <f t="shared" si="7"/>
        <v>0</v>
      </c>
      <c r="J122" s="144">
        <f t="shared" si="8"/>
        <v>0</v>
      </c>
      <c r="K122" s="144">
        <f t="shared" si="9"/>
        <v>0</v>
      </c>
      <c r="L122" s="99" t="str">
        <f>VLOOKUP(E122,Mapping!$E$11:$G$204,3,0)</f>
        <v>Replacement</v>
      </c>
      <c r="N122" s="141">
        <v>0</v>
      </c>
      <c r="O122" s="141">
        <v>0</v>
      </c>
      <c r="P122" s="141">
        <v>0</v>
      </c>
      <c r="Q122" s="141">
        <v>0</v>
      </c>
      <c r="R122" s="141">
        <v>0</v>
      </c>
      <c r="T122" s="141">
        <v>0</v>
      </c>
      <c r="U122" s="141">
        <v>0</v>
      </c>
      <c r="V122" s="141">
        <v>0</v>
      </c>
      <c r="W122" s="141">
        <v>0</v>
      </c>
      <c r="X122" s="141">
        <v>0</v>
      </c>
    </row>
    <row r="123" spans="1:24" x14ac:dyDescent="0.3">
      <c r="A123" s="7"/>
      <c r="B123" s="7"/>
      <c r="C123" s="7"/>
      <c r="D123" s="7"/>
      <c r="E123" s="147" t="s">
        <v>190</v>
      </c>
      <c r="F123" s="38" t="s">
        <v>371</v>
      </c>
      <c r="G123" s="144">
        <f t="shared" si="5"/>
        <v>2193.5282397646829</v>
      </c>
      <c r="H123" s="144">
        <f t="shared" si="6"/>
        <v>2193.5282397646829</v>
      </c>
      <c r="I123" s="144">
        <f t="shared" si="7"/>
        <v>2193.5282397646829</v>
      </c>
      <c r="J123" s="144">
        <f t="shared" si="8"/>
        <v>2193.5282397646829</v>
      </c>
      <c r="K123" s="144">
        <f t="shared" si="9"/>
        <v>2193.5282397646829</v>
      </c>
      <c r="L123" s="99" t="str">
        <f>VLOOKUP(E123,Mapping!$E$11:$G$204,3,0)</f>
        <v>Replacement</v>
      </c>
      <c r="N123" s="141">
        <v>0</v>
      </c>
      <c r="O123" s="141">
        <v>0</v>
      </c>
      <c r="P123" s="141">
        <v>0</v>
      </c>
      <c r="Q123" s="141">
        <v>0</v>
      </c>
      <c r="R123" s="141">
        <v>0</v>
      </c>
      <c r="T123" s="228">
        <v>2193.5282397646829</v>
      </c>
      <c r="U123" s="228">
        <v>2193.5282397646829</v>
      </c>
      <c r="V123" s="228">
        <v>2193.5282397646829</v>
      </c>
      <c r="W123" s="228">
        <v>2193.5282397646829</v>
      </c>
      <c r="X123" s="228">
        <v>2193.5282397646829</v>
      </c>
    </row>
    <row r="124" spans="1:24" x14ac:dyDescent="0.3">
      <c r="A124" s="7"/>
      <c r="B124" s="7"/>
      <c r="C124" s="7"/>
      <c r="D124" s="7"/>
      <c r="E124" s="147" t="s">
        <v>191</v>
      </c>
      <c r="F124" s="38" t="s">
        <v>372</v>
      </c>
      <c r="G124" s="144">
        <f t="shared" si="5"/>
        <v>31.960331345532516</v>
      </c>
      <c r="H124" s="144">
        <f t="shared" si="6"/>
        <v>31.960331345532516</v>
      </c>
      <c r="I124" s="144">
        <f t="shared" si="7"/>
        <v>31.960331345532516</v>
      </c>
      <c r="J124" s="144">
        <f t="shared" si="8"/>
        <v>31.960331345532516</v>
      </c>
      <c r="K124" s="144">
        <f t="shared" si="9"/>
        <v>31.960331345532516</v>
      </c>
      <c r="L124" s="99" t="str">
        <f>VLOOKUP(E124,Mapping!$E$11:$G$204,3,0)</f>
        <v>Replacement</v>
      </c>
      <c r="N124" s="141">
        <v>0</v>
      </c>
      <c r="O124" s="141">
        <v>0</v>
      </c>
      <c r="P124" s="141">
        <v>0</v>
      </c>
      <c r="Q124" s="141">
        <v>0</v>
      </c>
      <c r="R124" s="141">
        <v>0</v>
      </c>
      <c r="T124" s="141">
        <v>31.960331345532516</v>
      </c>
      <c r="U124" s="141">
        <v>31.960331345532516</v>
      </c>
      <c r="V124" s="141">
        <v>31.960331345532516</v>
      </c>
      <c r="W124" s="141">
        <v>31.960331345532516</v>
      </c>
      <c r="X124" s="141">
        <v>31.960331345532516</v>
      </c>
    </row>
    <row r="125" spans="1:24" x14ac:dyDescent="0.3">
      <c r="A125" s="7"/>
      <c r="B125" s="7"/>
      <c r="C125" s="7"/>
      <c r="D125" s="7"/>
      <c r="E125" s="147" t="s">
        <v>192</v>
      </c>
      <c r="F125" s="38" t="s">
        <v>373</v>
      </c>
      <c r="G125" s="144">
        <f t="shared" si="5"/>
        <v>593.75065866957709</v>
      </c>
      <c r="H125" s="144">
        <f t="shared" si="6"/>
        <v>593.75065866957709</v>
      </c>
      <c r="I125" s="144">
        <f t="shared" si="7"/>
        <v>593.75065866957709</v>
      </c>
      <c r="J125" s="144">
        <f t="shared" si="8"/>
        <v>593.75065866957709</v>
      </c>
      <c r="K125" s="144">
        <f t="shared" si="9"/>
        <v>337.15843156343919</v>
      </c>
      <c r="L125" s="152" t="s">
        <v>29</v>
      </c>
      <c r="N125" s="141">
        <v>0</v>
      </c>
      <c r="O125" s="141">
        <v>0</v>
      </c>
      <c r="P125" s="141">
        <v>0</v>
      </c>
      <c r="Q125" s="141">
        <v>0</v>
      </c>
      <c r="R125" s="141">
        <v>0</v>
      </c>
      <c r="T125" s="228">
        <v>593.75065866957709</v>
      </c>
      <c r="U125" s="228">
        <v>593.75065866957709</v>
      </c>
      <c r="V125" s="228">
        <v>593.75065866957709</v>
      </c>
      <c r="W125" s="228">
        <v>593.75065866957709</v>
      </c>
      <c r="X125" s="228">
        <v>337.15843156343919</v>
      </c>
    </row>
    <row r="126" spans="1:24" x14ac:dyDescent="0.3">
      <c r="A126" s="7"/>
      <c r="B126" s="7"/>
      <c r="C126" s="7"/>
      <c r="D126" s="7"/>
      <c r="E126" s="147" t="s">
        <v>193</v>
      </c>
      <c r="F126" s="38" t="s">
        <v>374</v>
      </c>
      <c r="G126" s="144">
        <f t="shared" si="5"/>
        <v>0</v>
      </c>
      <c r="H126" s="144">
        <f t="shared" si="6"/>
        <v>0</v>
      </c>
      <c r="I126" s="144">
        <f t="shared" si="7"/>
        <v>0</v>
      </c>
      <c r="J126" s="144">
        <f t="shared" si="8"/>
        <v>0</v>
      </c>
      <c r="K126" s="144">
        <f t="shared" si="9"/>
        <v>0</v>
      </c>
      <c r="L126" s="99" t="str">
        <f>VLOOKUP(E126,Mapping!$E$11:$G$204,3,0)</f>
        <v>VBRC</v>
      </c>
      <c r="N126" s="141">
        <v>0</v>
      </c>
      <c r="O126" s="141">
        <v>0</v>
      </c>
      <c r="P126" s="141">
        <v>0</v>
      </c>
      <c r="Q126" s="141">
        <v>0</v>
      </c>
      <c r="R126" s="141">
        <v>0</v>
      </c>
      <c r="T126" s="141">
        <v>0</v>
      </c>
      <c r="U126" s="141">
        <v>0</v>
      </c>
      <c r="V126" s="141">
        <v>0</v>
      </c>
      <c r="W126" s="141">
        <v>0</v>
      </c>
      <c r="X126" s="141">
        <v>0</v>
      </c>
    </row>
    <row r="127" spans="1:24" x14ac:dyDescent="0.3">
      <c r="A127" s="7"/>
      <c r="B127" s="7"/>
      <c r="C127" s="7"/>
      <c r="D127" s="7"/>
      <c r="E127" s="147" t="s">
        <v>194</v>
      </c>
      <c r="F127" s="38" t="s">
        <v>375</v>
      </c>
      <c r="G127" s="144">
        <f t="shared" si="5"/>
        <v>350.71633716098984</v>
      </c>
      <c r="H127" s="144">
        <f t="shared" si="6"/>
        <v>350.71633716098984</v>
      </c>
      <c r="I127" s="144">
        <f t="shared" si="7"/>
        <v>350.71633716098984</v>
      </c>
      <c r="J127" s="144">
        <f t="shared" si="8"/>
        <v>350.71633716098984</v>
      </c>
      <c r="K127" s="144">
        <f t="shared" si="9"/>
        <v>380.41154672565006</v>
      </c>
      <c r="L127" s="99" t="str">
        <f>VLOOKUP(E127,Mapping!$E$11:$G$204,3,0)</f>
        <v>Replacement</v>
      </c>
      <c r="N127" s="141">
        <v>0</v>
      </c>
      <c r="O127" s="141">
        <v>0</v>
      </c>
      <c r="P127" s="141">
        <v>0</v>
      </c>
      <c r="Q127" s="141">
        <v>0</v>
      </c>
      <c r="R127" s="141">
        <v>0</v>
      </c>
      <c r="T127" s="141">
        <v>350.71633716098984</v>
      </c>
      <c r="U127" s="141">
        <v>350.71633716098984</v>
      </c>
      <c r="V127" s="141">
        <v>350.71633716098984</v>
      </c>
      <c r="W127" s="141">
        <v>350.71633716098984</v>
      </c>
      <c r="X127" s="228">
        <v>380.41154672565006</v>
      </c>
    </row>
    <row r="128" spans="1:24" x14ac:dyDescent="0.3">
      <c r="A128" s="7"/>
      <c r="B128" s="7"/>
      <c r="C128" s="7"/>
      <c r="D128" s="7"/>
      <c r="E128" s="147" t="s">
        <v>195</v>
      </c>
      <c r="F128" s="38" t="s">
        <v>376</v>
      </c>
      <c r="G128" s="144">
        <f t="shared" si="5"/>
        <v>148.57369667582364</v>
      </c>
      <c r="H128" s="144">
        <f t="shared" si="6"/>
        <v>148.57369667582364</v>
      </c>
      <c r="I128" s="144">
        <f t="shared" si="7"/>
        <v>148.57369667582364</v>
      </c>
      <c r="J128" s="144">
        <f t="shared" si="8"/>
        <v>148.57369667582364</v>
      </c>
      <c r="K128" s="144">
        <f t="shared" si="9"/>
        <v>148.57369667582364</v>
      </c>
      <c r="L128" s="152" t="s">
        <v>29</v>
      </c>
      <c r="N128" s="141">
        <v>0</v>
      </c>
      <c r="O128" s="141">
        <v>0</v>
      </c>
      <c r="P128" s="141">
        <v>0</v>
      </c>
      <c r="Q128" s="141">
        <v>0</v>
      </c>
      <c r="R128" s="141">
        <v>0</v>
      </c>
      <c r="T128" s="228">
        <v>148.57369667582364</v>
      </c>
      <c r="U128" s="228">
        <v>148.57369667582364</v>
      </c>
      <c r="V128" s="228">
        <v>148.57369667582364</v>
      </c>
      <c r="W128" s="228">
        <v>148.57369667582364</v>
      </c>
      <c r="X128" s="228">
        <v>148.57369667582364</v>
      </c>
    </row>
    <row r="129" spans="1:24" x14ac:dyDescent="0.3">
      <c r="A129" s="7"/>
      <c r="B129" s="7"/>
      <c r="C129" s="7"/>
      <c r="D129" s="7"/>
      <c r="E129" s="147" t="s">
        <v>196</v>
      </c>
      <c r="F129" s="38" t="s">
        <v>377</v>
      </c>
      <c r="G129" s="144">
        <f t="shared" si="5"/>
        <v>130.44528713881101</v>
      </c>
      <c r="H129" s="144">
        <f t="shared" si="6"/>
        <v>130.44528713881101</v>
      </c>
      <c r="I129" s="144">
        <f t="shared" si="7"/>
        <v>130.44528713881101</v>
      </c>
      <c r="J129" s="144">
        <f t="shared" si="8"/>
        <v>130.44528713881101</v>
      </c>
      <c r="K129" s="144">
        <f t="shared" si="9"/>
        <v>130.44528713881101</v>
      </c>
      <c r="L129" s="99" t="str">
        <f>VLOOKUP(E129,Mapping!$E$11:$G$204,3,0)</f>
        <v>Replacement</v>
      </c>
      <c r="N129" s="141">
        <v>0</v>
      </c>
      <c r="O129" s="141">
        <v>0</v>
      </c>
      <c r="P129" s="141">
        <v>0</v>
      </c>
      <c r="Q129" s="141">
        <v>0</v>
      </c>
      <c r="R129" s="141">
        <v>0</v>
      </c>
      <c r="T129" s="141">
        <v>130.44528713881101</v>
      </c>
      <c r="U129" s="141">
        <v>130.44528713881101</v>
      </c>
      <c r="V129" s="141">
        <v>130.44528713881101</v>
      </c>
      <c r="W129" s="141">
        <v>130.44528713881101</v>
      </c>
      <c r="X129" s="141">
        <v>130.44528713881101</v>
      </c>
    </row>
    <row r="130" spans="1:24" x14ac:dyDescent="0.3">
      <c r="A130" s="7"/>
      <c r="B130" s="7"/>
      <c r="C130" s="7"/>
      <c r="D130" s="7"/>
      <c r="E130" s="147" t="s">
        <v>197</v>
      </c>
      <c r="F130" s="38" t="s">
        <v>378</v>
      </c>
      <c r="G130" s="144">
        <f t="shared" si="5"/>
        <v>1717.8496643175467</v>
      </c>
      <c r="H130" s="144">
        <f t="shared" si="6"/>
        <v>1717.8496643175467</v>
      </c>
      <c r="I130" s="144">
        <f t="shared" si="7"/>
        <v>1717.8496643175467</v>
      </c>
      <c r="J130" s="144">
        <f t="shared" si="8"/>
        <v>1717.8496643175467</v>
      </c>
      <c r="K130" s="144">
        <f t="shared" si="9"/>
        <v>1717.8496643175467</v>
      </c>
      <c r="L130" s="99" t="str">
        <f>VLOOKUP(E130,Mapping!$E$11:$G$204,3,0)</f>
        <v>Replacement</v>
      </c>
      <c r="N130" s="141">
        <v>0</v>
      </c>
      <c r="O130" s="141">
        <v>0</v>
      </c>
      <c r="P130" s="141">
        <v>0</v>
      </c>
      <c r="Q130" s="141">
        <v>0</v>
      </c>
      <c r="R130" s="141">
        <v>0</v>
      </c>
      <c r="T130" s="228">
        <v>1717.8496643175467</v>
      </c>
      <c r="U130" s="228">
        <v>1717.8496643175467</v>
      </c>
      <c r="V130" s="228">
        <v>1717.8496643175467</v>
      </c>
      <c r="W130" s="228">
        <v>1717.8496643175467</v>
      </c>
      <c r="X130" s="228">
        <v>1717.8496643175467</v>
      </c>
    </row>
    <row r="131" spans="1:24" x14ac:dyDescent="0.3">
      <c r="A131" s="7"/>
      <c r="B131" s="7"/>
      <c r="C131" s="7"/>
      <c r="D131" s="7"/>
      <c r="E131" s="147" t="s">
        <v>198</v>
      </c>
      <c r="F131" s="38" t="s">
        <v>379</v>
      </c>
      <c r="G131" s="144">
        <f t="shared" si="5"/>
        <v>5.2663000908186453</v>
      </c>
      <c r="H131" s="144">
        <f t="shared" si="6"/>
        <v>5.2663000908186453</v>
      </c>
      <c r="I131" s="144">
        <f t="shared" si="7"/>
        <v>5.2663000908186453</v>
      </c>
      <c r="J131" s="144">
        <f t="shared" si="8"/>
        <v>5.2663000908186453</v>
      </c>
      <c r="K131" s="144">
        <f t="shared" si="9"/>
        <v>5.2663000908186453</v>
      </c>
      <c r="L131" s="99" t="str">
        <f>VLOOKUP(E131,Mapping!$E$11:$G$204,3,0)</f>
        <v>Replacement</v>
      </c>
      <c r="N131" s="141">
        <v>0</v>
      </c>
      <c r="O131" s="141">
        <v>0</v>
      </c>
      <c r="P131" s="141">
        <v>0</v>
      </c>
      <c r="Q131" s="141">
        <v>0</v>
      </c>
      <c r="R131" s="141">
        <v>0</v>
      </c>
      <c r="T131" s="141">
        <v>5.2663000908186453</v>
      </c>
      <c r="U131" s="141">
        <v>5.2663000908186453</v>
      </c>
      <c r="V131" s="141">
        <v>5.2663000908186453</v>
      </c>
      <c r="W131" s="141">
        <v>5.2663000908186453</v>
      </c>
      <c r="X131" s="141">
        <v>5.2663000908186453</v>
      </c>
    </row>
    <row r="132" spans="1:24" x14ac:dyDescent="0.3">
      <c r="A132" s="7"/>
      <c r="B132" s="7"/>
      <c r="C132" s="7"/>
      <c r="D132" s="7"/>
      <c r="E132" s="147" t="s">
        <v>199</v>
      </c>
      <c r="F132" s="38" t="s">
        <v>380</v>
      </c>
      <c r="G132" s="144">
        <f t="shared" si="5"/>
        <v>0</v>
      </c>
      <c r="H132" s="144">
        <f t="shared" si="6"/>
        <v>0</v>
      </c>
      <c r="I132" s="144">
        <f t="shared" si="7"/>
        <v>0</v>
      </c>
      <c r="J132" s="144">
        <f t="shared" si="8"/>
        <v>0</v>
      </c>
      <c r="K132" s="144">
        <f t="shared" si="9"/>
        <v>0</v>
      </c>
      <c r="L132" s="99" t="str">
        <f>VLOOKUP(E132,Mapping!$E$11:$G$204,3,0)</f>
        <v>Public Lighting</v>
      </c>
      <c r="N132" s="141">
        <v>0</v>
      </c>
      <c r="O132" s="141">
        <v>0</v>
      </c>
      <c r="P132" s="141">
        <v>0</v>
      </c>
      <c r="Q132" s="141">
        <v>0</v>
      </c>
      <c r="R132" s="141">
        <v>0</v>
      </c>
      <c r="T132" s="141">
        <v>0</v>
      </c>
      <c r="U132" s="141">
        <v>0</v>
      </c>
      <c r="V132" s="141">
        <v>0</v>
      </c>
      <c r="W132" s="141">
        <v>0</v>
      </c>
      <c r="X132" s="141">
        <v>0</v>
      </c>
    </row>
    <row r="133" spans="1:24" x14ac:dyDescent="0.3">
      <c r="A133" s="7"/>
      <c r="B133" s="7"/>
      <c r="C133" s="7"/>
      <c r="D133" s="7"/>
      <c r="E133" s="147" t="s">
        <v>200</v>
      </c>
      <c r="F133" s="38" t="s">
        <v>381</v>
      </c>
      <c r="G133" s="144">
        <f t="shared" si="5"/>
        <v>0</v>
      </c>
      <c r="H133" s="144">
        <f t="shared" si="6"/>
        <v>0</v>
      </c>
      <c r="I133" s="144">
        <f t="shared" si="7"/>
        <v>0</v>
      </c>
      <c r="J133" s="144">
        <f t="shared" si="8"/>
        <v>0</v>
      </c>
      <c r="K133" s="144">
        <f t="shared" si="9"/>
        <v>0</v>
      </c>
      <c r="L133" s="99" t="str">
        <f>VLOOKUP(E133,Mapping!$E$11:$G$204,3,0)</f>
        <v>Public Lighting</v>
      </c>
      <c r="N133" s="141">
        <v>0</v>
      </c>
      <c r="O133" s="141">
        <v>0</v>
      </c>
      <c r="P133" s="141">
        <v>0</v>
      </c>
      <c r="Q133" s="141">
        <v>0</v>
      </c>
      <c r="R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</row>
    <row r="134" spans="1:24" x14ac:dyDescent="0.3">
      <c r="A134" s="7"/>
      <c r="B134" s="7"/>
      <c r="C134" s="7"/>
      <c r="D134" s="7"/>
      <c r="E134" s="147" t="s">
        <v>201</v>
      </c>
      <c r="F134" s="38" t="s">
        <v>382</v>
      </c>
      <c r="G134" s="144">
        <f t="shared" si="5"/>
        <v>5651.2419807875103</v>
      </c>
      <c r="H134" s="144">
        <f t="shared" si="6"/>
        <v>5651.2419807875103</v>
      </c>
      <c r="I134" s="144">
        <f t="shared" si="7"/>
        <v>5651.2419807875103</v>
      </c>
      <c r="J134" s="144">
        <f t="shared" si="8"/>
        <v>5651.2419807875103</v>
      </c>
      <c r="K134" s="144">
        <f t="shared" si="9"/>
        <v>5651.2419807875103</v>
      </c>
      <c r="L134" s="99" t="str">
        <f>VLOOKUP(E134,Mapping!$E$11:$G$204,3,0)</f>
        <v>Replacement</v>
      </c>
      <c r="N134" s="141">
        <v>0</v>
      </c>
      <c r="O134" s="141">
        <v>0</v>
      </c>
      <c r="P134" s="141">
        <v>0</v>
      </c>
      <c r="Q134" s="141">
        <v>0</v>
      </c>
      <c r="R134" s="141">
        <v>0</v>
      </c>
      <c r="T134" s="228">
        <v>5651.2419807875103</v>
      </c>
      <c r="U134" s="228">
        <v>5651.2419807875103</v>
      </c>
      <c r="V134" s="228">
        <v>5651.2419807875103</v>
      </c>
      <c r="W134" s="228">
        <v>5651.2419807875103</v>
      </c>
      <c r="X134" s="228">
        <v>5651.2419807875103</v>
      </c>
    </row>
    <row r="135" spans="1:24" x14ac:dyDescent="0.3">
      <c r="A135" s="7"/>
      <c r="B135" s="7"/>
      <c r="C135" s="7"/>
      <c r="D135" s="7"/>
      <c r="E135" s="147" t="s">
        <v>202</v>
      </c>
      <c r="F135" s="38" t="s">
        <v>383</v>
      </c>
      <c r="G135" s="144">
        <f t="shared" si="5"/>
        <v>3405.8698159743349</v>
      </c>
      <c r="H135" s="144">
        <f t="shared" si="6"/>
        <v>3405.8698159743349</v>
      </c>
      <c r="I135" s="144">
        <f t="shared" si="7"/>
        <v>3405.8698159743349</v>
      </c>
      <c r="J135" s="144">
        <f t="shared" si="8"/>
        <v>3405.8698159743349</v>
      </c>
      <c r="K135" s="144">
        <f t="shared" si="9"/>
        <v>3405.8698159743349</v>
      </c>
      <c r="L135" s="99" t="str">
        <f>VLOOKUP(E135,Mapping!$E$11:$G$204,3,0)</f>
        <v>Replacement</v>
      </c>
      <c r="N135" s="141">
        <v>0</v>
      </c>
      <c r="O135" s="141">
        <v>0</v>
      </c>
      <c r="P135" s="141">
        <v>0</v>
      </c>
      <c r="Q135" s="141">
        <v>0</v>
      </c>
      <c r="R135" s="141">
        <v>0</v>
      </c>
      <c r="T135" s="228">
        <v>3405.8698159743349</v>
      </c>
      <c r="U135" s="228">
        <v>3405.8698159743349</v>
      </c>
      <c r="V135" s="228">
        <v>3405.8698159743349</v>
      </c>
      <c r="W135" s="228">
        <v>3405.8698159743349</v>
      </c>
      <c r="X135" s="228">
        <v>3405.8698159743349</v>
      </c>
    </row>
    <row r="136" spans="1:24" x14ac:dyDescent="0.3">
      <c r="A136" s="7"/>
      <c r="B136" s="7"/>
      <c r="C136" s="7"/>
      <c r="D136" s="7"/>
      <c r="E136" s="147" t="s">
        <v>203</v>
      </c>
      <c r="F136" s="38" t="s">
        <v>384</v>
      </c>
      <c r="G136" s="144">
        <f t="shared" si="5"/>
        <v>732.4493262880186</v>
      </c>
      <c r="H136" s="144">
        <f t="shared" si="6"/>
        <v>732.4493262880186</v>
      </c>
      <c r="I136" s="144">
        <f t="shared" si="7"/>
        <v>732.4493262880186</v>
      </c>
      <c r="J136" s="144">
        <f t="shared" si="8"/>
        <v>732.4493262880186</v>
      </c>
      <c r="K136" s="144">
        <f t="shared" si="9"/>
        <v>732.4493262880186</v>
      </c>
      <c r="L136" s="99" t="str">
        <f>VLOOKUP(E136,Mapping!$E$11:$G$204,3,0)</f>
        <v>Replacement</v>
      </c>
      <c r="N136" s="141">
        <v>0</v>
      </c>
      <c r="O136" s="141">
        <v>0</v>
      </c>
      <c r="P136" s="141">
        <v>0</v>
      </c>
      <c r="Q136" s="141">
        <v>0</v>
      </c>
      <c r="R136" s="141">
        <v>0</v>
      </c>
      <c r="T136" s="228">
        <v>732.4493262880186</v>
      </c>
      <c r="U136" s="228">
        <v>732.4493262880186</v>
      </c>
      <c r="V136" s="228">
        <v>732.4493262880186</v>
      </c>
      <c r="W136" s="228">
        <v>732.4493262880186</v>
      </c>
      <c r="X136" s="228">
        <v>732.4493262880186</v>
      </c>
    </row>
    <row r="137" spans="1:24" x14ac:dyDescent="0.3">
      <c r="A137" s="7"/>
      <c r="B137" s="7"/>
      <c r="C137" s="7"/>
      <c r="D137" s="7"/>
      <c r="E137" s="147" t="s">
        <v>204</v>
      </c>
      <c r="F137" s="38" t="s">
        <v>385</v>
      </c>
      <c r="G137" s="144">
        <f t="shared" si="5"/>
        <v>0</v>
      </c>
      <c r="H137" s="144">
        <f t="shared" si="6"/>
        <v>0</v>
      </c>
      <c r="I137" s="144">
        <f t="shared" si="7"/>
        <v>0</v>
      </c>
      <c r="J137" s="144">
        <f t="shared" si="8"/>
        <v>0</v>
      </c>
      <c r="K137" s="144">
        <f t="shared" si="9"/>
        <v>0</v>
      </c>
      <c r="L137" s="99" t="str">
        <f>VLOOKUP(E137,Mapping!$E$11:$G$204,3,0)</f>
        <v>Replacement</v>
      </c>
      <c r="N137" s="141">
        <v>0</v>
      </c>
      <c r="O137" s="141">
        <v>0</v>
      </c>
      <c r="P137" s="141">
        <v>0</v>
      </c>
      <c r="Q137" s="141">
        <v>0</v>
      </c>
      <c r="R137" s="141">
        <v>0</v>
      </c>
      <c r="T137" s="141">
        <v>0</v>
      </c>
      <c r="U137" s="141">
        <v>0</v>
      </c>
      <c r="V137" s="141">
        <v>0</v>
      </c>
      <c r="W137" s="141">
        <v>0</v>
      </c>
      <c r="X137" s="141">
        <v>0</v>
      </c>
    </row>
    <row r="138" spans="1:24" x14ac:dyDescent="0.3">
      <c r="A138" s="7"/>
      <c r="B138" s="7"/>
      <c r="C138" s="7"/>
      <c r="D138" s="7"/>
      <c r="E138" s="147" t="s">
        <v>205</v>
      </c>
      <c r="F138" s="38" t="s">
        <v>386</v>
      </c>
      <c r="G138" s="144">
        <f t="shared" si="5"/>
        <v>605.43625395731931</v>
      </c>
      <c r="H138" s="144">
        <f t="shared" si="6"/>
        <v>605.43625395731931</v>
      </c>
      <c r="I138" s="144">
        <f t="shared" si="7"/>
        <v>605.43625395731931</v>
      </c>
      <c r="J138" s="144">
        <f t="shared" si="8"/>
        <v>605.43625395731931</v>
      </c>
      <c r="K138" s="144">
        <f t="shared" si="9"/>
        <v>605.43625395731931</v>
      </c>
      <c r="L138" s="99" t="str">
        <f>VLOOKUP(E138,Mapping!$E$11:$G$204,3,0)</f>
        <v>Replacement</v>
      </c>
      <c r="N138" s="141">
        <v>0</v>
      </c>
      <c r="O138" s="141">
        <v>0</v>
      </c>
      <c r="P138" s="141">
        <v>0</v>
      </c>
      <c r="Q138" s="141">
        <v>0</v>
      </c>
      <c r="R138" s="141">
        <v>0</v>
      </c>
      <c r="T138" s="228">
        <v>605.43625395731931</v>
      </c>
      <c r="U138" s="228">
        <v>605.43625395731931</v>
      </c>
      <c r="V138" s="228">
        <v>605.43625395731931</v>
      </c>
      <c r="W138" s="228">
        <v>605.43625395731931</v>
      </c>
      <c r="X138" s="228">
        <v>605.43625395731931</v>
      </c>
    </row>
    <row r="139" spans="1:24" x14ac:dyDescent="0.3">
      <c r="A139" s="7"/>
      <c r="B139" s="7"/>
      <c r="C139" s="7"/>
      <c r="D139" s="7"/>
      <c r="E139" s="147" t="s">
        <v>206</v>
      </c>
      <c r="F139" s="38" t="s">
        <v>387</v>
      </c>
      <c r="G139" s="144">
        <f t="shared" si="5"/>
        <v>897.23381882080923</v>
      </c>
      <c r="H139" s="144">
        <f t="shared" si="6"/>
        <v>897.23381882080923</v>
      </c>
      <c r="I139" s="144">
        <f t="shared" si="7"/>
        <v>897.23381882080923</v>
      </c>
      <c r="J139" s="144">
        <f t="shared" si="8"/>
        <v>897.23381882080923</v>
      </c>
      <c r="K139" s="144">
        <f t="shared" si="9"/>
        <v>897.23381882080923</v>
      </c>
      <c r="L139" s="99" t="str">
        <f>VLOOKUP(E139,Mapping!$E$11:$G$204,3,0)</f>
        <v>Replacement</v>
      </c>
      <c r="N139" s="141">
        <v>0</v>
      </c>
      <c r="O139" s="141">
        <v>0</v>
      </c>
      <c r="P139" s="141">
        <v>0</v>
      </c>
      <c r="Q139" s="141">
        <v>0</v>
      </c>
      <c r="R139" s="141">
        <v>0</v>
      </c>
      <c r="T139" s="228">
        <v>897.23381882080923</v>
      </c>
      <c r="U139" s="228">
        <v>897.23381882080923</v>
      </c>
      <c r="V139" s="228">
        <v>897.23381882080923</v>
      </c>
      <c r="W139" s="228">
        <v>897.23381882080923</v>
      </c>
      <c r="X139" s="228">
        <v>897.23381882080923</v>
      </c>
    </row>
    <row r="140" spans="1:24" x14ac:dyDescent="0.3">
      <c r="A140" s="7"/>
      <c r="B140" s="7"/>
      <c r="C140" s="7"/>
      <c r="D140" s="7"/>
      <c r="E140" s="147" t="s">
        <v>207</v>
      </c>
      <c r="F140" s="38" t="s">
        <v>388</v>
      </c>
      <c r="G140" s="144">
        <f t="shared" si="5"/>
        <v>20.775230945197443</v>
      </c>
      <c r="H140" s="144">
        <f t="shared" si="6"/>
        <v>20.775230945197443</v>
      </c>
      <c r="I140" s="144">
        <f t="shared" si="7"/>
        <v>20.775230945197443</v>
      </c>
      <c r="J140" s="144">
        <f t="shared" si="8"/>
        <v>20.775230945197443</v>
      </c>
      <c r="K140" s="144">
        <f t="shared" si="9"/>
        <v>20.775230945197443</v>
      </c>
      <c r="L140" s="99" t="str">
        <f>VLOOKUP(E140,Mapping!$E$11:$G$204,3,0)</f>
        <v>Replacement</v>
      </c>
      <c r="N140" s="141">
        <v>0</v>
      </c>
      <c r="O140" s="141">
        <v>0</v>
      </c>
      <c r="P140" s="141">
        <v>0</v>
      </c>
      <c r="Q140" s="141">
        <v>0</v>
      </c>
      <c r="R140" s="141">
        <v>0</v>
      </c>
      <c r="T140" s="141">
        <v>20.775230945197443</v>
      </c>
      <c r="U140" s="141">
        <v>20.775230945197443</v>
      </c>
      <c r="V140" s="141">
        <v>20.775230945197443</v>
      </c>
      <c r="W140" s="141">
        <v>20.775230945197443</v>
      </c>
      <c r="X140" s="141">
        <v>20.775230945197443</v>
      </c>
    </row>
    <row r="141" spans="1:24" x14ac:dyDescent="0.3">
      <c r="A141" s="7"/>
      <c r="B141" s="7"/>
      <c r="C141" s="7"/>
      <c r="D141" s="7"/>
      <c r="E141" s="147" t="s">
        <v>208</v>
      </c>
      <c r="F141" s="38" t="s">
        <v>389</v>
      </c>
      <c r="G141" s="144">
        <f t="shared" ref="G141:G178" si="15">SUM(N141,T141)</f>
        <v>0</v>
      </c>
      <c r="H141" s="144">
        <f t="shared" ref="H141:H178" si="16">SUM(O141,U141)</f>
        <v>0</v>
      </c>
      <c r="I141" s="144">
        <f t="shared" ref="I141:I178" si="17">SUM(P141,V141)</f>
        <v>0</v>
      </c>
      <c r="J141" s="144">
        <f t="shared" ref="J141:J178" si="18">SUM(Q141,W141)</f>
        <v>0</v>
      </c>
      <c r="K141" s="144">
        <f t="shared" ref="K141:K178" si="19">SUM(R141,X141)</f>
        <v>0</v>
      </c>
      <c r="L141" s="99" t="str">
        <f>VLOOKUP(E141,Mapping!$E$11:$G$204,3,0)</f>
        <v>Replacement</v>
      </c>
      <c r="N141" s="141">
        <v>0</v>
      </c>
      <c r="O141" s="141">
        <v>0</v>
      </c>
      <c r="P141" s="141">
        <v>0</v>
      </c>
      <c r="Q141" s="141">
        <v>0</v>
      </c>
      <c r="R141" s="141">
        <v>0</v>
      </c>
      <c r="T141" s="141">
        <v>0</v>
      </c>
      <c r="U141" s="141">
        <v>0</v>
      </c>
      <c r="V141" s="141">
        <v>0</v>
      </c>
      <c r="W141" s="141">
        <v>0</v>
      </c>
      <c r="X141" s="141">
        <v>0</v>
      </c>
    </row>
    <row r="142" spans="1:24" x14ac:dyDescent="0.3">
      <c r="A142" s="7"/>
      <c r="B142" s="7"/>
      <c r="C142" s="7"/>
      <c r="D142" s="7"/>
      <c r="E142" s="147" t="s">
        <v>209</v>
      </c>
      <c r="F142" s="38" t="s">
        <v>390</v>
      </c>
      <c r="G142" s="144">
        <f t="shared" si="15"/>
        <v>91.546153393503488</v>
      </c>
      <c r="H142" s="144">
        <f t="shared" si="16"/>
        <v>91.546153393503488</v>
      </c>
      <c r="I142" s="144">
        <f t="shared" si="17"/>
        <v>91.546153393503488</v>
      </c>
      <c r="J142" s="144">
        <f t="shared" si="18"/>
        <v>91.546153393503488</v>
      </c>
      <c r="K142" s="144">
        <f t="shared" si="19"/>
        <v>91.546153393503488</v>
      </c>
      <c r="L142" s="99" t="str">
        <f>VLOOKUP(E142,Mapping!$E$11:$G$204,3,0)</f>
        <v>Replacement</v>
      </c>
      <c r="N142" s="141">
        <v>0</v>
      </c>
      <c r="O142" s="141">
        <v>0</v>
      </c>
      <c r="P142" s="141">
        <v>0</v>
      </c>
      <c r="Q142" s="141">
        <v>0</v>
      </c>
      <c r="R142" s="141">
        <v>0</v>
      </c>
      <c r="T142" s="228">
        <v>91.546153393503488</v>
      </c>
      <c r="U142" s="228">
        <v>91.546153393503488</v>
      </c>
      <c r="V142" s="228">
        <v>91.546153393503488</v>
      </c>
      <c r="W142" s="228">
        <v>91.546153393503488</v>
      </c>
      <c r="X142" s="228">
        <v>91.546153393503488</v>
      </c>
    </row>
    <row r="143" spans="1:24" x14ac:dyDescent="0.3">
      <c r="A143" s="7"/>
      <c r="B143" s="7"/>
      <c r="C143" s="7"/>
      <c r="D143" s="7"/>
      <c r="E143" s="147" t="s">
        <v>210</v>
      </c>
      <c r="F143" s="38" t="s">
        <v>391</v>
      </c>
      <c r="G143" s="144">
        <f t="shared" si="15"/>
        <v>11144.609907051416</v>
      </c>
      <c r="H143" s="144">
        <f t="shared" si="16"/>
        <v>12702.851243322728</v>
      </c>
      <c r="I143" s="144">
        <f t="shared" si="17"/>
        <v>13331.370408097413</v>
      </c>
      <c r="J143" s="144">
        <f t="shared" si="18"/>
        <v>10419.251109386192</v>
      </c>
      <c r="K143" s="144">
        <f t="shared" si="19"/>
        <v>6708.8373524256922</v>
      </c>
      <c r="L143" s="99" t="str">
        <f>VLOOKUP(E143,Mapping!$E$11:$G$204,3,0)</f>
        <v>Replacement</v>
      </c>
      <c r="N143" s="141">
        <v>0</v>
      </c>
      <c r="O143" s="141">
        <v>0</v>
      </c>
      <c r="P143" s="141">
        <v>0</v>
      </c>
      <c r="Q143" s="141">
        <v>0</v>
      </c>
      <c r="R143" s="141">
        <v>0</v>
      </c>
      <c r="T143" s="228">
        <v>11144.609907051416</v>
      </c>
      <c r="U143" s="228">
        <v>12702.851243322728</v>
      </c>
      <c r="V143" s="228">
        <v>13331.370408097413</v>
      </c>
      <c r="W143" s="228">
        <v>10419.251109386192</v>
      </c>
      <c r="X143" s="228">
        <v>6708.8373524256922</v>
      </c>
    </row>
    <row r="144" spans="1:24" x14ac:dyDescent="0.3">
      <c r="A144" s="7"/>
      <c r="B144" s="7"/>
      <c r="C144" s="7"/>
      <c r="D144" s="7"/>
      <c r="E144" s="147" t="s">
        <v>211</v>
      </c>
      <c r="F144" s="38" t="s">
        <v>392</v>
      </c>
      <c r="G144" s="144">
        <f t="shared" si="15"/>
        <v>296.22832904284792</v>
      </c>
      <c r="H144" s="144">
        <f t="shared" si="16"/>
        <v>296.22832904284792</v>
      </c>
      <c r="I144" s="144">
        <f t="shared" si="17"/>
        <v>296.22832904284792</v>
      </c>
      <c r="J144" s="144">
        <f t="shared" si="18"/>
        <v>296.22832904284792</v>
      </c>
      <c r="K144" s="144">
        <f t="shared" si="19"/>
        <v>296.22832904284792</v>
      </c>
      <c r="L144" s="99" t="str">
        <f>VLOOKUP(E144,Mapping!$E$11:$G$204,3,0)</f>
        <v>Replacement</v>
      </c>
      <c r="N144" s="141">
        <v>0</v>
      </c>
      <c r="O144" s="141">
        <v>0</v>
      </c>
      <c r="P144" s="141">
        <v>0</v>
      </c>
      <c r="Q144" s="141">
        <v>0</v>
      </c>
      <c r="R144" s="141">
        <v>0</v>
      </c>
      <c r="T144" s="228">
        <v>296.22832904284792</v>
      </c>
      <c r="U144" s="228">
        <v>296.22832904284792</v>
      </c>
      <c r="V144" s="228">
        <v>296.22832904284792</v>
      </c>
      <c r="W144" s="228">
        <v>296.22832904284792</v>
      </c>
      <c r="X144" s="228">
        <v>296.22832904284792</v>
      </c>
    </row>
    <row r="145" spans="1:24" x14ac:dyDescent="0.3">
      <c r="A145" s="7"/>
      <c r="B145" s="7"/>
      <c r="C145" s="7"/>
      <c r="D145" s="7"/>
      <c r="E145" s="147" t="s">
        <v>212</v>
      </c>
      <c r="F145" s="38" t="s">
        <v>393</v>
      </c>
      <c r="G145" s="144">
        <f t="shared" si="15"/>
        <v>233.89306509858611</v>
      </c>
      <c r="H145" s="144">
        <f t="shared" si="16"/>
        <v>233.89306509858611</v>
      </c>
      <c r="I145" s="144">
        <f t="shared" si="17"/>
        <v>233.89306509858611</v>
      </c>
      <c r="J145" s="144">
        <f t="shared" si="18"/>
        <v>233.89306509858611</v>
      </c>
      <c r="K145" s="144">
        <f t="shared" si="19"/>
        <v>233.89306509858611</v>
      </c>
      <c r="L145" s="99" t="str">
        <f>VLOOKUP(E145,Mapping!$E$11:$G$204,3,0)</f>
        <v>Replacement</v>
      </c>
      <c r="N145" s="141">
        <v>0</v>
      </c>
      <c r="O145" s="141">
        <v>0</v>
      </c>
      <c r="P145" s="141">
        <v>0</v>
      </c>
      <c r="Q145" s="141">
        <v>0</v>
      </c>
      <c r="R145" s="141">
        <v>0</v>
      </c>
      <c r="T145" s="141">
        <v>233.89306509858611</v>
      </c>
      <c r="U145" s="141">
        <v>233.89306509858611</v>
      </c>
      <c r="V145" s="141">
        <v>233.89306509858611</v>
      </c>
      <c r="W145" s="141">
        <v>233.89306509858611</v>
      </c>
      <c r="X145" s="141">
        <v>233.89306509858611</v>
      </c>
    </row>
    <row r="146" spans="1:24" x14ac:dyDescent="0.3">
      <c r="A146" s="7"/>
      <c r="B146" s="7"/>
      <c r="C146" s="7"/>
      <c r="D146" s="7"/>
      <c r="E146" s="147" t="s">
        <v>213</v>
      </c>
      <c r="F146" s="38" t="s">
        <v>394</v>
      </c>
      <c r="G146" s="144">
        <f t="shared" si="15"/>
        <v>0</v>
      </c>
      <c r="H146" s="144">
        <f t="shared" si="16"/>
        <v>0</v>
      </c>
      <c r="I146" s="144">
        <f t="shared" si="17"/>
        <v>0</v>
      </c>
      <c r="J146" s="144">
        <f t="shared" si="18"/>
        <v>0</v>
      </c>
      <c r="K146" s="144">
        <f t="shared" si="19"/>
        <v>0</v>
      </c>
      <c r="L146" s="99" t="str">
        <f>VLOOKUP(E146,Mapping!$E$11:$G$204,3,0)</f>
        <v>Replacement</v>
      </c>
      <c r="N146" s="141">
        <v>0</v>
      </c>
      <c r="O146" s="141">
        <v>0</v>
      </c>
      <c r="P146" s="141">
        <v>0</v>
      </c>
      <c r="Q146" s="141">
        <v>0</v>
      </c>
      <c r="R146" s="141">
        <v>0</v>
      </c>
      <c r="T146" s="141">
        <v>0</v>
      </c>
      <c r="U146" s="141">
        <v>0</v>
      </c>
      <c r="V146" s="141">
        <v>0</v>
      </c>
      <c r="W146" s="141">
        <v>0</v>
      </c>
      <c r="X146" s="141">
        <v>0</v>
      </c>
    </row>
    <row r="147" spans="1:24" x14ac:dyDescent="0.3">
      <c r="A147" s="7"/>
      <c r="B147" s="7"/>
      <c r="C147" s="7"/>
      <c r="D147" s="7"/>
      <c r="E147" s="147" t="s">
        <v>214</v>
      </c>
      <c r="F147" s="38" t="s">
        <v>395</v>
      </c>
      <c r="G147" s="144">
        <f t="shared" si="15"/>
        <v>0</v>
      </c>
      <c r="H147" s="144">
        <f t="shared" si="16"/>
        <v>0</v>
      </c>
      <c r="I147" s="144">
        <f t="shared" si="17"/>
        <v>0</v>
      </c>
      <c r="J147" s="144">
        <f t="shared" si="18"/>
        <v>0</v>
      </c>
      <c r="K147" s="144">
        <f t="shared" si="19"/>
        <v>0</v>
      </c>
      <c r="L147" s="99" t="str">
        <f>VLOOKUP(E147,Mapping!$E$11:$G$204,3,0)</f>
        <v>Replacement</v>
      </c>
      <c r="N147" s="141">
        <v>0</v>
      </c>
      <c r="O147" s="141">
        <v>0</v>
      </c>
      <c r="P147" s="141">
        <v>0</v>
      </c>
      <c r="Q147" s="141">
        <v>0</v>
      </c>
      <c r="R147" s="141">
        <v>0</v>
      </c>
      <c r="T147" s="141">
        <v>0</v>
      </c>
      <c r="U147" s="141">
        <v>0</v>
      </c>
      <c r="V147" s="141">
        <v>0</v>
      </c>
      <c r="W147" s="141">
        <v>0</v>
      </c>
      <c r="X147" s="141">
        <v>0</v>
      </c>
    </row>
    <row r="148" spans="1:24" x14ac:dyDescent="0.3">
      <c r="A148" s="7"/>
      <c r="B148" s="7"/>
      <c r="C148" s="7"/>
      <c r="D148" s="7"/>
      <c r="E148" s="147" t="s">
        <v>215</v>
      </c>
      <c r="F148" s="38" t="s">
        <v>396</v>
      </c>
      <c r="G148" s="144">
        <f t="shared" si="15"/>
        <v>11.737198801843299</v>
      </c>
      <c r="H148" s="144">
        <f t="shared" si="16"/>
        <v>11.737198801843299</v>
      </c>
      <c r="I148" s="144">
        <f t="shared" si="17"/>
        <v>11.737198801843299</v>
      </c>
      <c r="J148" s="144">
        <f t="shared" si="18"/>
        <v>11.737198801843299</v>
      </c>
      <c r="K148" s="144">
        <f t="shared" si="19"/>
        <v>11.737198801843299</v>
      </c>
      <c r="L148" s="99" t="str">
        <f>VLOOKUP(E148,Mapping!$E$11:$G$204,3,0)</f>
        <v>Replacement</v>
      </c>
      <c r="N148" s="141">
        <v>0</v>
      </c>
      <c r="O148" s="141">
        <v>0</v>
      </c>
      <c r="P148" s="141">
        <v>0</v>
      </c>
      <c r="Q148" s="141">
        <v>0</v>
      </c>
      <c r="R148" s="141">
        <v>0</v>
      </c>
      <c r="T148" s="141">
        <v>11.737198801843299</v>
      </c>
      <c r="U148" s="141">
        <v>11.737198801843299</v>
      </c>
      <c r="V148" s="141">
        <v>11.737198801843299</v>
      </c>
      <c r="W148" s="141">
        <v>11.737198801843299</v>
      </c>
      <c r="X148" s="141">
        <v>11.737198801843299</v>
      </c>
    </row>
    <row r="149" spans="1:24" x14ac:dyDescent="0.3">
      <c r="A149" s="7"/>
      <c r="B149" s="7"/>
      <c r="C149" s="7"/>
      <c r="D149" s="7"/>
      <c r="E149" s="147" t="s">
        <v>216</v>
      </c>
      <c r="F149" s="38" t="s">
        <v>397</v>
      </c>
      <c r="G149" s="144">
        <f t="shared" si="15"/>
        <v>649.50688708434097</v>
      </c>
      <c r="H149" s="144">
        <f t="shared" si="16"/>
        <v>649.50688708434097</v>
      </c>
      <c r="I149" s="144">
        <f t="shared" si="17"/>
        <v>649.50688708434097</v>
      </c>
      <c r="J149" s="144">
        <f t="shared" si="18"/>
        <v>649.50688708434097</v>
      </c>
      <c r="K149" s="144">
        <f t="shared" si="19"/>
        <v>649.50688708434097</v>
      </c>
      <c r="L149" s="99" t="str">
        <f>VLOOKUP(E149,Mapping!$E$11:$G$204,3,0)</f>
        <v>Replacement</v>
      </c>
      <c r="N149" s="141">
        <v>0</v>
      </c>
      <c r="O149" s="141">
        <v>0</v>
      </c>
      <c r="P149" s="141">
        <v>0</v>
      </c>
      <c r="Q149" s="141">
        <v>0</v>
      </c>
      <c r="R149" s="141">
        <v>0</v>
      </c>
      <c r="T149" s="228">
        <v>649.50688708434097</v>
      </c>
      <c r="U149" s="228">
        <v>649.50688708434097</v>
      </c>
      <c r="V149" s="228">
        <v>649.50688708434097</v>
      </c>
      <c r="W149" s="228">
        <v>649.50688708434097</v>
      </c>
      <c r="X149" s="228">
        <v>649.50688708434097</v>
      </c>
    </row>
    <row r="150" spans="1:24" x14ac:dyDescent="0.3">
      <c r="A150" s="7"/>
      <c r="B150" s="7"/>
      <c r="C150" s="7"/>
      <c r="D150" s="7"/>
      <c r="E150" s="147" t="s">
        <v>217</v>
      </c>
      <c r="F150" s="38" t="s">
        <v>398</v>
      </c>
      <c r="G150" s="144">
        <f t="shared" si="15"/>
        <v>861.11536696264272</v>
      </c>
      <c r="H150" s="144">
        <f t="shared" si="16"/>
        <v>861.11536696264272</v>
      </c>
      <c r="I150" s="144">
        <f t="shared" si="17"/>
        <v>861.11536696264272</v>
      </c>
      <c r="J150" s="144">
        <f t="shared" si="18"/>
        <v>861.11536696264272</v>
      </c>
      <c r="K150" s="144">
        <f t="shared" si="19"/>
        <v>861.11536696264272</v>
      </c>
      <c r="L150" s="99" t="str">
        <f>VLOOKUP(E150,Mapping!$E$11:$G$204,3,0)</f>
        <v>Replacement</v>
      </c>
      <c r="N150" s="141">
        <v>0</v>
      </c>
      <c r="O150" s="141">
        <v>0</v>
      </c>
      <c r="P150" s="141">
        <v>0</v>
      </c>
      <c r="Q150" s="141">
        <v>0</v>
      </c>
      <c r="R150" s="141">
        <v>0</v>
      </c>
      <c r="T150" s="141">
        <v>861.11536696264272</v>
      </c>
      <c r="U150" s="141">
        <v>861.11536696264272</v>
      </c>
      <c r="V150" s="141">
        <v>861.11536696264272</v>
      </c>
      <c r="W150" s="141">
        <v>861.11536696264272</v>
      </c>
      <c r="X150" s="141">
        <v>861.11536696264272</v>
      </c>
    </row>
    <row r="151" spans="1:24" x14ac:dyDescent="0.3">
      <c r="A151" s="7"/>
      <c r="B151" s="7"/>
      <c r="C151" s="7"/>
      <c r="D151" s="7"/>
      <c r="E151" s="147" t="s">
        <v>218</v>
      </c>
      <c r="F151" s="38" t="s">
        <v>399</v>
      </c>
      <c r="G151" s="144">
        <f t="shared" si="15"/>
        <v>228.96060873014909</v>
      </c>
      <c r="H151" s="144">
        <f t="shared" si="16"/>
        <v>228.96060873014909</v>
      </c>
      <c r="I151" s="144">
        <f t="shared" si="17"/>
        <v>228.96060873014909</v>
      </c>
      <c r="J151" s="144">
        <f t="shared" si="18"/>
        <v>228.96060873014909</v>
      </c>
      <c r="K151" s="144">
        <f t="shared" si="19"/>
        <v>228.96060873014909</v>
      </c>
      <c r="L151" s="99" t="str">
        <f>VLOOKUP(E151,Mapping!$E$11:$G$204,3,0)</f>
        <v>Replacement</v>
      </c>
      <c r="N151" s="141">
        <v>0</v>
      </c>
      <c r="O151" s="141">
        <v>0</v>
      </c>
      <c r="P151" s="141">
        <v>0</v>
      </c>
      <c r="Q151" s="141">
        <v>0</v>
      </c>
      <c r="R151" s="141">
        <v>0</v>
      </c>
      <c r="T151" s="141">
        <v>228.96060873014909</v>
      </c>
      <c r="U151" s="141">
        <v>228.96060873014909</v>
      </c>
      <c r="V151" s="141">
        <v>228.96060873014909</v>
      </c>
      <c r="W151" s="141">
        <v>228.96060873014909</v>
      </c>
      <c r="X151" s="141">
        <v>228.96060873014909</v>
      </c>
    </row>
    <row r="152" spans="1:24" x14ac:dyDescent="0.3">
      <c r="A152" s="7"/>
      <c r="B152" s="7"/>
      <c r="C152" s="7"/>
      <c r="D152" s="7"/>
      <c r="E152" s="147" t="s">
        <v>219</v>
      </c>
      <c r="F152" s="38" t="s">
        <v>400</v>
      </c>
      <c r="G152" s="144">
        <f t="shared" si="15"/>
        <v>138.09580137643309</v>
      </c>
      <c r="H152" s="144">
        <f t="shared" si="16"/>
        <v>138.09580137643309</v>
      </c>
      <c r="I152" s="144">
        <f t="shared" si="17"/>
        <v>138.09580137643309</v>
      </c>
      <c r="J152" s="144">
        <f t="shared" si="18"/>
        <v>138.09580137643309</v>
      </c>
      <c r="K152" s="144">
        <f t="shared" si="19"/>
        <v>138.09580137643309</v>
      </c>
      <c r="L152" s="99" t="str">
        <f>VLOOKUP(E152,Mapping!$E$11:$G$204,3,0)</f>
        <v>Replacement</v>
      </c>
      <c r="N152" s="141">
        <v>0</v>
      </c>
      <c r="O152" s="141">
        <v>0</v>
      </c>
      <c r="P152" s="141">
        <v>0</v>
      </c>
      <c r="Q152" s="141">
        <v>0</v>
      </c>
      <c r="R152" s="141">
        <v>0</v>
      </c>
      <c r="T152" s="141">
        <v>138.09580137643309</v>
      </c>
      <c r="U152" s="141">
        <v>138.09580137643309</v>
      </c>
      <c r="V152" s="141">
        <v>138.09580137643309</v>
      </c>
      <c r="W152" s="141">
        <v>138.09580137643309</v>
      </c>
      <c r="X152" s="141">
        <v>138.09580137643309</v>
      </c>
    </row>
    <row r="153" spans="1:24" x14ac:dyDescent="0.3">
      <c r="A153" s="7"/>
      <c r="B153" s="7"/>
      <c r="C153" s="7"/>
      <c r="D153" s="7"/>
      <c r="E153" s="147" t="s">
        <v>220</v>
      </c>
      <c r="F153" s="38" t="s">
        <v>401</v>
      </c>
      <c r="G153" s="144">
        <f t="shared" si="15"/>
        <v>171.3695972479176</v>
      </c>
      <c r="H153" s="144">
        <f t="shared" si="16"/>
        <v>171.3695972479176</v>
      </c>
      <c r="I153" s="144">
        <f t="shared" si="17"/>
        <v>171.3695972479176</v>
      </c>
      <c r="J153" s="144">
        <f t="shared" si="18"/>
        <v>171.3695972479176</v>
      </c>
      <c r="K153" s="144">
        <f t="shared" si="19"/>
        <v>171.3695972479176</v>
      </c>
      <c r="L153" s="99" t="str">
        <f>VLOOKUP(E153,Mapping!$E$11:$G$204,3,0)</f>
        <v>Replacement</v>
      </c>
      <c r="N153" s="141">
        <v>0</v>
      </c>
      <c r="O153" s="141">
        <v>0</v>
      </c>
      <c r="P153" s="141">
        <v>0</v>
      </c>
      <c r="Q153" s="141">
        <v>0</v>
      </c>
      <c r="R153" s="141">
        <v>0</v>
      </c>
      <c r="T153" s="141">
        <v>171.3695972479176</v>
      </c>
      <c r="U153" s="141">
        <v>171.3695972479176</v>
      </c>
      <c r="V153" s="141">
        <v>171.3695972479176</v>
      </c>
      <c r="W153" s="141">
        <v>171.3695972479176</v>
      </c>
      <c r="X153" s="141">
        <v>171.3695972479176</v>
      </c>
    </row>
    <row r="154" spans="1:24" x14ac:dyDescent="0.3">
      <c r="A154" s="7"/>
      <c r="B154" s="7"/>
      <c r="C154" s="7"/>
      <c r="D154" s="7"/>
      <c r="E154" s="147" t="s">
        <v>221</v>
      </c>
      <c r="F154" s="38" t="s">
        <v>402</v>
      </c>
      <c r="G154" s="144">
        <f t="shared" si="15"/>
        <v>217.66626304043595</v>
      </c>
      <c r="H154" s="144">
        <f t="shared" si="16"/>
        <v>217.66626304043595</v>
      </c>
      <c r="I154" s="144">
        <f t="shared" si="17"/>
        <v>217.66626304043595</v>
      </c>
      <c r="J154" s="144">
        <f t="shared" si="18"/>
        <v>217.66626304043595</v>
      </c>
      <c r="K154" s="144">
        <f t="shared" si="19"/>
        <v>217.66626304043595</v>
      </c>
      <c r="L154" s="99" t="str">
        <f>VLOOKUP(E154,Mapping!$E$11:$G$204,3,0)</f>
        <v>Replacement</v>
      </c>
      <c r="N154" s="141">
        <v>0</v>
      </c>
      <c r="O154" s="141">
        <v>0</v>
      </c>
      <c r="P154" s="141">
        <v>0</v>
      </c>
      <c r="Q154" s="141">
        <v>0</v>
      </c>
      <c r="R154" s="141">
        <v>0</v>
      </c>
      <c r="T154" s="141">
        <v>217.66626304043595</v>
      </c>
      <c r="U154" s="141">
        <v>217.66626304043595</v>
      </c>
      <c r="V154" s="141">
        <v>217.66626304043595</v>
      </c>
      <c r="W154" s="141">
        <v>217.66626304043595</v>
      </c>
      <c r="X154" s="141">
        <v>217.66626304043595</v>
      </c>
    </row>
    <row r="155" spans="1:24" x14ac:dyDescent="0.3">
      <c r="A155" s="7"/>
      <c r="B155" s="7"/>
      <c r="C155" s="7"/>
      <c r="D155" s="7"/>
      <c r="E155" s="147" t="s">
        <v>222</v>
      </c>
      <c r="F155" s="38" t="s">
        <v>403</v>
      </c>
      <c r="G155" s="144">
        <f t="shared" si="15"/>
        <v>0</v>
      </c>
      <c r="H155" s="144">
        <f t="shared" si="16"/>
        <v>0</v>
      </c>
      <c r="I155" s="144">
        <f t="shared" si="17"/>
        <v>0</v>
      </c>
      <c r="J155" s="144">
        <f t="shared" si="18"/>
        <v>0</v>
      </c>
      <c r="K155" s="144">
        <f t="shared" si="19"/>
        <v>0</v>
      </c>
      <c r="L155" s="99" t="str">
        <f>VLOOKUP(E155,Mapping!$E$11:$G$204,3,0)</f>
        <v>Replacement</v>
      </c>
      <c r="N155" s="141">
        <v>0</v>
      </c>
      <c r="O155" s="141">
        <v>0</v>
      </c>
      <c r="P155" s="141">
        <v>0</v>
      </c>
      <c r="Q155" s="141">
        <v>0</v>
      </c>
      <c r="R155" s="141">
        <v>0</v>
      </c>
      <c r="T155" s="141">
        <v>0</v>
      </c>
      <c r="U155" s="141">
        <v>0</v>
      </c>
      <c r="V155" s="141">
        <v>0</v>
      </c>
      <c r="W155" s="141">
        <v>0</v>
      </c>
      <c r="X155" s="141">
        <v>0</v>
      </c>
    </row>
    <row r="156" spans="1:24" x14ac:dyDescent="0.3">
      <c r="A156" s="7"/>
      <c r="B156" s="7"/>
      <c r="C156" s="7"/>
      <c r="D156" s="7"/>
      <c r="E156" s="147" t="s">
        <v>223</v>
      </c>
      <c r="F156" s="38" t="s">
        <v>404</v>
      </c>
      <c r="G156" s="144">
        <f t="shared" si="15"/>
        <v>0</v>
      </c>
      <c r="H156" s="144">
        <f t="shared" si="16"/>
        <v>0</v>
      </c>
      <c r="I156" s="144">
        <f t="shared" si="17"/>
        <v>0</v>
      </c>
      <c r="J156" s="144">
        <f t="shared" si="18"/>
        <v>0</v>
      </c>
      <c r="K156" s="144">
        <f t="shared" si="19"/>
        <v>0</v>
      </c>
      <c r="L156" s="99" t="str">
        <f>VLOOKUP(E156,Mapping!$E$11:$G$204,3,0)</f>
        <v>Replacement</v>
      </c>
      <c r="N156" s="141">
        <v>0</v>
      </c>
      <c r="O156" s="141">
        <v>0</v>
      </c>
      <c r="P156" s="141">
        <v>0</v>
      </c>
      <c r="Q156" s="141">
        <v>0</v>
      </c>
      <c r="R156" s="141">
        <v>0</v>
      </c>
      <c r="T156" s="141">
        <v>0</v>
      </c>
      <c r="U156" s="141">
        <v>0</v>
      </c>
      <c r="V156" s="141">
        <v>0</v>
      </c>
      <c r="W156" s="141">
        <v>0</v>
      </c>
      <c r="X156" s="141">
        <v>0</v>
      </c>
    </row>
    <row r="157" spans="1:24" x14ac:dyDescent="0.3">
      <c r="A157" s="7"/>
      <c r="B157" s="7"/>
      <c r="C157" s="7"/>
      <c r="D157" s="7"/>
      <c r="E157" s="147" t="s">
        <v>224</v>
      </c>
      <c r="F157" s="38" t="s">
        <v>405</v>
      </c>
      <c r="G157" s="144">
        <f t="shared" si="15"/>
        <v>0</v>
      </c>
      <c r="H157" s="144">
        <f t="shared" si="16"/>
        <v>0</v>
      </c>
      <c r="I157" s="144">
        <f t="shared" si="17"/>
        <v>0</v>
      </c>
      <c r="J157" s="144">
        <f t="shared" si="18"/>
        <v>0</v>
      </c>
      <c r="K157" s="144">
        <f t="shared" si="19"/>
        <v>0</v>
      </c>
      <c r="L157" s="99" t="str">
        <f>VLOOKUP(E157,Mapping!$E$11:$G$204,3,0)</f>
        <v>Replacement</v>
      </c>
      <c r="N157" s="141">
        <v>0</v>
      </c>
      <c r="O157" s="141">
        <v>0</v>
      </c>
      <c r="P157" s="141">
        <v>0</v>
      </c>
      <c r="Q157" s="141">
        <v>0</v>
      </c>
      <c r="R157" s="141">
        <v>0</v>
      </c>
      <c r="T157" s="141">
        <v>0</v>
      </c>
      <c r="U157" s="141">
        <v>0</v>
      </c>
      <c r="V157" s="141">
        <v>0</v>
      </c>
      <c r="W157" s="141">
        <v>0</v>
      </c>
      <c r="X157" s="141">
        <v>0</v>
      </c>
    </row>
    <row r="158" spans="1:24" x14ac:dyDescent="0.3">
      <c r="A158" s="7"/>
      <c r="B158" s="7"/>
      <c r="C158" s="7"/>
      <c r="D158" s="7"/>
      <c r="E158" s="147" t="s">
        <v>225</v>
      </c>
      <c r="F158" s="38" t="s">
        <v>406</v>
      </c>
      <c r="G158" s="144">
        <f t="shared" si="15"/>
        <v>80.235195286255504</v>
      </c>
      <c r="H158" s="144">
        <f t="shared" si="16"/>
        <v>80.235195286255504</v>
      </c>
      <c r="I158" s="144">
        <f t="shared" si="17"/>
        <v>80.235195286255504</v>
      </c>
      <c r="J158" s="144">
        <f t="shared" si="18"/>
        <v>80.235195286255504</v>
      </c>
      <c r="K158" s="144">
        <f t="shared" si="19"/>
        <v>80.235195286255504</v>
      </c>
      <c r="L158" s="99" t="str">
        <f>VLOOKUP(E158,Mapping!$E$11:$G$204,3,0)</f>
        <v>Replacement</v>
      </c>
      <c r="N158" s="141">
        <v>0</v>
      </c>
      <c r="O158" s="141">
        <v>0</v>
      </c>
      <c r="P158" s="141">
        <v>0</v>
      </c>
      <c r="Q158" s="141">
        <v>0</v>
      </c>
      <c r="R158" s="141">
        <v>0</v>
      </c>
      <c r="T158" s="141">
        <v>80.235195286255504</v>
      </c>
      <c r="U158" s="141">
        <v>80.235195286255504</v>
      </c>
      <c r="V158" s="141">
        <v>80.235195286255504</v>
      </c>
      <c r="W158" s="141">
        <v>80.235195286255504</v>
      </c>
      <c r="X158" s="141">
        <v>80.235195286255504</v>
      </c>
    </row>
    <row r="159" spans="1:24" x14ac:dyDescent="0.3">
      <c r="A159" s="7"/>
      <c r="B159" s="7"/>
      <c r="C159" s="7"/>
      <c r="D159" s="7"/>
      <c r="E159" s="147" t="s">
        <v>226</v>
      </c>
      <c r="F159" s="38" t="s">
        <v>407</v>
      </c>
      <c r="G159" s="144">
        <f t="shared" si="15"/>
        <v>0</v>
      </c>
      <c r="H159" s="144">
        <f t="shared" si="16"/>
        <v>0</v>
      </c>
      <c r="I159" s="144">
        <f t="shared" si="17"/>
        <v>478.43476576032367</v>
      </c>
      <c r="J159" s="144">
        <f t="shared" si="18"/>
        <v>478.43476576032367</v>
      </c>
      <c r="K159" s="144">
        <f t="shared" si="19"/>
        <v>0</v>
      </c>
      <c r="L159" s="99" t="str">
        <f>VLOOKUP(E159,Mapping!$E$11:$G$204,3,0)</f>
        <v>Replacement</v>
      </c>
      <c r="N159" s="141">
        <v>0</v>
      </c>
      <c r="O159" s="141">
        <v>0</v>
      </c>
      <c r="P159" s="141">
        <v>0</v>
      </c>
      <c r="Q159" s="141">
        <v>0</v>
      </c>
      <c r="R159" s="141">
        <v>0</v>
      </c>
      <c r="T159" s="141">
        <v>0</v>
      </c>
      <c r="U159" s="141">
        <v>0</v>
      </c>
      <c r="V159" s="228">
        <v>478.43476576032367</v>
      </c>
      <c r="W159" s="228">
        <v>478.43476576032367</v>
      </c>
      <c r="X159" s="141">
        <v>0</v>
      </c>
    </row>
    <row r="160" spans="1:24" x14ac:dyDescent="0.3">
      <c r="A160" s="7"/>
      <c r="B160" s="7"/>
      <c r="C160" s="7"/>
      <c r="D160" s="7"/>
      <c r="E160" s="147" t="s">
        <v>227</v>
      </c>
      <c r="F160" s="38" t="s">
        <v>408</v>
      </c>
      <c r="G160" s="144">
        <f t="shared" si="15"/>
        <v>1760.3087912420074</v>
      </c>
      <c r="H160" s="144">
        <f t="shared" si="16"/>
        <v>1760.3087912420074</v>
      </c>
      <c r="I160" s="144">
        <f t="shared" si="17"/>
        <v>1760.3087912420074</v>
      </c>
      <c r="J160" s="144">
        <f t="shared" si="18"/>
        <v>1760.3087912420074</v>
      </c>
      <c r="K160" s="144">
        <f t="shared" si="19"/>
        <v>1760.3087912420074</v>
      </c>
      <c r="L160" s="99" t="str">
        <f>VLOOKUP(E160,Mapping!$E$11:$G$204,3,0)</f>
        <v>Replacement</v>
      </c>
      <c r="N160" s="141">
        <v>0</v>
      </c>
      <c r="O160" s="141">
        <v>0</v>
      </c>
      <c r="P160" s="141">
        <v>0</v>
      </c>
      <c r="Q160" s="141">
        <v>0</v>
      </c>
      <c r="R160" s="141">
        <v>0</v>
      </c>
      <c r="T160" s="141">
        <v>1760.3087912420074</v>
      </c>
      <c r="U160" s="141">
        <v>1760.3087912420074</v>
      </c>
      <c r="V160" s="141">
        <v>1760.3087912420074</v>
      </c>
      <c r="W160" s="141">
        <v>1760.3087912420074</v>
      </c>
      <c r="X160" s="141">
        <v>1760.3087912420074</v>
      </c>
    </row>
    <row r="161" spans="1:24" x14ac:dyDescent="0.3">
      <c r="A161" s="7"/>
      <c r="B161" s="7"/>
      <c r="C161" s="7"/>
      <c r="D161" s="7"/>
      <c r="E161" s="147" t="s">
        <v>228</v>
      </c>
      <c r="F161" s="38" t="s">
        <v>409</v>
      </c>
      <c r="G161" s="144">
        <f t="shared" si="15"/>
        <v>1198.8909795814886</v>
      </c>
      <c r="H161" s="144">
        <f t="shared" si="16"/>
        <v>1198.8909795814886</v>
      </c>
      <c r="I161" s="144">
        <f t="shared" si="17"/>
        <v>1198.8909795814886</v>
      </c>
      <c r="J161" s="144">
        <f t="shared" si="18"/>
        <v>1198.8909795814886</v>
      </c>
      <c r="K161" s="144">
        <f t="shared" si="19"/>
        <v>1198.8909795814886</v>
      </c>
      <c r="L161" s="99" t="str">
        <f>VLOOKUP(E161,Mapping!$E$11:$G$204,3,0)</f>
        <v>Replacement</v>
      </c>
      <c r="N161" s="141">
        <v>0</v>
      </c>
      <c r="O161" s="141">
        <v>0</v>
      </c>
      <c r="P161" s="141">
        <v>0</v>
      </c>
      <c r="Q161" s="141">
        <v>0</v>
      </c>
      <c r="R161" s="141">
        <v>0</v>
      </c>
      <c r="T161" s="141">
        <v>1198.8909795814886</v>
      </c>
      <c r="U161" s="141">
        <v>1198.8909795814886</v>
      </c>
      <c r="V161" s="141">
        <v>1198.8909795814886</v>
      </c>
      <c r="W161" s="141">
        <v>1198.8909795814886</v>
      </c>
      <c r="X161" s="141">
        <v>1198.8909795814886</v>
      </c>
    </row>
    <row r="162" spans="1:24" x14ac:dyDescent="0.3">
      <c r="A162" s="7"/>
      <c r="B162" s="7"/>
      <c r="C162" s="7"/>
      <c r="D162" s="7"/>
      <c r="E162" s="147" t="s">
        <v>229</v>
      </c>
      <c r="F162" s="38" t="s">
        <v>410</v>
      </c>
      <c r="G162" s="144">
        <f t="shared" si="15"/>
        <v>42.861333029162985</v>
      </c>
      <c r="H162" s="144">
        <f t="shared" si="16"/>
        <v>42.861333029162985</v>
      </c>
      <c r="I162" s="144">
        <f t="shared" si="17"/>
        <v>42.861333029162985</v>
      </c>
      <c r="J162" s="144">
        <f t="shared" si="18"/>
        <v>42.861333029162985</v>
      </c>
      <c r="K162" s="144">
        <f t="shared" si="19"/>
        <v>42.861333029162985</v>
      </c>
      <c r="L162" s="99" t="str">
        <f>VLOOKUP(E162,Mapping!$E$11:$G$204,3,0)</f>
        <v>Replacement</v>
      </c>
      <c r="N162" s="141">
        <v>0</v>
      </c>
      <c r="O162" s="141">
        <v>0</v>
      </c>
      <c r="P162" s="141">
        <v>0</v>
      </c>
      <c r="Q162" s="141">
        <v>0</v>
      </c>
      <c r="R162" s="141">
        <v>0</v>
      </c>
      <c r="T162" s="141">
        <v>42.861333029162985</v>
      </c>
      <c r="U162" s="141">
        <v>42.861333029162985</v>
      </c>
      <c r="V162" s="141">
        <v>42.861333029162985</v>
      </c>
      <c r="W162" s="141">
        <v>42.861333029162985</v>
      </c>
      <c r="X162" s="141">
        <v>42.861333029162985</v>
      </c>
    </row>
    <row r="163" spans="1:24" x14ac:dyDescent="0.3">
      <c r="A163" s="7"/>
      <c r="B163" s="7"/>
      <c r="C163" s="7"/>
      <c r="D163" s="7"/>
      <c r="E163" s="147" t="s">
        <v>230</v>
      </c>
      <c r="F163" s="38" t="s">
        <v>411</v>
      </c>
      <c r="G163" s="144">
        <f t="shared" si="15"/>
        <v>1921.4604421418971</v>
      </c>
      <c r="H163" s="144">
        <f t="shared" si="16"/>
        <v>1921.4604421418971</v>
      </c>
      <c r="I163" s="144">
        <f t="shared" si="17"/>
        <v>1921.4604421418971</v>
      </c>
      <c r="J163" s="144">
        <f t="shared" si="18"/>
        <v>1921.4604421418971</v>
      </c>
      <c r="K163" s="144">
        <f t="shared" si="19"/>
        <v>1921.4604421418971</v>
      </c>
      <c r="L163" s="99" t="str">
        <f>VLOOKUP(E163,Mapping!$E$11:$G$204,3,0)</f>
        <v>Replacement</v>
      </c>
      <c r="N163" s="141">
        <v>0</v>
      </c>
      <c r="O163" s="141">
        <v>0</v>
      </c>
      <c r="P163" s="141">
        <v>0</v>
      </c>
      <c r="Q163" s="141">
        <v>0</v>
      </c>
      <c r="R163" s="141">
        <v>0</v>
      </c>
      <c r="T163" s="141">
        <v>1921.4604421418971</v>
      </c>
      <c r="U163" s="141">
        <v>1921.4604421418971</v>
      </c>
      <c r="V163" s="141">
        <v>1921.4604421418971</v>
      </c>
      <c r="W163" s="141">
        <v>1921.4604421418971</v>
      </c>
      <c r="X163" s="141">
        <v>1921.4604421418971</v>
      </c>
    </row>
    <row r="164" spans="1:24" x14ac:dyDescent="0.3">
      <c r="A164" s="7"/>
      <c r="B164" s="7"/>
      <c r="C164" s="7"/>
      <c r="D164" s="7"/>
      <c r="E164" s="147" t="s">
        <v>231</v>
      </c>
      <c r="F164" s="38" t="s">
        <v>412</v>
      </c>
      <c r="G164" s="144">
        <f t="shared" si="15"/>
        <v>395.57732093579284</v>
      </c>
      <c r="H164" s="144">
        <f t="shared" si="16"/>
        <v>395.57732093579284</v>
      </c>
      <c r="I164" s="144">
        <f t="shared" si="17"/>
        <v>395.57732093579284</v>
      </c>
      <c r="J164" s="144">
        <f t="shared" si="18"/>
        <v>395.57732093579284</v>
      </c>
      <c r="K164" s="144">
        <f t="shared" si="19"/>
        <v>395.57732093579284</v>
      </c>
      <c r="L164" s="99" t="str">
        <f>VLOOKUP(E164,Mapping!$E$11:$G$204,3,0)</f>
        <v>Replacement</v>
      </c>
      <c r="N164" s="141">
        <v>0</v>
      </c>
      <c r="O164" s="141">
        <v>0</v>
      </c>
      <c r="P164" s="141">
        <v>0</v>
      </c>
      <c r="Q164" s="141">
        <v>0</v>
      </c>
      <c r="R164" s="141">
        <v>0</v>
      </c>
      <c r="T164" s="141">
        <v>395.57732093579284</v>
      </c>
      <c r="U164" s="141">
        <v>395.57732093579284</v>
      </c>
      <c r="V164" s="141">
        <v>395.57732093579284</v>
      </c>
      <c r="W164" s="141">
        <v>395.57732093579284</v>
      </c>
      <c r="X164" s="141">
        <v>395.57732093579284</v>
      </c>
    </row>
    <row r="165" spans="1:24" x14ac:dyDescent="0.3">
      <c r="A165" s="7"/>
      <c r="B165" s="7"/>
      <c r="C165" s="7"/>
      <c r="D165" s="7"/>
      <c r="E165" s="147" t="s">
        <v>232</v>
      </c>
      <c r="F165" s="38" t="s">
        <v>413</v>
      </c>
      <c r="G165" s="144">
        <f t="shared" si="15"/>
        <v>0</v>
      </c>
      <c r="H165" s="144">
        <f t="shared" si="16"/>
        <v>0</v>
      </c>
      <c r="I165" s="144">
        <f t="shared" si="17"/>
        <v>0</v>
      </c>
      <c r="J165" s="144">
        <f t="shared" si="18"/>
        <v>0</v>
      </c>
      <c r="K165" s="144">
        <f t="shared" si="19"/>
        <v>0</v>
      </c>
      <c r="L165" s="99" t="str">
        <f>VLOOKUP(E165,Mapping!$E$11:$G$204,3,0)</f>
        <v>Replacement</v>
      </c>
      <c r="N165" s="141">
        <v>0</v>
      </c>
      <c r="O165" s="141">
        <v>0</v>
      </c>
      <c r="P165" s="141">
        <v>0</v>
      </c>
      <c r="Q165" s="141">
        <v>0</v>
      </c>
      <c r="R165" s="141">
        <v>0</v>
      </c>
      <c r="T165" s="141">
        <v>0</v>
      </c>
      <c r="U165" s="141">
        <v>0</v>
      </c>
      <c r="V165" s="141">
        <v>0</v>
      </c>
      <c r="W165" s="141">
        <v>0</v>
      </c>
      <c r="X165" s="141">
        <v>0</v>
      </c>
    </row>
    <row r="166" spans="1:24" x14ac:dyDescent="0.3">
      <c r="A166" s="7"/>
      <c r="B166" s="7"/>
      <c r="C166" s="7"/>
      <c r="D166" s="7"/>
      <c r="E166" s="147" t="s">
        <v>233</v>
      </c>
      <c r="F166" s="38" t="s">
        <v>414</v>
      </c>
      <c r="G166" s="144">
        <f t="shared" si="15"/>
        <v>0</v>
      </c>
      <c r="H166" s="144">
        <f t="shared" si="16"/>
        <v>0</v>
      </c>
      <c r="I166" s="144">
        <f t="shared" si="17"/>
        <v>0</v>
      </c>
      <c r="J166" s="144">
        <f t="shared" si="18"/>
        <v>0</v>
      </c>
      <c r="K166" s="144">
        <f t="shared" si="19"/>
        <v>0</v>
      </c>
      <c r="L166" s="99" t="str">
        <f>VLOOKUP(E166,Mapping!$E$11:$G$204,3,0)</f>
        <v>Replacement</v>
      </c>
      <c r="N166" s="141">
        <v>0</v>
      </c>
      <c r="O166" s="141">
        <v>0</v>
      </c>
      <c r="P166" s="141">
        <v>0</v>
      </c>
      <c r="Q166" s="141">
        <v>0</v>
      </c>
      <c r="R166" s="141">
        <v>0</v>
      </c>
      <c r="T166" s="141">
        <v>0</v>
      </c>
      <c r="U166" s="141">
        <v>0</v>
      </c>
      <c r="V166" s="141">
        <v>0</v>
      </c>
      <c r="W166" s="141">
        <v>0</v>
      </c>
      <c r="X166" s="141">
        <v>0</v>
      </c>
    </row>
    <row r="167" spans="1:24" x14ac:dyDescent="0.3">
      <c r="A167" s="7"/>
      <c r="B167" s="7"/>
      <c r="C167" s="7"/>
      <c r="D167" s="7"/>
      <c r="E167" s="147" t="s">
        <v>234</v>
      </c>
      <c r="F167" s="38" t="s">
        <v>415</v>
      </c>
      <c r="G167" s="144">
        <f t="shared" si="15"/>
        <v>4389.4690734410615</v>
      </c>
      <c r="H167" s="144">
        <f t="shared" si="16"/>
        <v>4389.4690734410615</v>
      </c>
      <c r="I167" s="144">
        <f t="shared" si="17"/>
        <v>4389.4690734410615</v>
      </c>
      <c r="J167" s="144">
        <f t="shared" si="18"/>
        <v>4389.4690734410615</v>
      </c>
      <c r="K167" s="144">
        <f t="shared" si="19"/>
        <v>4389.4690734410615</v>
      </c>
      <c r="L167" s="99" t="str">
        <f>VLOOKUP(E167,Mapping!$E$11:$G$204,3,0)</f>
        <v>Replacement</v>
      </c>
      <c r="N167" s="141">
        <v>0</v>
      </c>
      <c r="O167" s="141">
        <v>0</v>
      </c>
      <c r="P167" s="141">
        <v>0</v>
      </c>
      <c r="Q167" s="141">
        <v>0</v>
      </c>
      <c r="R167" s="141">
        <v>0</v>
      </c>
      <c r="T167" s="141">
        <v>4389.4690734410615</v>
      </c>
      <c r="U167" s="141">
        <v>4389.4690734410615</v>
      </c>
      <c r="V167" s="141">
        <v>4389.4690734410615</v>
      </c>
      <c r="W167" s="141">
        <v>4389.4690734410615</v>
      </c>
      <c r="X167" s="141">
        <v>4389.4690734410615</v>
      </c>
    </row>
    <row r="168" spans="1:24" x14ac:dyDescent="0.3">
      <c r="A168" s="7"/>
      <c r="B168" s="7"/>
      <c r="C168" s="7"/>
      <c r="D168" s="7"/>
      <c r="E168" s="147" t="s">
        <v>235</v>
      </c>
      <c r="F168" s="38" t="s">
        <v>416</v>
      </c>
      <c r="G168" s="144">
        <f t="shared" si="15"/>
        <v>0</v>
      </c>
      <c r="H168" s="144">
        <f t="shared" si="16"/>
        <v>0</v>
      </c>
      <c r="I168" s="144">
        <f t="shared" si="17"/>
        <v>0</v>
      </c>
      <c r="J168" s="144">
        <f t="shared" si="18"/>
        <v>0</v>
      </c>
      <c r="K168" s="144">
        <f t="shared" si="19"/>
        <v>0</v>
      </c>
      <c r="L168" s="99" t="str">
        <f>VLOOKUP(E168,Mapping!$E$11:$G$204,3,0)</f>
        <v>Replacement</v>
      </c>
      <c r="N168" s="141">
        <v>0</v>
      </c>
      <c r="O168" s="141">
        <v>0</v>
      </c>
      <c r="P168" s="141">
        <v>0</v>
      </c>
      <c r="Q168" s="141">
        <v>0</v>
      </c>
      <c r="R168" s="141">
        <v>0</v>
      </c>
      <c r="T168" s="141">
        <v>0</v>
      </c>
      <c r="U168" s="141">
        <v>0</v>
      </c>
      <c r="V168" s="141">
        <v>0</v>
      </c>
      <c r="W168" s="141">
        <v>0</v>
      </c>
      <c r="X168" s="141">
        <v>0</v>
      </c>
    </row>
    <row r="169" spans="1:24" x14ac:dyDescent="0.3">
      <c r="A169" s="7"/>
      <c r="B169" s="7"/>
      <c r="C169" s="7"/>
      <c r="D169" s="7"/>
      <c r="E169" s="147" t="s">
        <v>236</v>
      </c>
      <c r="F169" s="38" t="s">
        <v>417</v>
      </c>
      <c r="G169" s="144">
        <f t="shared" si="15"/>
        <v>770.59889624566813</v>
      </c>
      <c r="H169" s="144">
        <f t="shared" si="16"/>
        <v>770.59889624566813</v>
      </c>
      <c r="I169" s="144">
        <f t="shared" si="17"/>
        <v>770.59889624566813</v>
      </c>
      <c r="J169" s="144">
        <f t="shared" si="18"/>
        <v>770.59889624566813</v>
      </c>
      <c r="K169" s="144">
        <f t="shared" si="19"/>
        <v>770.59889624566813</v>
      </c>
      <c r="L169" s="99" t="str">
        <f>VLOOKUP(E169,Mapping!$E$11:$G$204,3,0)</f>
        <v>Replacement</v>
      </c>
      <c r="N169" s="141">
        <v>0</v>
      </c>
      <c r="O169" s="141">
        <v>0</v>
      </c>
      <c r="P169" s="141">
        <v>0</v>
      </c>
      <c r="Q169" s="141">
        <v>0</v>
      </c>
      <c r="R169" s="141">
        <v>0</v>
      </c>
      <c r="T169" s="141">
        <v>770.59889624566813</v>
      </c>
      <c r="U169" s="141">
        <v>770.59889624566813</v>
      </c>
      <c r="V169" s="141">
        <v>770.59889624566813</v>
      </c>
      <c r="W169" s="141">
        <v>770.59889624566813</v>
      </c>
      <c r="X169" s="141">
        <v>770.59889624566813</v>
      </c>
    </row>
    <row r="170" spans="1:24" x14ac:dyDescent="0.3">
      <c r="A170" s="7"/>
      <c r="B170" s="7"/>
      <c r="C170" s="7"/>
      <c r="D170" s="7"/>
      <c r="E170" s="147" t="s">
        <v>544</v>
      </c>
      <c r="F170" s="38" t="s">
        <v>545</v>
      </c>
      <c r="G170" s="144">
        <f t="shared" si="15"/>
        <v>3526.9536714137498</v>
      </c>
      <c r="H170" s="144">
        <f t="shared" si="16"/>
        <v>3526.9536714137498</v>
      </c>
      <c r="I170" s="144">
        <f t="shared" si="17"/>
        <v>3526.9536714137498</v>
      </c>
      <c r="J170" s="144">
        <f t="shared" si="18"/>
        <v>3526.9536714137498</v>
      </c>
      <c r="K170" s="144">
        <f t="shared" si="19"/>
        <v>3526.9536714137498</v>
      </c>
      <c r="L170" s="99" t="str">
        <f>VLOOKUP(E170,Mapping!$E$11:$G$204,3,0)</f>
        <v>Replacement</v>
      </c>
      <c r="N170" s="141">
        <v>0</v>
      </c>
      <c r="O170" s="141">
        <v>0</v>
      </c>
      <c r="P170" s="141">
        <v>0</v>
      </c>
      <c r="Q170" s="141">
        <v>0</v>
      </c>
      <c r="R170" s="141">
        <v>0</v>
      </c>
      <c r="T170" s="141">
        <v>3526.9536714137498</v>
      </c>
      <c r="U170" s="141">
        <v>3526.9536714137498</v>
      </c>
      <c r="V170" s="141">
        <v>3526.9536714137498</v>
      </c>
      <c r="W170" s="141">
        <v>3526.9536714137498</v>
      </c>
      <c r="X170" s="141">
        <v>3526.9536714137498</v>
      </c>
    </row>
    <row r="171" spans="1:24" x14ac:dyDescent="0.3">
      <c r="A171" s="7"/>
      <c r="B171" s="7"/>
      <c r="C171" s="7"/>
      <c r="D171" s="7"/>
      <c r="E171" s="147" t="s">
        <v>237</v>
      </c>
      <c r="F171" s="38" t="s">
        <v>418</v>
      </c>
      <c r="G171" s="144">
        <f t="shared" si="15"/>
        <v>0</v>
      </c>
      <c r="H171" s="144">
        <f t="shared" si="16"/>
        <v>0</v>
      </c>
      <c r="I171" s="144">
        <f t="shared" si="17"/>
        <v>0</v>
      </c>
      <c r="J171" s="144">
        <f t="shared" si="18"/>
        <v>0</v>
      </c>
      <c r="K171" s="144">
        <f t="shared" si="19"/>
        <v>0</v>
      </c>
      <c r="L171" s="99" t="str">
        <f>VLOOKUP(E171,Mapping!$E$11:$G$204,3,0)</f>
        <v>Replacement</v>
      </c>
      <c r="N171" s="141">
        <v>0</v>
      </c>
      <c r="O171" s="141">
        <v>0</v>
      </c>
      <c r="P171" s="141">
        <v>0</v>
      </c>
      <c r="Q171" s="141">
        <v>0</v>
      </c>
      <c r="R171" s="141">
        <v>0</v>
      </c>
      <c r="T171" s="141">
        <v>0</v>
      </c>
      <c r="U171" s="141">
        <v>0</v>
      </c>
      <c r="V171" s="141">
        <v>0</v>
      </c>
      <c r="W171" s="141">
        <v>0</v>
      </c>
      <c r="X171" s="141">
        <v>0</v>
      </c>
    </row>
    <row r="172" spans="1:24" x14ac:dyDescent="0.3">
      <c r="A172" s="7"/>
      <c r="B172" s="7"/>
      <c r="C172" s="7"/>
      <c r="D172" s="7"/>
      <c r="E172" s="147" t="s">
        <v>238</v>
      </c>
      <c r="F172" s="38" t="s">
        <v>419</v>
      </c>
      <c r="G172" s="144">
        <f t="shared" si="15"/>
        <v>154.34743571954945</v>
      </c>
      <c r="H172" s="144">
        <f t="shared" si="16"/>
        <v>154.34743571954945</v>
      </c>
      <c r="I172" s="144">
        <f t="shared" si="17"/>
        <v>154.34743571954945</v>
      </c>
      <c r="J172" s="144">
        <f t="shared" si="18"/>
        <v>154.34743571954945</v>
      </c>
      <c r="K172" s="144">
        <f t="shared" si="19"/>
        <v>154.34743571954945</v>
      </c>
      <c r="L172" s="99" t="str">
        <f>VLOOKUP(E172,Mapping!$E$11:$G$204,3,0)</f>
        <v>Replacement</v>
      </c>
      <c r="N172" s="141">
        <v>0</v>
      </c>
      <c r="O172" s="141">
        <v>0</v>
      </c>
      <c r="P172" s="141">
        <v>0</v>
      </c>
      <c r="Q172" s="141">
        <v>0</v>
      </c>
      <c r="R172" s="141">
        <v>0</v>
      </c>
      <c r="T172" s="141">
        <v>154.34743571954945</v>
      </c>
      <c r="U172" s="141">
        <v>154.34743571954945</v>
      </c>
      <c r="V172" s="141">
        <v>154.34743571954945</v>
      </c>
      <c r="W172" s="141">
        <v>154.34743571954945</v>
      </c>
      <c r="X172" s="141">
        <v>154.34743571954945</v>
      </c>
    </row>
    <row r="173" spans="1:24" x14ac:dyDescent="0.3">
      <c r="A173" s="7"/>
      <c r="B173" s="7"/>
      <c r="C173" s="7"/>
      <c r="D173" s="7"/>
      <c r="E173" s="147" t="s">
        <v>239</v>
      </c>
      <c r="F173" s="38" t="s">
        <v>420</v>
      </c>
      <c r="G173" s="144">
        <f t="shared" si="15"/>
        <v>0</v>
      </c>
      <c r="H173" s="144">
        <f t="shared" si="16"/>
        <v>0</v>
      </c>
      <c r="I173" s="144">
        <f t="shared" si="17"/>
        <v>0</v>
      </c>
      <c r="J173" s="144">
        <f t="shared" si="18"/>
        <v>0</v>
      </c>
      <c r="K173" s="144">
        <f t="shared" si="19"/>
        <v>0</v>
      </c>
      <c r="L173" s="99" t="str">
        <f>VLOOKUP(E173,Mapping!$E$11:$G$204,3,0)</f>
        <v>Replacement</v>
      </c>
      <c r="N173" s="141">
        <v>0</v>
      </c>
      <c r="O173" s="141">
        <v>0</v>
      </c>
      <c r="P173" s="141">
        <v>0</v>
      </c>
      <c r="Q173" s="141">
        <v>0</v>
      </c>
      <c r="R173" s="141">
        <v>0</v>
      </c>
      <c r="T173" s="141">
        <v>0</v>
      </c>
      <c r="U173" s="141">
        <v>0</v>
      </c>
      <c r="V173" s="141">
        <v>0</v>
      </c>
      <c r="W173" s="141">
        <v>0</v>
      </c>
      <c r="X173" s="141">
        <v>0</v>
      </c>
    </row>
    <row r="174" spans="1:24" x14ac:dyDescent="0.3">
      <c r="A174" s="7"/>
      <c r="B174" s="7"/>
      <c r="C174" s="7"/>
      <c r="D174" s="7"/>
      <c r="E174" s="147" t="s">
        <v>240</v>
      </c>
      <c r="F174" s="38" t="s">
        <v>421</v>
      </c>
      <c r="G174" s="144">
        <f t="shared" si="15"/>
        <v>178.82042127371284</v>
      </c>
      <c r="H174" s="144">
        <f t="shared" si="16"/>
        <v>178.82042127371284</v>
      </c>
      <c r="I174" s="144">
        <f t="shared" si="17"/>
        <v>178.82042127371284</v>
      </c>
      <c r="J174" s="144">
        <f t="shared" si="18"/>
        <v>178.82042127371284</v>
      </c>
      <c r="K174" s="144">
        <f t="shared" si="19"/>
        <v>178.82042127371284</v>
      </c>
      <c r="L174" s="99" t="str">
        <f>VLOOKUP(E174,Mapping!$E$11:$G$204,3,0)</f>
        <v>Replacement</v>
      </c>
      <c r="N174" s="141">
        <v>0</v>
      </c>
      <c r="O174" s="141">
        <v>0</v>
      </c>
      <c r="P174" s="141">
        <v>0</v>
      </c>
      <c r="Q174" s="141">
        <v>0</v>
      </c>
      <c r="R174" s="141">
        <v>0</v>
      </c>
      <c r="T174" s="141">
        <v>178.82042127371284</v>
      </c>
      <c r="U174" s="141">
        <v>178.82042127371284</v>
      </c>
      <c r="V174" s="141">
        <v>178.82042127371284</v>
      </c>
      <c r="W174" s="141">
        <v>178.82042127371284</v>
      </c>
      <c r="X174" s="141">
        <v>178.82042127371284</v>
      </c>
    </row>
    <row r="175" spans="1:24" x14ac:dyDescent="0.3">
      <c r="A175" s="7"/>
      <c r="B175" s="7"/>
      <c r="C175" s="7"/>
      <c r="D175" s="7"/>
      <c r="E175" s="147" t="s">
        <v>241</v>
      </c>
      <c r="F175" s="38" t="s">
        <v>422</v>
      </c>
      <c r="G175" s="144">
        <f t="shared" si="15"/>
        <v>106.80067599289897</v>
      </c>
      <c r="H175" s="144">
        <f t="shared" si="16"/>
        <v>106.80067599289897</v>
      </c>
      <c r="I175" s="144">
        <f t="shared" si="17"/>
        <v>106.80067599289897</v>
      </c>
      <c r="J175" s="144">
        <f t="shared" si="18"/>
        <v>106.80067599289897</v>
      </c>
      <c r="K175" s="144">
        <f t="shared" si="19"/>
        <v>106.80067599289897</v>
      </c>
      <c r="L175" s="99" t="str">
        <f>VLOOKUP(E175,Mapping!$E$11:$G$204,3,0)</f>
        <v>Replacement</v>
      </c>
      <c r="N175" s="141">
        <v>0</v>
      </c>
      <c r="O175" s="141">
        <v>0</v>
      </c>
      <c r="P175" s="141">
        <v>0</v>
      </c>
      <c r="Q175" s="141">
        <v>0</v>
      </c>
      <c r="R175" s="141">
        <v>0</v>
      </c>
      <c r="T175" s="141">
        <v>106.80067599289897</v>
      </c>
      <c r="U175" s="141">
        <v>106.80067599289897</v>
      </c>
      <c r="V175" s="141">
        <v>106.80067599289897</v>
      </c>
      <c r="W175" s="141">
        <v>106.80067599289897</v>
      </c>
      <c r="X175" s="141">
        <v>106.80067599289897</v>
      </c>
    </row>
    <row r="176" spans="1:24" x14ac:dyDescent="0.3">
      <c r="A176" s="7"/>
      <c r="B176" s="7"/>
      <c r="C176" s="7"/>
      <c r="D176" s="7"/>
      <c r="E176" s="313" t="s">
        <v>242</v>
      </c>
      <c r="F176" s="164" t="s">
        <v>423</v>
      </c>
      <c r="G176" s="144">
        <f t="shared" si="15"/>
        <v>24.090222638171849</v>
      </c>
      <c r="H176" s="144">
        <f t="shared" si="16"/>
        <v>24.090222638171849</v>
      </c>
      <c r="I176" s="144">
        <f t="shared" si="17"/>
        <v>24.090222638171849</v>
      </c>
      <c r="J176" s="144">
        <f t="shared" si="18"/>
        <v>24.090222638171849</v>
      </c>
      <c r="K176" s="144">
        <f t="shared" si="19"/>
        <v>24.090222638171849</v>
      </c>
      <c r="L176" s="99" t="str">
        <f>VLOOKUP(E176,Mapping!$E$11:$G$204,3,0)</f>
        <v>Replacement</v>
      </c>
      <c r="N176" s="141">
        <v>0</v>
      </c>
      <c r="O176" s="141">
        <v>0</v>
      </c>
      <c r="P176" s="141">
        <v>0</v>
      </c>
      <c r="Q176" s="141">
        <v>0</v>
      </c>
      <c r="R176" s="141">
        <v>0</v>
      </c>
      <c r="T176" s="141">
        <v>24.090222638171849</v>
      </c>
      <c r="U176" s="141">
        <v>24.090222638171849</v>
      </c>
      <c r="V176" s="141">
        <v>24.090222638171849</v>
      </c>
      <c r="W176" s="141">
        <v>24.090222638171849</v>
      </c>
      <c r="X176" s="141">
        <v>24.090222638171849</v>
      </c>
    </row>
    <row r="177" spans="1:24" x14ac:dyDescent="0.3">
      <c r="A177" s="7"/>
      <c r="B177" s="7"/>
      <c r="C177" s="7"/>
      <c r="D177" s="7"/>
      <c r="E177" s="147" t="s">
        <v>243</v>
      </c>
      <c r="F177" s="38" t="s">
        <v>424</v>
      </c>
      <c r="G177" s="144">
        <f t="shared" si="15"/>
        <v>0</v>
      </c>
      <c r="H177" s="144">
        <f t="shared" si="16"/>
        <v>0</v>
      </c>
      <c r="I177" s="144">
        <f t="shared" si="17"/>
        <v>0</v>
      </c>
      <c r="J177" s="144">
        <f t="shared" si="18"/>
        <v>0</v>
      </c>
      <c r="K177" s="144">
        <f t="shared" si="19"/>
        <v>0</v>
      </c>
      <c r="L177" s="99" t="str">
        <f>VLOOKUP(E177,Mapping!$E$11:$G$204,3,0)</f>
        <v>Replacement</v>
      </c>
      <c r="N177" s="141">
        <v>0</v>
      </c>
      <c r="O177" s="141">
        <v>0</v>
      </c>
      <c r="P177" s="141">
        <v>0</v>
      </c>
      <c r="Q177" s="141">
        <v>0</v>
      </c>
      <c r="R177" s="141">
        <v>0</v>
      </c>
      <c r="T177" s="141">
        <v>0</v>
      </c>
      <c r="U177" s="141">
        <v>0</v>
      </c>
      <c r="V177" s="141">
        <v>0</v>
      </c>
      <c r="W177" s="141">
        <v>0</v>
      </c>
      <c r="X177" s="141">
        <v>0</v>
      </c>
    </row>
    <row r="178" spans="1:24" x14ac:dyDescent="0.3">
      <c r="A178" s="7"/>
      <c r="B178" s="7"/>
      <c r="C178" s="7"/>
      <c r="D178" s="7"/>
      <c r="E178" s="147" t="s">
        <v>244</v>
      </c>
      <c r="F178" s="38" t="s">
        <v>425</v>
      </c>
      <c r="G178" s="144">
        <f t="shared" si="15"/>
        <v>435.87817836171695</v>
      </c>
      <c r="H178" s="144">
        <f t="shared" si="16"/>
        <v>435.87817836171695</v>
      </c>
      <c r="I178" s="144">
        <f t="shared" si="17"/>
        <v>435.87817836171695</v>
      </c>
      <c r="J178" s="144">
        <f t="shared" si="18"/>
        <v>435.87817836171695</v>
      </c>
      <c r="K178" s="144">
        <f t="shared" si="19"/>
        <v>435.87817836171695</v>
      </c>
      <c r="L178" s="99" t="str">
        <f>VLOOKUP(E178,Mapping!$E$11:$G$204,3,0)</f>
        <v>Replacement</v>
      </c>
      <c r="N178" s="141">
        <v>0</v>
      </c>
      <c r="O178" s="141">
        <v>0</v>
      </c>
      <c r="P178" s="141">
        <v>0</v>
      </c>
      <c r="Q178" s="141">
        <v>0</v>
      </c>
      <c r="R178" s="141">
        <v>0</v>
      </c>
      <c r="T178" s="141">
        <v>435.87817836171695</v>
      </c>
      <c r="U178" s="141">
        <v>435.87817836171695</v>
      </c>
      <c r="V178" s="141">
        <v>435.87817836171695</v>
      </c>
      <c r="W178" s="141">
        <v>435.87817836171695</v>
      </c>
      <c r="X178" s="141">
        <v>435.87817836171695</v>
      </c>
    </row>
    <row r="179" spans="1:24" x14ac:dyDescent="0.3">
      <c r="A179" s="7"/>
      <c r="B179" s="7"/>
      <c r="C179" s="7"/>
      <c r="D179" s="7"/>
      <c r="E179" s="147" t="s">
        <v>245</v>
      </c>
      <c r="F179" s="38" t="s">
        <v>426</v>
      </c>
      <c r="G179" s="40"/>
      <c r="H179" s="40"/>
      <c r="I179" s="40"/>
      <c r="J179" s="40"/>
      <c r="K179" s="40"/>
      <c r="L179" s="99" t="str">
        <f>VLOOKUP(E179,Mapping!$E$11:$G$204,3,0)</f>
        <v>ACS</v>
      </c>
      <c r="N179" s="143"/>
      <c r="O179" s="143"/>
      <c r="P179" s="143"/>
      <c r="Q179" s="143"/>
      <c r="R179" s="143"/>
      <c r="T179" s="143"/>
      <c r="U179" s="143"/>
      <c r="V179" s="143"/>
      <c r="W179" s="143"/>
      <c r="X179" s="143"/>
    </row>
    <row r="180" spans="1:24" x14ac:dyDescent="0.3">
      <c r="A180" s="7"/>
      <c r="B180" s="7"/>
      <c r="C180" s="7"/>
      <c r="D180" s="7"/>
      <c r="E180" s="147" t="s">
        <v>246</v>
      </c>
      <c r="F180" s="38" t="s">
        <v>427</v>
      </c>
      <c r="G180" s="40"/>
      <c r="H180" s="40"/>
      <c r="I180" s="40"/>
      <c r="J180" s="40"/>
      <c r="K180" s="40"/>
      <c r="L180" s="99" t="str">
        <f>VLOOKUP(E180,Mapping!$E$11:$G$204,3,0)</f>
        <v>ACS</v>
      </c>
      <c r="N180" s="143"/>
      <c r="O180" s="143"/>
      <c r="P180" s="143"/>
      <c r="Q180" s="143"/>
      <c r="R180" s="143"/>
      <c r="T180" s="143"/>
      <c r="U180" s="143"/>
      <c r="V180" s="143"/>
      <c r="W180" s="143"/>
      <c r="X180" s="143"/>
    </row>
    <row r="181" spans="1:24" x14ac:dyDescent="0.3">
      <c r="A181" s="7"/>
      <c r="B181" s="7"/>
      <c r="C181" s="7"/>
      <c r="D181" s="7"/>
      <c r="E181" s="147" t="s">
        <v>247</v>
      </c>
      <c r="F181" s="38" t="s">
        <v>428</v>
      </c>
      <c r="G181" s="40"/>
      <c r="H181" s="40"/>
      <c r="I181" s="40"/>
      <c r="J181" s="40"/>
      <c r="K181" s="40"/>
      <c r="L181" s="99" t="str">
        <f>VLOOKUP(E181,Mapping!$E$11:$G$204,3,0)</f>
        <v>ACS</v>
      </c>
      <c r="N181" s="143"/>
      <c r="O181" s="143"/>
      <c r="P181" s="143"/>
      <c r="Q181" s="143"/>
      <c r="R181" s="143"/>
      <c r="T181" s="143"/>
      <c r="U181" s="143"/>
      <c r="V181" s="143"/>
      <c r="W181" s="143"/>
      <c r="X181" s="143"/>
    </row>
    <row r="182" spans="1:24" x14ac:dyDescent="0.3">
      <c r="A182" s="7"/>
      <c r="B182" s="7"/>
      <c r="C182" s="7"/>
      <c r="D182" s="7"/>
      <c r="E182" s="147" t="s">
        <v>248</v>
      </c>
      <c r="F182" s="38" t="s">
        <v>429</v>
      </c>
      <c r="G182" s="40"/>
      <c r="H182" s="40"/>
      <c r="I182" s="40"/>
      <c r="J182" s="40"/>
      <c r="K182" s="40"/>
      <c r="L182" s="99" t="str">
        <f>VLOOKUP(E182,Mapping!$E$11:$G$204,3,0)</f>
        <v>ACS</v>
      </c>
      <c r="N182" s="143"/>
      <c r="O182" s="143"/>
      <c r="P182" s="143"/>
      <c r="Q182" s="143"/>
      <c r="R182" s="143"/>
      <c r="T182" s="143"/>
      <c r="U182" s="143"/>
      <c r="V182" s="143"/>
      <c r="W182" s="143"/>
      <c r="X182" s="143"/>
    </row>
    <row r="183" spans="1:24" x14ac:dyDescent="0.3">
      <c r="A183" s="7"/>
      <c r="B183" s="7"/>
      <c r="C183" s="7"/>
      <c r="D183" s="7"/>
      <c r="E183" s="147" t="s">
        <v>249</v>
      </c>
      <c r="F183" s="38" t="s">
        <v>430</v>
      </c>
      <c r="G183" s="40"/>
      <c r="H183" s="40"/>
      <c r="I183" s="40"/>
      <c r="J183" s="40"/>
      <c r="K183" s="40"/>
      <c r="L183" s="99" t="str">
        <f>VLOOKUP(E183,Mapping!$E$11:$G$204,3,0)</f>
        <v>ACS</v>
      </c>
      <c r="N183" s="143"/>
      <c r="O183" s="143"/>
      <c r="P183" s="143"/>
      <c r="Q183" s="143"/>
      <c r="R183" s="143"/>
      <c r="T183" s="143"/>
      <c r="U183" s="143"/>
      <c r="V183" s="143"/>
      <c r="W183" s="143"/>
      <c r="X183" s="143"/>
    </row>
    <row r="184" spans="1:24" x14ac:dyDescent="0.3">
      <c r="A184" s="7"/>
      <c r="B184" s="7"/>
      <c r="C184" s="7"/>
      <c r="D184" s="7"/>
      <c r="E184" s="147" t="s">
        <v>250</v>
      </c>
      <c r="F184" s="38" t="s">
        <v>431</v>
      </c>
      <c r="G184" s="144">
        <f t="shared" ref="G184:K184" si="20">SUM(N184,T184)</f>
        <v>1152.0307755274152</v>
      </c>
      <c r="H184" s="144">
        <f t="shared" si="20"/>
        <v>939.98930838002661</v>
      </c>
      <c r="I184" s="144">
        <f t="shared" si="20"/>
        <v>933.43378358344262</v>
      </c>
      <c r="J184" s="144">
        <f t="shared" si="20"/>
        <v>976.093321395457</v>
      </c>
      <c r="K184" s="144">
        <f t="shared" si="20"/>
        <v>1144.0409496518143</v>
      </c>
      <c r="L184" s="99" t="str">
        <f>VLOOKUP(E184,Mapping!$E$11:$G$204,3,0)</f>
        <v>Augmentation</v>
      </c>
      <c r="N184" s="228">
        <v>1152.0307755274152</v>
      </c>
      <c r="O184" s="228">
        <v>939.98930838002661</v>
      </c>
      <c r="P184" s="228">
        <v>933.43378358344262</v>
      </c>
      <c r="Q184" s="228">
        <v>976.093321395457</v>
      </c>
      <c r="R184" s="228">
        <v>1144.0409496518143</v>
      </c>
      <c r="T184" s="141">
        <v>0</v>
      </c>
      <c r="U184" s="141">
        <v>0</v>
      </c>
      <c r="V184" s="141">
        <v>0</v>
      </c>
      <c r="W184" s="141">
        <v>0</v>
      </c>
      <c r="X184" s="141">
        <v>0</v>
      </c>
    </row>
    <row r="185" spans="1:24" x14ac:dyDescent="0.3">
      <c r="A185" s="7"/>
      <c r="B185" s="7"/>
      <c r="C185" s="7"/>
      <c r="D185" s="7"/>
      <c r="E185" s="147" t="s">
        <v>251</v>
      </c>
      <c r="F185" s="38" t="s">
        <v>432</v>
      </c>
      <c r="G185" s="40"/>
      <c r="H185" s="40"/>
      <c r="I185" s="40"/>
      <c r="J185" s="40"/>
      <c r="K185" s="40"/>
      <c r="L185" s="99" t="str">
        <f>VLOOKUP(E185,Mapping!$E$11:$G$204,3,0)</f>
        <v>ACS</v>
      </c>
      <c r="N185" s="143"/>
      <c r="O185" s="143"/>
      <c r="P185" s="143"/>
      <c r="Q185" s="143"/>
      <c r="R185" s="143"/>
      <c r="T185" s="143"/>
      <c r="U185" s="143"/>
      <c r="V185" s="143"/>
      <c r="W185" s="143"/>
      <c r="X185" s="143"/>
    </row>
    <row r="186" spans="1:24" x14ac:dyDescent="0.3">
      <c r="A186" s="7"/>
      <c r="B186" s="7"/>
      <c r="C186" s="7"/>
      <c r="D186" s="7"/>
      <c r="E186" s="147" t="s">
        <v>252</v>
      </c>
      <c r="F186" s="38" t="s">
        <v>433</v>
      </c>
      <c r="G186" s="40"/>
      <c r="H186" s="40"/>
      <c r="I186" s="40"/>
      <c r="J186" s="40"/>
      <c r="K186" s="40"/>
      <c r="L186" s="99" t="str">
        <f>VLOOKUP(E186,Mapping!$E$11:$G$204,3,0)</f>
        <v>ACS</v>
      </c>
      <c r="N186" s="143"/>
      <c r="O186" s="143"/>
      <c r="P186" s="143"/>
      <c r="Q186" s="143"/>
      <c r="R186" s="143"/>
      <c r="T186" s="143"/>
      <c r="U186" s="143"/>
      <c r="V186" s="143"/>
      <c r="W186" s="143"/>
      <c r="X186" s="143"/>
    </row>
    <row r="187" spans="1:24" x14ac:dyDescent="0.3">
      <c r="A187" s="7"/>
      <c r="B187" s="7"/>
      <c r="C187" s="7"/>
      <c r="D187" s="7"/>
      <c r="E187" s="147" t="s">
        <v>253</v>
      </c>
      <c r="F187" s="38" t="s">
        <v>434</v>
      </c>
      <c r="G187" s="40"/>
      <c r="H187" s="40"/>
      <c r="I187" s="40"/>
      <c r="J187" s="40"/>
      <c r="K187" s="40"/>
      <c r="L187" s="99" t="str">
        <f>VLOOKUP(E187,Mapping!$E$11:$G$204,3,0)</f>
        <v>ACS</v>
      </c>
      <c r="N187" s="143"/>
      <c r="O187" s="143"/>
      <c r="P187" s="143"/>
      <c r="Q187" s="143"/>
      <c r="R187" s="143"/>
      <c r="T187" s="143"/>
      <c r="U187" s="143"/>
      <c r="V187" s="143"/>
      <c r="W187" s="143"/>
      <c r="X187" s="143"/>
    </row>
    <row r="188" spans="1:24" x14ac:dyDescent="0.3">
      <c r="A188" s="7"/>
      <c r="B188" s="7"/>
      <c r="C188" s="7"/>
      <c r="D188" s="7"/>
      <c r="E188" s="147" t="s">
        <v>254</v>
      </c>
      <c r="F188" s="38" t="s">
        <v>435</v>
      </c>
      <c r="G188" s="40"/>
      <c r="H188" s="40"/>
      <c r="I188" s="40"/>
      <c r="J188" s="40"/>
      <c r="K188" s="40"/>
      <c r="L188" s="99" t="str">
        <f>VLOOKUP(E188,Mapping!$E$11:$G$204,3,0)</f>
        <v>ACS</v>
      </c>
      <c r="N188" s="143"/>
      <c r="O188" s="143"/>
      <c r="P188" s="143"/>
      <c r="Q188" s="143"/>
      <c r="R188" s="143"/>
      <c r="T188" s="143"/>
      <c r="U188" s="143"/>
      <c r="V188" s="143"/>
      <c r="W188" s="143"/>
      <c r="X188" s="143"/>
    </row>
    <row r="189" spans="1:24" x14ac:dyDescent="0.3">
      <c r="A189" s="7"/>
      <c r="B189" s="7"/>
      <c r="C189" s="7"/>
      <c r="D189" s="7"/>
      <c r="E189" s="147" t="s">
        <v>255</v>
      </c>
      <c r="F189" s="38" t="s">
        <v>436</v>
      </c>
      <c r="G189" s="40"/>
      <c r="H189" s="40"/>
      <c r="I189" s="40"/>
      <c r="J189" s="40"/>
      <c r="K189" s="40"/>
      <c r="L189" s="99" t="str">
        <f>VLOOKUP(E189,Mapping!$E$11:$G$204,3,0)</f>
        <v>ACS</v>
      </c>
      <c r="N189" s="143"/>
      <c r="O189" s="143"/>
      <c r="P189" s="143"/>
      <c r="Q189" s="143"/>
      <c r="R189" s="143"/>
      <c r="T189" s="143"/>
      <c r="U189" s="143"/>
      <c r="V189" s="143"/>
      <c r="W189" s="143"/>
      <c r="X189" s="143"/>
    </row>
    <row r="190" spans="1:24" x14ac:dyDescent="0.3">
      <c r="A190" s="7"/>
      <c r="B190" s="7"/>
      <c r="C190" s="7"/>
      <c r="D190" s="7"/>
      <c r="E190" s="147" t="s">
        <v>256</v>
      </c>
      <c r="F190" s="38" t="s">
        <v>437</v>
      </c>
      <c r="G190" s="40"/>
      <c r="H190" s="40"/>
      <c r="I190" s="40"/>
      <c r="J190" s="40"/>
      <c r="K190" s="40"/>
      <c r="L190" s="99" t="str">
        <f>VLOOKUP(E190,Mapping!$E$11:$G$204,3,0)</f>
        <v>ACS</v>
      </c>
      <c r="N190" s="143"/>
      <c r="O190" s="143"/>
      <c r="P190" s="143"/>
      <c r="Q190" s="143"/>
      <c r="R190" s="143"/>
      <c r="T190" s="143"/>
      <c r="U190" s="143"/>
      <c r="V190" s="143"/>
      <c r="W190" s="143"/>
      <c r="X190" s="143"/>
    </row>
    <row r="191" spans="1:24" x14ac:dyDescent="0.3">
      <c r="A191" s="7"/>
      <c r="B191" s="7"/>
      <c r="C191" s="7"/>
      <c r="D191" s="7"/>
      <c r="E191" s="147" t="s">
        <v>257</v>
      </c>
      <c r="F191" s="38" t="s">
        <v>438</v>
      </c>
      <c r="G191" s="40"/>
      <c r="H191" s="40"/>
      <c r="I191" s="40"/>
      <c r="J191" s="40"/>
      <c r="K191" s="40"/>
      <c r="L191" s="99" t="str">
        <f>VLOOKUP(E191,Mapping!$E$11:$G$204,3,0)</f>
        <v>ACS</v>
      </c>
      <c r="N191" s="143"/>
      <c r="O191" s="143"/>
      <c r="P191" s="143"/>
      <c r="Q191" s="143"/>
      <c r="R191" s="143"/>
      <c r="T191" s="143"/>
      <c r="U191" s="143"/>
      <c r="V191" s="143"/>
      <c r="W191" s="143"/>
      <c r="X191" s="143"/>
    </row>
    <row r="192" spans="1:24" x14ac:dyDescent="0.3">
      <c r="A192" s="7"/>
      <c r="B192" s="7"/>
      <c r="C192" s="7"/>
      <c r="D192" s="7"/>
      <c r="E192" s="147" t="s">
        <v>258</v>
      </c>
      <c r="F192" s="38" t="s">
        <v>439</v>
      </c>
      <c r="G192" s="40"/>
      <c r="H192" s="40"/>
      <c r="I192" s="40"/>
      <c r="J192" s="40"/>
      <c r="K192" s="40"/>
      <c r="L192" s="99" t="str">
        <f>VLOOKUP(E192,Mapping!$E$11:$G$204,3,0)</f>
        <v>ACS</v>
      </c>
      <c r="N192" s="143"/>
      <c r="O192" s="143"/>
      <c r="P192" s="143"/>
      <c r="Q192" s="143"/>
      <c r="R192" s="143"/>
      <c r="T192" s="143"/>
      <c r="U192" s="143"/>
      <c r="V192" s="143"/>
      <c r="W192" s="143"/>
      <c r="X192" s="143"/>
    </row>
    <row r="193" spans="1:24" x14ac:dyDescent="0.3">
      <c r="A193" s="7"/>
      <c r="B193" s="7"/>
      <c r="C193" s="7"/>
      <c r="D193" s="7"/>
      <c r="E193" s="147" t="s">
        <v>259</v>
      </c>
      <c r="F193" s="38" t="s">
        <v>440</v>
      </c>
      <c r="G193" s="40"/>
      <c r="H193" s="40"/>
      <c r="I193" s="40"/>
      <c r="J193" s="40"/>
      <c r="K193" s="40"/>
      <c r="L193" s="99" t="str">
        <f>VLOOKUP(E193,Mapping!$E$11:$G$204,3,0)</f>
        <v>ACS</v>
      </c>
      <c r="N193" s="143"/>
      <c r="O193" s="143"/>
      <c r="P193" s="143"/>
      <c r="Q193" s="143"/>
      <c r="R193" s="143"/>
      <c r="T193" s="143"/>
      <c r="U193" s="143"/>
      <c r="V193" s="143"/>
      <c r="W193" s="143"/>
      <c r="X193" s="143"/>
    </row>
    <row r="194" spans="1:24" x14ac:dyDescent="0.3">
      <c r="A194" s="7"/>
      <c r="B194" s="7"/>
      <c r="C194" s="7"/>
      <c r="D194" s="7"/>
      <c r="E194" s="147" t="s">
        <v>260</v>
      </c>
      <c r="F194" s="38" t="s">
        <v>441</v>
      </c>
      <c r="G194" s="144">
        <f t="shared" ref="G194:K194" si="21">SUM(N194,T194)</f>
        <v>348.10124733074184</v>
      </c>
      <c r="H194" s="144">
        <f t="shared" si="21"/>
        <v>348.10124733074184</v>
      </c>
      <c r="I194" s="144">
        <f t="shared" si="21"/>
        <v>348.10124733074184</v>
      </c>
      <c r="J194" s="144">
        <f t="shared" si="21"/>
        <v>348.10124733074184</v>
      </c>
      <c r="K194" s="144">
        <f t="shared" si="21"/>
        <v>348.10124733074184</v>
      </c>
      <c r="L194" s="99" t="str">
        <f>VLOOKUP(E194,Mapping!$E$11:$G$204,3,0)</f>
        <v>Replacement</v>
      </c>
      <c r="N194" s="141">
        <v>0</v>
      </c>
      <c r="O194" s="141">
        <v>0</v>
      </c>
      <c r="P194" s="141">
        <v>0</v>
      </c>
      <c r="Q194" s="141">
        <v>0</v>
      </c>
      <c r="R194" s="141">
        <v>0</v>
      </c>
      <c r="T194" s="141">
        <v>348.10124733074184</v>
      </c>
      <c r="U194" s="141">
        <v>348.10124733074184</v>
      </c>
      <c r="V194" s="141">
        <v>348.10124733074184</v>
      </c>
      <c r="W194" s="141">
        <v>348.10124733074184</v>
      </c>
      <c r="X194" s="141">
        <v>348.10124733074184</v>
      </c>
    </row>
    <row r="195" spans="1:24" x14ac:dyDescent="0.3">
      <c r="A195" s="7"/>
      <c r="B195" s="7"/>
      <c r="C195" s="7"/>
      <c r="D195" s="7"/>
      <c r="E195" s="147" t="s">
        <v>261</v>
      </c>
      <c r="F195" s="38" t="s">
        <v>442</v>
      </c>
      <c r="G195" s="40"/>
      <c r="H195" s="40"/>
      <c r="I195" s="40"/>
      <c r="J195" s="40"/>
      <c r="K195" s="40"/>
      <c r="L195" s="99" t="str">
        <f>VLOOKUP(E195,Mapping!$E$11:$G$204,3,0)</f>
        <v>ACS</v>
      </c>
      <c r="N195" s="143"/>
      <c r="O195" s="143"/>
      <c r="P195" s="143"/>
      <c r="Q195" s="143"/>
      <c r="R195" s="143"/>
      <c r="T195" s="143"/>
      <c r="U195" s="143"/>
      <c r="V195" s="143"/>
      <c r="W195" s="143"/>
      <c r="X195" s="143"/>
    </row>
    <row r="196" spans="1:24" x14ac:dyDescent="0.3">
      <c r="A196" s="7"/>
      <c r="B196" s="7"/>
      <c r="C196" s="7"/>
      <c r="D196" s="7"/>
      <c r="E196" s="147" t="s">
        <v>262</v>
      </c>
      <c r="F196" s="38" t="s">
        <v>443</v>
      </c>
      <c r="G196" s="40"/>
      <c r="H196" s="40"/>
      <c r="I196" s="40"/>
      <c r="J196" s="40"/>
      <c r="K196" s="40"/>
      <c r="L196" s="99" t="str">
        <f>VLOOKUP(E196,Mapping!$E$11:$G$204,3,0)</f>
        <v>ACS</v>
      </c>
      <c r="N196" s="143"/>
      <c r="O196" s="143"/>
      <c r="P196" s="143"/>
      <c r="Q196" s="143"/>
      <c r="R196" s="143"/>
      <c r="T196" s="143"/>
      <c r="U196" s="143"/>
      <c r="V196" s="143"/>
      <c r="W196" s="143"/>
      <c r="X196" s="143"/>
    </row>
    <row r="197" spans="1:24" x14ac:dyDescent="0.3">
      <c r="A197" s="7"/>
      <c r="B197" s="7"/>
      <c r="C197" s="7"/>
      <c r="D197" s="7"/>
      <c r="E197" s="147" t="s">
        <v>263</v>
      </c>
      <c r="F197" s="38" t="s">
        <v>444</v>
      </c>
      <c r="G197" s="40"/>
      <c r="H197" s="40"/>
      <c r="I197" s="40"/>
      <c r="J197" s="40"/>
      <c r="K197" s="40"/>
      <c r="L197" s="99" t="str">
        <f>VLOOKUP(E197,Mapping!$E$11:$G$204,3,0)</f>
        <v>ACS</v>
      </c>
      <c r="N197" s="143"/>
      <c r="O197" s="143"/>
      <c r="P197" s="143"/>
      <c r="Q197" s="143"/>
      <c r="R197" s="143"/>
      <c r="T197" s="143"/>
      <c r="U197" s="143"/>
      <c r="V197" s="143"/>
      <c r="W197" s="143"/>
      <c r="X197" s="143"/>
    </row>
    <row r="198" spans="1:24" x14ac:dyDescent="0.3">
      <c r="A198" s="7"/>
      <c r="B198" s="7"/>
      <c r="C198" s="7"/>
      <c r="D198" s="7"/>
      <c r="E198" s="147" t="s">
        <v>264</v>
      </c>
      <c r="F198" s="38" t="s">
        <v>445</v>
      </c>
      <c r="G198" s="40"/>
      <c r="H198" s="40"/>
      <c r="I198" s="40"/>
      <c r="J198" s="40"/>
      <c r="K198" s="40"/>
      <c r="L198" s="99" t="str">
        <f>VLOOKUP(E198,Mapping!$E$11:$G$204,3,0)</f>
        <v>ACS</v>
      </c>
      <c r="N198" s="143"/>
      <c r="O198" s="143"/>
      <c r="P198" s="143"/>
      <c r="Q198" s="143"/>
      <c r="R198" s="143"/>
      <c r="T198" s="143"/>
      <c r="U198" s="143"/>
      <c r="V198" s="143"/>
      <c r="W198" s="143"/>
      <c r="X198" s="143"/>
    </row>
    <row r="199" spans="1:24" x14ac:dyDescent="0.3">
      <c r="A199" s="7"/>
      <c r="B199" s="7"/>
      <c r="C199" s="7"/>
      <c r="D199" s="7"/>
      <c r="E199" s="147" t="s">
        <v>265</v>
      </c>
      <c r="F199" s="38" t="s">
        <v>446</v>
      </c>
      <c r="G199" s="228">
        <v>54188.162104146933</v>
      </c>
      <c r="H199" s="228">
        <v>36909.970576053776</v>
      </c>
      <c r="I199" s="228">
        <v>35775.946192681062</v>
      </c>
      <c r="J199" s="228">
        <v>32531.833152301377</v>
      </c>
      <c r="K199" s="145">
        <v>22438.273572123271</v>
      </c>
      <c r="L199" s="99" t="str">
        <f>VLOOKUP(E199,Mapping!$E$11:$G$204,3,0)</f>
        <v>Non-network general assets - IT</v>
      </c>
      <c r="N199" s="142"/>
      <c r="O199" s="142"/>
      <c r="P199" s="142"/>
      <c r="Q199" s="142"/>
      <c r="R199" s="142"/>
      <c r="T199" s="142"/>
      <c r="U199" s="142"/>
      <c r="V199" s="142"/>
      <c r="W199" s="142"/>
      <c r="X199" s="142"/>
    </row>
    <row r="200" spans="1:24" x14ac:dyDescent="0.3">
      <c r="A200" s="7"/>
      <c r="B200" s="7"/>
      <c r="C200" s="7"/>
      <c r="D200" s="7"/>
      <c r="E200" s="147" t="s">
        <v>266</v>
      </c>
      <c r="F200" s="38" t="s">
        <v>447</v>
      </c>
      <c r="G200" s="40"/>
      <c r="H200" s="40"/>
      <c r="I200" s="40"/>
      <c r="J200" s="40"/>
      <c r="K200" s="40"/>
      <c r="L200" s="99" t="str">
        <f>VLOOKUP(E200,Mapping!$E$11:$G$204,3,0)</f>
        <v>ACS</v>
      </c>
      <c r="N200" s="143"/>
      <c r="O200" s="143"/>
      <c r="P200" s="143"/>
      <c r="Q200" s="143"/>
      <c r="R200" s="143"/>
      <c r="T200" s="143"/>
      <c r="U200" s="143"/>
      <c r="V200" s="143"/>
      <c r="W200" s="143"/>
      <c r="X200" s="143"/>
    </row>
    <row r="201" spans="1:24" x14ac:dyDescent="0.3">
      <c r="A201" s="7"/>
      <c r="B201" s="7"/>
      <c r="C201" s="7"/>
      <c r="D201" s="7"/>
      <c r="E201" s="147" t="s">
        <v>267</v>
      </c>
      <c r="F201" s="38" t="s">
        <v>448</v>
      </c>
      <c r="G201" s="144">
        <f t="shared" ref="G201" si="22">SUM(N201,T201)</f>
        <v>0</v>
      </c>
      <c r="H201" s="144">
        <f t="shared" ref="H201" si="23">SUM(O201,U201)</f>
        <v>0</v>
      </c>
      <c r="I201" s="144">
        <f t="shared" ref="I201" si="24">SUM(P201,V201)</f>
        <v>0</v>
      </c>
      <c r="J201" s="144">
        <f t="shared" ref="J201" si="25">SUM(Q201,W201)</f>
        <v>0</v>
      </c>
      <c r="K201" s="144">
        <f t="shared" ref="K201" si="26">SUM(R201,X201)</f>
        <v>0</v>
      </c>
      <c r="L201" s="99" t="str">
        <f>VLOOKUP(E201,Mapping!$E$11:$G$204,3,0)</f>
        <v>Replacement</v>
      </c>
      <c r="N201" s="141">
        <v>0</v>
      </c>
      <c r="O201" s="141">
        <v>0</v>
      </c>
      <c r="P201" s="141">
        <v>0</v>
      </c>
      <c r="Q201" s="141">
        <v>0</v>
      </c>
      <c r="R201" s="141">
        <v>0</v>
      </c>
      <c r="T201" s="141">
        <v>0</v>
      </c>
      <c r="U201" s="141">
        <v>0</v>
      </c>
      <c r="V201" s="141">
        <v>0</v>
      </c>
      <c r="W201" s="141">
        <v>0</v>
      </c>
      <c r="X201" s="141">
        <v>0</v>
      </c>
    </row>
    <row r="202" spans="1:24" x14ac:dyDescent="0.3">
      <c r="A202" s="7"/>
      <c r="B202" s="7"/>
      <c r="C202" s="7"/>
      <c r="D202" s="7"/>
      <c r="E202" s="147" t="s">
        <v>268</v>
      </c>
      <c r="F202" s="38" t="s">
        <v>449</v>
      </c>
      <c r="G202" s="144">
        <f t="shared" ref="G202:G203" si="27">SUM(N202,T202)</f>
        <v>0</v>
      </c>
      <c r="H202" s="144">
        <f t="shared" ref="H202:H203" si="28">SUM(O202,U202)</f>
        <v>0</v>
      </c>
      <c r="I202" s="144">
        <f t="shared" ref="I202:I203" si="29">SUM(P202,V202)</f>
        <v>0</v>
      </c>
      <c r="J202" s="144">
        <f t="shared" ref="J202:J203" si="30">SUM(Q202,W202)</f>
        <v>0</v>
      </c>
      <c r="K202" s="144">
        <f t="shared" ref="K202:K203" si="31">SUM(R202,X202)</f>
        <v>8.7799239353251135</v>
      </c>
      <c r="L202" s="99" t="str">
        <f>VLOOKUP(E202,Mapping!$E$11:$G$204,3,0)</f>
        <v>Replacement</v>
      </c>
      <c r="N202" s="143"/>
      <c r="O202" s="143"/>
      <c r="P202" s="143"/>
      <c r="Q202" s="143"/>
      <c r="R202" s="143"/>
      <c r="T202" s="232">
        <v>0</v>
      </c>
      <c r="U202" s="232">
        <v>0</v>
      </c>
      <c r="V202" s="232">
        <v>0</v>
      </c>
      <c r="W202" s="232">
        <v>0</v>
      </c>
      <c r="X202" s="234">
        <v>8.7799239353251135</v>
      </c>
    </row>
    <row r="203" spans="1:24" x14ac:dyDescent="0.3">
      <c r="A203" s="7"/>
      <c r="B203" s="7"/>
      <c r="C203" s="7"/>
      <c r="D203" s="7"/>
      <c r="E203" s="147" t="s">
        <v>268</v>
      </c>
      <c r="F203" s="148" t="s">
        <v>449</v>
      </c>
      <c r="G203" s="144">
        <f t="shared" si="27"/>
        <v>2131.4667841196397</v>
      </c>
      <c r="H203" s="144">
        <f t="shared" si="28"/>
        <v>2131.4667841196397</v>
      </c>
      <c r="I203" s="144">
        <f t="shared" si="29"/>
        <v>0</v>
      </c>
      <c r="J203" s="144">
        <f t="shared" si="30"/>
        <v>0</v>
      </c>
      <c r="K203" s="144">
        <f t="shared" si="31"/>
        <v>0</v>
      </c>
      <c r="L203" s="152" t="s">
        <v>59</v>
      </c>
      <c r="N203" s="228">
        <v>2131.4667841196397</v>
      </c>
      <c r="O203" s="228">
        <v>2131.4667841196397</v>
      </c>
      <c r="P203" s="141">
        <v>0</v>
      </c>
      <c r="Q203" s="141">
        <v>0</v>
      </c>
      <c r="R203" s="141">
        <v>0</v>
      </c>
      <c r="T203" s="143"/>
      <c r="U203" s="143"/>
      <c r="V203" s="143"/>
      <c r="W203" s="143"/>
      <c r="X203" s="143"/>
    </row>
    <row r="204" spans="1:24" x14ac:dyDescent="0.3">
      <c r="A204" s="7"/>
      <c r="B204" s="7"/>
      <c r="C204" s="7"/>
      <c r="D204" s="7"/>
      <c r="E204" s="7" t="s">
        <v>619</v>
      </c>
      <c r="F204" s="147" t="s">
        <v>619</v>
      </c>
      <c r="G204" s="160"/>
      <c r="H204" s="160"/>
      <c r="I204" s="160"/>
      <c r="J204" s="160"/>
      <c r="K204" s="160"/>
      <c r="L204" s="99"/>
      <c r="N204" s="161"/>
      <c r="O204" s="161"/>
      <c r="P204" s="161"/>
      <c r="Q204" s="161"/>
      <c r="R204" s="161"/>
      <c r="T204" s="161"/>
      <c r="U204" s="161"/>
      <c r="V204" s="161"/>
      <c r="W204" s="161"/>
      <c r="X204" s="161"/>
    </row>
    <row r="205" spans="1:24" x14ac:dyDescent="0.3">
      <c r="A205" s="7"/>
      <c r="B205" s="7"/>
      <c r="C205" s="7"/>
      <c r="D205" s="7"/>
      <c r="E205" s="7" t="s">
        <v>620</v>
      </c>
      <c r="F205" s="147" t="s">
        <v>620</v>
      </c>
      <c r="G205" s="160"/>
      <c r="H205" s="160"/>
      <c r="I205" s="160"/>
      <c r="J205" s="160"/>
      <c r="K205" s="160"/>
      <c r="L205" s="99"/>
      <c r="N205" s="161"/>
      <c r="O205" s="161"/>
      <c r="P205" s="161"/>
      <c r="Q205" s="161"/>
      <c r="R205" s="161"/>
      <c r="T205" s="161"/>
      <c r="U205" s="161"/>
      <c r="V205" s="161"/>
      <c r="W205" s="161"/>
      <c r="X205" s="161"/>
    </row>
    <row r="206" spans="1:24" x14ac:dyDescent="0.3">
      <c r="A206" s="7"/>
      <c r="B206" s="7"/>
      <c r="C206" s="7"/>
      <c r="D206" s="7"/>
      <c r="E206" s="7" t="s">
        <v>621</v>
      </c>
      <c r="F206" s="147" t="s">
        <v>621</v>
      </c>
      <c r="G206" s="160"/>
      <c r="H206" s="160"/>
      <c r="I206" s="160"/>
      <c r="J206" s="160"/>
      <c r="K206" s="160"/>
      <c r="L206" s="99"/>
      <c r="N206" s="161"/>
      <c r="O206" s="161"/>
      <c r="P206" s="161"/>
      <c r="Q206" s="161"/>
      <c r="R206" s="161"/>
      <c r="T206" s="161"/>
      <c r="U206" s="161"/>
      <c r="V206" s="161"/>
      <c r="W206" s="161"/>
      <c r="X206" s="161"/>
    </row>
    <row r="207" spans="1:24" x14ac:dyDescent="0.3">
      <c r="A207" s="7"/>
      <c r="B207" s="7"/>
      <c r="C207" s="7"/>
      <c r="D207" s="7"/>
      <c r="E207" s="7" t="s">
        <v>622</v>
      </c>
      <c r="F207" s="147" t="s">
        <v>622</v>
      </c>
      <c r="G207" s="160"/>
      <c r="H207" s="160"/>
      <c r="I207" s="160"/>
      <c r="J207" s="160"/>
      <c r="K207" s="160"/>
      <c r="L207" s="99"/>
      <c r="N207" s="161"/>
      <c r="O207" s="161"/>
      <c r="P207" s="161"/>
      <c r="Q207" s="161"/>
      <c r="R207" s="161"/>
      <c r="T207" s="161"/>
      <c r="U207" s="161"/>
      <c r="V207" s="161"/>
      <c r="W207" s="161"/>
      <c r="X207" s="161"/>
    </row>
    <row r="208" spans="1:24" x14ac:dyDescent="0.3">
      <c r="A208" s="7"/>
      <c r="B208" s="7"/>
      <c r="C208" s="7"/>
      <c r="D208" s="7"/>
      <c r="E208" s="7" t="s">
        <v>623</v>
      </c>
      <c r="F208" s="147"/>
      <c r="G208" s="160"/>
      <c r="H208" s="160"/>
      <c r="I208" s="160"/>
      <c r="J208" s="160"/>
      <c r="K208" s="160"/>
      <c r="L208" s="99"/>
      <c r="N208" s="161"/>
      <c r="O208" s="161"/>
      <c r="P208" s="161"/>
      <c r="Q208" s="161"/>
      <c r="R208" s="161"/>
      <c r="T208" s="161"/>
      <c r="U208" s="161"/>
      <c r="V208" s="161"/>
      <c r="W208" s="161"/>
      <c r="X208" s="161"/>
    </row>
    <row r="209" spans="1:12" x14ac:dyDescent="0.3">
      <c r="A209" s="7"/>
      <c r="B209" s="7"/>
      <c r="C209" s="7"/>
      <c r="D209" s="7"/>
      <c r="E209" s="147"/>
      <c r="F209" s="7"/>
      <c r="G209" s="7"/>
      <c r="H209" s="7"/>
      <c r="I209" s="7"/>
      <c r="J209" s="7"/>
      <c r="K209" s="7"/>
      <c r="L209" s="7"/>
    </row>
    <row r="210" spans="1:12" x14ac:dyDescent="0.3">
      <c r="A210" s="7"/>
      <c r="B210" s="7"/>
      <c r="C210" s="7"/>
      <c r="D210" s="7"/>
      <c r="E210" s="147"/>
      <c r="F210" s="89" t="s">
        <v>618</v>
      </c>
      <c r="G210" s="231">
        <f>SUM(G211:G223)</f>
        <v>877.02162884397683</v>
      </c>
      <c r="H210" s="231">
        <f t="shared" ref="H210:K210" si="32">SUM(H211:H223)</f>
        <v>877.02162884397683</v>
      </c>
      <c r="I210" s="231">
        <f t="shared" si="32"/>
        <v>877.02162884397683</v>
      </c>
      <c r="J210" s="231">
        <f t="shared" si="32"/>
        <v>877.02162884397683</v>
      </c>
      <c r="K210" s="231">
        <f t="shared" si="32"/>
        <v>877.02162884397683</v>
      </c>
      <c r="L210" s="89"/>
    </row>
    <row r="211" spans="1:12" s="7" customFormat="1" x14ac:dyDescent="0.3">
      <c r="E211" s="147"/>
      <c r="F211" s="230" t="str">
        <f>'Output|PTRM'!E53</f>
        <v>Subtransmission</v>
      </c>
      <c r="G211" s="40">
        <v>30.85255492612103</v>
      </c>
      <c r="H211" s="40">
        <v>30.85255492612103</v>
      </c>
      <c r="I211" s="40">
        <v>30.85255492612103</v>
      </c>
      <c r="J211" s="40">
        <v>30.85255492612103</v>
      </c>
      <c r="K211" s="40">
        <v>30.85255492612103</v>
      </c>
      <c r="L211" s="89"/>
    </row>
    <row r="212" spans="1:12" s="7" customFormat="1" x14ac:dyDescent="0.3">
      <c r="E212" s="147"/>
      <c r="F212" s="230" t="str">
        <f>'Output|PTRM'!E54</f>
        <v>Distribution system assets</v>
      </c>
      <c r="G212" s="40">
        <v>52.501615095755547</v>
      </c>
      <c r="H212" s="40">
        <v>52.501615095755547</v>
      </c>
      <c r="I212" s="40">
        <v>52.501615095755547</v>
      </c>
      <c r="J212" s="40">
        <v>52.501615095755547</v>
      </c>
      <c r="K212" s="40">
        <v>52.501615095755547</v>
      </c>
      <c r="L212" s="89"/>
    </row>
    <row r="213" spans="1:12" s="7" customFormat="1" x14ac:dyDescent="0.3">
      <c r="E213" s="147"/>
      <c r="F213" s="230" t="str">
        <f>'Output|PTRM'!E55</f>
        <v>Standard metering</v>
      </c>
      <c r="G213" s="40"/>
      <c r="H213" s="40"/>
      <c r="I213" s="40"/>
      <c r="J213" s="40"/>
      <c r="K213" s="40"/>
      <c r="L213" s="89"/>
    </row>
    <row r="214" spans="1:12" s="7" customFormat="1" x14ac:dyDescent="0.3">
      <c r="E214" s="147"/>
      <c r="F214" s="230" t="str">
        <f>'Output|PTRM'!E56</f>
        <v>Public lighting</v>
      </c>
      <c r="G214" s="40"/>
      <c r="H214" s="40"/>
      <c r="I214" s="40"/>
      <c r="J214" s="40"/>
      <c r="K214" s="40"/>
      <c r="L214" s="89"/>
    </row>
    <row r="215" spans="1:12" s="7" customFormat="1" x14ac:dyDescent="0.3">
      <c r="E215" s="147"/>
      <c r="F215" s="230" t="str">
        <f>'Output|PTRM'!E57</f>
        <v>SCADA (5-year asset)</v>
      </c>
      <c r="G215" s="40"/>
      <c r="H215" s="40"/>
      <c r="I215" s="40"/>
      <c r="J215" s="40"/>
      <c r="K215" s="40"/>
      <c r="L215" s="89"/>
    </row>
    <row r="216" spans="1:12" s="7" customFormat="1" x14ac:dyDescent="0.3">
      <c r="E216" s="147"/>
      <c r="F216" s="230" t="str">
        <f>'Output|PTRM'!E58</f>
        <v>SCADA (10-year asset)</v>
      </c>
      <c r="G216" s="40"/>
      <c r="H216" s="40"/>
      <c r="I216" s="40"/>
      <c r="J216" s="40"/>
      <c r="K216" s="40"/>
      <c r="L216" s="89"/>
    </row>
    <row r="217" spans="1:12" s="7" customFormat="1" x14ac:dyDescent="0.3">
      <c r="E217" s="147"/>
      <c r="F217" s="230" t="str">
        <f>'Output|PTRM'!E59</f>
        <v>Non-network general assets - IT</v>
      </c>
      <c r="G217" s="40">
        <v>9.1649469738030707</v>
      </c>
      <c r="H217" s="40">
        <v>9.1649469738030707</v>
      </c>
      <c r="I217" s="40">
        <v>9.1649469738030707</v>
      </c>
      <c r="J217" s="40">
        <v>9.1649469738030707</v>
      </c>
      <c r="K217" s="40">
        <v>9.1649469738030707</v>
      </c>
      <c r="L217" s="89"/>
    </row>
    <row r="218" spans="1:12" s="7" customFormat="1" x14ac:dyDescent="0.3">
      <c r="E218" s="147"/>
      <c r="F218" s="230" t="str">
        <f>'Output|PTRM'!E60</f>
        <v>Non-network general assets - Other</v>
      </c>
      <c r="G218" s="40">
        <v>784.50251184829722</v>
      </c>
      <c r="H218" s="40">
        <v>784.50251184829722</v>
      </c>
      <c r="I218" s="40">
        <v>784.50251184829722</v>
      </c>
      <c r="J218" s="40">
        <v>784.50251184829722</v>
      </c>
      <c r="K218" s="40">
        <v>784.50251184829722</v>
      </c>
      <c r="L218" s="89"/>
    </row>
    <row r="219" spans="1:12" s="7" customFormat="1" x14ac:dyDescent="0.3">
      <c r="E219" s="147"/>
      <c r="F219" s="230" t="str">
        <f>'Output|PTRM'!E61</f>
        <v>VBRC</v>
      </c>
      <c r="G219" s="40"/>
      <c r="H219" s="40"/>
      <c r="I219" s="40"/>
      <c r="J219" s="40"/>
      <c r="K219" s="40"/>
      <c r="L219" s="89"/>
    </row>
    <row r="220" spans="1:12" s="7" customFormat="1" x14ac:dyDescent="0.3">
      <c r="E220" s="147"/>
      <c r="F220" s="230" t="str">
        <f>'Output|PTRM'!E62</f>
        <v>Neutral Screen Services</v>
      </c>
      <c r="G220" s="40"/>
      <c r="H220" s="40"/>
      <c r="I220" s="40"/>
      <c r="J220" s="40"/>
      <c r="K220" s="40"/>
      <c r="L220" s="89"/>
    </row>
    <row r="221" spans="1:12" s="7" customFormat="1" x14ac:dyDescent="0.3">
      <c r="E221" s="147"/>
      <c r="F221" s="230" t="str">
        <f>'Output|PTRM'!E63</f>
        <v>Distribution Transformers upgrades</v>
      </c>
      <c r="G221" s="40"/>
      <c r="H221" s="40"/>
      <c r="I221" s="40"/>
      <c r="J221" s="40"/>
      <c r="K221" s="40"/>
      <c r="L221" s="89"/>
    </row>
    <row r="222" spans="1:12" s="7" customFormat="1" x14ac:dyDescent="0.3">
      <c r="E222" s="147"/>
      <c r="F222" s="230" t="str">
        <f>'Output|PTRM'!E64</f>
        <v>Land</v>
      </c>
      <c r="G222" s="40"/>
      <c r="H222" s="40"/>
      <c r="I222" s="40"/>
      <c r="J222" s="40"/>
      <c r="K222" s="40"/>
      <c r="L222" s="89"/>
    </row>
    <row r="223" spans="1:12" s="7" customFormat="1" x14ac:dyDescent="0.3">
      <c r="E223" s="147"/>
      <c r="F223" s="230" t="str">
        <f>'Output|PTRM'!E65</f>
        <v>In-house software</v>
      </c>
      <c r="G223" s="40"/>
      <c r="H223" s="40"/>
      <c r="I223" s="40"/>
      <c r="J223" s="40"/>
      <c r="K223" s="40"/>
      <c r="L223" s="89"/>
    </row>
    <row r="224" spans="1:12" s="7" customFormat="1" x14ac:dyDescent="0.3">
      <c r="E224" s="147"/>
      <c r="F224" s="230"/>
      <c r="G224" s="229"/>
      <c r="H224" s="229"/>
      <c r="I224" s="229"/>
      <c r="J224" s="229"/>
      <c r="K224" s="229"/>
      <c r="L224" s="89"/>
    </row>
    <row r="225" spans="1:12" s="7" customFormat="1" x14ac:dyDescent="0.3">
      <c r="E225" s="147"/>
      <c r="F225" s="89"/>
      <c r="G225" s="229"/>
      <c r="H225" s="229"/>
      <c r="I225" s="229"/>
      <c r="J225" s="229"/>
      <c r="K225" s="229"/>
      <c r="L225" s="89"/>
    </row>
    <row r="226" spans="1:12" s="20" customFormat="1" x14ac:dyDescent="0.3">
      <c r="A226" s="7" t="s">
        <v>4</v>
      </c>
      <c r="B226" s="7"/>
      <c r="C226" s="7"/>
      <c r="D226" s="7"/>
      <c r="E226" s="147"/>
      <c r="F226" s="24"/>
      <c r="G226" s="24"/>
      <c r="H226" s="24"/>
      <c r="I226" s="24"/>
      <c r="J226" s="24"/>
      <c r="K226" s="24"/>
      <c r="L226" s="24"/>
    </row>
    <row r="227" spans="1:12" s="7" customFormat="1" x14ac:dyDescent="0.3">
      <c r="E227" s="147"/>
      <c r="G227" s="93">
        <f>SUM(G9:G203)</f>
        <v>241504.30434381033</v>
      </c>
      <c r="H227" s="93">
        <f t="shared" ref="H227:K227" si="33">SUM(H9:H203)</f>
        <v>204217.40519265027</v>
      </c>
      <c r="I227" s="93">
        <f t="shared" si="33"/>
        <v>188234.31366736098</v>
      </c>
      <c r="J227" s="93">
        <f t="shared" si="33"/>
        <v>189401.65799050793</v>
      </c>
      <c r="K227" s="93">
        <f t="shared" si="33"/>
        <v>176551.91919794463</v>
      </c>
    </row>
    <row r="228" spans="1:12" s="7" customFormat="1" x14ac:dyDescent="0.3">
      <c r="E228" s="147"/>
      <c r="G228" s="166"/>
      <c r="H228" s="166"/>
      <c r="I228" s="166"/>
      <c r="J228" s="166"/>
      <c r="K228" s="166"/>
    </row>
    <row r="229" spans="1:12" hidden="1" x14ac:dyDescent="0.3">
      <c r="A229" s="7"/>
      <c r="B229" s="7"/>
      <c r="C229" s="7"/>
      <c r="D229" s="7"/>
      <c r="E229" s="147"/>
    </row>
    <row r="230" spans="1:12" hidden="1" x14ac:dyDescent="0.3">
      <c r="A230" s="7"/>
      <c r="B230" s="7"/>
      <c r="C230" s="7"/>
      <c r="D230" s="7"/>
      <c r="E230" s="147"/>
    </row>
    <row r="231" spans="1:12" hidden="1" x14ac:dyDescent="0.3">
      <c r="A231" s="7"/>
      <c r="B231" s="7"/>
      <c r="C231" s="7"/>
      <c r="D231" s="7"/>
      <c r="E231" s="147"/>
    </row>
    <row r="232" spans="1:12" hidden="1" x14ac:dyDescent="0.3">
      <c r="A232" s="7"/>
      <c r="B232" s="7"/>
      <c r="C232" s="7"/>
      <c r="D232" s="7"/>
      <c r="E232" s="7"/>
    </row>
    <row r="233" spans="1:12" hidden="1" x14ac:dyDescent="0.3">
      <c r="A233" s="7"/>
      <c r="B233" s="7"/>
      <c r="C233" s="7"/>
      <c r="D233" s="7"/>
      <c r="E233" s="7"/>
    </row>
    <row r="234" spans="1:12" hidden="1" x14ac:dyDescent="0.3">
      <c r="A234" s="21"/>
      <c r="B234" s="21"/>
      <c r="C234" s="14"/>
      <c r="D234" s="23"/>
      <c r="E234" s="150"/>
    </row>
    <row r="235" spans="1:12" hidden="1" x14ac:dyDescent="0.3">
      <c r="A235" s="7"/>
      <c r="B235" s="7"/>
      <c r="C235" s="7"/>
      <c r="D235" s="7"/>
      <c r="E235" s="7"/>
    </row>
    <row r="236" spans="1:12" hidden="1" x14ac:dyDescent="0.3">
      <c r="A236" s="7"/>
      <c r="B236" s="7"/>
      <c r="C236" s="7"/>
      <c r="D236" s="7"/>
      <c r="E236" s="7"/>
    </row>
    <row r="240" spans="1:12" x14ac:dyDescent="0.3">
      <c r="G240" s="166"/>
      <c r="H240" s="166"/>
      <c r="I240" s="166"/>
      <c r="J240" s="166"/>
      <c r="K240" s="166"/>
    </row>
  </sheetData>
  <autoFilter ref="D7:L20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CC"/>
  </sheetPr>
  <dimension ref="A1:U122"/>
  <sheetViews>
    <sheetView zoomScale="80" zoomScaleNormal="80" workbookViewId="0">
      <pane ySplit="5" topLeftCell="A6" activePane="bottomLeft" state="frozen"/>
      <selection activeCell="L10" sqref="A1:AB676"/>
      <selection pane="bottomLeft" activeCell="K21" sqref="K21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10.765625" bestFit="1" customWidth="1"/>
    <col min="6" max="6" width="31.765625" bestFit="1" customWidth="1"/>
    <col min="7" max="7" width="27.3828125" customWidth="1"/>
    <col min="8" max="8" width="31.765625" customWidth="1"/>
    <col min="9" max="15" width="10.23046875" customWidth="1"/>
    <col min="16" max="21" width="0" hidden="1" customWidth="1"/>
    <col min="22" max="16384" width="9" hidden="1"/>
  </cols>
  <sheetData>
    <row r="1" spans="1:15" x14ac:dyDescent="0.3">
      <c r="A1" s="13" t="str">
        <f>Control!$G$9</f>
        <v>UE Consolidated Capex</v>
      </c>
      <c r="B1" s="13"/>
      <c r="C1" s="14"/>
      <c r="D1" s="15"/>
      <c r="E1" s="16"/>
      <c r="F1" s="16"/>
      <c r="G1" s="17"/>
      <c r="H1" s="16"/>
      <c r="I1" s="76"/>
      <c r="J1" s="16"/>
      <c r="K1" s="16"/>
      <c r="L1" s="16"/>
      <c r="M1" s="16"/>
      <c r="N1" s="16"/>
      <c r="O1" s="16"/>
    </row>
    <row r="2" spans="1:15" x14ac:dyDescent="0.3">
      <c r="A2" s="21" t="str">
        <f ca="1" xml:space="preserve"> "Sheet: " &amp; RIGHT(CELL("filename", $A$1), LEN(CELL("filename", $A$1)) - SEARCH("]", CELL("filename", $A$1)))</f>
        <v>Sheet: Input|Customer Contributions</v>
      </c>
      <c r="B2" s="21"/>
      <c r="C2" s="14"/>
      <c r="D2" s="15"/>
      <c r="E2" s="16"/>
      <c r="F2" s="16"/>
      <c r="G2" s="16"/>
      <c r="H2" s="16"/>
      <c r="I2" s="77"/>
      <c r="J2" s="16"/>
      <c r="K2" s="16"/>
      <c r="L2" s="16"/>
      <c r="M2" s="16"/>
      <c r="N2" s="16"/>
      <c r="O2" s="16"/>
    </row>
    <row r="3" spans="1:15" x14ac:dyDescent="0.3">
      <c r="A3" s="21" t="s">
        <v>0</v>
      </c>
      <c r="B3" s="21"/>
      <c r="C3" s="14"/>
      <c r="D3" s="15"/>
      <c r="E3" s="15"/>
      <c r="F3" s="15"/>
      <c r="G3" s="15"/>
      <c r="H3" s="16"/>
      <c r="I3" s="78"/>
      <c r="J3" s="16"/>
      <c r="K3" s="16"/>
      <c r="L3" s="16"/>
      <c r="M3" s="16"/>
      <c r="N3" s="16"/>
      <c r="O3" s="16"/>
    </row>
    <row r="4" spans="1:15" x14ac:dyDescent="0.3">
      <c r="A4" s="21"/>
      <c r="B4" s="21"/>
      <c r="C4" s="14"/>
      <c r="D4" s="15"/>
      <c r="E4" s="16"/>
      <c r="F4" s="16"/>
      <c r="G4" s="16"/>
      <c r="H4" s="16"/>
      <c r="I4" s="77"/>
      <c r="J4" s="16"/>
      <c r="K4" s="16"/>
      <c r="L4" s="16"/>
      <c r="M4" s="16"/>
      <c r="N4" s="16"/>
      <c r="O4" s="16"/>
    </row>
    <row r="5" spans="1:15" x14ac:dyDescent="0.3">
      <c r="A5" s="21"/>
      <c r="B5" s="21"/>
      <c r="C5" s="21"/>
      <c r="D5" s="21"/>
      <c r="E5" s="321" t="s">
        <v>14</v>
      </c>
      <c r="F5" s="322"/>
      <c r="G5" s="50" t="s">
        <v>86</v>
      </c>
      <c r="H5" s="83" t="s">
        <v>34</v>
      </c>
      <c r="I5" s="79"/>
      <c r="J5" s="30" t="s">
        <v>603</v>
      </c>
      <c r="K5" s="30" t="s">
        <v>604</v>
      </c>
      <c r="L5" s="30" t="s">
        <v>605</v>
      </c>
      <c r="M5" s="30" t="s">
        <v>606</v>
      </c>
      <c r="N5" s="30" t="s">
        <v>607</v>
      </c>
      <c r="O5" s="16"/>
    </row>
    <row r="6" spans="1:15" x14ac:dyDescent="0.3">
      <c r="A6" s="1"/>
      <c r="B6" s="1"/>
      <c r="C6" s="2"/>
      <c r="D6" s="3"/>
      <c r="E6" s="4"/>
      <c r="F6" s="4"/>
      <c r="G6" s="4"/>
      <c r="H6" s="4"/>
      <c r="I6" s="80"/>
      <c r="J6" s="4"/>
      <c r="K6" s="4"/>
      <c r="L6" s="4"/>
      <c r="M6" s="4"/>
      <c r="N6" s="4"/>
      <c r="O6" s="4"/>
    </row>
    <row r="7" spans="1:15" x14ac:dyDescent="0.3">
      <c r="A7" s="21" t="s">
        <v>75</v>
      </c>
      <c r="B7" s="21"/>
      <c r="C7" s="14"/>
      <c r="D7" s="23"/>
      <c r="E7" s="24"/>
      <c r="F7" s="24"/>
      <c r="G7" s="24"/>
      <c r="H7" s="24"/>
      <c r="I7" s="81"/>
      <c r="J7" s="34" t="s">
        <v>608</v>
      </c>
      <c r="K7" s="34" t="s">
        <v>608</v>
      </c>
      <c r="L7" s="34" t="s">
        <v>608</v>
      </c>
      <c r="M7" s="34" t="s">
        <v>608</v>
      </c>
      <c r="N7" s="34" t="s">
        <v>608</v>
      </c>
      <c r="O7" s="24"/>
    </row>
    <row r="8" spans="1:15" x14ac:dyDescent="0.3">
      <c r="A8" s="38"/>
      <c r="B8" s="38"/>
      <c r="C8" s="38"/>
      <c r="D8" s="38"/>
      <c r="E8" s="38"/>
      <c r="F8" s="38"/>
      <c r="G8" s="38"/>
      <c r="H8" s="7"/>
      <c r="I8" s="82"/>
      <c r="J8" s="38"/>
      <c r="K8" s="38"/>
      <c r="L8" s="38"/>
      <c r="M8" s="38"/>
      <c r="N8" s="38"/>
      <c r="O8" s="7"/>
    </row>
    <row r="9" spans="1:15" x14ac:dyDescent="0.3">
      <c r="A9" s="38"/>
      <c r="B9" s="38"/>
      <c r="C9" s="38"/>
      <c r="D9" s="38"/>
      <c r="E9" s="38" t="s">
        <v>546</v>
      </c>
      <c r="F9" s="38" t="s">
        <v>271</v>
      </c>
      <c r="G9" s="38" t="str">
        <f>VLOOKUP(E9,Mapping!$E$11:$G$106,3,0)</f>
        <v>Connections</v>
      </c>
      <c r="H9" s="38" t="str">
        <f>VLOOKUP(E9,Mapping!$E$11:$K$106,7,0)</f>
        <v>SCS</v>
      </c>
      <c r="I9" s="43"/>
      <c r="J9" s="228">
        <v>219.34209419955039</v>
      </c>
      <c r="K9" s="228">
        <v>229.35138491063512</v>
      </c>
      <c r="L9" s="228">
        <v>213.87902016200536</v>
      </c>
      <c r="M9" s="228">
        <v>229.49428648687962</v>
      </c>
      <c r="N9" s="228">
        <v>251.36861552844817</v>
      </c>
      <c r="O9" s="7"/>
    </row>
    <row r="10" spans="1:15" x14ac:dyDescent="0.3">
      <c r="A10" s="38"/>
      <c r="B10" s="38"/>
      <c r="C10" s="38"/>
      <c r="D10" s="38"/>
      <c r="E10" s="38" t="s">
        <v>547</v>
      </c>
      <c r="F10" s="38" t="s">
        <v>272</v>
      </c>
      <c r="G10" s="38" t="str">
        <f>VLOOKUP(E10,Mapping!$E$11:$G$106,3,0)</f>
        <v>Connections</v>
      </c>
      <c r="H10" s="38" t="str">
        <f>VLOOKUP(E10,Mapping!$E$11:$K$106,7,0)</f>
        <v>SCS</v>
      </c>
      <c r="I10" s="43"/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7"/>
    </row>
    <row r="11" spans="1:15" x14ac:dyDescent="0.3">
      <c r="A11" s="38"/>
      <c r="B11" s="38"/>
      <c r="C11" s="38"/>
      <c r="D11" s="38"/>
      <c r="E11" s="38" t="s">
        <v>548</v>
      </c>
      <c r="F11" s="38" t="s">
        <v>273</v>
      </c>
      <c r="G11" s="38" t="str">
        <f>VLOOKUP(E11,Mapping!$E$11:$G$106,3,0)</f>
        <v>Connections</v>
      </c>
      <c r="H11" s="38" t="str">
        <f>VLOOKUP(E11,Mapping!$E$11:$K$106,7,0)</f>
        <v>SCS</v>
      </c>
      <c r="I11" s="43"/>
      <c r="J11" s="228">
        <v>72.706848060806919</v>
      </c>
      <c r="K11" s="228">
        <v>75.598356356893376</v>
      </c>
      <c r="L11" s="228">
        <v>70.584319551094922</v>
      </c>
      <c r="M11" s="228">
        <v>75.603836697070662</v>
      </c>
      <c r="N11" s="228">
        <v>82.844345632765453</v>
      </c>
      <c r="O11" s="7"/>
    </row>
    <row r="12" spans="1:15" x14ac:dyDescent="0.3">
      <c r="A12" s="38"/>
      <c r="B12" s="38"/>
      <c r="C12" s="38"/>
      <c r="D12" s="38"/>
      <c r="E12" s="38" t="s">
        <v>555</v>
      </c>
      <c r="F12" s="38" t="s">
        <v>273</v>
      </c>
      <c r="G12" s="38" t="str">
        <f>VLOOKUP(E12,Mapping!$E$11:$G$106,3,0)</f>
        <v>Connections</v>
      </c>
      <c r="H12" s="38" t="str">
        <f>VLOOKUP(E12,Mapping!$E$11:$K$106,7,0)</f>
        <v>SCS</v>
      </c>
      <c r="I12" s="43"/>
      <c r="J12" s="228">
        <v>120.1103355431231</v>
      </c>
      <c r="K12" s="228">
        <v>123.03510927409069</v>
      </c>
      <c r="L12" s="228">
        <v>117.57121407762159</v>
      </c>
      <c r="M12" s="228">
        <v>122.72776982624097</v>
      </c>
      <c r="N12" s="228">
        <v>137.30233211278431</v>
      </c>
      <c r="O12" s="7"/>
    </row>
    <row r="13" spans="1:15" x14ac:dyDescent="0.3">
      <c r="A13" s="38"/>
      <c r="B13" s="38"/>
      <c r="C13" s="38"/>
      <c r="D13" s="38"/>
      <c r="E13" s="38" t="s">
        <v>549</v>
      </c>
      <c r="F13" s="38" t="s">
        <v>274</v>
      </c>
      <c r="G13" s="38" t="str">
        <f>VLOOKUP(E13,Mapping!$E$11:$G$106,3,0)</f>
        <v>Connections</v>
      </c>
      <c r="H13" s="38" t="str">
        <f>VLOOKUP(E13,Mapping!$E$11:$K$106,7,0)</f>
        <v>SCS</v>
      </c>
      <c r="I13" s="43"/>
      <c r="J13" s="228">
        <v>197.95088988554653</v>
      </c>
      <c r="K13" s="228">
        <v>206.06887048324023</v>
      </c>
      <c r="L13" s="228">
        <v>192.27618840427075</v>
      </c>
      <c r="M13" s="228">
        <v>206.18040777859645</v>
      </c>
      <c r="N13" s="228">
        <v>225.92499878976955</v>
      </c>
      <c r="O13" s="7"/>
    </row>
    <row r="14" spans="1:15" x14ac:dyDescent="0.3">
      <c r="A14" s="38"/>
      <c r="B14" s="38"/>
      <c r="C14" s="38"/>
      <c r="D14" s="38"/>
      <c r="E14" s="38" t="s">
        <v>556</v>
      </c>
      <c r="F14" s="38" t="s">
        <v>274</v>
      </c>
      <c r="G14" s="38" t="str">
        <f>VLOOKUP(E14,Mapping!$E$11:$G$106,3,0)</f>
        <v>Connections</v>
      </c>
      <c r="H14" s="38" t="str">
        <f>VLOOKUP(E14,Mapping!$E$11:$K$106,7,0)</f>
        <v>SCS</v>
      </c>
      <c r="I14" s="43"/>
      <c r="J14" s="228">
        <v>0</v>
      </c>
      <c r="K14" s="228">
        <v>0</v>
      </c>
      <c r="L14" s="228">
        <v>0</v>
      </c>
      <c r="M14" s="228">
        <v>0</v>
      </c>
      <c r="N14" s="228">
        <v>0</v>
      </c>
      <c r="O14" s="7"/>
    </row>
    <row r="15" spans="1:15" x14ac:dyDescent="0.3">
      <c r="A15" s="38"/>
      <c r="B15" s="38"/>
      <c r="C15" s="38"/>
      <c r="D15" s="38"/>
      <c r="E15" s="38" t="s">
        <v>550</v>
      </c>
      <c r="F15" s="38" t="s">
        <v>275</v>
      </c>
      <c r="G15" s="38" t="str">
        <f>VLOOKUP(E15,Mapping!$E$11:$G$106,3,0)</f>
        <v>Connections</v>
      </c>
      <c r="H15" s="38" t="str">
        <f>VLOOKUP(E15,Mapping!$E$11:$K$106,7,0)</f>
        <v>SCS</v>
      </c>
      <c r="I15" s="43"/>
      <c r="J15" s="228">
        <v>1345.331121538738</v>
      </c>
      <c r="K15" s="228">
        <v>1402.5789188339231</v>
      </c>
      <c r="L15" s="228">
        <v>1309.0264276662567</v>
      </c>
      <c r="M15" s="228">
        <v>1402.823580890838</v>
      </c>
      <c r="N15" s="228">
        <v>1536.8083086940862</v>
      </c>
      <c r="O15" s="7"/>
    </row>
    <row r="16" spans="1:15" x14ac:dyDescent="0.3">
      <c r="A16" s="38"/>
      <c r="B16" s="38"/>
      <c r="C16" s="38"/>
      <c r="D16" s="38"/>
      <c r="E16" s="38" t="s">
        <v>557</v>
      </c>
      <c r="F16" s="38" t="s">
        <v>275</v>
      </c>
      <c r="G16" s="38" t="str">
        <f>VLOOKUP(E16,Mapping!$E$11:$G$106,3,0)</f>
        <v>Connections</v>
      </c>
      <c r="H16" s="38" t="str">
        <f>VLOOKUP(E16,Mapping!$E$11:$K$106,7,0)</f>
        <v>SCS</v>
      </c>
      <c r="I16" s="43"/>
      <c r="J16" s="228">
        <v>627.16334495019919</v>
      </c>
      <c r="K16" s="228">
        <v>653.10091475375691</v>
      </c>
      <c r="L16" s="228">
        <v>610.17302218999464</v>
      </c>
      <c r="M16" s="228">
        <v>652.67704797597969</v>
      </c>
      <c r="N16" s="228">
        <v>714.95442574899005</v>
      </c>
      <c r="O16" s="7"/>
    </row>
    <row r="17" spans="1:15" x14ac:dyDescent="0.3">
      <c r="A17" s="38"/>
      <c r="B17" s="38"/>
      <c r="C17" s="38"/>
      <c r="D17" s="38"/>
      <c r="E17" s="38" t="s">
        <v>551</v>
      </c>
      <c r="F17" s="38" t="s">
        <v>276</v>
      </c>
      <c r="G17" s="38" t="str">
        <f>VLOOKUP(E17,Mapping!$E$11:$G$106,3,0)</f>
        <v>Connections</v>
      </c>
      <c r="H17" s="38" t="str">
        <f>VLOOKUP(E17,Mapping!$E$11:$K$106,7,0)</f>
        <v>SCS</v>
      </c>
      <c r="I17" s="43"/>
      <c r="J17" s="228">
        <v>133.04790763762142</v>
      </c>
      <c r="K17" s="228">
        <v>138.54532917177139</v>
      </c>
      <c r="L17" s="228">
        <v>129.2423147681817</v>
      </c>
      <c r="M17" s="228">
        <v>138.64505318991294</v>
      </c>
      <c r="N17" s="228">
        <v>151.92426464962617</v>
      </c>
      <c r="O17" s="7"/>
    </row>
    <row r="18" spans="1:15" x14ac:dyDescent="0.3">
      <c r="A18" s="38"/>
      <c r="B18" s="38"/>
      <c r="C18" s="38"/>
      <c r="D18" s="38"/>
      <c r="E18" s="38" t="s">
        <v>552</v>
      </c>
      <c r="F18" s="38" t="s">
        <v>277</v>
      </c>
      <c r="G18" s="38" t="str">
        <f>VLOOKUP(E18,Mapping!$E$11:$G$106,3,0)</f>
        <v>Connections</v>
      </c>
      <c r="H18" s="38" t="str">
        <f>VLOOKUP(E18,Mapping!$E$11:$K$106,7,0)</f>
        <v>SCS</v>
      </c>
      <c r="I18" s="43"/>
      <c r="J18" s="228">
        <v>222.82673641805565</v>
      </c>
      <c r="K18" s="228">
        <v>231.91422612230508</v>
      </c>
      <c r="L18" s="228">
        <v>216.34213074941269</v>
      </c>
      <c r="M18" s="228">
        <v>232.09236869700692</v>
      </c>
      <c r="N18" s="228">
        <v>254.33748777834722</v>
      </c>
      <c r="O18" s="7"/>
    </row>
    <row r="19" spans="1:15" x14ac:dyDescent="0.3">
      <c r="A19" s="38"/>
      <c r="B19" s="38"/>
      <c r="C19" s="38"/>
      <c r="D19" s="38" t="s">
        <v>97</v>
      </c>
      <c r="E19" s="38" t="s">
        <v>524</v>
      </c>
      <c r="F19" s="38" t="s">
        <v>278</v>
      </c>
      <c r="G19" s="38" t="str">
        <f>VLOOKUP(E19,Mapping!$E$11:$G$106,3,0)</f>
        <v>Connections</v>
      </c>
      <c r="H19" s="38" t="str">
        <f>VLOOKUP(E19,Mapping!$E$11:$K$106,7,0)</f>
        <v>SCS</v>
      </c>
      <c r="I19" s="43"/>
      <c r="J19" s="228">
        <v>0</v>
      </c>
      <c r="K19" s="228">
        <v>0</v>
      </c>
      <c r="L19" s="228">
        <v>0</v>
      </c>
      <c r="M19" s="228">
        <v>0</v>
      </c>
      <c r="N19" s="228">
        <v>0</v>
      </c>
      <c r="O19" s="7"/>
    </row>
    <row r="20" spans="1:15" x14ac:dyDescent="0.3">
      <c r="A20" s="38"/>
      <c r="B20" s="38"/>
      <c r="C20" s="38"/>
      <c r="D20" s="38" t="s">
        <v>98</v>
      </c>
      <c r="E20" s="38" t="s">
        <v>526</v>
      </c>
      <c r="F20" s="38" t="s">
        <v>279</v>
      </c>
      <c r="G20" s="38" t="str">
        <f>VLOOKUP(E20,Mapping!$E$11:$G$106,3,0)</f>
        <v>Connections</v>
      </c>
      <c r="H20" s="38" t="str">
        <f>VLOOKUP(E20,Mapping!$E$11:$K$106,7,0)</f>
        <v>SCS</v>
      </c>
      <c r="I20" s="43"/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7"/>
    </row>
    <row r="21" spans="1:15" x14ac:dyDescent="0.3">
      <c r="A21" s="38"/>
      <c r="B21" s="38"/>
      <c r="C21" s="38"/>
      <c r="D21" s="38"/>
      <c r="E21" s="38" t="s">
        <v>553</v>
      </c>
      <c r="F21" s="38" t="s">
        <v>282</v>
      </c>
      <c r="G21" s="38" t="str">
        <f>VLOOKUP(E21,Mapping!$E$11:$G$106,3,0)</f>
        <v>Connections</v>
      </c>
      <c r="H21" s="38" t="str">
        <f>VLOOKUP(E21,Mapping!$E$11:$K$106,7,0)</f>
        <v>SCS</v>
      </c>
      <c r="I21" s="43"/>
      <c r="J21" s="228">
        <v>892.0914976673954</v>
      </c>
      <c r="K21" s="228">
        <v>1466.8424572512645</v>
      </c>
      <c r="L21" s="228">
        <v>1385.3215459968706</v>
      </c>
      <c r="M21" s="228">
        <v>1478.519008240735</v>
      </c>
      <c r="N21" s="228">
        <v>1619.7974619251509</v>
      </c>
      <c r="O21" s="7"/>
    </row>
    <row r="22" spans="1:15" x14ac:dyDescent="0.3">
      <c r="A22" s="38"/>
      <c r="B22" s="38"/>
      <c r="C22" s="38"/>
      <c r="D22" s="38"/>
      <c r="E22" s="38" t="s">
        <v>554</v>
      </c>
      <c r="F22" s="38" t="s">
        <v>282</v>
      </c>
      <c r="G22" s="38" t="str">
        <f>VLOOKUP(E22,Mapping!$E$11:$G$106,3,0)</f>
        <v>Connections</v>
      </c>
      <c r="H22" s="38" t="str">
        <f>VLOOKUP(E22,Mapping!$E$11:$K$106,7,0)</f>
        <v>SCS</v>
      </c>
      <c r="I22" s="43"/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7"/>
    </row>
    <row r="23" spans="1:15" x14ac:dyDescent="0.3">
      <c r="A23" s="38"/>
      <c r="B23" s="38"/>
      <c r="C23" s="38"/>
      <c r="D23" s="38"/>
      <c r="E23" s="38" t="s">
        <v>528</v>
      </c>
      <c r="F23" s="38" t="s">
        <v>283</v>
      </c>
      <c r="G23" s="38" t="str">
        <f>VLOOKUP(E23,Mapping!$E$11:$G$106,3,0)</f>
        <v>Connections</v>
      </c>
      <c r="H23" s="38" t="str">
        <f>VLOOKUP(E23,Mapping!$E$11:$K$106,7,0)</f>
        <v>SCS</v>
      </c>
      <c r="I23" s="43"/>
      <c r="J23" s="228">
        <v>598.02934279916963</v>
      </c>
      <c r="K23" s="228">
        <v>983.42942239618571</v>
      </c>
      <c r="L23" s="228">
        <v>929.26910917318048</v>
      </c>
      <c r="M23" s="228">
        <v>991.63653779680862</v>
      </c>
      <c r="N23" s="228">
        <v>1086.3822593440411</v>
      </c>
      <c r="O23" s="7"/>
    </row>
    <row r="24" spans="1:15" x14ac:dyDescent="0.3">
      <c r="A24" s="38"/>
      <c r="B24" s="38"/>
      <c r="C24" s="38"/>
      <c r="D24" s="38"/>
      <c r="E24" s="38" t="s">
        <v>529</v>
      </c>
      <c r="F24" s="38" t="s">
        <v>283</v>
      </c>
      <c r="G24" s="38" t="str">
        <f>VLOOKUP(E24,Mapping!$E$11:$G$106,3,0)</f>
        <v>Connections</v>
      </c>
      <c r="H24" s="38" t="str">
        <f>VLOOKUP(E24,Mapping!$E$11:$K$106,7,0)</f>
        <v>SCS</v>
      </c>
      <c r="I24" s="43"/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7"/>
    </row>
    <row r="25" spans="1:15" x14ac:dyDescent="0.3">
      <c r="A25" s="38"/>
      <c r="B25" s="38"/>
      <c r="C25" s="38"/>
      <c r="D25" s="38"/>
      <c r="E25" s="38" t="s">
        <v>509</v>
      </c>
      <c r="F25" s="38"/>
      <c r="G25" s="38" t="str">
        <f>VLOOKUP(E25,Mapping!$E$11:$G$106,3,0)</f>
        <v>Connections</v>
      </c>
      <c r="H25" s="38" t="str">
        <f>VLOOKUP(E25,Mapping!$E$11:$K$106,7,0)</f>
        <v>SCS</v>
      </c>
      <c r="I25" s="43"/>
      <c r="J25" s="228">
        <v>2178.3123327514759</v>
      </c>
      <c r="K25" s="228">
        <v>2264.7670758213162</v>
      </c>
      <c r="L25" s="228">
        <v>2118.1683030861277</v>
      </c>
      <c r="M25" s="228">
        <v>2261.4708506466627</v>
      </c>
      <c r="N25" s="228">
        <v>2477.1674106825449</v>
      </c>
      <c r="O25" s="7"/>
    </row>
    <row r="26" spans="1:15" x14ac:dyDescent="0.3">
      <c r="A26" s="38"/>
      <c r="B26" s="38"/>
      <c r="C26" s="38"/>
      <c r="D26" s="38"/>
      <c r="E26" s="38" t="s">
        <v>510</v>
      </c>
      <c r="F26" s="38"/>
      <c r="G26" s="38" t="str">
        <f>VLOOKUP(E26,Mapping!$E$11:$G$106,3,0)</f>
        <v>Connections</v>
      </c>
      <c r="H26" s="38" t="str">
        <f>VLOOKUP(E26,Mapping!$E$11:$K$106,7,0)</f>
        <v>SCS</v>
      </c>
      <c r="I26" s="43"/>
      <c r="J26" s="228">
        <v>716.06792333798194</v>
      </c>
      <c r="K26" s="228">
        <v>744.48784613874125</v>
      </c>
      <c r="L26" s="228">
        <v>696.29701639497034</v>
      </c>
      <c r="M26" s="228">
        <v>743.40429118650593</v>
      </c>
      <c r="N26" s="228">
        <v>814.30936090208093</v>
      </c>
      <c r="O26" s="7"/>
    </row>
    <row r="27" spans="1:15" x14ac:dyDescent="0.3">
      <c r="A27" s="38"/>
      <c r="B27" s="38"/>
      <c r="C27" s="38"/>
      <c r="D27" s="38"/>
      <c r="E27" s="38" t="s">
        <v>511</v>
      </c>
      <c r="F27" s="38"/>
      <c r="G27" s="38" t="str">
        <f>VLOOKUP(E27,Mapping!$E$11:$G$106,3,0)</f>
        <v>Connections</v>
      </c>
      <c r="H27" s="38" t="str">
        <f>VLOOKUP(E27,Mapping!$E$11:$K$106,7,0)</f>
        <v>SCS</v>
      </c>
      <c r="I27" s="43"/>
      <c r="J27" s="228">
        <v>4.5164753792173808</v>
      </c>
      <c r="K27" s="228">
        <v>7.4105891170035818</v>
      </c>
      <c r="L27" s="228">
        <v>6.9285197707209685</v>
      </c>
      <c r="M27" s="228">
        <v>7.4018801865403221</v>
      </c>
      <c r="N27" s="228">
        <v>8.1083895008370011</v>
      </c>
      <c r="O27" s="7"/>
    </row>
    <row r="28" spans="1:15" x14ac:dyDescent="0.3">
      <c r="A28" s="7"/>
      <c r="B28" s="7"/>
      <c r="C28" s="7"/>
      <c r="D28" s="7"/>
      <c r="E28" s="56" t="s">
        <v>79</v>
      </c>
      <c r="F28" s="84"/>
      <c r="G28" s="84"/>
      <c r="H28" s="84"/>
      <c r="I28" s="85"/>
      <c r="J28" s="86">
        <f t="shared" ref="J28:N28" si="0">SUM(J9:J27)</f>
        <v>7327.4968501688818</v>
      </c>
      <c r="K28" s="86">
        <f t="shared" si="0"/>
        <v>8527.1305006311268</v>
      </c>
      <c r="L28" s="86">
        <f t="shared" si="0"/>
        <v>7995.0791319907084</v>
      </c>
      <c r="M28" s="86">
        <f t="shared" si="0"/>
        <v>8542.6769195997767</v>
      </c>
      <c r="N28" s="86">
        <f t="shared" si="0"/>
        <v>9361.2296612894734</v>
      </c>
      <c r="O28" s="7"/>
    </row>
    <row r="29" spans="1:15" x14ac:dyDescent="0.3">
      <c r="A29" s="7"/>
      <c r="B29" s="7"/>
      <c r="C29" s="7"/>
      <c r="D29" s="7"/>
      <c r="E29" s="38"/>
      <c r="F29" s="38"/>
      <c r="G29" s="38"/>
      <c r="H29" s="38"/>
      <c r="I29" s="7"/>
      <c r="J29" s="7"/>
      <c r="K29" s="7"/>
      <c r="L29" s="7"/>
      <c r="M29" s="7"/>
      <c r="N29" s="7"/>
      <c r="O29" s="7"/>
    </row>
    <row r="30" spans="1:15" x14ac:dyDescent="0.3">
      <c r="A30" s="21" t="s">
        <v>77</v>
      </c>
      <c r="B30" s="21"/>
      <c r="C30" s="14"/>
      <c r="D30" s="23"/>
      <c r="E30" s="24"/>
      <c r="F30" s="24"/>
      <c r="G30" s="24"/>
      <c r="H30" s="24"/>
      <c r="I30" s="81"/>
      <c r="J30" s="34" t="s">
        <v>608</v>
      </c>
      <c r="K30" s="34" t="s">
        <v>608</v>
      </c>
      <c r="L30" s="34" t="s">
        <v>608</v>
      </c>
      <c r="M30" s="34" t="s">
        <v>608</v>
      </c>
      <c r="N30" s="34" t="s">
        <v>608</v>
      </c>
      <c r="O30" s="24"/>
    </row>
    <row r="31" spans="1:15" x14ac:dyDescent="0.3">
      <c r="A31" s="38"/>
      <c r="B31" s="38"/>
      <c r="C31" s="38"/>
      <c r="D31" s="38"/>
      <c r="E31" s="38"/>
      <c r="F31" s="38"/>
      <c r="G31" s="38"/>
      <c r="H31" s="7"/>
      <c r="I31" s="82"/>
      <c r="J31" s="38"/>
      <c r="K31" s="38"/>
      <c r="L31" s="38"/>
      <c r="M31" s="38"/>
      <c r="N31" s="38"/>
      <c r="O31" s="7"/>
    </row>
    <row r="32" spans="1:15" x14ac:dyDescent="0.3">
      <c r="A32" s="38"/>
      <c r="B32" s="38"/>
      <c r="C32" s="38"/>
      <c r="D32" s="38"/>
      <c r="E32" s="38" t="s">
        <v>546</v>
      </c>
      <c r="F32" s="38" t="s">
        <v>271</v>
      </c>
      <c r="G32" s="38" t="str">
        <f>VLOOKUP(E32,Mapping!$E$11:$G$106,3,0)</f>
        <v>Connections</v>
      </c>
      <c r="H32" s="38" t="str">
        <f>VLOOKUP(E32,Mapping!$E$11:$K$106,7,0)</f>
        <v>SCS</v>
      </c>
      <c r="I32" s="43"/>
      <c r="J32" s="228">
        <v>57.500392469048421</v>
      </c>
      <c r="K32" s="228">
        <v>60.124321753231179</v>
      </c>
      <c r="L32" s="228">
        <v>56.068251035400365</v>
      </c>
      <c r="M32" s="228">
        <v>60.161783311845753</v>
      </c>
      <c r="N32" s="228">
        <v>65.896124955101016</v>
      </c>
      <c r="O32" s="7"/>
    </row>
    <row r="33" spans="1:15" x14ac:dyDescent="0.3">
      <c r="A33" s="38"/>
      <c r="B33" s="38"/>
      <c r="C33" s="38"/>
      <c r="D33" s="38"/>
      <c r="E33" s="38" t="s">
        <v>547</v>
      </c>
      <c r="F33" s="38" t="s">
        <v>272</v>
      </c>
      <c r="G33" s="38" t="str">
        <f>VLOOKUP(E33,Mapping!$E$11:$G$106,3,0)</f>
        <v>Connections</v>
      </c>
      <c r="H33" s="38" t="str">
        <f>VLOOKUP(E33,Mapping!$E$11:$K$106,7,0)</f>
        <v>SCS</v>
      </c>
      <c r="I33" s="43"/>
      <c r="J33" s="228">
        <v>0</v>
      </c>
      <c r="K33" s="228">
        <v>0</v>
      </c>
      <c r="L33" s="228">
        <v>0</v>
      </c>
      <c r="M33" s="228">
        <v>0</v>
      </c>
      <c r="N33" s="228">
        <v>0</v>
      </c>
      <c r="O33" s="7"/>
    </row>
    <row r="34" spans="1:15" x14ac:dyDescent="0.3">
      <c r="A34" s="38"/>
      <c r="B34" s="38"/>
      <c r="C34" s="38"/>
      <c r="D34" s="38"/>
      <c r="E34" s="38" t="s">
        <v>548</v>
      </c>
      <c r="F34" s="38" t="s">
        <v>273</v>
      </c>
      <c r="G34" s="38" t="str">
        <f>VLOOKUP(E34,Mapping!$E$11:$G$106,3,0)</f>
        <v>Connections</v>
      </c>
      <c r="H34" s="38" t="str">
        <f>VLOOKUP(E34,Mapping!$E$11:$K$106,7,0)</f>
        <v>SCS</v>
      </c>
      <c r="I34" s="43"/>
      <c r="J34" s="228">
        <v>0</v>
      </c>
      <c r="K34" s="228">
        <v>0</v>
      </c>
      <c r="L34" s="228">
        <v>0</v>
      </c>
      <c r="M34" s="228">
        <v>0</v>
      </c>
      <c r="N34" s="228">
        <v>0</v>
      </c>
      <c r="O34" s="7"/>
    </row>
    <row r="35" spans="1:15" x14ac:dyDescent="0.3">
      <c r="A35" s="38"/>
      <c r="B35" s="38"/>
      <c r="C35" s="38"/>
      <c r="D35" s="38"/>
      <c r="E35" s="38" t="s">
        <v>555</v>
      </c>
      <c r="F35" s="38" t="s">
        <v>273</v>
      </c>
      <c r="G35" s="38" t="str">
        <f>VLOOKUP(E35,Mapping!$E$11:$G$106,3,0)</f>
        <v>Connections</v>
      </c>
      <c r="H35" s="38" t="str">
        <f>VLOOKUP(E35,Mapping!$E$11:$K$106,7,0)</f>
        <v>SCS</v>
      </c>
      <c r="I35" s="43"/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7"/>
    </row>
    <row r="36" spans="1:15" x14ac:dyDescent="0.3">
      <c r="A36" s="38"/>
      <c r="B36" s="38"/>
      <c r="C36" s="38"/>
      <c r="D36" s="38"/>
      <c r="E36" s="38" t="s">
        <v>549</v>
      </c>
      <c r="F36" s="38" t="s">
        <v>274</v>
      </c>
      <c r="G36" s="38" t="str">
        <f>VLOOKUP(E36,Mapping!$E$11:$G$106,3,0)</f>
        <v>Connections</v>
      </c>
      <c r="H36" s="38" t="str">
        <f>VLOOKUP(E36,Mapping!$E$11:$K$106,7,0)</f>
        <v>SCS</v>
      </c>
      <c r="I36" s="43"/>
      <c r="J36" s="228">
        <v>39.551654466957451</v>
      </c>
      <c r="K36" s="228">
        <v>41.173670734502863</v>
      </c>
      <c r="L36" s="228">
        <v>38.417818532598574</v>
      </c>
      <c r="M36" s="228">
        <v>41.195956487139078</v>
      </c>
      <c r="N36" s="228">
        <v>45.141032165843228</v>
      </c>
      <c r="O36" s="7"/>
    </row>
    <row r="37" spans="1:15" x14ac:dyDescent="0.3">
      <c r="A37" s="38"/>
      <c r="B37" s="38"/>
      <c r="C37" s="38"/>
      <c r="D37" s="38"/>
      <c r="E37" s="38" t="s">
        <v>556</v>
      </c>
      <c r="F37" s="38" t="s">
        <v>274</v>
      </c>
      <c r="G37" s="38" t="str">
        <f>VLOOKUP(E37,Mapping!$E$11:$G$106,3,0)</f>
        <v>Connections</v>
      </c>
      <c r="H37" s="38" t="str">
        <f>VLOOKUP(E37,Mapping!$E$11:$K$106,7,0)</f>
        <v>SCS</v>
      </c>
      <c r="I37" s="43"/>
      <c r="J37" s="228">
        <v>0</v>
      </c>
      <c r="K37" s="228">
        <v>0</v>
      </c>
      <c r="L37" s="228">
        <v>0</v>
      </c>
      <c r="M37" s="228">
        <v>0</v>
      </c>
      <c r="N37" s="228">
        <v>0</v>
      </c>
      <c r="O37" s="7"/>
    </row>
    <row r="38" spans="1:15" x14ac:dyDescent="0.3">
      <c r="A38" s="38"/>
      <c r="B38" s="38"/>
      <c r="C38" s="38"/>
      <c r="D38" s="38"/>
      <c r="E38" s="38" t="s">
        <v>550</v>
      </c>
      <c r="F38" s="38" t="s">
        <v>275</v>
      </c>
      <c r="G38" s="38" t="str">
        <f>VLOOKUP(E38,Mapping!$E$11:$G$106,3,0)</f>
        <v>Connections</v>
      </c>
      <c r="H38" s="38" t="str">
        <f>VLOOKUP(E38,Mapping!$E$11:$K$106,7,0)</f>
        <v>SCS</v>
      </c>
      <c r="I38" s="43"/>
      <c r="J38" s="228">
        <v>646.57656037346339</v>
      </c>
      <c r="K38" s="228">
        <v>674.09029529824659</v>
      </c>
      <c r="L38" s="228">
        <v>629.1282432166937</v>
      </c>
      <c r="M38" s="228">
        <v>674.20788177839347</v>
      </c>
      <c r="N38" s="228">
        <v>738.60198004805466</v>
      </c>
      <c r="O38" s="7"/>
    </row>
    <row r="39" spans="1:15" x14ac:dyDescent="0.3">
      <c r="A39" s="38"/>
      <c r="B39" s="38"/>
      <c r="C39" s="38"/>
      <c r="D39" s="38"/>
      <c r="E39" s="38" t="s">
        <v>557</v>
      </c>
      <c r="F39" s="38" t="s">
        <v>275</v>
      </c>
      <c r="G39" s="38" t="str">
        <f>VLOOKUP(E39,Mapping!$E$11:$G$106,3,0)</f>
        <v>Connections</v>
      </c>
      <c r="H39" s="38" t="str">
        <f>VLOOKUP(E39,Mapping!$E$11:$K$106,7,0)</f>
        <v>SCS</v>
      </c>
      <c r="I39" s="43"/>
      <c r="J39" s="228">
        <v>327.0055768954212</v>
      </c>
      <c r="K39" s="228">
        <v>340.52953368462283</v>
      </c>
      <c r="L39" s="228">
        <v>318.14675193287297</v>
      </c>
      <c r="M39" s="228">
        <v>340.30852778351289</v>
      </c>
      <c r="N39" s="228">
        <v>372.78021161225206</v>
      </c>
      <c r="O39" s="7"/>
    </row>
    <row r="40" spans="1:15" x14ac:dyDescent="0.3">
      <c r="A40" s="38"/>
      <c r="B40" s="38"/>
      <c r="C40" s="38"/>
      <c r="D40" s="38"/>
      <c r="E40" s="38" t="s">
        <v>551</v>
      </c>
      <c r="F40" s="38" t="s">
        <v>276</v>
      </c>
      <c r="G40" s="38" t="str">
        <f>VLOOKUP(E40,Mapping!$E$11:$G$106,3,0)</f>
        <v>Connections</v>
      </c>
      <c r="H40" s="38" t="str">
        <f>VLOOKUP(E40,Mapping!$E$11:$K$106,7,0)</f>
        <v>SCS</v>
      </c>
      <c r="I40" s="43"/>
      <c r="J40" s="228">
        <v>68.78270772922491</v>
      </c>
      <c r="K40" s="228">
        <v>71.624748204432393</v>
      </c>
      <c r="L40" s="228">
        <v>66.81530375630382</v>
      </c>
      <c r="M40" s="228">
        <v>71.676303227846176</v>
      </c>
      <c r="N40" s="228">
        <v>78.541350088979641</v>
      </c>
      <c r="O40" s="7"/>
    </row>
    <row r="41" spans="1:15" x14ac:dyDescent="0.3">
      <c r="A41" s="38"/>
      <c r="B41" s="38"/>
      <c r="C41" s="38"/>
      <c r="D41" s="38"/>
      <c r="E41" s="38" t="s">
        <v>552</v>
      </c>
      <c r="F41" s="38" t="s">
        <v>277</v>
      </c>
      <c r="G41" s="38" t="str">
        <f>VLOOKUP(E41,Mapping!$E$11:$G$106,3,0)</f>
        <v>Connections</v>
      </c>
      <c r="H41" s="38" t="str">
        <f>VLOOKUP(E41,Mapping!$E$11:$K$106,7,0)</f>
        <v>SCS</v>
      </c>
      <c r="I41" s="43"/>
      <c r="J41" s="228">
        <v>114.65364292342184</v>
      </c>
      <c r="K41" s="228">
        <v>119.32953512724832</v>
      </c>
      <c r="L41" s="228">
        <v>111.31704303965877</v>
      </c>
      <c r="M41" s="228">
        <v>119.42119690660952</v>
      </c>
      <c r="N41" s="228">
        <v>130.86723781238263</v>
      </c>
      <c r="O41" s="7"/>
    </row>
    <row r="42" spans="1:15" x14ac:dyDescent="0.3">
      <c r="A42" s="38"/>
      <c r="B42" s="38"/>
      <c r="C42" s="38"/>
      <c r="D42" s="38" t="s">
        <v>97</v>
      </c>
      <c r="E42" s="38" t="s">
        <v>524</v>
      </c>
      <c r="F42" s="38" t="s">
        <v>278</v>
      </c>
      <c r="G42" s="38" t="str">
        <f>VLOOKUP(E42,Mapping!$E$11:$G$106,3,0)</f>
        <v>Connections</v>
      </c>
      <c r="H42" s="38" t="str">
        <f>VLOOKUP(E42,Mapping!$E$11:$K$106,7,0)</f>
        <v>SCS</v>
      </c>
      <c r="I42" s="43"/>
      <c r="J42" s="228">
        <v>0</v>
      </c>
      <c r="K42" s="228">
        <v>0</v>
      </c>
      <c r="L42" s="228">
        <v>0</v>
      </c>
      <c r="M42" s="228">
        <v>0</v>
      </c>
      <c r="N42" s="228">
        <v>0</v>
      </c>
      <c r="O42" s="7"/>
    </row>
    <row r="43" spans="1:15" x14ac:dyDescent="0.3">
      <c r="A43" s="38"/>
      <c r="B43" s="38"/>
      <c r="C43" s="38"/>
      <c r="D43" s="38" t="s">
        <v>98</v>
      </c>
      <c r="E43" s="38" t="s">
        <v>526</v>
      </c>
      <c r="F43" s="38" t="s">
        <v>279</v>
      </c>
      <c r="G43" s="38" t="str">
        <f>VLOOKUP(E43,Mapping!$E$11:$G$106,3,0)</f>
        <v>Connections</v>
      </c>
      <c r="H43" s="38" t="str">
        <f>VLOOKUP(E43,Mapping!$E$11:$K$106,7,0)</f>
        <v>SCS</v>
      </c>
      <c r="I43" s="43"/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7"/>
    </row>
    <row r="44" spans="1:15" x14ac:dyDescent="0.3">
      <c r="A44" s="7"/>
      <c r="B44" s="7"/>
      <c r="C44" s="7"/>
      <c r="D44" s="38"/>
      <c r="E44" s="38" t="s">
        <v>553</v>
      </c>
      <c r="F44" s="38" t="s">
        <v>282</v>
      </c>
      <c r="G44" s="38" t="str">
        <f>VLOOKUP(E44,Mapping!$E$11:$G$106,3,0)</f>
        <v>Connections</v>
      </c>
      <c r="H44" s="38" t="str">
        <f>VLOOKUP(E44,Mapping!$E$11:$K$106,7,0)</f>
        <v>SCS</v>
      </c>
      <c r="I44" s="43"/>
      <c r="J44" s="228">
        <v>391.85692608931299</v>
      </c>
      <c r="K44" s="228">
        <v>644.31998047141894</v>
      </c>
      <c r="L44" s="228">
        <v>608.51139606088054</v>
      </c>
      <c r="M44" s="228">
        <v>649.44898056840782</v>
      </c>
      <c r="N44" s="228">
        <v>711.50644970490566</v>
      </c>
      <c r="O44" s="7"/>
    </row>
    <row r="45" spans="1:15" x14ac:dyDescent="0.3">
      <c r="A45" s="7"/>
      <c r="B45" s="7"/>
      <c r="C45" s="7"/>
      <c r="D45" s="38"/>
      <c r="E45" s="38" t="s">
        <v>554</v>
      </c>
      <c r="F45" s="38" t="s">
        <v>282</v>
      </c>
      <c r="G45" s="38" t="str">
        <f>VLOOKUP(E45,Mapping!$E$11:$G$106,3,0)</f>
        <v>Connections</v>
      </c>
      <c r="H45" s="38" t="str">
        <f>VLOOKUP(E45,Mapping!$E$11:$K$106,7,0)</f>
        <v>SCS</v>
      </c>
      <c r="I45" s="43"/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7"/>
    </row>
    <row r="46" spans="1:15" x14ac:dyDescent="0.3">
      <c r="A46" s="7"/>
      <c r="B46" s="7"/>
      <c r="C46" s="7"/>
      <c r="D46" s="38"/>
      <c r="E46" s="38" t="s">
        <v>528</v>
      </c>
      <c r="F46" s="38" t="s">
        <v>283</v>
      </c>
      <c r="G46" s="38" t="str">
        <f>VLOOKUP(E46,Mapping!$E$11:$G$106,3,0)</f>
        <v>Connections</v>
      </c>
      <c r="H46" s="38" t="str">
        <f>VLOOKUP(E46,Mapping!$E$11:$K$106,7,0)</f>
        <v>SCS</v>
      </c>
      <c r="I46" s="43"/>
      <c r="J46" s="228">
        <v>171.50830233569917</v>
      </c>
      <c r="K46" s="228">
        <v>282.03684774509236</v>
      </c>
      <c r="L46" s="228">
        <v>266.50425977646699</v>
      </c>
      <c r="M46" s="228">
        <v>284.39055905772727</v>
      </c>
      <c r="N46" s="228">
        <v>311.56260011524063</v>
      </c>
      <c r="O46" s="7"/>
    </row>
    <row r="47" spans="1:15" x14ac:dyDescent="0.3">
      <c r="A47" s="7"/>
      <c r="B47" s="7"/>
      <c r="C47" s="7"/>
      <c r="D47" s="38"/>
      <c r="E47" s="38" t="s">
        <v>529</v>
      </c>
      <c r="F47" s="38" t="s">
        <v>283</v>
      </c>
      <c r="G47" s="38" t="str">
        <f>VLOOKUP(E47,Mapping!$E$11:$G$106,3,0)</f>
        <v>Connections</v>
      </c>
      <c r="H47" s="38" t="str">
        <f>VLOOKUP(E47,Mapping!$E$11:$K$106,7,0)</f>
        <v>SCS</v>
      </c>
      <c r="I47" s="43"/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7"/>
    </row>
    <row r="48" spans="1:15" x14ac:dyDescent="0.3">
      <c r="A48" s="7"/>
      <c r="B48" s="7"/>
      <c r="C48" s="7"/>
      <c r="D48" s="7"/>
      <c r="E48" s="38" t="s">
        <v>509</v>
      </c>
      <c r="F48" s="38"/>
      <c r="G48" s="38" t="str">
        <f>VLOOKUP(E48,Mapping!$E$11:$G$106,3,0)</f>
        <v>Connections</v>
      </c>
      <c r="H48" s="38" t="str">
        <f>VLOOKUP(E48,Mapping!$E$11:$K$106,7,0)</f>
        <v>SCS</v>
      </c>
      <c r="I48" s="43"/>
      <c r="J48" s="228">
        <v>174.60921017451082</v>
      </c>
      <c r="K48" s="228">
        <v>181.53925146211495</v>
      </c>
      <c r="L48" s="228">
        <v>169.78818365839416</v>
      </c>
      <c r="M48" s="228">
        <v>181.27503256859356</v>
      </c>
      <c r="N48" s="228">
        <v>198.56484239933158</v>
      </c>
      <c r="O48" s="7"/>
    </row>
    <row r="49" spans="1:15" x14ac:dyDescent="0.3">
      <c r="A49" s="7"/>
      <c r="B49" s="7"/>
      <c r="C49" s="7"/>
      <c r="D49" s="7"/>
      <c r="E49" s="38" t="s">
        <v>510</v>
      </c>
      <c r="F49" s="38"/>
      <c r="G49" s="38" t="str">
        <f>VLOOKUP(E49,Mapping!$E$11:$G$106,3,0)</f>
        <v>Connections</v>
      </c>
      <c r="H49" s="38" t="str">
        <f>VLOOKUP(E49,Mapping!$E$11:$K$106,7,0)</f>
        <v>SCS</v>
      </c>
      <c r="I49" s="7"/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7"/>
    </row>
    <row r="50" spans="1:15" x14ac:dyDescent="0.3">
      <c r="A50" s="7"/>
      <c r="B50" s="7"/>
      <c r="C50" s="7"/>
      <c r="D50" s="7"/>
      <c r="E50" s="38" t="s">
        <v>511</v>
      </c>
      <c r="F50" s="38"/>
      <c r="G50" s="38" t="str">
        <f>VLOOKUP(E50,Mapping!$E$11:$G$106,3,0)</f>
        <v>Connections</v>
      </c>
      <c r="H50" s="38" t="str">
        <f>VLOOKUP(E50,Mapping!$E$11:$K$106,7,0)</f>
        <v>SCS</v>
      </c>
      <c r="I50" s="7"/>
      <c r="J50" s="228">
        <v>0</v>
      </c>
      <c r="K50" s="228">
        <v>0</v>
      </c>
      <c r="L50" s="228">
        <v>0</v>
      </c>
      <c r="M50" s="228">
        <v>0</v>
      </c>
      <c r="N50" s="228">
        <v>0</v>
      </c>
      <c r="O50" s="7"/>
    </row>
    <row r="51" spans="1:15" x14ac:dyDescent="0.3">
      <c r="A51" s="7"/>
      <c r="B51" s="7"/>
      <c r="C51" s="7"/>
      <c r="D51" s="7"/>
      <c r="E51" s="56" t="s">
        <v>79</v>
      </c>
      <c r="F51" s="84"/>
      <c r="G51" s="84"/>
      <c r="H51" s="102"/>
      <c r="I51" s="85"/>
      <c r="J51" s="86">
        <f t="shared" ref="J51" si="1">SUM(J32:J50)</f>
        <v>1992.0449734570602</v>
      </c>
      <c r="K51" s="86">
        <f t="shared" ref="K51" si="2">SUM(K32:K50)</f>
        <v>2414.7681844809103</v>
      </c>
      <c r="L51" s="86">
        <f t="shared" ref="L51" si="3">SUM(L32:L50)</f>
        <v>2264.6972510092701</v>
      </c>
      <c r="M51" s="86">
        <f t="shared" ref="M51" si="4">SUM(M32:M50)</f>
        <v>2422.0862216900755</v>
      </c>
      <c r="N51" s="86">
        <f t="shared" ref="N51" si="5">SUM(N32:N50)</f>
        <v>2653.4618289020909</v>
      </c>
      <c r="O51" s="7"/>
    </row>
    <row r="52" spans="1:15" x14ac:dyDescent="0.3">
      <c r="A52" s="7"/>
      <c r="B52" s="7"/>
      <c r="C52" s="7"/>
      <c r="D52" s="7"/>
      <c r="E52" s="38"/>
      <c r="F52" s="38"/>
      <c r="G52" s="38"/>
      <c r="H52" s="38"/>
      <c r="I52" s="7"/>
      <c r="J52" s="7"/>
      <c r="K52" s="7"/>
      <c r="L52" s="7"/>
      <c r="M52" s="7"/>
      <c r="N52" s="7"/>
      <c r="O52" s="7"/>
    </row>
    <row r="53" spans="1:15" x14ac:dyDescent="0.3">
      <c r="A53" s="21" t="s">
        <v>78</v>
      </c>
      <c r="B53" s="21"/>
      <c r="C53" s="14"/>
      <c r="D53" s="23"/>
      <c r="E53" s="24"/>
      <c r="F53" s="24"/>
      <c r="G53" s="24"/>
      <c r="H53" s="24"/>
      <c r="I53" s="81"/>
      <c r="J53" s="34" t="s">
        <v>608</v>
      </c>
      <c r="K53" s="34" t="s">
        <v>608</v>
      </c>
      <c r="L53" s="34" t="s">
        <v>608</v>
      </c>
      <c r="M53" s="34" t="s">
        <v>608</v>
      </c>
      <c r="N53" s="34" t="s">
        <v>608</v>
      </c>
      <c r="O53" s="24"/>
    </row>
    <row r="54" spans="1:15" x14ac:dyDescent="0.3">
      <c r="A54" s="38"/>
      <c r="B54" s="38"/>
      <c r="C54" s="38"/>
      <c r="D54" s="38"/>
      <c r="E54" s="38"/>
      <c r="F54" s="38"/>
      <c r="G54" s="38"/>
      <c r="H54" s="7"/>
      <c r="I54" s="82"/>
      <c r="J54" s="38"/>
      <c r="K54" s="38"/>
      <c r="L54" s="38"/>
      <c r="M54" s="38"/>
      <c r="N54" s="38"/>
      <c r="O54" s="7"/>
    </row>
    <row r="55" spans="1:15" x14ac:dyDescent="0.3">
      <c r="A55" s="38"/>
      <c r="B55" s="38"/>
      <c r="C55" s="38"/>
      <c r="D55" s="38"/>
      <c r="E55" s="38" t="s">
        <v>546</v>
      </c>
      <c r="F55" s="38" t="s">
        <v>271</v>
      </c>
      <c r="G55" s="38" t="str">
        <f>VLOOKUP(E55,Mapping!$E$11:$G$106,3,0)</f>
        <v>Connections</v>
      </c>
      <c r="H55" s="38" t="str">
        <f>VLOOKUP(E55,Mapping!$E$11:$K$106,7,0)</f>
        <v>SCS</v>
      </c>
      <c r="I55" s="43"/>
      <c r="J55" s="228">
        <v>390.94206588798369</v>
      </c>
      <c r="K55" s="228">
        <v>381.13795792089434</v>
      </c>
      <c r="L55" s="228">
        <v>352.8079041978994</v>
      </c>
      <c r="M55" s="228">
        <v>386.63008574327631</v>
      </c>
      <c r="N55" s="228">
        <v>427.82564408550644</v>
      </c>
      <c r="O55" s="7"/>
    </row>
    <row r="56" spans="1:15" x14ac:dyDescent="0.3">
      <c r="A56" s="38"/>
      <c r="B56" s="38"/>
      <c r="C56" s="38"/>
      <c r="D56" s="38"/>
      <c r="E56" s="38" t="s">
        <v>547</v>
      </c>
      <c r="F56" s="38" t="s">
        <v>272</v>
      </c>
      <c r="G56" s="38" t="str">
        <f>VLOOKUP(E56,Mapping!$E$11:$G$106,3,0)</f>
        <v>Connections</v>
      </c>
      <c r="H56" s="38" t="str">
        <f>VLOOKUP(E56,Mapping!$E$11:$K$106,7,0)</f>
        <v>SCS</v>
      </c>
      <c r="I56" s="43"/>
      <c r="J56" s="228">
        <v>83.529386142431591</v>
      </c>
      <c r="K56" s="228">
        <v>80.981649673865178</v>
      </c>
      <c r="L56" s="228">
        <v>74.977922717433998</v>
      </c>
      <c r="M56" s="228">
        <v>82.177484909959958</v>
      </c>
      <c r="N56" s="228">
        <v>90.99028003997519</v>
      </c>
      <c r="O56" s="7"/>
    </row>
    <row r="57" spans="1:15" x14ac:dyDescent="0.3">
      <c r="A57" s="38"/>
      <c r="B57" s="38"/>
      <c r="C57" s="38"/>
      <c r="D57" s="38"/>
      <c r="E57" s="38" t="s">
        <v>548</v>
      </c>
      <c r="F57" s="38" t="s">
        <v>273</v>
      </c>
      <c r="G57" s="38" t="str">
        <f>VLOOKUP(E57,Mapping!$E$11:$G$106,3,0)</f>
        <v>Connections</v>
      </c>
      <c r="H57" s="38" t="str">
        <f>VLOOKUP(E57,Mapping!$E$11:$K$106,7,0)</f>
        <v>SCS</v>
      </c>
      <c r="I57" s="43"/>
      <c r="J57" s="228">
        <v>157.49731827321395</v>
      </c>
      <c r="K57" s="228">
        <v>163.76089336338291</v>
      </c>
      <c r="L57" s="228">
        <v>152.89950448876135</v>
      </c>
      <c r="M57" s="228">
        <v>163.77276485697899</v>
      </c>
      <c r="N57" s="228">
        <v>179.45712982011776</v>
      </c>
      <c r="O57" s="7"/>
    </row>
    <row r="58" spans="1:15" x14ac:dyDescent="0.3">
      <c r="A58" s="38"/>
      <c r="B58" s="38"/>
      <c r="C58" s="38"/>
      <c r="D58" s="38"/>
      <c r="E58" s="38" t="s">
        <v>555</v>
      </c>
      <c r="F58" s="38" t="s">
        <v>273</v>
      </c>
      <c r="G58" s="38" t="str">
        <f>VLOOKUP(E58,Mapping!$E$11:$G$106,3,0)</f>
        <v>Connections</v>
      </c>
      <c r="H58" s="38" t="str">
        <f>VLOOKUP(E58,Mapping!$E$11:$K$106,7,0)</f>
        <v>SCS</v>
      </c>
      <c r="I58" s="43"/>
      <c r="J58" s="228">
        <v>454.50472601545368</v>
      </c>
      <c r="K58" s="228">
        <v>631.99263131110843</v>
      </c>
      <c r="L58" s="228">
        <v>373.53701955640958</v>
      </c>
      <c r="M58" s="228">
        <v>698.5184055897987</v>
      </c>
      <c r="N58" s="228">
        <v>507.65523608986541</v>
      </c>
      <c r="O58" s="7"/>
    </row>
    <row r="59" spans="1:15" x14ac:dyDescent="0.3">
      <c r="A59" s="38"/>
      <c r="B59" s="38"/>
      <c r="C59" s="38"/>
      <c r="D59" s="38"/>
      <c r="E59" s="38" t="s">
        <v>549</v>
      </c>
      <c r="F59" s="38" t="s">
        <v>274</v>
      </c>
      <c r="G59" s="38" t="str">
        <f>VLOOKUP(E59,Mapping!$E$11:$G$106,3,0)</f>
        <v>Connections</v>
      </c>
      <c r="H59" s="38" t="str">
        <f>VLOOKUP(E59,Mapping!$E$11:$K$106,7,0)</f>
        <v>SCS</v>
      </c>
      <c r="I59" s="43"/>
      <c r="J59" s="228">
        <v>1664.380211001798</v>
      </c>
      <c r="K59" s="228">
        <v>1615.466266011967</v>
      </c>
      <c r="L59" s="228">
        <v>1496.2366618480562</v>
      </c>
      <c r="M59" s="228">
        <v>1638.6108617687619</v>
      </c>
      <c r="N59" s="228">
        <v>1813.9475084048379</v>
      </c>
      <c r="O59" s="7"/>
    </row>
    <row r="60" spans="1:15" x14ac:dyDescent="0.3">
      <c r="A60" s="38"/>
      <c r="B60" s="38"/>
      <c r="C60" s="38"/>
      <c r="D60" s="38"/>
      <c r="E60" s="38" t="s">
        <v>556</v>
      </c>
      <c r="F60" s="38" t="s">
        <v>274</v>
      </c>
      <c r="G60" s="38" t="str">
        <f>VLOOKUP(E60,Mapping!$E$11:$G$106,3,0)</f>
        <v>Connections</v>
      </c>
      <c r="H60" s="38" t="str">
        <f>VLOOKUP(E60,Mapping!$E$11:$K$106,7,0)</f>
        <v>SCS</v>
      </c>
      <c r="I60" s="43"/>
      <c r="J60" s="228">
        <v>125.32174867780286</v>
      </c>
      <c r="K60" s="228">
        <v>121.51825733879397</v>
      </c>
      <c r="L60" s="228">
        <v>112.12197461181455</v>
      </c>
      <c r="M60" s="228">
        <v>123.69171910440257</v>
      </c>
      <c r="N60" s="228">
        <v>137.05409770912223</v>
      </c>
      <c r="O60" s="7"/>
    </row>
    <row r="61" spans="1:15" x14ac:dyDescent="0.3">
      <c r="A61" s="38"/>
      <c r="B61" s="38"/>
      <c r="C61" s="38"/>
      <c r="D61" s="38"/>
      <c r="E61" s="38" t="s">
        <v>550</v>
      </c>
      <c r="F61" s="38" t="s">
        <v>275</v>
      </c>
      <c r="G61" s="38" t="str">
        <f>VLOOKUP(E61,Mapping!$E$11:$G$106,3,0)</f>
        <v>Connections</v>
      </c>
      <c r="H61" s="38" t="str">
        <f>VLOOKUP(E61,Mapping!$E$11:$K$106,7,0)</f>
        <v>SCS</v>
      </c>
      <c r="I61" s="43"/>
      <c r="J61" s="228">
        <v>2701.618459188338</v>
      </c>
      <c r="K61" s="228">
        <v>2626.1078088806521</v>
      </c>
      <c r="L61" s="228">
        <v>2432.8926327499371</v>
      </c>
      <c r="M61" s="228">
        <v>2662.7551528619952</v>
      </c>
      <c r="N61" s="228">
        <v>2946.9981806563192</v>
      </c>
      <c r="O61" s="7"/>
    </row>
    <row r="62" spans="1:15" x14ac:dyDescent="0.3">
      <c r="A62" s="38"/>
      <c r="B62" s="38"/>
      <c r="C62" s="38"/>
      <c r="D62" s="38"/>
      <c r="E62" s="38" t="s">
        <v>557</v>
      </c>
      <c r="F62" s="38" t="s">
        <v>275</v>
      </c>
      <c r="G62" s="38" t="str">
        <f>VLOOKUP(E62,Mapping!$E$11:$G$106,3,0)</f>
        <v>Connections</v>
      </c>
      <c r="H62" s="38" t="str">
        <f>VLOOKUP(E62,Mapping!$E$11:$K$106,7,0)</f>
        <v>SCS</v>
      </c>
      <c r="I62" s="43"/>
      <c r="J62" s="228">
        <v>987.56248401432038</v>
      </c>
      <c r="K62" s="228">
        <v>958.85872759080007</v>
      </c>
      <c r="L62" s="228">
        <v>889.23514801337001</v>
      </c>
      <c r="M62" s="228">
        <v>971.43915951680697</v>
      </c>
      <c r="N62" s="228">
        <v>1075.0474076000257</v>
      </c>
      <c r="O62" s="7"/>
    </row>
    <row r="63" spans="1:15" x14ac:dyDescent="0.3">
      <c r="A63" s="38"/>
      <c r="B63" s="38"/>
      <c r="C63" s="38"/>
      <c r="D63" s="38"/>
      <c r="E63" s="38" t="s">
        <v>551</v>
      </c>
      <c r="F63" s="38" t="s">
        <v>276</v>
      </c>
      <c r="G63" s="38" t="str">
        <f>VLOOKUP(E63,Mapping!$E$11:$G$106,3,0)</f>
        <v>Connections</v>
      </c>
      <c r="H63" s="38" t="str">
        <f>VLOOKUP(E63,Mapping!$E$11:$K$106,7,0)</f>
        <v>SCS</v>
      </c>
      <c r="I63" s="43"/>
      <c r="J63" s="228">
        <v>591.78473573255815</v>
      </c>
      <c r="K63" s="228">
        <v>574.56347787039567</v>
      </c>
      <c r="L63" s="228">
        <v>532.03492265776924</v>
      </c>
      <c r="M63" s="228">
        <v>582.89917228365061</v>
      </c>
      <c r="N63" s="228">
        <v>645.27998493730433</v>
      </c>
      <c r="O63" s="7"/>
    </row>
    <row r="64" spans="1:15" x14ac:dyDescent="0.3">
      <c r="A64" s="38"/>
      <c r="B64" s="38"/>
      <c r="C64" s="38"/>
      <c r="D64" s="38"/>
      <c r="E64" s="38" t="s">
        <v>552</v>
      </c>
      <c r="F64" s="38" t="s">
        <v>277</v>
      </c>
      <c r="G64" s="38" t="str">
        <f>VLOOKUP(E64,Mapping!$E$11:$G$106,3,0)</f>
        <v>Connections</v>
      </c>
      <c r="H64" s="38" t="str">
        <f>VLOOKUP(E64,Mapping!$E$11:$K$106,7,0)</f>
        <v>SCS</v>
      </c>
      <c r="I64" s="43"/>
      <c r="J64" s="228">
        <v>1568.2544936055742</v>
      </c>
      <c r="K64" s="228">
        <v>1521.8331812329768</v>
      </c>
      <c r="L64" s="228">
        <v>1409.1916022041191</v>
      </c>
      <c r="M64" s="228">
        <v>1543.9863339518874</v>
      </c>
      <c r="N64" s="228">
        <v>1709.3262417938988</v>
      </c>
      <c r="O64" s="7"/>
    </row>
    <row r="65" spans="1:15" x14ac:dyDescent="0.3">
      <c r="A65" s="38"/>
      <c r="B65" s="38"/>
      <c r="C65" s="38"/>
      <c r="D65" s="38" t="s">
        <v>97</v>
      </c>
      <c r="E65" s="38" t="s">
        <v>524</v>
      </c>
      <c r="F65" s="38" t="s">
        <v>278</v>
      </c>
      <c r="G65" s="38" t="str">
        <f>VLOOKUP(E65,Mapping!$E$11:$G$106,3,0)</f>
        <v>Connections</v>
      </c>
      <c r="H65" s="38" t="str">
        <f>VLOOKUP(E65,Mapping!$E$11:$K$106,7,0)</f>
        <v>SCS</v>
      </c>
      <c r="I65" s="43"/>
      <c r="J65" s="304">
        <v>7051.9837911423801</v>
      </c>
      <c r="K65" s="304">
        <v>11959.071323787764</v>
      </c>
      <c r="L65" s="304">
        <v>11366.482368710367</v>
      </c>
      <c r="M65" s="304">
        <v>12230.310885497607</v>
      </c>
      <c r="N65" s="304">
        <v>13465.705433476805</v>
      </c>
      <c r="O65" s="7"/>
    </row>
    <row r="66" spans="1:15" x14ac:dyDescent="0.3">
      <c r="A66" s="38"/>
      <c r="B66" s="38"/>
      <c r="C66" s="38"/>
      <c r="D66" s="38" t="s">
        <v>98</v>
      </c>
      <c r="E66" s="38" t="s">
        <v>526</v>
      </c>
      <c r="F66" s="38" t="s">
        <v>279</v>
      </c>
      <c r="G66" s="38" t="str">
        <f>VLOOKUP(E66,Mapping!$E$11:$G$106,3,0)</f>
        <v>Connections</v>
      </c>
      <c r="H66" s="38" t="str">
        <f>VLOOKUP(E66,Mapping!$E$11:$K$106,7,0)</f>
        <v>SCS</v>
      </c>
      <c r="I66" s="43"/>
      <c r="J66" s="228" t="s">
        <v>1099</v>
      </c>
      <c r="K66" s="228" t="s">
        <v>1099</v>
      </c>
      <c r="L66" s="228" t="s">
        <v>1099</v>
      </c>
      <c r="M66" s="228" t="s">
        <v>1099</v>
      </c>
      <c r="N66" s="228" t="s">
        <v>1099</v>
      </c>
      <c r="O66" s="7"/>
    </row>
    <row r="67" spans="1:15" x14ac:dyDescent="0.3">
      <c r="A67" s="7"/>
      <c r="B67" s="7"/>
      <c r="C67" s="7"/>
      <c r="D67" s="38"/>
      <c r="E67" s="38" t="s">
        <v>553</v>
      </c>
      <c r="F67" s="38" t="s">
        <v>282</v>
      </c>
      <c r="G67" s="38" t="str">
        <f>VLOOKUP(E67,Mapping!$E$11:$G$106,3,0)</f>
        <v>Connections</v>
      </c>
      <c r="H67" s="38" t="str">
        <f>VLOOKUP(E67,Mapping!$E$11:$K$106,7,0)</f>
        <v>SCS</v>
      </c>
      <c r="I67" s="43"/>
      <c r="J67" s="228">
        <v>187.54467276463131</v>
      </c>
      <c r="K67" s="228">
        <v>317.06942612104433</v>
      </c>
      <c r="L67" s="228">
        <v>331.52106958246821</v>
      </c>
      <c r="M67" s="228">
        <v>365.50589274689912</v>
      </c>
      <c r="N67" s="228">
        <v>402.88261488428043</v>
      </c>
      <c r="O67" s="7"/>
    </row>
    <row r="68" spans="1:15" x14ac:dyDescent="0.3">
      <c r="A68" s="7"/>
      <c r="B68" s="7"/>
      <c r="C68" s="7"/>
      <c r="D68" s="38"/>
      <c r="E68" s="38" t="s">
        <v>554</v>
      </c>
      <c r="F68" s="38" t="s">
        <v>282</v>
      </c>
      <c r="G68" s="38" t="str">
        <f>VLOOKUP(E68,Mapping!$E$11:$G$106,3,0)</f>
        <v>Connections</v>
      </c>
      <c r="H68" s="38" t="str">
        <f>VLOOKUP(E68,Mapping!$E$11:$K$106,7,0)</f>
        <v>SCS</v>
      </c>
      <c r="I68" s="43"/>
      <c r="J68" s="228">
        <v>26.033396153301307</v>
      </c>
      <c r="K68" s="228">
        <v>43.902329417666124</v>
      </c>
      <c r="L68" s="228">
        <v>45.860589245849923</v>
      </c>
      <c r="M68" s="228">
        <v>49.738098530341638</v>
      </c>
      <c r="N68" s="228">
        <v>54.713265830965867</v>
      </c>
      <c r="O68" s="7"/>
    </row>
    <row r="69" spans="1:15" x14ac:dyDescent="0.3">
      <c r="A69" s="7"/>
      <c r="B69" s="7"/>
      <c r="C69" s="7"/>
      <c r="D69" s="38" t="s">
        <v>101</v>
      </c>
      <c r="E69" s="38" t="s">
        <v>528</v>
      </c>
      <c r="F69" s="38" t="s">
        <v>283</v>
      </c>
      <c r="G69" s="38" t="str">
        <f>VLOOKUP(E69,Mapping!$E$11:$G$106,3,0)</f>
        <v>Connections</v>
      </c>
      <c r="H69" s="38" t="str">
        <f>VLOOKUP(E69,Mapping!$E$11:$K$106,7,0)</f>
        <v>SCS</v>
      </c>
      <c r="I69" s="43"/>
      <c r="J69" s="228">
        <v>182.50163376222227</v>
      </c>
      <c r="K69" s="228">
        <v>308.5766237129186</v>
      </c>
      <c r="L69" s="228">
        <v>322.81297141700969</v>
      </c>
      <c r="M69" s="228">
        <v>355.85159934499507</v>
      </c>
      <c r="N69" s="228">
        <v>392.23776796650054</v>
      </c>
      <c r="O69" s="7"/>
    </row>
    <row r="70" spans="1:15" x14ac:dyDescent="0.3">
      <c r="A70" s="7"/>
      <c r="B70" s="7"/>
      <c r="C70" s="7"/>
      <c r="D70" s="38" t="s">
        <v>101</v>
      </c>
      <c r="E70" s="38" t="s">
        <v>529</v>
      </c>
      <c r="F70" s="38" t="s">
        <v>283</v>
      </c>
      <c r="G70" s="38" t="str">
        <f>VLOOKUP(E70,Mapping!$E$11:$G$106,3,0)</f>
        <v>Connections</v>
      </c>
      <c r="H70" s="38" t="str">
        <f>VLOOKUP(E70,Mapping!$E$11:$K$106,7,0)</f>
        <v>SCS</v>
      </c>
      <c r="I70" s="43"/>
      <c r="J70" s="228">
        <v>23.580249167802243</v>
      </c>
      <c r="K70" s="228">
        <v>39.766682972449878</v>
      </c>
      <c r="L70" s="228">
        <v>41.510746415545789</v>
      </c>
      <c r="M70" s="228">
        <v>45.082141918294241</v>
      </c>
      <c r="N70" s="228">
        <v>49.599207926807516</v>
      </c>
      <c r="O70" s="7"/>
    </row>
    <row r="71" spans="1:15" x14ac:dyDescent="0.3">
      <c r="A71" s="7"/>
      <c r="B71" s="7"/>
      <c r="C71" s="7"/>
      <c r="D71" s="7"/>
      <c r="E71" s="38" t="s">
        <v>509</v>
      </c>
      <c r="F71" s="38"/>
      <c r="G71" s="38" t="str">
        <f>VLOOKUP(E71,Mapping!$E$11:$G$106,3,0)</f>
        <v>Connections</v>
      </c>
      <c r="H71" s="38" t="str">
        <f>VLOOKUP(E71,Mapping!$E$11:$K$106,7,0)</f>
        <v>SCS</v>
      </c>
      <c r="I71" s="43"/>
      <c r="J71" s="228">
        <v>6072.2061715255004</v>
      </c>
      <c r="K71" s="228">
        <v>6313.2051396409825</v>
      </c>
      <c r="L71" s="228">
        <v>5904.5502561531448</v>
      </c>
      <c r="M71" s="228">
        <v>6304.0166690312672</v>
      </c>
      <c r="N71" s="228">
        <v>6905.2867272016329</v>
      </c>
      <c r="O71" s="7"/>
    </row>
    <row r="72" spans="1:15" x14ac:dyDescent="0.3">
      <c r="A72" s="7"/>
      <c r="B72" s="7"/>
      <c r="C72" s="7"/>
      <c r="D72" s="7"/>
      <c r="E72" s="38" t="s">
        <v>510</v>
      </c>
      <c r="F72" s="38"/>
      <c r="G72" s="38" t="str">
        <f>VLOOKUP(E72,Mapping!$E$11:$G$106,3,0)</f>
        <v>Connections</v>
      </c>
      <c r="H72" s="38" t="str">
        <f>VLOOKUP(E72,Mapping!$E$11:$K$106,7,0)</f>
        <v>SCS</v>
      </c>
      <c r="I72" s="7"/>
      <c r="J72" s="228">
        <v>8046.9103262899744</v>
      </c>
      <c r="K72" s="228">
        <v>6792.709820697004</v>
      </c>
      <c r="L72" s="228">
        <v>9189.8981027828286</v>
      </c>
      <c r="M72" s="228">
        <v>6256.6925010493806</v>
      </c>
      <c r="N72" s="228">
        <v>2998.3838644439807</v>
      </c>
      <c r="O72" s="7"/>
    </row>
    <row r="73" spans="1:15" x14ac:dyDescent="0.3">
      <c r="A73" s="7"/>
      <c r="B73" s="7"/>
      <c r="C73" s="7"/>
      <c r="D73" s="7"/>
      <c r="E73" s="38" t="s">
        <v>511</v>
      </c>
      <c r="F73" s="38"/>
      <c r="G73" s="38" t="str">
        <f>VLOOKUP(E73,Mapping!$E$11:$G$106,3,0)</f>
        <v>Connections</v>
      </c>
      <c r="H73" s="38" t="str">
        <f>VLOOKUP(E73,Mapping!$E$11:$K$106,7,0)</f>
        <v>SCS</v>
      </c>
      <c r="I73" s="7"/>
      <c r="J73" s="228">
        <v>138.04035631606121</v>
      </c>
      <c r="K73" s="228">
        <v>232.83796775203697</v>
      </c>
      <c r="L73" s="228">
        <v>221.35342342320229</v>
      </c>
      <c r="M73" s="228">
        <v>237.76097859349537</v>
      </c>
      <c r="N73" s="228">
        <v>262.02234020227945</v>
      </c>
      <c r="O73" s="7"/>
    </row>
    <row r="74" spans="1:15" x14ac:dyDescent="0.3">
      <c r="A74" s="7"/>
      <c r="B74" s="7"/>
      <c r="C74" s="7"/>
      <c r="D74" s="7"/>
      <c r="E74" s="56" t="s">
        <v>79</v>
      </c>
      <c r="F74" s="84"/>
      <c r="G74" s="84"/>
      <c r="H74" s="84"/>
      <c r="I74" s="85"/>
      <c r="J74" s="86">
        <f t="shared" ref="J74" si="6">SUM(J55:J73)</f>
        <v>30454.196225661348</v>
      </c>
      <c r="K74" s="86">
        <f t="shared" ref="K74" si="7">SUM(K55:K73)</f>
        <v>34683.360165296697</v>
      </c>
      <c r="L74" s="86">
        <f t="shared" ref="L74" si="8">SUM(L55:L73)</f>
        <v>35249.924820775981</v>
      </c>
      <c r="M74" s="86">
        <f t="shared" ref="M74" si="9">SUM(M55:M73)</f>
        <v>34699.439907299799</v>
      </c>
      <c r="N74" s="86">
        <f t="shared" ref="N74" si="10">SUM(N55:N73)</f>
        <v>34064.412933070234</v>
      </c>
      <c r="O74" s="7"/>
    </row>
    <row r="75" spans="1:15" x14ac:dyDescent="0.3">
      <c r="A75" s="7"/>
      <c r="B75" s="7"/>
      <c r="C75" s="7"/>
      <c r="D75" s="7"/>
      <c r="E75" s="38"/>
      <c r="F75" s="38"/>
      <c r="G75" s="38"/>
      <c r="H75" s="38"/>
      <c r="I75" s="7"/>
      <c r="J75" s="7"/>
      <c r="K75" s="7"/>
      <c r="L75" s="7"/>
      <c r="M75" s="7"/>
      <c r="N75" s="7"/>
      <c r="O75" s="7"/>
    </row>
    <row r="76" spans="1:15" x14ac:dyDescent="0.3">
      <c r="A76" s="21" t="s">
        <v>82</v>
      </c>
      <c r="B76" s="21"/>
      <c r="C76" s="14"/>
      <c r="D76" s="23"/>
      <c r="E76" s="24"/>
      <c r="F76" s="24"/>
      <c r="G76" s="24"/>
      <c r="H76" s="24"/>
      <c r="I76" s="81"/>
      <c r="J76" s="34" t="s">
        <v>608</v>
      </c>
      <c r="K76" s="34" t="s">
        <v>608</v>
      </c>
      <c r="L76" s="34" t="s">
        <v>608</v>
      </c>
      <c r="M76" s="34" t="s">
        <v>608</v>
      </c>
      <c r="N76" s="34" t="s">
        <v>608</v>
      </c>
      <c r="O76" s="7"/>
    </row>
    <row r="77" spans="1:15" x14ac:dyDescent="0.3">
      <c r="A77" s="38"/>
      <c r="B77" s="38"/>
      <c r="C77" s="38"/>
      <c r="D77" s="38"/>
      <c r="E77" s="38"/>
      <c r="F77" s="38"/>
      <c r="G77" s="38"/>
      <c r="H77" s="7"/>
      <c r="I77" s="82"/>
      <c r="J77" s="38"/>
      <c r="K77" s="38"/>
      <c r="L77" s="38"/>
      <c r="M77" s="38"/>
      <c r="N77" s="38"/>
      <c r="O77" s="7"/>
    </row>
    <row r="78" spans="1:15" x14ac:dyDescent="0.3">
      <c r="A78" s="38"/>
      <c r="B78" s="38"/>
      <c r="C78" s="38"/>
      <c r="D78" s="38"/>
      <c r="E78" s="38" t="s">
        <v>546</v>
      </c>
      <c r="F78" s="38" t="s">
        <v>271</v>
      </c>
      <c r="G78" s="38" t="str">
        <f>VLOOKUP(E78,Mapping!$E$11:$G$106,3,0)</f>
        <v>Connections</v>
      </c>
      <c r="H78" s="38" t="str">
        <f>VLOOKUP(E78,Mapping!$E$11:$K$106,7,0)</f>
        <v>SCS</v>
      </c>
      <c r="I78" s="43"/>
      <c r="J78" s="227">
        <v>390.94206588798369</v>
      </c>
      <c r="K78" s="227">
        <v>381.13795792089434</v>
      </c>
      <c r="L78" s="227">
        <v>352.8079041978994</v>
      </c>
      <c r="M78" s="227">
        <v>386.63008574327631</v>
      </c>
      <c r="N78" s="227">
        <v>427.82564408550644</v>
      </c>
      <c r="O78" s="7"/>
    </row>
    <row r="79" spans="1:15" x14ac:dyDescent="0.3">
      <c r="A79" s="38"/>
      <c r="B79" s="38"/>
      <c r="C79" s="38"/>
      <c r="D79" s="38"/>
      <c r="E79" s="38" t="s">
        <v>547</v>
      </c>
      <c r="F79" s="38" t="s">
        <v>272</v>
      </c>
      <c r="G79" s="38" t="str">
        <f>VLOOKUP(E79,Mapping!$E$11:$G$106,3,0)</f>
        <v>Connections</v>
      </c>
      <c r="H79" s="38" t="str">
        <f>VLOOKUP(E79,Mapping!$E$11:$K$106,7,0)</f>
        <v>SCS</v>
      </c>
      <c r="I79" s="43"/>
      <c r="J79" s="227">
        <v>83.529386142431591</v>
      </c>
      <c r="K79" s="227">
        <v>80.981649673865178</v>
      </c>
      <c r="L79" s="227">
        <v>74.977922717433998</v>
      </c>
      <c r="M79" s="227">
        <v>82.177484909959958</v>
      </c>
      <c r="N79" s="227">
        <v>90.99028003997519</v>
      </c>
      <c r="O79" s="7"/>
    </row>
    <row r="80" spans="1:15" x14ac:dyDescent="0.3">
      <c r="A80" s="38"/>
      <c r="B80" s="38"/>
      <c r="C80" s="38"/>
      <c r="D80" s="38"/>
      <c r="E80" s="38" t="s">
        <v>548</v>
      </c>
      <c r="F80" s="38" t="s">
        <v>273</v>
      </c>
      <c r="G80" s="38" t="str">
        <f>VLOOKUP(E80,Mapping!$E$11:$G$106,3,0)</f>
        <v>Connections</v>
      </c>
      <c r="H80" s="38" t="str">
        <f>VLOOKUP(E80,Mapping!$E$11:$K$106,7,0)</f>
        <v>SCS</v>
      </c>
      <c r="I80" s="43"/>
      <c r="J80" s="227">
        <v>157.49731827321395</v>
      </c>
      <c r="K80" s="227">
        <v>163.76089336338291</v>
      </c>
      <c r="L80" s="227">
        <v>152.89950448876135</v>
      </c>
      <c r="M80" s="227">
        <v>163.77276485697899</v>
      </c>
      <c r="N80" s="227">
        <v>179.45712982011776</v>
      </c>
      <c r="O80" s="7"/>
    </row>
    <row r="81" spans="1:15" x14ac:dyDescent="0.3">
      <c r="A81" s="38"/>
      <c r="B81" s="38"/>
      <c r="C81" s="38"/>
      <c r="D81" s="38"/>
      <c r="E81" s="38" t="s">
        <v>555</v>
      </c>
      <c r="F81" s="38" t="s">
        <v>273</v>
      </c>
      <c r="G81" s="38" t="str">
        <f>VLOOKUP(E81,Mapping!$E$11:$G$106,3,0)</f>
        <v>Connections</v>
      </c>
      <c r="H81" s="38" t="str">
        <f>VLOOKUP(E81,Mapping!$E$11:$K$106,7,0)</f>
        <v>SCS</v>
      </c>
      <c r="I81" s="43"/>
      <c r="J81" s="227">
        <v>454.50472601545368</v>
      </c>
      <c r="K81" s="227">
        <v>631.99263131110843</v>
      </c>
      <c r="L81" s="227">
        <v>373.53701955640958</v>
      </c>
      <c r="M81" s="227">
        <v>698.5184055897987</v>
      </c>
      <c r="N81" s="227">
        <v>507.65523608986541</v>
      </c>
      <c r="O81" s="7"/>
    </row>
    <row r="82" spans="1:15" x14ac:dyDescent="0.3">
      <c r="A82" s="38"/>
      <c r="B82" s="38"/>
      <c r="C82" s="38"/>
      <c r="D82" s="38"/>
      <c r="E82" s="38" t="s">
        <v>549</v>
      </c>
      <c r="F82" s="38" t="s">
        <v>274</v>
      </c>
      <c r="G82" s="38" t="str">
        <f>VLOOKUP(E82,Mapping!$E$11:$G$106,3,0)</f>
        <v>Connections</v>
      </c>
      <c r="H82" s="38" t="str">
        <f>VLOOKUP(E82,Mapping!$E$11:$K$106,7,0)</f>
        <v>SCS</v>
      </c>
      <c r="I82" s="43"/>
      <c r="J82" s="227">
        <v>1664.380211001798</v>
      </c>
      <c r="K82" s="227">
        <v>1615.466266011967</v>
      </c>
      <c r="L82" s="227">
        <v>1496.2366618480562</v>
      </c>
      <c r="M82" s="227">
        <v>1638.6108617687619</v>
      </c>
      <c r="N82" s="227">
        <v>1813.9475084048379</v>
      </c>
      <c r="O82" s="7"/>
    </row>
    <row r="83" spans="1:15" x14ac:dyDescent="0.3">
      <c r="A83" s="38"/>
      <c r="B83" s="38"/>
      <c r="C83" s="38"/>
      <c r="D83" s="38"/>
      <c r="E83" s="38" t="s">
        <v>556</v>
      </c>
      <c r="F83" s="38" t="s">
        <v>274</v>
      </c>
      <c r="G83" s="38" t="str">
        <f>VLOOKUP(E83,Mapping!$E$11:$G$106,3,0)</f>
        <v>Connections</v>
      </c>
      <c r="H83" s="38" t="str">
        <f>VLOOKUP(E83,Mapping!$E$11:$K$106,7,0)</f>
        <v>SCS</v>
      </c>
      <c r="I83" s="43"/>
      <c r="J83" s="227">
        <v>125.32174867780286</v>
      </c>
      <c r="K83" s="227">
        <v>121.51825733879397</v>
      </c>
      <c r="L83" s="227">
        <v>112.12197461181455</v>
      </c>
      <c r="M83" s="227">
        <v>123.69171910440257</v>
      </c>
      <c r="N83" s="227">
        <v>137.05409770912223</v>
      </c>
      <c r="O83" s="7"/>
    </row>
    <row r="84" spans="1:15" x14ac:dyDescent="0.3">
      <c r="A84" s="38"/>
      <c r="B84" s="38"/>
      <c r="C84" s="38"/>
      <c r="D84" s="38"/>
      <c r="E84" s="38" t="s">
        <v>550</v>
      </c>
      <c r="F84" s="38" t="s">
        <v>275</v>
      </c>
      <c r="G84" s="38" t="str">
        <f>VLOOKUP(E84,Mapping!$E$11:$G$106,3,0)</f>
        <v>Connections</v>
      </c>
      <c r="H84" s="38" t="str">
        <f>VLOOKUP(E84,Mapping!$E$11:$K$106,7,0)</f>
        <v>SCS</v>
      </c>
      <c r="I84" s="43"/>
      <c r="J84" s="227">
        <v>2701.618459188338</v>
      </c>
      <c r="K84" s="227">
        <v>2626.1078088806521</v>
      </c>
      <c r="L84" s="227">
        <v>2432.8926327499371</v>
      </c>
      <c r="M84" s="227">
        <v>2662.7551528619952</v>
      </c>
      <c r="N84" s="227">
        <v>2946.9981806563192</v>
      </c>
      <c r="O84" s="7"/>
    </row>
    <row r="85" spans="1:15" x14ac:dyDescent="0.3">
      <c r="A85" s="38"/>
      <c r="B85" s="38"/>
      <c r="C85" s="38"/>
      <c r="D85" s="38"/>
      <c r="E85" s="38" t="s">
        <v>557</v>
      </c>
      <c r="F85" s="38" t="s">
        <v>275</v>
      </c>
      <c r="G85" s="38" t="str">
        <f>VLOOKUP(E85,Mapping!$E$11:$G$106,3,0)</f>
        <v>Connections</v>
      </c>
      <c r="H85" s="38" t="str">
        <f>VLOOKUP(E85,Mapping!$E$11:$K$106,7,0)</f>
        <v>SCS</v>
      </c>
      <c r="I85" s="43"/>
      <c r="J85" s="227">
        <v>987.56248401432038</v>
      </c>
      <c r="K85" s="227">
        <v>958.85872759080007</v>
      </c>
      <c r="L85" s="227">
        <v>889.23514801337001</v>
      </c>
      <c r="M85" s="227">
        <v>971.43915951680697</v>
      </c>
      <c r="N85" s="227">
        <v>1075.0474076000257</v>
      </c>
      <c r="O85" s="7"/>
    </row>
    <row r="86" spans="1:15" x14ac:dyDescent="0.3">
      <c r="A86" s="38"/>
      <c r="B86" s="38"/>
      <c r="C86" s="38"/>
      <c r="D86" s="38"/>
      <c r="E86" s="38" t="s">
        <v>551</v>
      </c>
      <c r="F86" s="38" t="s">
        <v>276</v>
      </c>
      <c r="G86" s="38" t="str">
        <f>VLOOKUP(E86,Mapping!$E$11:$G$106,3,0)</f>
        <v>Connections</v>
      </c>
      <c r="H86" s="38" t="str">
        <f>VLOOKUP(E86,Mapping!$E$11:$K$106,7,0)</f>
        <v>SCS</v>
      </c>
      <c r="I86" s="43"/>
      <c r="J86" s="227">
        <v>591.78473573255815</v>
      </c>
      <c r="K86" s="227">
        <v>574.56347787039567</v>
      </c>
      <c r="L86" s="227">
        <v>532.03492265776924</v>
      </c>
      <c r="M86" s="227">
        <v>582.89917228365061</v>
      </c>
      <c r="N86" s="227">
        <v>645.27998493730433</v>
      </c>
      <c r="O86" s="7"/>
    </row>
    <row r="87" spans="1:15" x14ac:dyDescent="0.3">
      <c r="A87" s="38"/>
      <c r="B87" s="38"/>
      <c r="C87" s="38"/>
      <c r="D87" s="38"/>
      <c r="E87" s="38" t="s">
        <v>552</v>
      </c>
      <c r="F87" s="38" t="s">
        <v>277</v>
      </c>
      <c r="G87" s="38" t="str">
        <f>VLOOKUP(E87,Mapping!$E$11:$G$106,3,0)</f>
        <v>Connections</v>
      </c>
      <c r="H87" s="38" t="str">
        <f>VLOOKUP(E87,Mapping!$E$11:$K$106,7,0)</f>
        <v>SCS</v>
      </c>
      <c r="I87" s="43"/>
      <c r="J87" s="227">
        <v>1568.2544936055742</v>
      </c>
      <c r="K87" s="227">
        <v>1521.8331812329768</v>
      </c>
      <c r="L87" s="227">
        <v>1409.1916022041191</v>
      </c>
      <c r="M87" s="227">
        <v>1543.9863339518874</v>
      </c>
      <c r="N87" s="227">
        <v>1709.3262417938988</v>
      </c>
      <c r="O87" s="7"/>
    </row>
    <row r="88" spans="1:15" x14ac:dyDescent="0.3">
      <c r="A88" s="38"/>
      <c r="B88" s="38"/>
      <c r="C88" s="38"/>
      <c r="D88" s="38"/>
      <c r="E88" s="38" t="s">
        <v>524</v>
      </c>
      <c r="F88" s="38" t="s">
        <v>278</v>
      </c>
      <c r="G88" s="38" t="str">
        <f>VLOOKUP(E88,Mapping!$E$11:$G$106,3,0)</f>
        <v>Connections</v>
      </c>
      <c r="H88" s="38" t="str">
        <f>VLOOKUP(E88,Mapping!$E$11:$K$106,7,0)</f>
        <v>SCS</v>
      </c>
      <c r="I88" s="43"/>
      <c r="J88" s="227">
        <v>7051.9837911423801</v>
      </c>
      <c r="K88" s="227">
        <v>11959.071323787764</v>
      </c>
      <c r="L88" s="227">
        <v>11366.482368710367</v>
      </c>
      <c r="M88" s="227">
        <v>12230.310885497607</v>
      </c>
      <c r="N88" s="227">
        <v>13465.705433476805</v>
      </c>
      <c r="O88" s="7"/>
    </row>
    <row r="89" spans="1:15" x14ac:dyDescent="0.3">
      <c r="A89" s="38"/>
      <c r="B89" s="38"/>
      <c r="C89" s="38"/>
      <c r="D89" s="38"/>
      <c r="E89" s="38" t="s">
        <v>526</v>
      </c>
      <c r="F89" s="38" t="s">
        <v>279</v>
      </c>
      <c r="G89" s="38" t="str">
        <f>VLOOKUP(E89,Mapping!$E$11:$G$106,3,0)</f>
        <v>Connections</v>
      </c>
      <c r="H89" s="38" t="str">
        <f>VLOOKUP(E89,Mapping!$E$11:$K$106,7,0)</f>
        <v>SCS</v>
      </c>
      <c r="I89" s="43"/>
      <c r="J89" s="227" t="s">
        <v>1099</v>
      </c>
      <c r="K89" s="227" t="s">
        <v>1099</v>
      </c>
      <c r="L89" s="227" t="s">
        <v>1099</v>
      </c>
      <c r="M89" s="227" t="s">
        <v>1099</v>
      </c>
      <c r="N89" s="227" t="s">
        <v>1099</v>
      </c>
      <c r="O89" s="7"/>
    </row>
    <row r="90" spans="1:15" x14ac:dyDescent="0.3">
      <c r="A90" s="38"/>
      <c r="B90" s="38"/>
      <c r="C90" s="38"/>
      <c r="D90" s="38"/>
      <c r="E90" s="38" t="s">
        <v>553</v>
      </c>
      <c r="F90" s="38" t="s">
        <v>282</v>
      </c>
      <c r="G90" s="38" t="str">
        <f>VLOOKUP(E90,Mapping!$E$11:$G$106,3,0)</f>
        <v>Connections</v>
      </c>
      <c r="H90" s="38" t="str">
        <f>VLOOKUP(E90,Mapping!$E$11:$K$106,7,0)</f>
        <v>SCS</v>
      </c>
      <c r="I90" s="43"/>
      <c r="J90" s="227">
        <v>187.54467276463131</v>
      </c>
      <c r="K90" s="227">
        <v>317.06942612104433</v>
      </c>
      <c r="L90" s="227">
        <v>331.52106958246821</v>
      </c>
      <c r="M90" s="227">
        <v>365.50589274689912</v>
      </c>
      <c r="N90" s="227">
        <v>402.88261488428043</v>
      </c>
      <c r="O90" s="7"/>
    </row>
    <row r="91" spans="1:15" x14ac:dyDescent="0.3">
      <c r="A91" s="38"/>
      <c r="B91" s="38"/>
      <c r="C91" s="38"/>
      <c r="D91" s="38"/>
      <c r="E91" s="38" t="s">
        <v>554</v>
      </c>
      <c r="F91" s="38" t="s">
        <v>282</v>
      </c>
      <c r="G91" s="38" t="str">
        <f>VLOOKUP(E91,Mapping!$E$11:$G$106,3,0)</f>
        <v>Connections</v>
      </c>
      <c r="H91" s="38" t="str">
        <f>VLOOKUP(E91,Mapping!$E$11:$K$106,7,0)</f>
        <v>SCS</v>
      </c>
      <c r="I91" s="43"/>
      <c r="J91" s="227">
        <v>26.033396153301307</v>
      </c>
      <c r="K91" s="227">
        <v>43.902329417666124</v>
      </c>
      <c r="L91" s="227">
        <v>45.860589245849923</v>
      </c>
      <c r="M91" s="227">
        <v>49.738098530341638</v>
      </c>
      <c r="N91" s="227">
        <v>54.713265830965867</v>
      </c>
      <c r="O91" s="7"/>
    </row>
    <row r="92" spans="1:15" x14ac:dyDescent="0.3">
      <c r="A92" s="7"/>
      <c r="B92" s="7"/>
      <c r="C92" s="7"/>
      <c r="D92" s="7"/>
      <c r="E92" s="38" t="s">
        <v>528</v>
      </c>
      <c r="F92" s="38" t="s">
        <v>283</v>
      </c>
      <c r="G92" s="38" t="str">
        <f>VLOOKUP(E92,Mapping!$E$11:$G$106,3,0)</f>
        <v>Connections</v>
      </c>
      <c r="H92" s="38" t="str">
        <f>VLOOKUP(E92,Mapping!$E$11:$K$106,7,0)</f>
        <v>SCS</v>
      </c>
      <c r="I92" s="43"/>
      <c r="J92" s="227">
        <v>182.50163376222227</v>
      </c>
      <c r="K92" s="227">
        <v>308.5766237129186</v>
      </c>
      <c r="L92" s="227">
        <v>322.81297141700969</v>
      </c>
      <c r="M92" s="227">
        <v>355.85159934499507</v>
      </c>
      <c r="N92" s="227">
        <v>392.23776796650054</v>
      </c>
      <c r="O92" s="7"/>
    </row>
    <row r="93" spans="1:15" x14ac:dyDescent="0.3">
      <c r="A93" s="7"/>
      <c r="B93" s="7"/>
      <c r="C93" s="7"/>
      <c r="D93" s="7"/>
      <c r="E93" s="38" t="s">
        <v>529</v>
      </c>
      <c r="F93" s="38" t="s">
        <v>283</v>
      </c>
      <c r="G93" s="38" t="str">
        <f>VLOOKUP(E93,Mapping!$E$11:$G$106,3,0)</f>
        <v>Connections</v>
      </c>
      <c r="H93" s="38" t="str">
        <f>VLOOKUP(E93,Mapping!$E$11:$K$106,7,0)</f>
        <v>SCS</v>
      </c>
      <c r="I93" s="43"/>
      <c r="J93" s="227">
        <v>23.580249167802243</v>
      </c>
      <c r="K93" s="227">
        <v>39.766682972449878</v>
      </c>
      <c r="L93" s="227">
        <v>41.510746415545789</v>
      </c>
      <c r="M93" s="227">
        <v>45.082141918294241</v>
      </c>
      <c r="N93" s="227">
        <v>49.599207926807516</v>
      </c>
      <c r="O93" s="7"/>
    </row>
    <row r="94" spans="1:15" x14ac:dyDescent="0.3">
      <c r="A94" s="7"/>
      <c r="B94" s="7"/>
      <c r="C94" s="7"/>
      <c r="D94" s="7"/>
      <c r="E94" s="38" t="s">
        <v>509</v>
      </c>
      <c r="F94" s="38"/>
      <c r="G94" s="38" t="str">
        <f>VLOOKUP(E94,Mapping!$E$11:$G$106,3,0)</f>
        <v>Connections</v>
      </c>
      <c r="H94" s="38" t="str">
        <f>VLOOKUP(E94,Mapping!$E$11:$K$106,7,0)</f>
        <v>SCS</v>
      </c>
      <c r="I94" s="43"/>
      <c r="J94" s="227">
        <v>6072.2061715255004</v>
      </c>
      <c r="K94" s="227">
        <v>6313.2051396409825</v>
      </c>
      <c r="L94" s="227">
        <v>5904.5502561531448</v>
      </c>
      <c r="M94" s="227">
        <v>6304.0166690312672</v>
      </c>
      <c r="N94" s="227">
        <v>6905.2867272016329</v>
      </c>
      <c r="O94" s="7"/>
    </row>
    <row r="95" spans="1:15" x14ac:dyDescent="0.3">
      <c r="A95" s="7"/>
      <c r="B95" s="7"/>
      <c r="C95" s="7"/>
      <c r="D95" s="7"/>
      <c r="E95" s="38" t="s">
        <v>510</v>
      </c>
      <c r="F95" s="38"/>
      <c r="G95" s="38" t="str">
        <f>VLOOKUP(E95,Mapping!$E$11:$G$106,3,0)</f>
        <v>Connections</v>
      </c>
      <c r="H95" s="38" t="str">
        <f>VLOOKUP(E95,Mapping!$E$11:$K$106,7,0)</f>
        <v>SCS</v>
      </c>
      <c r="I95" s="7"/>
      <c r="J95" s="227">
        <v>8046.9103262899744</v>
      </c>
      <c r="K95" s="227">
        <v>6792.709820697004</v>
      </c>
      <c r="L95" s="227">
        <v>9189.8981027828286</v>
      </c>
      <c r="M95" s="227">
        <v>6256.6925010493806</v>
      </c>
      <c r="N95" s="227">
        <v>2998.3838644439807</v>
      </c>
      <c r="O95" s="7"/>
    </row>
    <row r="96" spans="1:15" x14ac:dyDescent="0.3">
      <c r="A96" s="7"/>
      <c r="B96" s="7"/>
      <c r="C96" s="7"/>
      <c r="D96" s="7"/>
      <c r="E96" s="38" t="s">
        <v>511</v>
      </c>
      <c r="F96" s="38"/>
      <c r="G96" s="38" t="str">
        <f>VLOOKUP(E96,Mapping!$E$11:$G$106,3,0)</f>
        <v>Connections</v>
      </c>
      <c r="H96" s="38" t="str">
        <f>VLOOKUP(E96,Mapping!$E$11:$K$106,7,0)</f>
        <v>SCS</v>
      </c>
      <c r="I96" s="7"/>
      <c r="J96" s="227">
        <v>138.04035631606121</v>
      </c>
      <c r="K96" s="227">
        <v>232.83796775203697</v>
      </c>
      <c r="L96" s="227">
        <v>221.35342342320229</v>
      </c>
      <c r="M96" s="227">
        <v>237.76097859349537</v>
      </c>
      <c r="N96" s="227">
        <v>262.02234020227945</v>
      </c>
      <c r="O96" s="7"/>
    </row>
    <row r="97" spans="1:15" x14ac:dyDescent="0.3">
      <c r="A97" s="7"/>
      <c r="B97" s="7"/>
      <c r="C97" s="7"/>
      <c r="D97" s="7"/>
      <c r="E97" s="56" t="s">
        <v>79</v>
      </c>
      <c r="F97" s="84"/>
      <c r="G97" s="84"/>
      <c r="H97" s="84"/>
      <c r="I97" s="85"/>
      <c r="J97" s="86">
        <f t="shared" ref="J97" si="11">SUM(J78:J96)</f>
        <v>30454.196225661348</v>
      </c>
      <c r="K97" s="86">
        <f t="shared" ref="K97" si="12">SUM(K78:K96)</f>
        <v>34683.360165296697</v>
      </c>
      <c r="L97" s="86">
        <f t="shared" ref="L97" si="13">SUM(L78:L96)</f>
        <v>35249.924820775981</v>
      </c>
      <c r="M97" s="86">
        <f t="shared" ref="M97" si="14">SUM(M78:M96)</f>
        <v>34699.439907299799</v>
      </c>
      <c r="N97" s="86">
        <f t="shared" ref="N97" si="15">SUM(N78:N96)</f>
        <v>34064.412933070234</v>
      </c>
      <c r="O97" s="7"/>
    </row>
    <row r="98" spans="1:15" x14ac:dyDescent="0.3">
      <c r="A98" s="7"/>
      <c r="B98" s="7"/>
      <c r="C98" s="7"/>
      <c r="D98" s="7"/>
      <c r="E98" s="38"/>
      <c r="F98" s="38"/>
      <c r="G98" s="38"/>
      <c r="H98" s="38"/>
      <c r="I98" s="7"/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7"/>
    </row>
    <row r="99" spans="1:15" x14ac:dyDescent="0.3">
      <c r="A99" s="7"/>
      <c r="B99" s="7"/>
      <c r="C99" s="7"/>
      <c r="D99" s="7"/>
      <c r="E99" s="38"/>
      <c r="F99" s="38"/>
      <c r="G99" s="38"/>
      <c r="H99" s="38"/>
      <c r="I99" s="7"/>
      <c r="J99" s="7"/>
      <c r="K99" s="7"/>
      <c r="L99" s="7"/>
      <c r="M99" s="7"/>
      <c r="N99" s="7"/>
      <c r="O99" s="7"/>
    </row>
    <row r="100" spans="1:15" x14ac:dyDescent="0.3">
      <c r="A100" s="7"/>
      <c r="B100" s="7"/>
      <c r="C100" s="7"/>
      <c r="D100" s="7"/>
      <c r="E100" s="38"/>
      <c r="F100" s="38"/>
      <c r="G100" s="38"/>
      <c r="H100" s="38"/>
      <c r="I100" s="7"/>
      <c r="J100" s="105"/>
      <c r="K100" s="105"/>
      <c r="L100" s="105"/>
      <c r="M100" s="105"/>
      <c r="N100" s="105"/>
      <c r="O100" s="7"/>
    </row>
    <row r="101" spans="1:15" x14ac:dyDescent="0.3">
      <c r="A101" s="7"/>
      <c r="B101" s="7"/>
      <c r="C101" s="7"/>
      <c r="D101" s="7"/>
      <c r="E101" s="38"/>
      <c r="F101" s="38"/>
      <c r="G101" s="38"/>
      <c r="H101" s="38"/>
      <c r="I101" s="7"/>
      <c r="J101" s="93"/>
      <c r="K101" s="93"/>
      <c r="L101" s="93"/>
      <c r="M101" s="93"/>
      <c r="N101" s="93"/>
      <c r="O101" s="7"/>
    </row>
    <row r="102" spans="1:15" x14ac:dyDescent="0.3">
      <c r="A102" s="7"/>
      <c r="B102" s="7"/>
      <c r="C102" s="7"/>
      <c r="D102" s="7"/>
      <c r="E102" s="38"/>
      <c r="F102" s="38" t="s">
        <v>558</v>
      </c>
      <c r="G102" s="38"/>
      <c r="H102" s="38"/>
      <c r="I102" s="7"/>
      <c r="J102" s="7"/>
      <c r="K102" s="7"/>
      <c r="L102" s="7"/>
      <c r="M102" s="7"/>
      <c r="N102" s="7"/>
      <c r="O102" s="7"/>
    </row>
    <row r="103" spans="1:15" x14ac:dyDescent="0.3">
      <c r="A103" s="7"/>
      <c r="B103" s="7"/>
      <c r="C103" s="7"/>
      <c r="D103" s="7"/>
      <c r="E103" s="9"/>
      <c r="F103" s="38"/>
      <c r="G103" s="38"/>
      <c r="H103" s="38"/>
      <c r="J103" s="87"/>
      <c r="K103" s="87"/>
      <c r="L103" s="87"/>
      <c r="M103" s="87"/>
      <c r="N103" s="87"/>
      <c r="O103" s="7"/>
    </row>
    <row r="104" spans="1:15" x14ac:dyDescent="0.3">
      <c r="A104" s="7"/>
      <c r="B104" s="7"/>
      <c r="C104" s="7"/>
      <c r="D104" s="7"/>
      <c r="E104" s="38"/>
      <c r="F104" s="38"/>
      <c r="G104" s="38"/>
      <c r="H104" s="38"/>
      <c r="I104" s="7"/>
      <c r="J104" s="7"/>
      <c r="K104" s="7"/>
      <c r="L104" s="7"/>
      <c r="M104" s="7"/>
      <c r="N104" s="7"/>
      <c r="O104" s="7"/>
    </row>
    <row r="105" spans="1:15" x14ac:dyDescent="0.3">
      <c r="A105" s="7"/>
      <c r="B105" s="7"/>
      <c r="C105" s="7"/>
      <c r="D105" s="7"/>
      <c r="E105" s="38"/>
      <c r="F105" s="38"/>
      <c r="G105" s="38"/>
      <c r="H105" s="38"/>
      <c r="I105" s="7"/>
      <c r="J105" s="7"/>
      <c r="K105" s="7"/>
      <c r="L105" s="7"/>
      <c r="M105" s="7"/>
      <c r="N105" s="7"/>
      <c r="O105" s="7"/>
    </row>
    <row r="106" spans="1:15" x14ac:dyDescent="0.3">
      <c r="A106" s="7"/>
      <c r="B106" s="7"/>
      <c r="C106" s="7"/>
      <c r="D106" s="7"/>
      <c r="E106" s="38"/>
      <c r="F106" s="38"/>
      <c r="G106" s="38"/>
      <c r="H106" s="38"/>
      <c r="I106" s="7"/>
      <c r="J106" s="7"/>
      <c r="K106" s="7"/>
      <c r="L106" s="7"/>
      <c r="M106" s="7"/>
      <c r="N106" s="7"/>
      <c r="O106" s="7"/>
    </row>
    <row r="107" spans="1:15" x14ac:dyDescent="0.3">
      <c r="A107" s="7"/>
      <c r="B107" s="7"/>
      <c r="C107" s="7"/>
      <c r="D107" s="7"/>
      <c r="E107" s="38"/>
      <c r="F107" s="38"/>
      <c r="G107" s="38"/>
      <c r="H107" s="38"/>
      <c r="I107" s="7"/>
      <c r="J107" s="7"/>
      <c r="K107" s="7"/>
      <c r="L107" s="7"/>
      <c r="M107" s="7"/>
      <c r="N107" s="7"/>
      <c r="O107" s="7"/>
    </row>
    <row r="108" spans="1:15" x14ac:dyDescent="0.3">
      <c r="A108" s="7"/>
      <c r="B108" s="7"/>
      <c r="C108" s="7"/>
      <c r="D108" s="7"/>
      <c r="E108" s="38"/>
      <c r="F108" s="38"/>
      <c r="G108" s="38"/>
      <c r="H108" s="38"/>
      <c r="I108" s="7"/>
      <c r="J108" s="7"/>
      <c r="K108" s="7"/>
      <c r="L108" s="7"/>
      <c r="M108" s="7"/>
      <c r="N108" s="7"/>
      <c r="O108" s="7"/>
    </row>
    <row r="109" spans="1:15" x14ac:dyDescent="0.3">
      <c r="A109" s="7"/>
      <c r="B109" s="7"/>
      <c r="C109" s="7"/>
      <c r="D109" s="7"/>
      <c r="E109" s="38"/>
      <c r="F109" s="38"/>
      <c r="G109" s="38"/>
      <c r="H109" s="38"/>
      <c r="I109" s="7"/>
      <c r="J109" s="7"/>
      <c r="K109" s="7"/>
      <c r="L109" s="7"/>
      <c r="M109" s="7"/>
      <c r="N109" s="7"/>
      <c r="O109" s="7"/>
    </row>
    <row r="110" spans="1:15" x14ac:dyDescent="0.3">
      <c r="A110" s="7"/>
      <c r="B110" s="7"/>
      <c r="C110" s="7"/>
      <c r="D110" s="7"/>
      <c r="E110" s="38"/>
      <c r="F110" s="38"/>
      <c r="G110" s="38"/>
      <c r="H110" s="38"/>
      <c r="I110" s="7"/>
      <c r="J110" s="7"/>
      <c r="K110" s="7"/>
      <c r="L110" s="7"/>
      <c r="M110" s="7"/>
      <c r="N110" s="7"/>
      <c r="O110" s="7"/>
    </row>
    <row r="111" spans="1:15" x14ac:dyDescent="0.3">
      <c r="A111" s="7"/>
      <c r="B111" s="7"/>
      <c r="C111" s="7"/>
      <c r="D111" s="7"/>
      <c r="E111" s="38"/>
      <c r="F111" s="38"/>
      <c r="G111" s="38"/>
      <c r="H111" s="38"/>
      <c r="I111" s="7"/>
      <c r="J111" s="7"/>
      <c r="K111" s="7"/>
      <c r="L111" s="7"/>
      <c r="M111" s="7"/>
      <c r="N111" s="7"/>
      <c r="O111" s="7"/>
    </row>
    <row r="112" spans="1:15" x14ac:dyDescent="0.3">
      <c r="A112" s="7"/>
      <c r="B112" s="7"/>
      <c r="C112" s="7"/>
      <c r="D112" s="7"/>
      <c r="E112" s="38"/>
      <c r="F112" s="38"/>
      <c r="G112" s="38"/>
      <c r="H112" s="38"/>
      <c r="I112" s="7"/>
      <c r="J112" s="7"/>
      <c r="K112" s="7"/>
      <c r="L112" s="7"/>
      <c r="M112" s="7"/>
      <c r="N112" s="7"/>
      <c r="O112" s="7"/>
    </row>
    <row r="113" spans="1:15" x14ac:dyDescent="0.3">
      <c r="A113" s="7"/>
      <c r="B113" s="7"/>
      <c r="C113" s="7"/>
      <c r="D113" s="7"/>
      <c r="E113" s="38"/>
      <c r="F113" s="38"/>
      <c r="G113" s="38"/>
      <c r="H113" s="38"/>
      <c r="I113" s="7"/>
      <c r="J113" s="7"/>
      <c r="K113" s="7"/>
      <c r="L113" s="7"/>
      <c r="M113" s="7"/>
      <c r="N113" s="7"/>
      <c r="O113" s="7"/>
    </row>
    <row r="114" spans="1:15" x14ac:dyDescent="0.3">
      <c r="A114" s="7"/>
      <c r="B114" s="7"/>
      <c r="C114" s="7"/>
      <c r="D114" s="7"/>
      <c r="E114" s="38"/>
      <c r="F114" s="38"/>
      <c r="G114" s="38"/>
      <c r="H114" s="38"/>
      <c r="I114" s="7"/>
      <c r="J114" s="7"/>
      <c r="K114" s="7"/>
      <c r="L114" s="7"/>
      <c r="M114" s="7"/>
      <c r="N114" s="7"/>
      <c r="O114" s="7"/>
    </row>
    <row r="115" spans="1:15" x14ac:dyDescent="0.3">
      <c r="A115" s="7"/>
      <c r="B115" s="7"/>
      <c r="C115" s="7"/>
      <c r="D115" s="7"/>
      <c r="E115" s="38"/>
      <c r="F115" s="38"/>
      <c r="G115" s="38"/>
      <c r="H115" s="38"/>
      <c r="I115" s="7"/>
      <c r="J115" s="7"/>
      <c r="K115" s="7"/>
      <c r="L115" s="7"/>
      <c r="M115" s="7"/>
      <c r="N115" s="7"/>
      <c r="O115" s="7"/>
    </row>
    <row r="116" spans="1:15" x14ac:dyDescent="0.3">
      <c r="A116" s="7"/>
      <c r="B116" s="7"/>
      <c r="C116" s="7"/>
      <c r="D116" s="7"/>
      <c r="E116" s="38"/>
      <c r="F116" s="38"/>
      <c r="G116" s="38"/>
      <c r="H116" s="38"/>
      <c r="I116" s="7"/>
      <c r="J116" s="7"/>
      <c r="K116" s="7"/>
      <c r="L116" s="7"/>
      <c r="M116" s="7"/>
      <c r="N116" s="7"/>
      <c r="O116" s="7"/>
    </row>
    <row r="117" spans="1:15" hidden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idden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idden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idden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idden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idden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CC"/>
  </sheetPr>
  <dimension ref="A1:O109"/>
  <sheetViews>
    <sheetView zoomScale="70" zoomScaleNormal="70" workbookViewId="0">
      <pane ySplit="5" topLeftCell="A6" activePane="bottomLeft" state="frozen"/>
      <selection activeCell="R66" sqref="R66"/>
      <selection pane="bottomLeft" activeCell="J12" sqref="J12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10.765625" bestFit="1" customWidth="1"/>
    <col min="6" max="6" width="31.765625" bestFit="1" customWidth="1"/>
    <col min="7" max="8" width="20.4609375" bestFit="1" customWidth="1"/>
    <col min="9" max="15" width="10.23046875" customWidth="1"/>
  </cols>
  <sheetData>
    <row r="1" spans="1:15" x14ac:dyDescent="0.3">
      <c r="A1" s="13" t="str">
        <f>Control!$G$9</f>
        <v>UE Consolidated Capex</v>
      </c>
      <c r="B1" s="13"/>
      <c r="C1" s="14"/>
      <c r="D1" s="15"/>
      <c r="E1" s="16"/>
      <c r="F1" s="16"/>
      <c r="G1" s="16"/>
      <c r="H1" s="17"/>
      <c r="I1" s="16"/>
      <c r="J1" s="16"/>
      <c r="K1" s="16"/>
      <c r="L1" s="16"/>
      <c r="M1" s="16"/>
      <c r="N1" s="16"/>
      <c r="O1" s="16"/>
    </row>
    <row r="2" spans="1:15" x14ac:dyDescent="0.3">
      <c r="A2" s="21" t="str">
        <f ca="1" xml:space="preserve"> "Sheet: " &amp; RIGHT(CELL("filename", $A$1), LEN(CELL("filename", $A$1)) - SEARCH("]", CELL("filename", $A$1)))</f>
        <v>Sheet: Input|VBRC Calc</v>
      </c>
      <c r="B2" s="21"/>
      <c r="C2" s="14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3">
      <c r="A3" s="21" t="s">
        <v>0</v>
      </c>
      <c r="B3" s="21"/>
      <c r="C3" s="14"/>
      <c r="D3" s="15"/>
      <c r="E3" s="15"/>
      <c r="F3" s="15"/>
      <c r="G3" s="15"/>
      <c r="H3" s="15"/>
      <c r="I3" s="16"/>
      <c r="J3" s="16"/>
      <c r="K3" s="16"/>
      <c r="L3" s="16"/>
      <c r="M3" s="16"/>
      <c r="N3" s="16"/>
      <c r="O3" s="16"/>
    </row>
    <row r="4" spans="1:15" x14ac:dyDescent="0.3">
      <c r="A4" s="21"/>
      <c r="B4" s="21"/>
      <c r="C4" s="14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3">
      <c r="A5" s="21"/>
      <c r="B5" s="21"/>
      <c r="C5" s="21"/>
      <c r="D5" s="21"/>
      <c r="E5" s="21"/>
      <c r="F5" s="21"/>
      <c r="G5" s="60" t="s">
        <v>86</v>
      </c>
      <c r="H5" s="28" t="s">
        <v>34</v>
      </c>
      <c r="I5" s="16"/>
      <c r="J5" s="30" t="s">
        <v>603</v>
      </c>
      <c r="K5" s="30" t="s">
        <v>604</v>
      </c>
      <c r="L5" s="30" t="s">
        <v>605</v>
      </c>
      <c r="M5" s="30" t="s">
        <v>606</v>
      </c>
      <c r="N5" s="30" t="s">
        <v>607</v>
      </c>
      <c r="O5" s="16"/>
    </row>
    <row r="6" spans="1:15" x14ac:dyDescent="0.3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21" t="s">
        <v>45</v>
      </c>
      <c r="B7" s="21"/>
      <c r="C7" s="14"/>
      <c r="D7" s="23"/>
      <c r="E7" s="24"/>
      <c r="F7" s="24"/>
      <c r="G7" s="24"/>
      <c r="H7" s="24"/>
      <c r="I7" s="24"/>
      <c r="J7" s="34" t="s">
        <v>608</v>
      </c>
      <c r="K7" s="34" t="s">
        <v>608</v>
      </c>
      <c r="L7" s="34" t="s">
        <v>608</v>
      </c>
      <c r="M7" s="34" t="s">
        <v>608</v>
      </c>
      <c r="N7" s="34" t="s">
        <v>608</v>
      </c>
      <c r="O7" s="24"/>
    </row>
    <row r="8" spans="1:15" x14ac:dyDescent="0.3">
      <c r="A8" s="38"/>
      <c r="B8" s="38"/>
      <c r="C8" s="38"/>
      <c r="D8" s="38"/>
      <c r="E8" s="38"/>
      <c r="F8" s="38"/>
      <c r="G8" s="38"/>
      <c r="H8" s="38"/>
      <c r="I8" s="7"/>
      <c r="J8" s="38"/>
      <c r="K8" s="38"/>
      <c r="L8" s="38"/>
      <c r="M8" s="38"/>
      <c r="N8" s="38"/>
      <c r="O8" s="7"/>
    </row>
    <row r="9" spans="1:15" x14ac:dyDescent="0.3">
      <c r="A9" s="38"/>
      <c r="B9" s="38"/>
      <c r="C9" s="38"/>
      <c r="D9" s="38"/>
      <c r="E9" s="38" t="s">
        <v>145</v>
      </c>
      <c r="F9" s="38" t="s">
        <v>327</v>
      </c>
      <c r="G9" s="38"/>
      <c r="H9" s="38"/>
      <c r="I9" s="7"/>
      <c r="J9" s="40">
        <f>SUMPRODUCT(--('Input|Forecast Data'!$E$9:$E$203=$E9),--('Input|Forecast Data'!$L$9:$L$203="VBRC"),'Input|Forecast Data'!G$9:G$203)</f>
        <v>0</v>
      </c>
      <c r="K9" s="40">
        <f>SUMPRODUCT(--('Input|Forecast Data'!$E$9:$E$203=$E9),--('Input|Forecast Data'!$L$9:$L$203="VBRC"),'Input|Forecast Data'!H$9:H$203)</f>
        <v>0</v>
      </c>
      <c r="L9" s="40">
        <f>SUMPRODUCT(--('Input|Forecast Data'!$E$9:$E$203=$E9),--('Input|Forecast Data'!$L$9:$L$203="VBRC"),'Input|Forecast Data'!I$9:I$203)</f>
        <v>0</v>
      </c>
      <c r="M9" s="40">
        <f>SUMPRODUCT(--('Input|Forecast Data'!$E$9:$E$203=$E9),--('Input|Forecast Data'!$L$9:$L$203="VBRC"),'Input|Forecast Data'!J$9:J$203)</f>
        <v>0</v>
      </c>
      <c r="N9" s="40">
        <f>SUMPRODUCT(--('Input|Forecast Data'!$E$9:$E$203=$E9),--('Input|Forecast Data'!$L$9:$L$203="VBRC"),'Input|Forecast Data'!K$9:K$203)</f>
        <v>0</v>
      </c>
      <c r="O9" s="7"/>
    </row>
    <row r="10" spans="1:15" x14ac:dyDescent="0.3">
      <c r="A10" s="38"/>
      <c r="B10" s="38"/>
      <c r="C10" s="38"/>
      <c r="D10" s="38"/>
      <c r="E10" s="38" t="s">
        <v>146</v>
      </c>
      <c r="F10" s="38" t="s">
        <v>328</v>
      </c>
      <c r="G10" s="38"/>
      <c r="H10" s="38"/>
      <c r="I10" s="7"/>
      <c r="J10" s="40">
        <f>SUMPRODUCT(--('Input|Forecast Data'!$E$9:$E$203=$E10),--('Input|Forecast Data'!$L$9:$L$203="VBRC"),'Input|Forecast Data'!G$9:G$203)</f>
        <v>0</v>
      </c>
      <c r="K10" s="40">
        <f>SUMPRODUCT(--('Input|Forecast Data'!$E$9:$E$203=$E10),--('Input|Forecast Data'!$L$9:$L$203="VBRC"),'Input|Forecast Data'!H$9:H$203)</f>
        <v>0</v>
      </c>
      <c r="L10" s="40">
        <f>SUMPRODUCT(--('Input|Forecast Data'!$E$9:$E$203=$E10),--('Input|Forecast Data'!$L$9:$L$203="VBRC"),'Input|Forecast Data'!I$9:I$203)</f>
        <v>0</v>
      </c>
      <c r="M10" s="40">
        <f>SUMPRODUCT(--('Input|Forecast Data'!$E$9:$E$203=$E10),--('Input|Forecast Data'!$L$9:$L$203="VBRC"),'Input|Forecast Data'!J$9:J$203)</f>
        <v>0</v>
      </c>
      <c r="N10" s="40">
        <f>SUMPRODUCT(--('Input|Forecast Data'!$E$9:$E$203=$E10),--('Input|Forecast Data'!$L$9:$L$203="VBRC"),'Input|Forecast Data'!K$9:K$203)</f>
        <v>0</v>
      </c>
      <c r="O10" s="7"/>
    </row>
    <row r="11" spans="1:15" x14ac:dyDescent="0.3">
      <c r="A11" s="38"/>
      <c r="B11" s="38"/>
      <c r="C11" s="38"/>
      <c r="D11" s="38"/>
      <c r="E11" s="38" t="s">
        <v>148</v>
      </c>
      <c r="F11" s="38" t="s">
        <v>330</v>
      </c>
      <c r="G11" s="38"/>
      <c r="H11" s="38"/>
      <c r="I11" s="7"/>
      <c r="J11" s="40">
        <f>SUMPRODUCT(--('Input|Forecast Data'!$E$9:$E$203=$E11),--('Input|Forecast Data'!$L$9:$L$203="VBRC"),'Input|Forecast Data'!G$9:G$203)</f>
        <v>0</v>
      </c>
      <c r="K11" s="40">
        <f>SUMPRODUCT(--('Input|Forecast Data'!$E$9:$E$203=$E11),--('Input|Forecast Data'!$L$9:$L$203="VBRC"),'Input|Forecast Data'!H$9:H$203)</f>
        <v>0</v>
      </c>
      <c r="L11" s="40">
        <f>SUMPRODUCT(--('Input|Forecast Data'!$E$9:$E$203=$E11),--('Input|Forecast Data'!$L$9:$L$203="VBRC"),'Input|Forecast Data'!I$9:I$203)</f>
        <v>0</v>
      </c>
      <c r="M11" s="40">
        <f>SUMPRODUCT(--('Input|Forecast Data'!$E$9:$E$203=$E11),--('Input|Forecast Data'!$L$9:$L$203="VBRC"),'Input|Forecast Data'!J$9:J$203)</f>
        <v>0</v>
      </c>
      <c r="N11" s="40">
        <f>SUMPRODUCT(--('Input|Forecast Data'!$E$9:$E$203=$E11),--('Input|Forecast Data'!$L$9:$L$203="VBRC"),'Input|Forecast Data'!K$9:K$203)</f>
        <v>0</v>
      </c>
      <c r="O11" s="7"/>
    </row>
    <row r="12" spans="1:15" x14ac:dyDescent="0.3">
      <c r="A12" s="38"/>
      <c r="B12" s="38"/>
      <c r="C12" s="38"/>
      <c r="D12" s="38"/>
      <c r="E12" s="38" t="s">
        <v>149</v>
      </c>
      <c r="F12" s="38" t="s">
        <v>331</v>
      </c>
      <c r="G12" s="38"/>
      <c r="H12" s="38"/>
      <c r="I12" s="7"/>
      <c r="J12" s="40">
        <f>SUMPRODUCT(--('Input|Forecast Data'!$E$9:$E$203=$E12),--('Input|Forecast Data'!$L$9:$L$203="VBRC"),'Input|Forecast Data'!G$9:G$203)</f>
        <v>0</v>
      </c>
      <c r="K12" s="40">
        <f>SUMPRODUCT(--('Input|Forecast Data'!$E$9:$E$203=$E12),--('Input|Forecast Data'!$L$9:$L$203="VBRC"),'Input|Forecast Data'!H$9:H$203)</f>
        <v>0</v>
      </c>
      <c r="L12" s="40">
        <f>SUMPRODUCT(--('Input|Forecast Data'!$E$9:$E$203=$E12),--('Input|Forecast Data'!$L$9:$L$203="VBRC"),'Input|Forecast Data'!I$9:I$203)</f>
        <v>0</v>
      </c>
      <c r="M12" s="40">
        <f>SUMPRODUCT(--('Input|Forecast Data'!$E$9:$E$203=$E12),--('Input|Forecast Data'!$L$9:$L$203="VBRC"),'Input|Forecast Data'!J$9:J$203)</f>
        <v>0</v>
      </c>
      <c r="N12" s="40">
        <f>SUMPRODUCT(--('Input|Forecast Data'!$E$9:$E$203=$E12),--('Input|Forecast Data'!$L$9:$L$203="VBRC"),'Input|Forecast Data'!K$9:K$203)</f>
        <v>0</v>
      </c>
      <c r="O12" s="7"/>
    </row>
    <row r="13" spans="1:15" x14ac:dyDescent="0.3">
      <c r="A13" s="38"/>
      <c r="B13" s="38"/>
      <c r="C13" s="38"/>
      <c r="D13" s="38"/>
      <c r="E13" s="38" t="s">
        <v>156</v>
      </c>
      <c r="F13" s="38" t="s">
        <v>338</v>
      </c>
      <c r="G13" s="38"/>
      <c r="H13" s="38"/>
      <c r="I13" s="7"/>
      <c r="J13" s="40">
        <f>SUMPRODUCT(--('Input|Forecast Data'!$E$9:$E$203=$E13),--('Input|Forecast Data'!$L$9:$L$203="VBRC"),'Input|Forecast Data'!G$9:G$203)</f>
        <v>0</v>
      </c>
      <c r="K13" s="40">
        <f>SUMPRODUCT(--('Input|Forecast Data'!$E$9:$E$203=$E13),--('Input|Forecast Data'!$L$9:$L$203="VBRC"),'Input|Forecast Data'!H$9:H$203)</f>
        <v>0</v>
      </c>
      <c r="L13" s="40">
        <f>SUMPRODUCT(--('Input|Forecast Data'!$E$9:$E$203=$E13),--('Input|Forecast Data'!$L$9:$L$203="VBRC"),'Input|Forecast Data'!I$9:I$203)</f>
        <v>0</v>
      </c>
      <c r="M13" s="40">
        <f>SUMPRODUCT(--('Input|Forecast Data'!$E$9:$E$203=$E13),--('Input|Forecast Data'!$L$9:$L$203="VBRC"),'Input|Forecast Data'!J$9:J$203)</f>
        <v>0</v>
      </c>
      <c r="N13" s="40">
        <f>SUMPRODUCT(--('Input|Forecast Data'!$E$9:$E$203=$E13),--('Input|Forecast Data'!$L$9:$L$203="VBRC"),'Input|Forecast Data'!K$9:K$203)</f>
        <v>0</v>
      </c>
      <c r="O13" s="7"/>
    </row>
    <row r="14" spans="1:15" x14ac:dyDescent="0.3">
      <c r="A14" s="38"/>
      <c r="B14" s="38"/>
      <c r="C14" s="38"/>
      <c r="D14" s="38"/>
      <c r="E14" s="38" t="s">
        <v>161</v>
      </c>
      <c r="F14" s="38" t="s">
        <v>342</v>
      </c>
      <c r="G14" s="38"/>
      <c r="H14" s="38"/>
      <c r="I14" s="7"/>
      <c r="J14" s="40">
        <f>SUMPRODUCT(--('Input|Forecast Data'!$E$9:$E$203=$E14),--('Input|Forecast Data'!$L$9:$L$203="VBRC"),'Input|Forecast Data'!G$9:G$203)</f>
        <v>0</v>
      </c>
      <c r="K14" s="40">
        <f>SUMPRODUCT(--('Input|Forecast Data'!$E$9:$E$203=$E14),--('Input|Forecast Data'!$L$9:$L$203="VBRC"),'Input|Forecast Data'!H$9:H$203)</f>
        <v>0</v>
      </c>
      <c r="L14" s="40">
        <f>SUMPRODUCT(--('Input|Forecast Data'!$E$9:$E$203=$E14),--('Input|Forecast Data'!$L$9:$L$203="VBRC"),'Input|Forecast Data'!I$9:I$203)</f>
        <v>0</v>
      </c>
      <c r="M14" s="40">
        <f>SUMPRODUCT(--('Input|Forecast Data'!$E$9:$E$203=$E14),--('Input|Forecast Data'!$L$9:$L$203="VBRC"),'Input|Forecast Data'!J$9:J$203)</f>
        <v>0</v>
      </c>
      <c r="N14" s="40">
        <f>SUMPRODUCT(--('Input|Forecast Data'!$E$9:$E$203=$E14),--('Input|Forecast Data'!$L$9:$L$203="VBRC"),'Input|Forecast Data'!K$9:K$203)</f>
        <v>0</v>
      </c>
      <c r="O14" s="7"/>
    </row>
    <row r="15" spans="1:15" x14ac:dyDescent="0.3">
      <c r="A15" s="38"/>
      <c r="B15" s="38"/>
      <c r="C15" s="38"/>
      <c r="D15" s="38"/>
      <c r="E15" s="38" t="s">
        <v>192</v>
      </c>
      <c r="F15" s="38" t="s">
        <v>373</v>
      </c>
      <c r="G15" s="38"/>
      <c r="H15" s="38"/>
      <c r="I15" s="7"/>
      <c r="J15" s="40">
        <f>SUMPRODUCT(--('Input|Forecast Data'!$E$9:$E$203=$E15),--('Input|Forecast Data'!$L$9:$L$203="VBRC"),'Input|Forecast Data'!G$9:G$203)</f>
        <v>0</v>
      </c>
      <c r="K15" s="40">
        <f>SUMPRODUCT(--('Input|Forecast Data'!$E$9:$E$203=$E15),--('Input|Forecast Data'!$L$9:$L$203="VBRC"),'Input|Forecast Data'!H$9:H$203)</f>
        <v>0</v>
      </c>
      <c r="L15" s="40">
        <f>SUMPRODUCT(--('Input|Forecast Data'!$E$9:$E$203=$E15),--('Input|Forecast Data'!$L$9:$L$203="VBRC"),'Input|Forecast Data'!I$9:I$203)</f>
        <v>0</v>
      </c>
      <c r="M15" s="40">
        <f>SUMPRODUCT(--('Input|Forecast Data'!$E$9:$E$203=$E15),--('Input|Forecast Data'!$L$9:$L$203="VBRC"),'Input|Forecast Data'!J$9:J$203)</f>
        <v>0</v>
      </c>
      <c r="N15" s="40">
        <f>SUMPRODUCT(--('Input|Forecast Data'!$E$9:$E$203=$E15),--('Input|Forecast Data'!$L$9:$L$203="VBRC"),'Input|Forecast Data'!K$9:K$203)</f>
        <v>0</v>
      </c>
      <c r="O15" s="7"/>
    </row>
    <row r="16" spans="1:15" x14ac:dyDescent="0.3">
      <c r="A16" s="38"/>
      <c r="B16" s="38"/>
      <c r="C16" s="38"/>
      <c r="D16" s="38"/>
      <c r="E16" s="38" t="s">
        <v>193</v>
      </c>
      <c r="F16" s="38" t="s">
        <v>374</v>
      </c>
      <c r="G16" s="38"/>
      <c r="H16" s="38"/>
      <c r="I16" s="7"/>
      <c r="J16" s="40">
        <f>SUMPRODUCT(--('Input|Forecast Data'!$E$9:$E$203=$E16),--('Input|Forecast Data'!$L$9:$L$203="VBRC"),'Input|Forecast Data'!G$9:G$203)</f>
        <v>0</v>
      </c>
      <c r="K16" s="40">
        <f>SUMPRODUCT(--('Input|Forecast Data'!$E$9:$E$203=$E16),--('Input|Forecast Data'!$L$9:$L$203="VBRC"),'Input|Forecast Data'!H$9:H$203)</f>
        <v>0</v>
      </c>
      <c r="L16" s="40">
        <f>SUMPRODUCT(--('Input|Forecast Data'!$E$9:$E$203=$E16),--('Input|Forecast Data'!$L$9:$L$203="VBRC"),'Input|Forecast Data'!I$9:I$203)</f>
        <v>0</v>
      </c>
      <c r="M16" s="40">
        <f>SUMPRODUCT(--('Input|Forecast Data'!$E$9:$E$203=$E16),--('Input|Forecast Data'!$L$9:$L$203="VBRC"),'Input|Forecast Data'!J$9:J$203)</f>
        <v>0</v>
      </c>
      <c r="N16" s="40">
        <f>SUMPRODUCT(--('Input|Forecast Data'!$E$9:$E$203=$E16),--('Input|Forecast Data'!$L$9:$L$203="VBRC"),'Input|Forecast Data'!K$9:K$203)</f>
        <v>0</v>
      </c>
      <c r="O16" s="7"/>
    </row>
    <row r="17" spans="1:15" x14ac:dyDescent="0.3">
      <c r="A17" s="38"/>
      <c r="B17" s="38"/>
      <c r="C17" s="38"/>
      <c r="D17" s="38"/>
      <c r="E17" s="38" t="s">
        <v>194</v>
      </c>
      <c r="F17" s="38" t="s">
        <v>375</v>
      </c>
      <c r="G17" s="38"/>
      <c r="H17" s="38"/>
      <c r="I17" s="7"/>
      <c r="J17" s="40">
        <f>SUMPRODUCT(--('Input|Forecast Data'!$E$9:$E$203=$E17),--('Input|Forecast Data'!$L$9:$L$203="VBRC"),'Input|Forecast Data'!G$9:G$203)</f>
        <v>0</v>
      </c>
      <c r="K17" s="40">
        <f>SUMPRODUCT(--('Input|Forecast Data'!$E$9:$E$203=$E17),--('Input|Forecast Data'!$L$9:$L$203="VBRC"),'Input|Forecast Data'!H$9:H$203)</f>
        <v>0</v>
      </c>
      <c r="L17" s="40">
        <f>SUMPRODUCT(--('Input|Forecast Data'!$E$9:$E$203=$E17),--('Input|Forecast Data'!$L$9:$L$203="VBRC"),'Input|Forecast Data'!I$9:I$203)</f>
        <v>0</v>
      </c>
      <c r="M17" s="40">
        <f>SUMPRODUCT(--('Input|Forecast Data'!$E$9:$E$203=$E17),--('Input|Forecast Data'!$L$9:$L$203="VBRC"),'Input|Forecast Data'!J$9:J$203)</f>
        <v>0</v>
      </c>
      <c r="N17" s="40">
        <f>SUMPRODUCT(--('Input|Forecast Data'!$E$9:$E$203=$E17),--('Input|Forecast Data'!$L$9:$L$203="VBRC"),'Input|Forecast Data'!K$9:K$203)</f>
        <v>0</v>
      </c>
      <c r="O17" s="7"/>
    </row>
    <row r="18" spans="1:15" x14ac:dyDescent="0.3">
      <c r="A18" s="38"/>
      <c r="B18" s="38"/>
      <c r="C18" s="38"/>
      <c r="D18" s="38"/>
      <c r="E18" s="38" t="s">
        <v>195</v>
      </c>
      <c r="F18" s="38" t="s">
        <v>376</v>
      </c>
      <c r="G18" s="38"/>
      <c r="H18" s="38"/>
      <c r="I18" s="7"/>
      <c r="J18" s="40">
        <f>SUMPRODUCT(--('Input|Forecast Data'!$E$9:$E$203=$E18),--('Input|Forecast Data'!$L$9:$L$203="VBRC"),'Input|Forecast Data'!G$9:G$203)</f>
        <v>0</v>
      </c>
      <c r="K18" s="40">
        <f>SUMPRODUCT(--('Input|Forecast Data'!$E$9:$E$203=$E18),--('Input|Forecast Data'!$L$9:$L$203="VBRC"),'Input|Forecast Data'!H$9:H$203)</f>
        <v>0</v>
      </c>
      <c r="L18" s="40">
        <f>SUMPRODUCT(--('Input|Forecast Data'!$E$9:$E$203=$E18),--('Input|Forecast Data'!$L$9:$L$203="VBRC"),'Input|Forecast Data'!I$9:I$203)</f>
        <v>0</v>
      </c>
      <c r="M18" s="40">
        <f>SUMPRODUCT(--('Input|Forecast Data'!$E$9:$E$203=$E18),--('Input|Forecast Data'!$L$9:$L$203="VBRC"),'Input|Forecast Data'!J$9:J$203)</f>
        <v>0</v>
      </c>
      <c r="N18" s="40">
        <f>SUMPRODUCT(--('Input|Forecast Data'!$E$9:$E$203=$E18),--('Input|Forecast Data'!$L$9:$L$203="VBRC"),'Input|Forecast Data'!K$9:K$203)</f>
        <v>0</v>
      </c>
      <c r="O18" s="7"/>
    </row>
    <row r="19" spans="1:15" x14ac:dyDescent="0.3">
      <c r="A19" s="38"/>
      <c r="B19" s="38"/>
      <c r="C19" s="38"/>
      <c r="D19" s="38"/>
      <c r="E19" s="38" t="s">
        <v>197</v>
      </c>
      <c r="F19" s="38" t="s">
        <v>378</v>
      </c>
      <c r="G19" s="38"/>
      <c r="H19" s="38"/>
      <c r="I19" s="7"/>
      <c r="J19" s="40">
        <f>SUMPRODUCT(--('Input|Forecast Data'!$E$9:$E$203=$E19),--('Input|Forecast Data'!$L$9:$L$203="VBRC"),'Input|Forecast Data'!G$9:G$203)</f>
        <v>0</v>
      </c>
      <c r="K19" s="40">
        <f>SUMPRODUCT(--('Input|Forecast Data'!$E$9:$E$203=$E19),--('Input|Forecast Data'!$L$9:$L$203="VBRC"),'Input|Forecast Data'!H$9:H$203)</f>
        <v>0</v>
      </c>
      <c r="L19" s="40">
        <f>SUMPRODUCT(--('Input|Forecast Data'!$E$9:$E$203=$E19),--('Input|Forecast Data'!$L$9:$L$203="VBRC"),'Input|Forecast Data'!I$9:I$203)</f>
        <v>0</v>
      </c>
      <c r="M19" s="40">
        <f>SUMPRODUCT(--('Input|Forecast Data'!$E$9:$E$203=$E19),--('Input|Forecast Data'!$L$9:$L$203="VBRC"),'Input|Forecast Data'!J$9:J$203)</f>
        <v>0</v>
      </c>
      <c r="N19" s="40">
        <f>SUMPRODUCT(--('Input|Forecast Data'!$E$9:$E$203=$E19),--('Input|Forecast Data'!$L$9:$L$203="VBRC"),'Input|Forecast Data'!K$9:K$203)</f>
        <v>0</v>
      </c>
      <c r="O19" s="7"/>
    </row>
    <row r="20" spans="1:15" x14ac:dyDescent="0.3">
      <c r="A20" s="38"/>
      <c r="B20" s="38"/>
      <c r="C20" s="38"/>
      <c r="D20" s="38"/>
      <c r="E20" s="9" t="s">
        <v>20</v>
      </c>
      <c r="F20" s="9"/>
      <c r="G20" s="38"/>
      <c r="H20" s="38"/>
      <c r="I20" s="7"/>
      <c r="J20" s="110">
        <f t="shared" ref="J20:N20" si="0">SUM(J9:J19)</f>
        <v>0</v>
      </c>
      <c r="K20" s="110">
        <f t="shared" si="0"/>
        <v>0</v>
      </c>
      <c r="L20" s="110">
        <f t="shared" si="0"/>
        <v>0</v>
      </c>
      <c r="M20" s="110">
        <f t="shared" si="0"/>
        <v>0</v>
      </c>
      <c r="N20" s="110">
        <f t="shared" si="0"/>
        <v>0</v>
      </c>
      <c r="O20" s="7"/>
    </row>
    <row r="21" spans="1:15" x14ac:dyDescent="0.3">
      <c r="A21" s="38"/>
      <c r="B21" s="38"/>
      <c r="C21" s="38"/>
      <c r="D21" s="38"/>
      <c r="E21" s="38"/>
      <c r="F21" s="38"/>
      <c r="G21" s="38"/>
      <c r="H21" s="38"/>
      <c r="I21" s="7"/>
      <c r="J21" s="38"/>
      <c r="K21" s="38"/>
      <c r="L21" s="38"/>
      <c r="M21" s="38"/>
      <c r="N21" s="38"/>
      <c r="O21" s="7"/>
    </row>
    <row r="22" spans="1:15" x14ac:dyDescent="0.3">
      <c r="A22" s="38"/>
      <c r="B22" s="38"/>
      <c r="C22" s="38"/>
      <c r="D22" s="38"/>
      <c r="E22" s="52" t="s">
        <v>46</v>
      </c>
      <c r="F22" s="52"/>
      <c r="G22" s="38"/>
      <c r="H22" s="38"/>
      <c r="I22" s="7"/>
      <c r="J22" s="38"/>
      <c r="K22" s="38"/>
      <c r="L22" s="38"/>
      <c r="M22" s="38"/>
      <c r="N22" s="38"/>
      <c r="O22" s="7"/>
    </row>
    <row r="23" spans="1:15" x14ac:dyDescent="0.3">
      <c r="A23" s="38"/>
      <c r="B23" s="38"/>
      <c r="C23" s="38"/>
      <c r="D23" s="38"/>
      <c r="E23" s="38" t="s">
        <v>47</v>
      </c>
      <c r="F23" s="71" t="s">
        <v>8</v>
      </c>
      <c r="G23" s="38" t="s">
        <v>59</v>
      </c>
      <c r="H23" s="38" t="s">
        <v>8</v>
      </c>
      <c r="I23" s="7"/>
      <c r="J23" s="40"/>
      <c r="K23" s="120"/>
      <c r="L23" s="40"/>
      <c r="M23" s="40"/>
      <c r="N23" s="40"/>
      <c r="O23" s="7"/>
    </row>
    <row r="24" spans="1:15" x14ac:dyDescent="0.3">
      <c r="A24" s="38"/>
      <c r="B24" s="38"/>
      <c r="C24" s="38"/>
      <c r="D24" s="38"/>
      <c r="E24" s="38" t="s">
        <v>48</v>
      </c>
      <c r="F24" s="71" t="s">
        <v>514</v>
      </c>
      <c r="G24" s="38" t="s">
        <v>59</v>
      </c>
      <c r="H24" s="38" t="s">
        <v>39</v>
      </c>
      <c r="I24" s="7"/>
      <c r="J24" s="40"/>
      <c r="K24" s="120"/>
      <c r="L24" s="40"/>
      <c r="M24" s="40"/>
      <c r="N24" s="40"/>
      <c r="O24" s="7"/>
    </row>
    <row r="25" spans="1:15" x14ac:dyDescent="0.3">
      <c r="A25" s="38"/>
      <c r="B25" s="38"/>
      <c r="C25" s="38"/>
      <c r="D25" s="38"/>
      <c r="E25" s="38"/>
      <c r="F25" s="71" t="s">
        <v>514</v>
      </c>
      <c r="G25" s="38" t="s">
        <v>59</v>
      </c>
      <c r="H25" s="38" t="s">
        <v>38</v>
      </c>
      <c r="I25" s="7"/>
      <c r="J25" s="40"/>
      <c r="K25" s="120"/>
      <c r="L25" s="40"/>
      <c r="M25" s="40"/>
      <c r="N25" s="40"/>
      <c r="O25" s="7"/>
    </row>
    <row r="26" spans="1:15" x14ac:dyDescent="0.3">
      <c r="A26" s="38"/>
      <c r="B26" s="38"/>
      <c r="C26" s="38"/>
      <c r="D26" s="38"/>
      <c r="E26" s="38"/>
      <c r="F26" s="71" t="s">
        <v>8</v>
      </c>
      <c r="G26" s="38" t="s">
        <v>59</v>
      </c>
      <c r="H26" s="38" t="s">
        <v>39</v>
      </c>
      <c r="I26" s="7"/>
      <c r="J26" s="43">
        <f t="shared" ref="J26:N26" si="1">J20-SUM(J23:J25,J28:J30)</f>
        <v>0</v>
      </c>
      <c r="K26" s="123">
        <f t="shared" si="1"/>
        <v>0</v>
      </c>
      <c r="L26" s="43">
        <f t="shared" si="1"/>
        <v>0</v>
      </c>
      <c r="M26" s="43">
        <f t="shared" si="1"/>
        <v>0</v>
      </c>
      <c r="N26" s="43">
        <f t="shared" si="1"/>
        <v>0</v>
      </c>
      <c r="O26" s="7"/>
    </row>
    <row r="27" spans="1:15" x14ac:dyDescent="0.3">
      <c r="A27" s="38"/>
      <c r="B27" s="38"/>
      <c r="C27" s="38"/>
      <c r="D27" s="38"/>
      <c r="E27" s="52" t="s">
        <v>49</v>
      </c>
      <c r="F27" s="118"/>
      <c r="G27" s="38"/>
      <c r="H27" s="38"/>
      <c r="I27" s="7"/>
      <c r="J27" s="43"/>
      <c r="K27" s="43"/>
      <c r="L27" s="43"/>
      <c r="M27" s="43"/>
      <c r="N27" s="43"/>
      <c r="O27" s="7"/>
    </row>
    <row r="28" spans="1:15" x14ac:dyDescent="0.3">
      <c r="A28" s="38"/>
      <c r="B28" s="38"/>
      <c r="C28" s="38"/>
      <c r="D28" s="38"/>
      <c r="E28" s="38" t="s">
        <v>47</v>
      </c>
      <c r="F28" s="71" t="s">
        <v>8</v>
      </c>
      <c r="G28" s="38" t="s">
        <v>29</v>
      </c>
      <c r="H28" s="38" t="s">
        <v>8</v>
      </c>
      <c r="I28" s="7"/>
      <c r="J28" s="40"/>
      <c r="K28" s="40"/>
      <c r="L28" s="40"/>
      <c r="M28" s="40"/>
      <c r="N28" s="40"/>
      <c r="O28" s="7"/>
    </row>
    <row r="29" spans="1:15" x14ac:dyDescent="0.3">
      <c r="A29" s="38"/>
      <c r="B29" s="38"/>
      <c r="C29" s="38"/>
      <c r="D29" s="38"/>
      <c r="E29" s="38" t="s">
        <v>51</v>
      </c>
      <c r="F29" s="71" t="s">
        <v>8</v>
      </c>
      <c r="G29" s="38" t="s">
        <v>29</v>
      </c>
      <c r="H29" s="38" t="s">
        <v>39</v>
      </c>
      <c r="I29" s="7"/>
      <c r="J29" s="40"/>
      <c r="K29" s="40"/>
      <c r="L29" s="40"/>
      <c r="M29" s="40"/>
      <c r="N29" s="40"/>
      <c r="O29" s="7"/>
    </row>
    <row r="30" spans="1:15" x14ac:dyDescent="0.3">
      <c r="A30" s="38"/>
      <c r="B30" s="38"/>
      <c r="C30" s="38"/>
      <c r="D30" s="38"/>
      <c r="E30" s="38" t="s">
        <v>52</v>
      </c>
      <c r="F30" s="71" t="s">
        <v>8</v>
      </c>
      <c r="G30" s="38" t="s">
        <v>29</v>
      </c>
      <c r="H30" s="38" t="s">
        <v>43</v>
      </c>
      <c r="I30" s="7"/>
      <c r="J30" s="40"/>
      <c r="K30" s="40"/>
      <c r="L30" s="40"/>
      <c r="M30" s="40"/>
      <c r="N30" s="40"/>
      <c r="O30" s="7"/>
    </row>
    <row r="31" spans="1:15" x14ac:dyDescent="0.3">
      <c r="A31" s="38"/>
      <c r="B31" s="38"/>
      <c r="C31" s="38"/>
      <c r="D31" s="38"/>
      <c r="E31" s="38"/>
      <c r="F31" s="38"/>
      <c r="G31" s="38"/>
      <c r="H31" s="38"/>
      <c r="I31" s="7"/>
      <c r="J31" s="38"/>
      <c r="K31" s="38"/>
      <c r="L31" s="38"/>
      <c r="M31" s="38"/>
      <c r="N31" s="38"/>
      <c r="O31" s="7"/>
    </row>
    <row r="32" spans="1:15" x14ac:dyDescent="0.3">
      <c r="A32" s="38"/>
      <c r="B32" s="38"/>
      <c r="C32" s="38"/>
      <c r="D32" s="38"/>
      <c r="E32" s="38"/>
      <c r="F32" s="38"/>
      <c r="G32" s="38"/>
      <c r="H32" s="38"/>
      <c r="I32" s="7"/>
      <c r="J32" s="54">
        <f t="shared" ref="J32:N32" si="2">J20-SUM(J23:J30)</f>
        <v>0</v>
      </c>
      <c r="K32" s="54">
        <f t="shared" si="2"/>
        <v>0</v>
      </c>
      <c r="L32" s="54">
        <f t="shared" si="2"/>
        <v>0</v>
      </c>
      <c r="M32" s="54">
        <f t="shared" si="2"/>
        <v>0</v>
      </c>
      <c r="N32" s="54">
        <f t="shared" si="2"/>
        <v>0</v>
      </c>
      <c r="O32" s="7"/>
    </row>
    <row r="33" spans="1:15" x14ac:dyDescent="0.3">
      <c r="A33" s="38"/>
      <c r="B33" s="38"/>
      <c r="C33" s="38"/>
      <c r="D33" s="38"/>
      <c r="E33" s="38"/>
      <c r="F33" s="38"/>
      <c r="G33" s="38"/>
      <c r="H33" s="38"/>
      <c r="I33" s="7"/>
      <c r="J33" s="54"/>
      <c r="K33" s="54"/>
      <c r="L33" s="54"/>
      <c r="M33" s="54"/>
      <c r="N33" s="54"/>
      <c r="O33" s="7"/>
    </row>
    <row r="34" spans="1:15" x14ac:dyDescent="0.3">
      <c r="A34" s="38"/>
      <c r="B34" s="38"/>
      <c r="C34" s="38"/>
      <c r="D34" s="38"/>
      <c r="E34" s="38"/>
      <c r="F34" s="38"/>
      <c r="G34" s="38"/>
      <c r="H34" s="38"/>
      <c r="I34" s="7"/>
      <c r="J34" s="38"/>
      <c r="K34" s="38"/>
      <c r="L34" s="38"/>
      <c r="M34" s="38"/>
      <c r="N34" s="38"/>
      <c r="O34" s="7"/>
    </row>
    <row r="35" spans="1:15" x14ac:dyDescent="0.3">
      <c r="A35" s="21" t="s">
        <v>578</v>
      </c>
      <c r="B35" s="21"/>
      <c r="C35" s="14"/>
      <c r="D35" s="23"/>
      <c r="E35" s="24"/>
      <c r="F35" s="24"/>
      <c r="G35" s="24"/>
      <c r="H35" s="24"/>
      <c r="I35" s="24"/>
      <c r="J35" s="34" t="s">
        <v>608</v>
      </c>
      <c r="K35" s="34" t="s">
        <v>608</v>
      </c>
      <c r="L35" s="34" t="s">
        <v>608</v>
      </c>
      <c r="M35" s="34" t="s">
        <v>608</v>
      </c>
      <c r="N35" s="34" t="s">
        <v>608</v>
      </c>
      <c r="O35" s="24"/>
    </row>
    <row r="36" spans="1:15" x14ac:dyDescent="0.3">
      <c r="A36" s="38"/>
      <c r="B36" s="38"/>
      <c r="C36" s="38"/>
      <c r="D36" s="38"/>
      <c r="E36" s="38"/>
      <c r="F36" s="38"/>
      <c r="G36" s="38"/>
      <c r="H36" s="38"/>
      <c r="I36" s="7"/>
      <c r="J36" s="38"/>
      <c r="K36" s="38"/>
      <c r="L36" s="38"/>
      <c r="M36" s="38"/>
      <c r="N36" s="38"/>
      <c r="O36" s="7"/>
    </row>
    <row r="37" spans="1:15" x14ac:dyDescent="0.3">
      <c r="A37" s="38"/>
      <c r="B37" s="38"/>
      <c r="C37" s="38"/>
      <c r="D37" s="38"/>
      <c r="E37" s="38" t="s">
        <v>145</v>
      </c>
      <c r="F37" s="38" t="s">
        <v>327</v>
      </c>
      <c r="G37" s="38"/>
      <c r="H37" s="38"/>
      <c r="I37" s="7"/>
      <c r="J37" s="43">
        <f>J9*(1+'Calc|Overheads'!O$27)</f>
        <v>0</v>
      </c>
      <c r="K37" s="43">
        <f>K9*(1+'Calc|Overheads'!P$27)</f>
        <v>0</v>
      </c>
      <c r="L37" s="43">
        <f>L9*(1+'Calc|Overheads'!Q$27)</f>
        <v>0</v>
      </c>
      <c r="M37" s="43">
        <f>M9*(1+'Calc|Overheads'!R$27)</f>
        <v>0</v>
      </c>
      <c r="N37" s="43">
        <f>N9*(1+'Calc|Overheads'!S$27)</f>
        <v>0</v>
      </c>
      <c r="O37" s="7"/>
    </row>
    <row r="38" spans="1:15" x14ac:dyDescent="0.3">
      <c r="A38" s="38"/>
      <c r="B38" s="38"/>
      <c r="C38" s="38"/>
      <c r="D38" s="38"/>
      <c r="E38" s="38" t="s">
        <v>146</v>
      </c>
      <c r="F38" s="38" t="s">
        <v>328</v>
      </c>
      <c r="G38" s="38"/>
      <c r="H38" s="38"/>
      <c r="I38" s="7"/>
      <c r="J38" s="43">
        <f>J10*(1+'Calc|Overheads'!O$27)</f>
        <v>0</v>
      </c>
      <c r="K38" s="43">
        <f>K10*(1+'Calc|Overheads'!P$27)</f>
        <v>0</v>
      </c>
      <c r="L38" s="43">
        <f>L10*(1+'Calc|Overheads'!Q$27)</f>
        <v>0</v>
      </c>
      <c r="M38" s="43">
        <f>M10*(1+'Calc|Overheads'!R$27)</f>
        <v>0</v>
      </c>
      <c r="N38" s="43">
        <f>N10*(1+'Calc|Overheads'!S$27)</f>
        <v>0</v>
      </c>
      <c r="O38" s="7"/>
    </row>
    <row r="39" spans="1:15" x14ac:dyDescent="0.3">
      <c r="A39" s="38"/>
      <c r="B39" s="38"/>
      <c r="C39" s="38"/>
      <c r="D39" s="38"/>
      <c r="E39" s="38" t="s">
        <v>148</v>
      </c>
      <c r="F39" s="38" t="s">
        <v>330</v>
      </c>
      <c r="G39" s="38"/>
      <c r="H39" s="38"/>
      <c r="I39" s="7"/>
      <c r="J39" s="43">
        <f>J11*(1+'Calc|Overheads'!O$27)</f>
        <v>0</v>
      </c>
      <c r="K39" s="43">
        <f>K11*(1+'Calc|Overheads'!P$27)</f>
        <v>0</v>
      </c>
      <c r="L39" s="43">
        <f>L11*(1+'Calc|Overheads'!Q$27)</f>
        <v>0</v>
      </c>
      <c r="M39" s="43">
        <f>M11*(1+'Calc|Overheads'!R$27)</f>
        <v>0</v>
      </c>
      <c r="N39" s="43">
        <f>N11*(1+'Calc|Overheads'!S$27)</f>
        <v>0</v>
      </c>
      <c r="O39" s="7"/>
    </row>
    <row r="40" spans="1:15" x14ac:dyDescent="0.3">
      <c r="A40" s="38"/>
      <c r="B40" s="38"/>
      <c r="C40" s="38"/>
      <c r="D40" s="38"/>
      <c r="E40" s="38" t="s">
        <v>149</v>
      </c>
      <c r="F40" s="38" t="s">
        <v>331</v>
      </c>
      <c r="G40" s="38"/>
      <c r="H40" s="38"/>
      <c r="I40" s="7"/>
      <c r="J40" s="43">
        <f>J12*(1+'Calc|Overheads'!O$27)</f>
        <v>0</v>
      </c>
      <c r="K40" s="43">
        <f>K12*(1+'Calc|Overheads'!P$27)</f>
        <v>0</v>
      </c>
      <c r="L40" s="43">
        <f>L12*(1+'Calc|Overheads'!Q$27)</f>
        <v>0</v>
      </c>
      <c r="M40" s="43">
        <f>M12*(1+'Calc|Overheads'!R$27)</f>
        <v>0</v>
      </c>
      <c r="N40" s="43">
        <f>N12*(1+'Calc|Overheads'!S$27)</f>
        <v>0</v>
      </c>
      <c r="O40" s="7"/>
    </row>
    <row r="41" spans="1:15" x14ac:dyDescent="0.3">
      <c r="A41" s="38"/>
      <c r="B41" s="38"/>
      <c r="C41" s="38"/>
      <c r="D41" s="38"/>
      <c r="E41" s="38" t="s">
        <v>156</v>
      </c>
      <c r="F41" s="38" t="s">
        <v>338</v>
      </c>
      <c r="G41" s="38"/>
      <c r="H41" s="38"/>
      <c r="I41" s="7"/>
      <c r="J41" s="43">
        <f>J13*(1+'Calc|Overheads'!O$27)</f>
        <v>0</v>
      </c>
      <c r="K41" s="43">
        <f>K13*(1+'Calc|Overheads'!P$27)</f>
        <v>0</v>
      </c>
      <c r="L41" s="43">
        <f>L13*(1+'Calc|Overheads'!Q$27)</f>
        <v>0</v>
      </c>
      <c r="M41" s="43">
        <f>M13*(1+'Calc|Overheads'!R$27)</f>
        <v>0</v>
      </c>
      <c r="N41" s="43">
        <f>N13*(1+'Calc|Overheads'!S$27)</f>
        <v>0</v>
      </c>
      <c r="O41" s="7"/>
    </row>
    <row r="42" spans="1:15" x14ac:dyDescent="0.3">
      <c r="A42" s="38"/>
      <c r="B42" s="38"/>
      <c r="C42" s="38"/>
      <c r="D42" s="38"/>
      <c r="E42" s="38" t="s">
        <v>161</v>
      </c>
      <c r="F42" s="38" t="s">
        <v>342</v>
      </c>
      <c r="G42" s="38"/>
      <c r="H42" s="38"/>
      <c r="I42" s="7"/>
      <c r="J42" s="43">
        <f>J14*(1+'Calc|Overheads'!O$27)</f>
        <v>0</v>
      </c>
      <c r="K42" s="43">
        <f>K14*(1+'Calc|Overheads'!P$27)</f>
        <v>0</v>
      </c>
      <c r="L42" s="43">
        <f>L14*(1+'Calc|Overheads'!Q$27)</f>
        <v>0</v>
      </c>
      <c r="M42" s="43">
        <f>M14*(1+'Calc|Overheads'!R$27)</f>
        <v>0</v>
      </c>
      <c r="N42" s="43">
        <f>N14*(1+'Calc|Overheads'!S$27)</f>
        <v>0</v>
      </c>
      <c r="O42" s="7"/>
    </row>
    <row r="43" spans="1:15" x14ac:dyDescent="0.3">
      <c r="A43" s="38"/>
      <c r="B43" s="38"/>
      <c r="C43" s="38"/>
      <c r="D43" s="38"/>
      <c r="E43" s="38" t="s">
        <v>192</v>
      </c>
      <c r="F43" s="38" t="s">
        <v>373</v>
      </c>
      <c r="G43" s="38"/>
      <c r="H43" s="38"/>
      <c r="I43" s="7"/>
      <c r="J43" s="43">
        <f>J15*(1+'Calc|Overheads'!O$27)</f>
        <v>0</v>
      </c>
      <c r="K43" s="43">
        <f>K15*(1+'Calc|Overheads'!P$27)</f>
        <v>0</v>
      </c>
      <c r="L43" s="43">
        <f>L15*(1+'Calc|Overheads'!Q$27)</f>
        <v>0</v>
      </c>
      <c r="M43" s="43">
        <f>M15*(1+'Calc|Overheads'!R$27)</f>
        <v>0</v>
      </c>
      <c r="N43" s="43">
        <f>N15*(1+'Calc|Overheads'!S$27)</f>
        <v>0</v>
      </c>
      <c r="O43" s="7"/>
    </row>
    <row r="44" spans="1:15" x14ac:dyDescent="0.3">
      <c r="A44" s="38"/>
      <c r="B44" s="38"/>
      <c r="C44" s="38"/>
      <c r="D44" s="38"/>
      <c r="E44" s="38" t="s">
        <v>193</v>
      </c>
      <c r="F44" s="38" t="s">
        <v>374</v>
      </c>
      <c r="G44" s="38"/>
      <c r="H44" s="38"/>
      <c r="I44" s="7"/>
      <c r="J44" s="43">
        <f>J16*(1+'Calc|Overheads'!O$27)</f>
        <v>0</v>
      </c>
      <c r="K44" s="43">
        <f>K16*(1+'Calc|Overheads'!P$27)</f>
        <v>0</v>
      </c>
      <c r="L44" s="43">
        <f>L16*(1+'Calc|Overheads'!Q$27)</f>
        <v>0</v>
      </c>
      <c r="M44" s="43">
        <f>M16*(1+'Calc|Overheads'!R$27)</f>
        <v>0</v>
      </c>
      <c r="N44" s="43">
        <f>N16*(1+'Calc|Overheads'!S$27)</f>
        <v>0</v>
      </c>
      <c r="O44" s="7"/>
    </row>
    <row r="45" spans="1:15" x14ac:dyDescent="0.3">
      <c r="A45" s="38"/>
      <c r="B45" s="38"/>
      <c r="C45" s="38"/>
      <c r="D45" s="38"/>
      <c r="E45" s="38" t="s">
        <v>194</v>
      </c>
      <c r="F45" s="38" t="s">
        <v>375</v>
      </c>
      <c r="G45" s="38"/>
      <c r="H45" s="38"/>
      <c r="I45" s="7"/>
      <c r="J45" s="43">
        <f>J17*(1+'Calc|Overheads'!O$27)</f>
        <v>0</v>
      </c>
      <c r="K45" s="43">
        <f>K17*(1+'Calc|Overheads'!P$27)</f>
        <v>0</v>
      </c>
      <c r="L45" s="43">
        <f>L17*(1+'Calc|Overheads'!Q$27)</f>
        <v>0</v>
      </c>
      <c r="M45" s="43">
        <f>M17*(1+'Calc|Overheads'!R$27)</f>
        <v>0</v>
      </c>
      <c r="N45" s="43">
        <f>N17*(1+'Calc|Overheads'!S$27)</f>
        <v>0</v>
      </c>
      <c r="O45" s="7"/>
    </row>
    <row r="46" spans="1:15" x14ac:dyDescent="0.3">
      <c r="A46" s="38"/>
      <c r="B46" s="38"/>
      <c r="C46" s="38"/>
      <c r="D46" s="38"/>
      <c r="E46" s="38" t="s">
        <v>195</v>
      </c>
      <c r="F46" s="38" t="s">
        <v>376</v>
      </c>
      <c r="G46" s="38"/>
      <c r="H46" s="38"/>
      <c r="I46" s="7"/>
      <c r="J46" s="43">
        <f>J18*(1+'Calc|Overheads'!O$27)</f>
        <v>0</v>
      </c>
      <c r="K46" s="43">
        <f>K18*(1+'Calc|Overheads'!P$27)</f>
        <v>0</v>
      </c>
      <c r="L46" s="43">
        <f>L18*(1+'Calc|Overheads'!Q$27)</f>
        <v>0</v>
      </c>
      <c r="M46" s="43">
        <f>M18*(1+'Calc|Overheads'!R$27)</f>
        <v>0</v>
      </c>
      <c r="N46" s="43">
        <f>N18*(1+'Calc|Overheads'!S$27)</f>
        <v>0</v>
      </c>
      <c r="O46" s="7"/>
    </row>
    <row r="47" spans="1:15" x14ac:dyDescent="0.3">
      <c r="A47" s="38"/>
      <c r="B47" s="38"/>
      <c r="C47" s="38"/>
      <c r="D47" s="38"/>
      <c r="E47" s="38" t="s">
        <v>197</v>
      </c>
      <c r="F47" s="38" t="s">
        <v>378</v>
      </c>
      <c r="G47" s="38"/>
      <c r="H47" s="38"/>
      <c r="I47" s="7"/>
      <c r="J47" s="43">
        <f>J19*(1+'Calc|Overheads'!O$27)</f>
        <v>0</v>
      </c>
      <c r="K47" s="43">
        <f>K19*(1+'Calc|Overheads'!P$27)</f>
        <v>0</v>
      </c>
      <c r="L47" s="43">
        <f>L19*(1+'Calc|Overheads'!Q$27)</f>
        <v>0</v>
      </c>
      <c r="M47" s="43">
        <f>M19*(1+'Calc|Overheads'!R$27)</f>
        <v>0</v>
      </c>
      <c r="N47" s="43">
        <f>N19*(1+'Calc|Overheads'!S$27)</f>
        <v>0</v>
      </c>
      <c r="O47" s="7"/>
    </row>
    <row r="48" spans="1:15" x14ac:dyDescent="0.3">
      <c r="A48" s="38"/>
      <c r="B48" s="38"/>
      <c r="C48" s="38"/>
      <c r="D48" s="38"/>
      <c r="E48" s="9" t="s">
        <v>20</v>
      </c>
      <c r="F48" s="9"/>
      <c r="G48" s="38"/>
      <c r="H48" s="38"/>
      <c r="I48" s="7"/>
      <c r="J48" s="90">
        <f t="shared" ref="J48:N48" si="3">SUM(J37:J47)</f>
        <v>0</v>
      </c>
      <c r="K48" s="90">
        <f t="shared" si="3"/>
        <v>0</v>
      </c>
      <c r="L48" s="90">
        <f t="shared" si="3"/>
        <v>0</v>
      </c>
      <c r="M48" s="90">
        <f t="shared" si="3"/>
        <v>0</v>
      </c>
      <c r="N48" s="90">
        <f t="shared" si="3"/>
        <v>0</v>
      </c>
      <c r="O48" s="7"/>
    </row>
    <row r="49" spans="1:15" x14ac:dyDescent="0.3">
      <c r="A49" s="38"/>
      <c r="B49" s="38"/>
      <c r="C49" s="38"/>
      <c r="D49" s="38"/>
      <c r="E49" s="38"/>
      <c r="F49" s="38"/>
      <c r="G49" s="38"/>
      <c r="H49" s="38"/>
      <c r="I49" s="7"/>
      <c r="J49" s="110"/>
      <c r="K49" s="110"/>
      <c r="L49" s="110"/>
      <c r="M49" s="110"/>
      <c r="N49" s="110"/>
      <c r="O49" s="7"/>
    </row>
    <row r="50" spans="1:15" x14ac:dyDescent="0.3">
      <c r="A50" s="38"/>
      <c r="B50" s="38"/>
      <c r="C50" s="38"/>
      <c r="D50" s="38"/>
      <c r="E50" s="52" t="s">
        <v>46</v>
      </c>
      <c r="F50" s="52"/>
      <c r="G50" s="38"/>
      <c r="H50" s="38"/>
      <c r="I50" s="7"/>
      <c r="J50" s="38"/>
      <c r="K50" s="38"/>
      <c r="L50" s="38"/>
      <c r="M50" s="38"/>
      <c r="N50" s="38"/>
      <c r="O50" s="7"/>
    </row>
    <row r="51" spans="1:15" x14ac:dyDescent="0.3">
      <c r="A51" s="38"/>
      <c r="B51" s="38"/>
      <c r="C51" s="38"/>
      <c r="D51" s="38"/>
      <c r="E51" s="38" t="s">
        <v>47</v>
      </c>
      <c r="F51" s="71" t="s">
        <v>8</v>
      </c>
      <c r="G51" s="38" t="s">
        <v>59</v>
      </c>
      <c r="H51" s="38" t="s">
        <v>8</v>
      </c>
      <c r="I51" s="7"/>
      <c r="J51" s="43">
        <f>J23*(1+'Calc|Overheads'!O$27)</f>
        <v>0</v>
      </c>
      <c r="K51" s="43">
        <f>K23*(1+'Calc|Overheads'!P$27)</f>
        <v>0</v>
      </c>
      <c r="L51" s="43">
        <f>L23*(1+'Calc|Overheads'!Q$27)</f>
        <v>0</v>
      </c>
      <c r="M51" s="43">
        <f>M23*(1+'Calc|Overheads'!R$27)</f>
        <v>0</v>
      </c>
      <c r="N51" s="43">
        <f>N23*(1+'Calc|Overheads'!S$27)</f>
        <v>0</v>
      </c>
      <c r="O51" s="7"/>
    </row>
    <row r="52" spans="1:15" x14ac:dyDescent="0.3">
      <c r="A52" s="38"/>
      <c r="B52" s="38"/>
      <c r="C52" s="38"/>
      <c r="D52" s="38"/>
      <c r="E52" s="38" t="s">
        <v>48</v>
      </c>
      <c r="F52" s="71" t="s">
        <v>514</v>
      </c>
      <c r="G52" s="38" t="s">
        <v>59</v>
      </c>
      <c r="H52" s="38" t="s">
        <v>39</v>
      </c>
      <c r="I52" s="7"/>
      <c r="J52" s="43">
        <f>J24*(1+'Calc|Overheads'!O$27)</f>
        <v>0</v>
      </c>
      <c r="K52" s="43">
        <f>K24*(1+'Calc|Overheads'!P$27)</f>
        <v>0</v>
      </c>
      <c r="L52" s="43">
        <f>L24*(1+'Calc|Overheads'!Q$27)</f>
        <v>0</v>
      </c>
      <c r="M52" s="43">
        <f>M24*(1+'Calc|Overheads'!R$27)</f>
        <v>0</v>
      </c>
      <c r="N52" s="43">
        <f>N24*(1+'Calc|Overheads'!S$27)</f>
        <v>0</v>
      </c>
      <c r="O52" s="7"/>
    </row>
    <row r="53" spans="1:15" x14ac:dyDescent="0.3">
      <c r="A53" s="38"/>
      <c r="B53" s="38"/>
      <c r="C53" s="38"/>
      <c r="D53" s="38"/>
      <c r="E53" s="38"/>
      <c r="F53" s="71" t="s">
        <v>514</v>
      </c>
      <c r="G53" s="38" t="s">
        <v>59</v>
      </c>
      <c r="H53" s="38" t="s">
        <v>38</v>
      </c>
      <c r="I53" s="7"/>
      <c r="J53" s="43">
        <f>J25*(1+'Calc|Overheads'!O$27)</f>
        <v>0</v>
      </c>
      <c r="K53" s="43">
        <f>K25*(1+'Calc|Overheads'!P$27)</f>
        <v>0</v>
      </c>
      <c r="L53" s="43">
        <f>L25*(1+'Calc|Overheads'!Q$27)</f>
        <v>0</v>
      </c>
      <c r="M53" s="43">
        <f>M25*(1+'Calc|Overheads'!R$27)</f>
        <v>0</v>
      </c>
      <c r="N53" s="43">
        <f>N25*(1+'Calc|Overheads'!S$27)</f>
        <v>0</v>
      </c>
      <c r="O53" s="7"/>
    </row>
    <row r="54" spans="1:15" x14ac:dyDescent="0.3">
      <c r="A54" s="38"/>
      <c r="B54" s="38"/>
      <c r="C54" s="38"/>
      <c r="D54" s="38"/>
      <c r="E54" s="38"/>
      <c r="F54" s="71" t="s">
        <v>8</v>
      </c>
      <c r="G54" s="38" t="s">
        <v>59</v>
      </c>
      <c r="H54" s="38" t="s">
        <v>39</v>
      </c>
      <c r="I54" s="7"/>
      <c r="J54" s="43">
        <f>J26*(1+'Calc|Overheads'!O$27)</f>
        <v>0</v>
      </c>
      <c r="K54" s="43">
        <f>K26*(1+'Calc|Overheads'!P$27)</f>
        <v>0</v>
      </c>
      <c r="L54" s="43">
        <f>L26*(1+'Calc|Overheads'!Q$27)</f>
        <v>0</v>
      </c>
      <c r="M54" s="43">
        <f>M26*(1+'Calc|Overheads'!R$27)</f>
        <v>0</v>
      </c>
      <c r="N54" s="43">
        <f>N26*(1+'Calc|Overheads'!S$27)</f>
        <v>0</v>
      </c>
      <c r="O54" s="7"/>
    </row>
    <row r="55" spans="1:15" x14ac:dyDescent="0.3">
      <c r="A55" s="38"/>
      <c r="B55" s="38"/>
      <c r="C55" s="38"/>
      <c r="D55" s="38"/>
      <c r="E55" s="38" t="s">
        <v>559</v>
      </c>
      <c r="F55" s="71"/>
      <c r="G55" s="38"/>
      <c r="H55" s="38"/>
      <c r="I55" s="7"/>
      <c r="J55" s="43">
        <f t="shared" ref="J55:N55" si="4">SUM(J51:J54)</f>
        <v>0</v>
      </c>
      <c r="K55" s="43">
        <f t="shared" si="4"/>
        <v>0</v>
      </c>
      <c r="L55" s="43">
        <f t="shared" si="4"/>
        <v>0</v>
      </c>
      <c r="M55" s="43">
        <f t="shared" si="4"/>
        <v>0</v>
      </c>
      <c r="N55" s="43">
        <f t="shared" si="4"/>
        <v>0</v>
      </c>
      <c r="O55" s="7"/>
    </row>
    <row r="56" spans="1:15" x14ac:dyDescent="0.3">
      <c r="A56" s="38"/>
      <c r="B56" s="38"/>
      <c r="C56" s="38"/>
      <c r="D56" s="38"/>
      <c r="E56" s="38"/>
      <c r="F56" s="71"/>
      <c r="G56" s="38"/>
      <c r="H56" s="38"/>
      <c r="I56" s="7"/>
      <c r="J56" s="43"/>
      <c r="K56" s="43"/>
      <c r="L56" s="43"/>
      <c r="M56" s="43"/>
      <c r="N56" s="43"/>
      <c r="O56" s="7"/>
    </row>
    <row r="57" spans="1:15" x14ac:dyDescent="0.3">
      <c r="A57" s="38"/>
      <c r="B57" s="38"/>
      <c r="C57" s="38"/>
      <c r="D57" s="38"/>
      <c r="E57" s="52" t="s">
        <v>49</v>
      </c>
      <c r="F57" s="118"/>
      <c r="G57" s="38"/>
      <c r="H57" s="38"/>
      <c r="I57" s="7"/>
      <c r="J57" s="43"/>
      <c r="K57" s="43"/>
      <c r="L57" s="43"/>
      <c r="M57" s="43"/>
      <c r="N57" s="43"/>
      <c r="O57" s="7"/>
    </row>
    <row r="58" spans="1:15" x14ac:dyDescent="0.3">
      <c r="A58" s="38"/>
      <c r="B58" s="38"/>
      <c r="C58" s="38"/>
      <c r="D58" s="38"/>
      <c r="E58" s="38" t="s">
        <v>47</v>
      </c>
      <c r="F58" s="71" t="s">
        <v>8</v>
      </c>
      <c r="G58" s="38" t="s">
        <v>29</v>
      </c>
      <c r="H58" s="38" t="s">
        <v>8</v>
      </c>
      <c r="I58" s="7"/>
      <c r="J58" s="43">
        <f>J28*(1+'Calc|Overheads'!O$27)</f>
        <v>0</v>
      </c>
      <c r="K58" s="43">
        <f>K28*(1+'Calc|Overheads'!P$27)</f>
        <v>0</v>
      </c>
      <c r="L58" s="43">
        <f>L28*(1+'Calc|Overheads'!Q$27)</f>
        <v>0</v>
      </c>
      <c r="M58" s="43">
        <f>M28*(1+'Calc|Overheads'!R$27)</f>
        <v>0</v>
      </c>
      <c r="N58" s="43">
        <f>N28*(1+'Calc|Overheads'!S$27)</f>
        <v>0</v>
      </c>
      <c r="O58" s="7"/>
    </row>
    <row r="59" spans="1:15" x14ac:dyDescent="0.3">
      <c r="A59" s="38"/>
      <c r="B59" s="38"/>
      <c r="C59" s="38"/>
      <c r="D59" s="38"/>
      <c r="E59" s="38" t="s">
        <v>51</v>
      </c>
      <c r="F59" s="71" t="s">
        <v>8</v>
      </c>
      <c r="G59" s="38" t="s">
        <v>29</v>
      </c>
      <c r="H59" s="38" t="s">
        <v>39</v>
      </c>
      <c r="I59" s="7"/>
      <c r="J59" s="43">
        <f>J29*(1+'Calc|Overheads'!O$27)</f>
        <v>0</v>
      </c>
      <c r="K59" s="43">
        <f>K29*(1+'Calc|Overheads'!P$27)</f>
        <v>0</v>
      </c>
      <c r="L59" s="43">
        <f>L29*(1+'Calc|Overheads'!Q$27)</f>
        <v>0</v>
      </c>
      <c r="M59" s="43">
        <f>M29*(1+'Calc|Overheads'!R$27)</f>
        <v>0</v>
      </c>
      <c r="N59" s="43">
        <f>N29*(1+'Calc|Overheads'!S$27)</f>
        <v>0</v>
      </c>
      <c r="O59" s="7"/>
    </row>
    <row r="60" spans="1:15" x14ac:dyDescent="0.3">
      <c r="A60" s="38"/>
      <c r="B60" s="38"/>
      <c r="C60" s="38"/>
      <c r="D60" s="38"/>
      <c r="E60" s="38" t="s">
        <v>52</v>
      </c>
      <c r="F60" s="71" t="s">
        <v>8</v>
      </c>
      <c r="G60" s="38" t="s">
        <v>29</v>
      </c>
      <c r="H60" s="38" t="s">
        <v>43</v>
      </c>
      <c r="I60" s="7"/>
      <c r="J60" s="43">
        <f>J30*(1+'Calc|Overheads'!O$27)</f>
        <v>0</v>
      </c>
      <c r="K60" s="43">
        <f>K30*(1+'Calc|Overheads'!P$27)</f>
        <v>0</v>
      </c>
      <c r="L60" s="43">
        <f>L30*(1+'Calc|Overheads'!Q$27)</f>
        <v>0</v>
      </c>
      <c r="M60" s="43">
        <f>M30*(1+'Calc|Overheads'!R$27)</f>
        <v>0</v>
      </c>
      <c r="N60" s="43">
        <f>N30*(1+'Calc|Overheads'!S$27)</f>
        <v>0</v>
      </c>
      <c r="O60" s="7"/>
    </row>
    <row r="61" spans="1:15" x14ac:dyDescent="0.3">
      <c r="A61" s="38"/>
      <c r="B61" s="38"/>
      <c r="C61" s="38"/>
      <c r="D61" s="38"/>
      <c r="E61" s="38" t="s">
        <v>560</v>
      </c>
      <c r="F61" s="38"/>
      <c r="G61" s="38"/>
      <c r="H61" s="38"/>
      <c r="I61" s="7"/>
      <c r="J61" s="43">
        <f t="shared" ref="J61:N61" si="5">SUM(J58:J60)</f>
        <v>0</v>
      </c>
      <c r="K61" s="43">
        <f t="shared" si="5"/>
        <v>0</v>
      </c>
      <c r="L61" s="43">
        <f t="shared" si="5"/>
        <v>0</v>
      </c>
      <c r="M61" s="43">
        <f t="shared" si="5"/>
        <v>0</v>
      </c>
      <c r="N61" s="43">
        <f t="shared" si="5"/>
        <v>0</v>
      </c>
      <c r="O61" s="7"/>
    </row>
    <row r="62" spans="1:15" x14ac:dyDescent="0.3">
      <c r="A62" s="38"/>
      <c r="B62" s="38"/>
      <c r="C62" s="38"/>
      <c r="D62" s="38"/>
      <c r="E62" s="38"/>
      <c r="F62" s="38"/>
      <c r="G62" s="38"/>
      <c r="H62" s="38"/>
      <c r="I62" s="7"/>
      <c r="J62" s="38"/>
      <c r="K62" s="38"/>
      <c r="L62" s="38"/>
      <c r="M62" s="38"/>
      <c r="N62" s="38"/>
      <c r="O62" s="7"/>
    </row>
    <row r="63" spans="1:15" x14ac:dyDescent="0.3">
      <c r="A63" s="38"/>
      <c r="B63" s="38"/>
      <c r="C63" s="38"/>
      <c r="D63" s="38"/>
      <c r="E63" s="38"/>
      <c r="F63" s="38"/>
      <c r="G63" s="38"/>
      <c r="H63" s="38"/>
      <c r="I63" s="7"/>
      <c r="J63" s="54">
        <f t="shared" ref="J63:N63" si="6">J48-SUM(J55,J61)</f>
        <v>0</v>
      </c>
      <c r="K63" s="54">
        <f t="shared" si="6"/>
        <v>0</v>
      </c>
      <c r="L63" s="54">
        <f t="shared" si="6"/>
        <v>0</v>
      </c>
      <c r="M63" s="54">
        <f t="shared" si="6"/>
        <v>0</v>
      </c>
      <c r="N63" s="54">
        <f t="shared" si="6"/>
        <v>0</v>
      </c>
      <c r="O63" s="7"/>
    </row>
    <row r="64" spans="1:15" x14ac:dyDescent="0.3">
      <c r="A64" s="38"/>
      <c r="B64" s="38"/>
      <c r="C64" s="38"/>
      <c r="D64" s="38"/>
      <c r="E64" s="38"/>
      <c r="F64" s="38"/>
      <c r="G64" s="38"/>
      <c r="H64" s="38"/>
      <c r="I64" s="7"/>
      <c r="J64" s="54"/>
      <c r="K64" s="54"/>
      <c r="L64" s="54"/>
      <c r="M64" s="54"/>
      <c r="N64" s="54"/>
      <c r="O64" s="7"/>
    </row>
    <row r="65" spans="1:15" x14ac:dyDescent="0.3">
      <c r="A65" s="38"/>
      <c r="B65" s="38"/>
      <c r="C65" s="38"/>
      <c r="D65" s="38"/>
      <c r="E65" s="38"/>
      <c r="F65" s="38"/>
      <c r="G65" s="38"/>
      <c r="H65" s="38"/>
      <c r="I65" s="7"/>
      <c r="J65" s="38"/>
      <c r="K65" s="38"/>
      <c r="L65" s="38"/>
      <c r="M65" s="38"/>
      <c r="N65" s="38"/>
      <c r="O65" s="7"/>
    </row>
    <row r="66" spans="1:15" x14ac:dyDescent="0.3">
      <c r="A66" s="38"/>
      <c r="B66" s="38"/>
      <c r="C66" s="38"/>
      <c r="D66" s="38"/>
      <c r="E66" s="38"/>
      <c r="F66" s="38"/>
      <c r="G66" s="38"/>
      <c r="H66" s="38"/>
      <c r="I66" s="7"/>
      <c r="J66" s="38"/>
      <c r="K66" s="38"/>
      <c r="L66" s="38"/>
      <c r="M66" s="38"/>
      <c r="N66" s="38"/>
      <c r="O66" s="7"/>
    </row>
    <row r="67" spans="1:15" x14ac:dyDescent="0.3">
      <c r="A67" s="38"/>
      <c r="B67" s="38"/>
      <c r="C67" s="38"/>
      <c r="D67" s="38"/>
      <c r="E67" s="38"/>
      <c r="F67" s="38"/>
      <c r="G67" s="38"/>
      <c r="H67" s="38"/>
      <c r="I67" s="7"/>
      <c r="J67" s="38"/>
      <c r="K67" s="38"/>
      <c r="L67" s="38"/>
      <c r="M67" s="38"/>
      <c r="N67" s="38"/>
      <c r="O67" s="7"/>
    </row>
    <row r="68" spans="1:15" x14ac:dyDescent="0.3">
      <c r="A68" s="38"/>
      <c r="B68" s="38"/>
      <c r="C68" s="38"/>
      <c r="D68" s="38"/>
      <c r="E68" s="38"/>
      <c r="F68" s="38"/>
      <c r="G68" s="38"/>
      <c r="H68" s="38"/>
      <c r="I68" s="7"/>
      <c r="J68" s="38"/>
      <c r="K68" s="38"/>
      <c r="L68" s="38"/>
      <c r="M68" s="38"/>
      <c r="N68" s="38"/>
      <c r="O68" s="7"/>
    </row>
    <row r="69" spans="1:15" x14ac:dyDescent="0.3">
      <c r="A69" s="38"/>
      <c r="B69" s="38"/>
      <c r="C69" s="38"/>
      <c r="D69" s="38"/>
      <c r="E69" s="38"/>
      <c r="F69" s="38"/>
      <c r="G69" s="38"/>
      <c r="H69" s="38"/>
      <c r="I69" s="7"/>
      <c r="J69" s="38"/>
      <c r="K69" s="38"/>
      <c r="L69" s="38"/>
      <c r="M69" s="38"/>
      <c r="N69" s="38"/>
      <c r="O69" s="7"/>
    </row>
    <row r="70" spans="1:15" x14ac:dyDescent="0.3">
      <c r="A70" s="38"/>
      <c r="B70" s="38"/>
      <c r="C70" s="38"/>
      <c r="D70" s="38"/>
      <c r="E70" s="38"/>
      <c r="F70" s="38"/>
      <c r="G70" s="38"/>
      <c r="H70" s="38"/>
      <c r="I70" s="7"/>
      <c r="J70" s="38"/>
      <c r="K70" s="38"/>
      <c r="L70" s="38"/>
      <c r="M70" s="38"/>
      <c r="N70" s="38"/>
      <c r="O70" s="7"/>
    </row>
    <row r="71" spans="1:1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x14ac:dyDescent="0.3">
      <c r="A72" s="21" t="s">
        <v>4</v>
      </c>
      <c r="B72" s="21"/>
      <c r="C72" s="14"/>
      <c r="D72" s="23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idden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idden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idden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idden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idden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idden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idden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idden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idden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idden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idden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idden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idden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idden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idden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idden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idden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idden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idden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idden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idden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idden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idden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idden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idden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idden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idden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idden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idden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idden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idden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idden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idden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idden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idden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idden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FFCC"/>
  </sheetPr>
  <dimension ref="A1:BB252"/>
  <sheetViews>
    <sheetView zoomScale="70" zoomScaleNormal="70" workbookViewId="0">
      <pane xSplit="8" ySplit="8" topLeftCell="AL52" activePane="bottomRight" state="frozen"/>
      <selection activeCell="R66" sqref="R66"/>
      <selection pane="topRight" activeCell="R66" sqref="R66"/>
      <selection pane="bottomLeft" activeCell="R66" sqref="R66"/>
      <selection pane="bottomRight" activeCell="AS207" sqref="AS207"/>
    </sheetView>
  </sheetViews>
  <sheetFormatPr defaultColWidth="0" defaultRowHeight="13.5" zeroHeight="1" outlineLevelRow="1" outlineLevelCol="1" x14ac:dyDescent="0.3"/>
  <cols>
    <col min="1" max="1" width="2.4609375" customWidth="1"/>
    <col min="2" max="4" width="2.3828125" customWidth="1"/>
    <col min="5" max="5" width="7.23046875" customWidth="1"/>
    <col min="6" max="6" width="30.15234375" bestFit="1" customWidth="1"/>
    <col min="7" max="8" width="30.15234375" customWidth="1" outlineLevel="1"/>
    <col min="9" max="9" width="10.23046875" customWidth="1"/>
    <col min="10" max="39" width="10.23046875" customWidth="1" outlineLevel="1"/>
    <col min="40" max="49" width="10.23046875" customWidth="1"/>
    <col min="50" max="53" width="10.23046875" customWidth="1" outlineLevel="1"/>
    <col min="54" max="54" width="10.23046875" customWidth="1"/>
    <col min="55" max="16384" width="9" hidden="1"/>
  </cols>
  <sheetData>
    <row r="1" spans="1:54" x14ac:dyDescent="0.3">
      <c r="A1" s="13" t="str">
        <f>Control!$G$9</f>
        <v>UE Consolidated Capex</v>
      </c>
      <c r="B1" s="13"/>
      <c r="C1" s="14"/>
      <c r="D1" s="15"/>
      <c r="E1" s="16"/>
      <c r="F1" s="16"/>
      <c r="G1" s="16"/>
      <c r="H1" s="16"/>
      <c r="I1" s="17"/>
      <c r="J1" s="16"/>
      <c r="K1" s="18"/>
      <c r="L1" s="19"/>
      <c r="M1" s="19"/>
      <c r="N1" s="16"/>
      <c r="O1" s="16"/>
      <c r="P1" s="16"/>
      <c r="Q1" s="16"/>
      <c r="R1" s="16"/>
      <c r="S1" s="16"/>
      <c r="T1" s="16"/>
      <c r="U1" s="18"/>
      <c r="V1" s="19"/>
      <c r="W1" s="19"/>
      <c r="X1" s="16"/>
      <c r="Y1" s="16"/>
      <c r="Z1" s="16"/>
      <c r="AA1" s="16"/>
      <c r="AB1" s="16"/>
      <c r="AC1" s="16"/>
      <c r="AD1" s="16"/>
      <c r="AE1" s="18"/>
      <c r="AF1" s="19"/>
      <c r="AG1" s="19"/>
      <c r="AH1" s="16"/>
      <c r="AI1" s="16"/>
      <c r="AJ1" s="16"/>
      <c r="AK1" s="16"/>
      <c r="AL1" s="16"/>
      <c r="AM1" s="16"/>
      <c r="AN1" s="16"/>
      <c r="AO1" s="18"/>
      <c r="AP1" s="19"/>
      <c r="AQ1" s="19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x14ac:dyDescent="0.3">
      <c r="A2" s="21" t="str">
        <f ca="1" xml:space="preserve"> "Sheet: " &amp; RIGHT(CELL("filename", $A$1), LEN(CELL("filename", $A$1)) - SEARCH("]", CELL("filename", $A$1)))</f>
        <v>Sheet: Calc|Weightings</v>
      </c>
      <c r="B2" s="21"/>
      <c r="C2" s="14"/>
      <c r="D2" s="15"/>
      <c r="E2" s="16"/>
      <c r="F2" s="16"/>
      <c r="G2" s="16"/>
      <c r="H2" s="16"/>
      <c r="I2" s="16"/>
      <c r="J2" s="16"/>
      <c r="K2" s="22"/>
      <c r="L2" s="19"/>
      <c r="M2" s="19"/>
      <c r="N2" s="16"/>
      <c r="O2" s="16"/>
      <c r="P2" s="16"/>
      <c r="Q2" s="16"/>
      <c r="R2" s="16"/>
      <c r="S2" s="16"/>
      <c r="T2" s="16"/>
      <c r="U2" s="22"/>
      <c r="V2" s="19"/>
      <c r="W2" s="19"/>
      <c r="X2" s="16"/>
      <c r="Y2" s="16"/>
      <c r="Z2" s="16"/>
      <c r="AA2" s="16"/>
      <c r="AB2" s="16"/>
      <c r="AC2" s="16"/>
      <c r="AD2" s="16"/>
      <c r="AE2" s="22"/>
      <c r="AF2" s="19"/>
      <c r="AG2" s="19"/>
      <c r="AH2" s="16"/>
      <c r="AI2" s="16"/>
      <c r="AJ2" s="16"/>
      <c r="AK2" s="16"/>
      <c r="AL2" s="16"/>
      <c r="AM2" s="16"/>
      <c r="AN2" s="16"/>
      <c r="AO2" s="22"/>
      <c r="AP2" s="19"/>
      <c r="AQ2" s="19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6"/>
      <c r="K3" s="15"/>
      <c r="L3" s="15"/>
      <c r="M3" s="19"/>
      <c r="N3" s="16"/>
      <c r="O3" s="16"/>
      <c r="P3" s="16"/>
      <c r="Q3" s="16"/>
      <c r="R3" s="16"/>
      <c r="S3" s="16"/>
      <c r="T3" s="16"/>
      <c r="U3" s="15"/>
      <c r="V3" s="15"/>
      <c r="W3" s="19"/>
      <c r="X3" s="16"/>
      <c r="Y3" s="16"/>
      <c r="Z3" s="16"/>
      <c r="AA3" s="16"/>
      <c r="AB3" s="16"/>
      <c r="AC3" s="16"/>
      <c r="AD3" s="16"/>
      <c r="AE3" s="15"/>
      <c r="AF3" s="15"/>
      <c r="AG3" s="19"/>
      <c r="AH3" s="16"/>
      <c r="AI3" s="16"/>
      <c r="AJ3" s="16"/>
      <c r="AK3" s="16"/>
      <c r="AL3" s="16"/>
      <c r="AM3" s="16"/>
      <c r="AN3" s="16"/>
      <c r="AO3" s="15"/>
      <c r="AP3" s="15"/>
      <c r="AQ3" s="19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x14ac:dyDescent="0.3">
      <c r="A4" s="21"/>
      <c r="B4" s="21"/>
      <c r="C4" s="14"/>
      <c r="D4" s="15"/>
      <c r="E4" s="16"/>
      <c r="F4" s="16"/>
      <c r="G4" s="16"/>
      <c r="H4" s="16"/>
      <c r="I4" s="16"/>
      <c r="J4" s="323">
        <v>2015</v>
      </c>
      <c r="K4" s="324"/>
      <c r="L4" s="324"/>
      <c r="M4" s="324"/>
      <c r="N4" s="324"/>
      <c r="O4" s="324"/>
      <c r="P4" s="324"/>
      <c r="Q4" s="324"/>
      <c r="R4" s="325"/>
      <c r="S4" s="16"/>
      <c r="T4" s="323">
        <v>2016</v>
      </c>
      <c r="U4" s="324"/>
      <c r="V4" s="324"/>
      <c r="W4" s="324"/>
      <c r="X4" s="324"/>
      <c r="Y4" s="324"/>
      <c r="Z4" s="324"/>
      <c r="AA4" s="324"/>
      <c r="AB4" s="325"/>
      <c r="AC4" s="16"/>
      <c r="AD4" s="323">
        <v>2017</v>
      </c>
      <c r="AE4" s="324"/>
      <c r="AF4" s="324"/>
      <c r="AG4" s="324"/>
      <c r="AH4" s="324"/>
      <c r="AI4" s="324"/>
      <c r="AJ4" s="324"/>
      <c r="AK4" s="324"/>
      <c r="AL4" s="325"/>
      <c r="AM4" s="16"/>
      <c r="AN4" s="323">
        <v>2018</v>
      </c>
      <c r="AO4" s="324"/>
      <c r="AP4" s="324"/>
      <c r="AQ4" s="324"/>
      <c r="AR4" s="324"/>
      <c r="AS4" s="324"/>
      <c r="AT4" s="324"/>
      <c r="AU4" s="324"/>
      <c r="AV4" s="325"/>
      <c r="AW4" s="16"/>
      <c r="AX4" s="318" t="s">
        <v>599</v>
      </c>
      <c r="AY4" s="319"/>
      <c r="AZ4" s="319"/>
      <c r="BA4" s="320"/>
      <c r="BB4" s="16"/>
    </row>
    <row r="5" spans="1:54" x14ac:dyDescent="0.3">
      <c r="A5" s="21"/>
      <c r="B5" s="21"/>
      <c r="C5" s="21"/>
      <c r="D5" s="21"/>
      <c r="E5" s="326" t="s">
        <v>14</v>
      </c>
      <c r="F5" s="327"/>
      <c r="G5" s="60" t="s">
        <v>86</v>
      </c>
      <c r="H5" s="28" t="s">
        <v>34</v>
      </c>
      <c r="I5" s="19"/>
      <c r="J5" s="41" t="s">
        <v>19</v>
      </c>
      <c r="K5" s="41" t="s">
        <v>12</v>
      </c>
      <c r="L5" s="41" t="s">
        <v>10</v>
      </c>
      <c r="M5" s="41" t="s">
        <v>11</v>
      </c>
      <c r="N5" s="41" t="s">
        <v>21</v>
      </c>
      <c r="O5" s="41" t="s">
        <v>12</v>
      </c>
      <c r="P5" s="41" t="s">
        <v>10</v>
      </c>
      <c r="Q5" s="41" t="s">
        <v>11</v>
      </c>
      <c r="R5" s="41" t="s">
        <v>21</v>
      </c>
      <c r="S5" s="16"/>
      <c r="T5" s="41" t="s">
        <v>19</v>
      </c>
      <c r="U5" s="41" t="s">
        <v>12</v>
      </c>
      <c r="V5" s="41" t="s">
        <v>10</v>
      </c>
      <c r="W5" s="41" t="s">
        <v>11</v>
      </c>
      <c r="X5" s="41" t="s">
        <v>21</v>
      </c>
      <c r="Y5" s="41" t="s">
        <v>12</v>
      </c>
      <c r="Z5" s="41" t="s">
        <v>10</v>
      </c>
      <c r="AA5" s="41" t="s">
        <v>11</v>
      </c>
      <c r="AB5" s="41" t="s">
        <v>21</v>
      </c>
      <c r="AC5" s="16"/>
      <c r="AD5" s="41" t="s">
        <v>19</v>
      </c>
      <c r="AE5" s="41" t="s">
        <v>12</v>
      </c>
      <c r="AF5" s="41" t="s">
        <v>10</v>
      </c>
      <c r="AG5" s="41" t="s">
        <v>11</v>
      </c>
      <c r="AH5" s="41" t="s">
        <v>21</v>
      </c>
      <c r="AI5" s="41" t="s">
        <v>12</v>
      </c>
      <c r="AJ5" s="41" t="s">
        <v>10</v>
      </c>
      <c r="AK5" s="41" t="s">
        <v>11</v>
      </c>
      <c r="AL5" s="41" t="s">
        <v>21</v>
      </c>
      <c r="AM5" s="16"/>
      <c r="AN5" s="41" t="s">
        <v>19</v>
      </c>
      <c r="AO5" s="41" t="s">
        <v>12</v>
      </c>
      <c r="AP5" s="41" t="s">
        <v>10</v>
      </c>
      <c r="AQ5" s="41" t="s">
        <v>11</v>
      </c>
      <c r="AR5" s="41" t="s">
        <v>21</v>
      </c>
      <c r="AS5" s="41" t="s">
        <v>12</v>
      </c>
      <c r="AT5" s="41" t="s">
        <v>10</v>
      </c>
      <c r="AU5" s="41" t="s">
        <v>11</v>
      </c>
      <c r="AV5" s="41" t="s">
        <v>21</v>
      </c>
      <c r="AW5" s="16"/>
      <c r="AX5" s="41" t="s">
        <v>12</v>
      </c>
      <c r="AY5" s="41" t="s">
        <v>10</v>
      </c>
      <c r="AZ5" s="41" t="s">
        <v>11</v>
      </c>
      <c r="BA5" s="41" t="s">
        <v>21</v>
      </c>
      <c r="BB5" s="16"/>
    </row>
    <row r="6" spans="1:54" x14ac:dyDescent="0.3">
      <c r="A6" s="1"/>
      <c r="B6" s="1"/>
      <c r="C6" s="2"/>
      <c r="D6" s="3"/>
      <c r="E6" s="4"/>
      <c r="F6" s="4"/>
      <c r="G6" s="4"/>
      <c r="H6" s="4"/>
      <c r="I6" s="4"/>
      <c r="J6" s="4"/>
      <c r="K6" s="5"/>
      <c r="L6" s="6"/>
      <c r="M6" s="6"/>
      <c r="N6" s="4"/>
      <c r="O6" s="4"/>
      <c r="P6" s="4"/>
      <c r="Q6" s="4"/>
      <c r="R6" s="4"/>
      <c r="S6" s="4"/>
      <c r="T6" s="4"/>
      <c r="U6" s="5"/>
      <c r="V6" s="6"/>
      <c r="W6" s="6"/>
      <c r="X6" s="4"/>
      <c r="Y6" s="4"/>
      <c r="Z6" s="4"/>
      <c r="AA6" s="4"/>
      <c r="AB6" s="4"/>
      <c r="AC6" s="4"/>
      <c r="AD6" s="4"/>
      <c r="AE6" s="5"/>
      <c r="AF6" s="6"/>
      <c r="AG6" s="6"/>
      <c r="AH6" s="4"/>
      <c r="AI6" s="4"/>
      <c r="AJ6" s="4"/>
      <c r="AK6" s="4"/>
      <c r="AL6" s="4"/>
      <c r="AM6" s="4"/>
      <c r="AN6" s="4"/>
      <c r="AO6" s="5"/>
      <c r="AP6" s="6"/>
      <c r="AQ6" s="6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x14ac:dyDescent="0.3">
      <c r="A7" s="21" t="s">
        <v>84</v>
      </c>
      <c r="B7" s="21"/>
      <c r="C7" s="14"/>
      <c r="D7" s="23"/>
      <c r="E7" s="24"/>
      <c r="F7" s="24"/>
      <c r="G7" s="24"/>
      <c r="H7" s="24"/>
      <c r="I7" s="24"/>
      <c r="J7" s="34" t="s">
        <v>25</v>
      </c>
      <c r="K7" s="34" t="s">
        <v>25</v>
      </c>
      <c r="L7" s="34" t="s">
        <v>25</v>
      </c>
      <c r="M7" s="34" t="s">
        <v>25</v>
      </c>
      <c r="N7" s="34" t="s">
        <v>25</v>
      </c>
      <c r="O7" s="34" t="s">
        <v>27</v>
      </c>
      <c r="P7" s="34" t="s">
        <v>27</v>
      </c>
      <c r="Q7" s="34" t="s">
        <v>27</v>
      </c>
      <c r="R7" s="34" t="s">
        <v>27</v>
      </c>
      <c r="S7" s="24"/>
      <c r="T7" s="34" t="s">
        <v>25</v>
      </c>
      <c r="U7" s="34" t="s">
        <v>25</v>
      </c>
      <c r="V7" s="34" t="s">
        <v>25</v>
      </c>
      <c r="W7" s="34" t="s">
        <v>25</v>
      </c>
      <c r="X7" s="34" t="s">
        <v>25</v>
      </c>
      <c r="Y7" s="34" t="s">
        <v>27</v>
      </c>
      <c r="Z7" s="34" t="s">
        <v>27</v>
      </c>
      <c r="AA7" s="34" t="s">
        <v>27</v>
      </c>
      <c r="AB7" s="34" t="s">
        <v>27</v>
      </c>
      <c r="AC7" s="24"/>
      <c r="AD7" s="34" t="s">
        <v>25</v>
      </c>
      <c r="AE7" s="34" t="s">
        <v>25</v>
      </c>
      <c r="AF7" s="34" t="s">
        <v>25</v>
      </c>
      <c r="AG7" s="34" t="s">
        <v>25</v>
      </c>
      <c r="AH7" s="34" t="s">
        <v>25</v>
      </c>
      <c r="AI7" s="34" t="s">
        <v>27</v>
      </c>
      <c r="AJ7" s="34" t="s">
        <v>27</v>
      </c>
      <c r="AK7" s="34" t="s">
        <v>27</v>
      </c>
      <c r="AL7" s="34" t="s">
        <v>27</v>
      </c>
      <c r="AM7" s="24"/>
      <c r="AN7" s="34" t="s">
        <v>25</v>
      </c>
      <c r="AO7" s="34" t="s">
        <v>25</v>
      </c>
      <c r="AP7" s="34" t="s">
        <v>25</v>
      </c>
      <c r="AQ7" s="34" t="s">
        <v>25</v>
      </c>
      <c r="AR7" s="34" t="s">
        <v>25</v>
      </c>
      <c r="AS7" s="34" t="s">
        <v>27</v>
      </c>
      <c r="AT7" s="34" t="s">
        <v>27</v>
      </c>
      <c r="AU7" s="34" t="s">
        <v>27</v>
      </c>
      <c r="AV7" s="34" t="s">
        <v>27</v>
      </c>
      <c r="AW7" s="24"/>
      <c r="AX7" s="34" t="s">
        <v>27</v>
      </c>
      <c r="AY7" s="34" t="s">
        <v>27</v>
      </c>
      <c r="AZ7" s="34" t="s">
        <v>27</v>
      </c>
      <c r="BA7" s="34" t="s">
        <v>27</v>
      </c>
      <c r="BB7" s="24"/>
    </row>
    <row r="8" spans="1:54" s="7" customFormat="1" x14ac:dyDescent="0.3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</row>
    <row r="9" spans="1:54" s="7" customFormat="1" outlineLevel="1" x14ac:dyDescent="0.3">
      <c r="C9" s="38"/>
      <c r="D9" s="38"/>
      <c r="E9" s="38" t="s">
        <v>96</v>
      </c>
      <c r="F9" s="38" t="s">
        <v>270</v>
      </c>
      <c r="G9" s="38" t="str">
        <f>VLOOKUP(E9,Mapping!$E$11:$G$204,3,0)</f>
        <v>Connections</v>
      </c>
      <c r="H9" s="38" t="str">
        <f>VLOOKUP(E9,Mapping!$E$11:$K$204,7,0)</f>
        <v>SCS</v>
      </c>
      <c r="I9" s="113"/>
      <c r="J9" s="46">
        <f>SUMPRODUCT(--('Input|Historical Data'!$E$9:$E$1179=$E9),--('Input|Historical Data'!$O$9:$O$1179="SCS"),--('Input|Historical Data'!$M$9:$M$1179=J$5),'Input|Historical Data'!$I$9:$I$1179)</f>
        <v>0</v>
      </c>
      <c r="K9" s="46">
        <f>SUMPRODUCT(--('Input|Historical Data'!$E$9:$E$1179=$E9),--('Input|Historical Data'!$O$9:$O$1179="SCS"),--('Input|Historical Data'!$N$9:$N$1179=K$5),'Input|Historical Data'!$I$9:$I$1179)</f>
        <v>0</v>
      </c>
      <c r="L9" s="46">
        <f>SUMPRODUCT(--('Input|Historical Data'!$E$9:$E$1179=$E9),--('Input|Historical Data'!$O$9:$O$1179="SCS"),--('Input|Historical Data'!$N$9:$N$1179=L$5),'Input|Historical Data'!$I$9:$I$1179)</f>
        <v>0</v>
      </c>
      <c r="M9" s="46">
        <f>SUMPRODUCT(--('Input|Historical Data'!$E$9:$E$1179=$E9),--('Input|Historical Data'!$O$9:$O$1179="SCS"),--('Input|Historical Data'!$N$9:$N$1179=M$5),'Input|Historical Data'!$I$9:$I$1179)</f>
        <v>0</v>
      </c>
      <c r="N9" s="46">
        <f>SUMPRODUCT(--('Input|Historical Data'!$E$9:$E$1179=$E9),--('Input|Historical Data'!$O$9:$O$1179="SCS"),--('Input|Historical Data'!$M$9:$M$1179=N$5),'Input|Historical Data'!$I$9:$I$1179)</f>
        <v>0</v>
      </c>
      <c r="O9" s="47">
        <f>IFERROR(K9/SUM($K9:$M9),0)</f>
        <v>0</v>
      </c>
      <c r="P9" s="47">
        <f t="shared" ref="P9:Q9" si="0">IFERROR(L9/SUM($K9:$M9),0)</f>
        <v>0</v>
      </c>
      <c r="Q9" s="47">
        <f t="shared" si="0"/>
        <v>0</v>
      </c>
      <c r="R9" s="47">
        <f>IFERROR(N9/J9,0)</f>
        <v>0</v>
      </c>
      <c r="S9" s="38"/>
      <c r="T9" s="46">
        <f>SUMPRODUCT(--('Input|Historical Data'!$Q$9:$Q$1179=$E9),--('Input|Historical Data'!$AA$9:$AA$1179="SCS"),--('Input|Historical Data'!$Y$9:$Y$1179=T$5),'Input|Historical Data'!$U$9:$U$1179)</f>
        <v>0</v>
      </c>
      <c r="U9" s="46">
        <f>SUMPRODUCT(--('Input|Historical Data'!$Q$9:$Q$1179=$E9),--('Input|Historical Data'!$AA$9:$AA$1179="SCS"),--('Input|Historical Data'!$Z$9:$Z$1179=U$5),'Input|Historical Data'!$U$9:$U$1179)</f>
        <v>0</v>
      </c>
      <c r="V9" s="46">
        <f>SUMPRODUCT(--('Input|Historical Data'!$Q$9:$Q$1179=$E9),--('Input|Historical Data'!$AA$9:$AA$1179="SCS"),--('Input|Historical Data'!$Z$9:$Z$1179=V$5),'Input|Historical Data'!$U$9:$U$1179)</f>
        <v>0</v>
      </c>
      <c r="W9" s="46">
        <f>SUMPRODUCT(--('Input|Historical Data'!$Q$9:$Q$1179=$E9),--('Input|Historical Data'!$AA$9:$AA$1179="SCS"),--('Input|Historical Data'!$Z$9:$Z$1179=W$5),'Input|Historical Data'!$U$9:$U$1179)</f>
        <v>0</v>
      </c>
      <c r="X9" s="46">
        <f>SUMPRODUCT(--('Input|Historical Data'!$Q$9:$Q$1179=$E9),--('Input|Historical Data'!$AA$9:$AA$1179="SCS"),--('Input|Historical Data'!$Y$9:$Y$1179=X$5),'Input|Historical Data'!$U$9:$U$1179)</f>
        <v>0</v>
      </c>
      <c r="Y9" s="47">
        <f>IFERROR(U9/SUM($U9:$W9),0)</f>
        <v>0</v>
      </c>
      <c r="Z9" s="47">
        <f t="shared" ref="Z9:Z69" si="1">IFERROR(V9/SUM($U9:$W9),0)</f>
        <v>0</v>
      </c>
      <c r="AA9" s="47">
        <f t="shared" ref="AA9:AA69" si="2">IFERROR(W9/SUM($U9:$W9),0)</f>
        <v>0</v>
      </c>
      <c r="AB9" s="47">
        <f>IFERROR(X9/T9,0)</f>
        <v>0</v>
      </c>
      <c r="AC9" s="38"/>
      <c r="AD9" s="46">
        <f>SUMPRODUCT(--('Input|Historical Data'!$AC$9:$AC$1180=$E9),--('Input|Historical Data'!$AM$9:$AM$1180="SCS"),--('Input|Historical Data'!$AK$9:$AK$1180=AD$5),'Input|Historical Data'!$AG$9:$AG$1180)</f>
        <v>0</v>
      </c>
      <c r="AE9" s="46">
        <f>SUMPRODUCT(--('Input|Historical Data'!$AC$9:$AC$1180=$E9),--('Input|Historical Data'!$AM$9:$AM$1180="SCS"),--('Input|Historical Data'!$AL$9:$AL$1180=AE$5),'Input|Historical Data'!$AG$9:$AG$1180)</f>
        <v>0</v>
      </c>
      <c r="AF9" s="46">
        <f>SUMPRODUCT(--('Input|Historical Data'!$AC$9:$AC$1180=$E9),--('Input|Historical Data'!$AM$9:$AM$1180="SCS"),--('Input|Historical Data'!$AL$9:$AL$1180=AF$5),'Input|Historical Data'!$AG$9:$AG$1180)</f>
        <v>0</v>
      </c>
      <c r="AG9" s="46">
        <f>SUMPRODUCT(--('Input|Historical Data'!$AC$9:$AC$1180=$E9),--('Input|Historical Data'!$AM$9:$AM$1180="SCS"),--('Input|Historical Data'!$AL$9:$AL$1180=AG$5),'Input|Historical Data'!$AG$9:$AG$1180)</f>
        <v>0</v>
      </c>
      <c r="AH9" s="46">
        <f>SUMPRODUCT(--('Input|Historical Data'!$AC$9:$AC$1180=$E9),--('Input|Historical Data'!$AM$9:$AM$1180="SCS"),--('Input|Historical Data'!$AK$9:$AK$1180=AH$5),'Input|Historical Data'!$AG$9:$AG$1180)</f>
        <v>0</v>
      </c>
      <c r="AI9" s="47">
        <f>IFERROR(AE9/SUM($AE9:$AG9),0)</f>
        <v>0</v>
      </c>
      <c r="AJ9" s="47">
        <f t="shared" ref="AJ9:AJ10" si="3">IFERROR(AF9/SUM($AE9:$AG9),0)</f>
        <v>0</v>
      </c>
      <c r="AK9" s="47">
        <f t="shared" ref="AK9:AK10" si="4">IFERROR(AG9/SUM($AE9:$AG9),0)</f>
        <v>0</v>
      </c>
      <c r="AL9" s="47">
        <f>IFERROR(AH9/AD9,0)</f>
        <v>0</v>
      </c>
      <c r="AM9" s="38"/>
      <c r="AN9" s="46"/>
      <c r="AO9" s="46"/>
      <c r="AP9" s="46"/>
      <c r="AQ9" s="46"/>
      <c r="AR9" s="46"/>
      <c r="AS9" s="47"/>
      <c r="AT9" s="47"/>
      <c r="AU9" s="47"/>
      <c r="AV9" s="47"/>
      <c r="AW9" s="38"/>
      <c r="AX9" s="47">
        <f>IFERROR(SUM(U9,AE9)/SUM($U9:$W9,$AE9:$AG9),0)</f>
        <v>0</v>
      </c>
      <c r="AY9" s="47">
        <f t="shared" ref="AY9:AY10" si="5">IFERROR(SUM(V9,AF9)/SUM($U9:$W9,$AE9:$AG9),0)</f>
        <v>0</v>
      </c>
      <c r="AZ9" s="47">
        <f t="shared" ref="AZ9:AZ10" si="6">IFERROR(SUM(W9,AG9)/SUM($U9:$W9,$AE9:$AG9),0)</f>
        <v>0</v>
      </c>
      <c r="BA9" s="47">
        <f>IFERROR(SUM(X9,AH9)/SUM(T9,AD9),0)</f>
        <v>0</v>
      </c>
      <c r="BB9" s="44"/>
    </row>
    <row r="10" spans="1:54" s="7" customFormat="1" outlineLevel="1" x14ac:dyDescent="0.3">
      <c r="C10" s="38"/>
      <c r="D10" s="38"/>
      <c r="E10" s="38" t="s">
        <v>546</v>
      </c>
      <c r="F10" s="38" t="s">
        <v>271</v>
      </c>
      <c r="G10" s="38" t="str">
        <f>VLOOKUP(E10,Mapping!$E$11:$G$204,3,0)</f>
        <v>Connections</v>
      </c>
      <c r="H10" s="38" t="str">
        <f>VLOOKUP(E10,Mapping!$E$11:$K$204,7,0)</f>
        <v>SCS</v>
      </c>
      <c r="I10" s="38"/>
      <c r="J10" s="48">
        <f>SUMPRODUCT(--('Input|Historical Data'!$E$9:$E$1179=$E10),--('Input|Historical Data'!$O$9:$O$1179="SCS"),--('Input|Historical Data'!$M$9:$M$1179=J$5),'Input|Historical Data'!$I$9:$I$1179)</f>
        <v>1344.8590000000004</v>
      </c>
      <c r="K10" s="48">
        <f>SUMPRODUCT(--('Input|Historical Data'!$E$9:$E$1179=$E10),--('Input|Historical Data'!$O$9:$O$1179="SCS"),--('Input|Historical Data'!$N$9:$N$1179=K$5),'Input|Historical Data'!$I$9:$I$1179)</f>
        <v>829.08199999999999</v>
      </c>
      <c r="L10" s="48">
        <f>SUMPRODUCT(--('Input|Historical Data'!$E$9:$E$1179=$E10),--('Input|Historical Data'!$O$9:$O$1179="SCS"),--('Input|Historical Data'!$N$9:$N$1179=L$5),'Input|Historical Data'!$I$9:$I$1179)</f>
        <v>297.084</v>
      </c>
      <c r="M10" s="48">
        <f>SUMPRODUCT(--('Input|Historical Data'!$E$9:$E$1179=$E10),--('Input|Historical Data'!$O$9:$O$1179="SCS"),--('Input|Historical Data'!$N$9:$N$1179=M$5),'Input|Historical Data'!$I$9:$I$1179)</f>
        <v>218.69300000000001</v>
      </c>
      <c r="N10" s="48">
        <f>SUMPRODUCT(--('Input|Historical Data'!$E$9:$E$1179=$E10),--('Input|Historical Data'!$O$9:$O$1179="SCS"),--('Input|Historical Data'!$M$9:$M$1179=N$5),'Input|Historical Data'!$I$9:$I$1179)</f>
        <v>120.349</v>
      </c>
      <c r="O10" s="49">
        <f t="shared" ref="O10:O73" si="7">IFERROR(K10/SUM($K10:$M10),0)</f>
        <v>0.61648247139662971</v>
      </c>
      <c r="P10" s="49">
        <f t="shared" ref="P10:P73" si="8">IFERROR(L10/SUM($K10:$M10),0)</f>
        <v>0.2209034553064671</v>
      </c>
      <c r="Q10" s="49">
        <f t="shared" ref="Q10:Q73" si="9">IFERROR(M10/SUM($K10:$M10),0)</f>
        <v>0.16261407329690325</v>
      </c>
      <c r="R10" s="49">
        <f t="shared" ref="R10:R73" si="10">IFERROR(N10/J10,0)</f>
        <v>8.9488191698906705E-2</v>
      </c>
      <c r="S10" s="38"/>
      <c r="T10" s="48">
        <f>SUMPRODUCT(--('Input|Historical Data'!$Q$9:$Q$1179=$E10),--('Input|Historical Data'!$AA$9:$AA$1179="SCS"),--('Input|Historical Data'!$Y$9:$Y$1179=T$5),'Input|Historical Data'!$U$9:$U$1179)</f>
        <v>1735.9460000000001</v>
      </c>
      <c r="U10" s="48">
        <f>SUMPRODUCT(--('Input|Historical Data'!$Q$9:$Q$1179=$E10),--('Input|Historical Data'!$AA$9:$AA$1179="SCS"),--('Input|Historical Data'!$Z$9:$Z$1179=U$5),'Input|Historical Data'!$U$9:$U$1179)</f>
        <v>832.44299999999998</v>
      </c>
      <c r="V10" s="48">
        <f>SUMPRODUCT(--('Input|Historical Data'!$Q$9:$Q$1179=$E10),--('Input|Historical Data'!$AA$9:$AA$1179="SCS"),--('Input|Historical Data'!$Z$9:$Z$1179=V$5),'Input|Historical Data'!$U$9:$U$1179)</f>
        <v>540.4079999999999</v>
      </c>
      <c r="W10" s="48">
        <f>SUMPRODUCT(--('Input|Historical Data'!$Q$9:$Q$1179=$E10),--('Input|Historical Data'!$AA$9:$AA$1179="SCS"),--('Input|Historical Data'!$Z$9:$Z$1179=W$5),'Input|Historical Data'!$U$9:$U$1179)</f>
        <v>363.09499999999997</v>
      </c>
      <c r="X10" s="48">
        <f>SUMPRODUCT(--('Input|Historical Data'!$Q$9:$Q$1179=$E10),--('Input|Historical Data'!$AA$9:$AA$1179="SCS"),--('Input|Historical Data'!$Y$9:$Y$1179=X$5),'Input|Historical Data'!$U$9:$U$1179)</f>
        <v>190.624</v>
      </c>
      <c r="Y10" s="49">
        <f t="shared" ref="Y10:Y69" si="11">IFERROR(U10/SUM($U10:$W10),0)</f>
        <v>0.47953277348488954</v>
      </c>
      <c r="Z10" s="49">
        <f t="shared" si="1"/>
        <v>0.31130461431403966</v>
      </c>
      <c r="AA10" s="49">
        <f t="shared" si="2"/>
        <v>0.20916261220107077</v>
      </c>
      <c r="AB10" s="49">
        <f t="shared" ref="AB10:AB69" si="12">IFERROR(X10/T10,0)</f>
        <v>0.10980986735762517</v>
      </c>
      <c r="AC10" s="38"/>
      <c r="AD10" s="48">
        <f>SUMPRODUCT(--('Input|Historical Data'!$AC$9:$AC$1180=$E10),--('Input|Historical Data'!$AM$9:$AM$1180="SCS"),--('Input|Historical Data'!$AK$9:$AK$1180=AD$5),'Input|Historical Data'!$AG$9:$AG$1180)</f>
        <v>1934.1079999999999</v>
      </c>
      <c r="AE10" s="48">
        <f>SUMPRODUCT(--('Input|Historical Data'!$AC$9:$AC$1180=$E10),--('Input|Historical Data'!$AM$9:$AM$1180="SCS"),--('Input|Historical Data'!$AL$9:$AL$1180=AE$5),'Input|Historical Data'!$AG$9:$AG$1180)</f>
        <v>1236.1099999999999</v>
      </c>
      <c r="AF10" s="48">
        <f>SUMPRODUCT(--('Input|Historical Data'!$AC$9:$AC$1180=$E10),--('Input|Historical Data'!$AM$9:$AM$1180="SCS"),--('Input|Historical Data'!$AL$9:$AL$1180=AF$5),'Input|Historical Data'!$AG$9:$AG$1180)</f>
        <v>99.863</v>
      </c>
      <c r="AG10" s="48">
        <f>SUMPRODUCT(--('Input|Historical Data'!$AC$9:$AC$1180=$E10),--('Input|Historical Data'!$AM$9:$AM$1180="SCS"),--('Input|Historical Data'!$AL$9:$AL$1180=AG$5),'Input|Historical Data'!$AG$9:$AG$1180)</f>
        <v>598.1350000000001</v>
      </c>
      <c r="AH10" s="48">
        <f>SUMPRODUCT(--('Input|Historical Data'!$AC$9:$AC$1180=$E10),--('Input|Historical Data'!$AM$9:$AM$1180="SCS"),--('Input|Historical Data'!$AK$9:$AK$1180=AH$5),'Input|Historical Data'!$AG$9:$AG$1180)</f>
        <v>250.88</v>
      </c>
      <c r="AI10" s="49">
        <f t="shared" ref="AI10" si="13">IFERROR(AE10/SUM($AE10:$AG10),0)</f>
        <v>0.63911115615053549</v>
      </c>
      <c r="AJ10" s="49">
        <f t="shared" si="3"/>
        <v>5.1632587218500718E-2</v>
      </c>
      <c r="AK10" s="49">
        <f t="shared" si="4"/>
        <v>0.30925625663096373</v>
      </c>
      <c r="AL10" s="49">
        <f t="shared" ref="AL10" si="14">IFERROR(AH10/AD10,0)</f>
        <v>0.12971354236681715</v>
      </c>
      <c r="AM10" s="38"/>
      <c r="AN10" s="48"/>
      <c r="AO10" s="48"/>
      <c r="AP10" s="48"/>
      <c r="AQ10" s="48"/>
      <c r="AR10" s="48"/>
      <c r="AS10" s="49"/>
      <c r="AT10" s="49"/>
      <c r="AU10" s="49"/>
      <c r="AV10" s="49"/>
      <c r="AW10" s="38"/>
      <c r="AX10" s="49">
        <f t="shared" ref="AX10" si="15">IFERROR(SUM(U10,AE10)/SUM($U10:$W10,$AE10:$AG10),0)</f>
        <v>0.56363012642320798</v>
      </c>
      <c r="AY10" s="49">
        <f t="shared" si="5"/>
        <v>0.1744581959829474</v>
      </c>
      <c r="AZ10" s="49">
        <f t="shared" si="6"/>
        <v>0.26191167759384471</v>
      </c>
      <c r="BA10" s="49">
        <f t="shared" ref="BA10" si="16">IFERROR(SUM(X10,AH10)/SUM(T10,AD10),0)</f>
        <v>0.12029904737096511</v>
      </c>
      <c r="BB10" s="44"/>
    </row>
    <row r="11" spans="1:54" s="7" customFormat="1" outlineLevel="1" x14ac:dyDescent="0.3">
      <c r="C11" s="38"/>
      <c r="D11" s="38"/>
      <c r="E11" s="38" t="s">
        <v>547</v>
      </c>
      <c r="F11" s="38" t="s">
        <v>272</v>
      </c>
      <c r="G11" s="38" t="str">
        <f>VLOOKUP(E11,Mapping!$E$11:$G$204,3,0)</f>
        <v>Connections</v>
      </c>
      <c r="H11" s="38" t="str">
        <f>VLOOKUP(E11,Mapping!$E$11:$K$204,7,0)</f>
        <v>SCS</v>
      </c>
      <c r="I11" s="38"/>
      <c r="J11" s="48">
        <f>SUMPRODUCT(--('Input|Historical Data'!$E$9:$E$1179=$E11),--('Input|Historical Data'!$O$9:$O$1179="SCS"),--('Input|Historical Data'!$M$9:$M$1179=J$5),'Input|Historical Data'!$I$9:$I$1179)</f>
        <v>177.78100000000001</v>
      </c>
      <c r="K11" s="48">
        <f>SUMPRODUCT(--('Input|Historical Data'!$E$9:$E$1179=$E11),--('Input|Historical Data'!$O$9:$O$1179="SCS"),--('Input|Historical Data'!$N$9:$N$1179=K$5),'Input|Historical Data'!$I$9:$I$1179)</f>
        <v>80.444000000000003</v>
      </c>
      <c r="L11" s="48">
        <f>SUMPRODUCT(--('Input|Historical Data'!$E$9:$E$1179=$E11),--('Input|Historical Data'!$O$9:$O$1179="SCS"),--('Input|Historical Data'!$N$9:$N$1179=L$5),'Input|Historical Data'!$I$9:$I$1179)</f>
        <v>70.988</v>
      </c>
      <c r="M11" s="48">
        <f>SUMPRODUCT(--('Input|Historical Data'!$E$9:$E$1179=$E11),--('Input|Historical Data'!$O$9:$O$1179="SCS"),--('Input|Historical Data'!$N$9:$N$1179=M$5),'Input|Historical Data'!$I$9:$I$1179)</f>
        <v>26.349000000000004</v>
      </c>
      <c r="N11" s="48">
        <f>SUMPRODUCT(--('Input|Historical Data'!$E$9:$E$1179=$E11),--('Input|Historical Data'!$O$9:$O$1179="SCS"),--('Input|Historical Data'!$M$9:$M$1179=N$5),'Input|Historical Data'!$I$9:$I$1179)</f>
        <v>31.375</v>
      </c>
      <c r="O11" s="49">
        <f t="shared" si="7"/>
        <v>0.45248929863146231</v>
      </c>
      <c r="P11" s="49">
        <f t="shared" si="8"/>
        <v>0.39930026268273888</v>
      </c>
      <c r="Q11" s="49">
        <f t="shared" si="9"/>
        <v>0.14821043868579883</v>
      </c>
      <c r="R11" s="49">
        <f t="shared" si="10"/>
        <v>0.17648117627867993</v>
      </c>
      <c r="S11" s="38"/>
      <c r="T11" s="48">
        <f>SUMPRODUCT(--('Input|Historical Data'!$Q$9:$Q$1179=$E11),--('Input|Historical Data'!$AA$9:$AA$1179="SCS"),--('Input|Historical Data'!$Y$9:$Y$1179=T$5),'Input|Historical Data'!$U$9:$U$1179)</f>
        <v>193.66500000000002</v>
      </c>
      <c r="U11" s="48">
        <f>SUMPRODUCT(--('Input|Historical Data'!$Q$9:$Q$1179=$E11),--('Input|Historical Data'!$AA$9:$AA$1179="SCS"),--('Input|Historical Data'!$Z$9:$Z$1179=U$5),'Input|Historical Data'!$U$9:$U$1179)</f>
        <v>93.556000000000012</v>
      </c>
      <c r="V11" s="48">
        <f>SUMPRODUCT(--('Input|Historical Data'!$Q$9:$Q$1179=$E11),--('Input|Historical Data'!$AA$9:$AA$1179="SCS"),--('Input|Historical Data'!$Z$9:$Z$1179=V$5),'Input|Historical Data'!$U$9:$U$1179)</f>
        <v>72.597999999999999</v>
      </c>
      <c r="W11" s="48">
        <f>SUMPRODUCT(--('Input|Historical Data'!$Q$9:$Q$1179=$E11),--('Input|Historical Data'!$AA$9:$AA$1179="SCS"),--('Input|Historical Data'!$Z$9:$Z$1179=W$5),'Input|Historical Data'!$U$9:$U$1179)</f>
        <v>27.510999999999996</v>
      </c>
      <c r="X11" s="48">
        <f>SUMPRODUCT(--('Input|Historical Data'!$Q$9:$Q$1179=$E11),--('Input|Historical Data'!$AA$9:$AA$1179="SCS"),--('Input|Historical Data'!$Y$9:$Y$1179=X$5),'Input|Historical Data'!$U$9:$U$1179)</f>
        <v>32.353000000000002</v>
      </c>
      <c r="Y11" s="49">
        <f t="shared" si="11"/>
        <v>0.48308160999664379</v>
      </c>
      <c r="Z11" s="49">
        <f t="shared" si="1"/>
        <v>0.37486381122040641</v>
      </c>
      <c r="AA11" s="49">
        <f t="shared" si="2"/>
        <v>0.14205457878294991</v>
      </c>
      <c r="AB11" s="49">
        <f t="shared" si="12"/>
        <v>0.16705651511630909</v>
      </c>
      <c r="AC11" s="38"/>
      <c r="AD11" s="48">
        <f>SUMPRODUCT(--('Input|Historical Data'!$AC$9:$AC$1180=$E11),--('Input|Historical Data'!$AM$9:$AM$1180="SCS"),--('Input|Historical Data'!$AK$9:$AK$1180=AD$5),'Input|Historical Data'!$AG$9:$AG$1180)</f>
        <v>447.88299999999998</v>
      </c>
      <c r="AE11" s="48">
        <f>SUMPRODUCT(--('Input|Historical Data'!$AC$9:$AC$1180=$E11),--('Input|Historical Data'!$AM$9:$AM$1180="SCS"),--('Input|Historical Data'!$AL$9:$AL$1180=AE$5),'Input|Historical Data'!$AG$9:$AG$1180)</f>
        <v>160.15499999999997</v>
      </c>
      <c r="AF11" s="48">
        <f>SUMPRODUCT(--('Input|Historical Data'!$AC$9:$AC$1180=$E11),--('Input|Historical Data'!$AM$9:$AM$1180="SCS"),--('Input|Historical Data'!$AL$9:$AL$1180=AF$5),'Input|Historical Data'!$AG$9:$AG$1180)</f>
        <v>226.10499999999999</v>
      </c>
      <c r="AG11" s="48">
        <f>SUMPRODUCT(--('Input|Historical Data'!$AC$9:$AC$1180=$E11),--('Input|Historical Data'!$AM$9:$AM$1180="SCS"),--('Input|Historical Data'!$AL$9:$AL$1180=AG$5),'Input|Historical Data'!$AG$9:$AG$1180)</f>
        <v>61.623000000000005</v>
      </c>
      <c r="AH11" s="48">
        <f>SUMPRODUCT(--('Input|Historical Data'!$AC$9:$AC$1180=$E11),--('Input|Historical Data'!$AM$9:$AM$1180="SCS"),--('Input|Historical Data'!$AK$9:$AK$1180=AH$5),'Input|Historical Data'!$AG$9:$AG$1180)</f>
        <v>59.975999999999999</v>
      </c>
      <c r="AI11" s="49">
        <f t="shared" ref="AI11:AI78" si="17">IFERROR(AE11/SUM($AE11:$AG11),0)</f>
        <v>0.35758222571519788</v>
      </c>
      <c r="AJ11" s="49">
        <f t="shared" ref="AJ11:AJ78" si="18">IFERROR(AF11/SUM($AE11:$AG11),0)</f>
        <v>0.50483050260894025</v>
      </c>
      <c r="AK11" s="49">
        <f t="shared" ref="AK11:AK78" si="19">IFERROR(AG11/SUM($AE11:$AG11),0)</f>
        <v>0.13758727167586179</v>
      </c>
      <c r="AL11" s="49">
        <f t="shared" ref="AL11:AL78" si="20">IFERROR(AH11/AD11,0)</f>
        <v>0.13390997202394375</v>
      </c>
      <c r="AM11" s="38"/>
      <c r="AN11" s="48"/>
      <c r="AO11" s="48"/>
      <c r="AP11" s="48"/>
      <c r="AQ11" s="48"/>
      <c r="AR11" s="48"/>
      <c r="AS11" s="49"/>
      <c r="AT11" s="49"/>
      <c r="AU11" s="49"/>
      <c r="AV11" s="49"/>
      <c r="AW11" s="38"/>
      <c r="AX11" s="49">
        <f t="shared" ref="AX11:AX78" si="21">IFERROR(SUM(U11,AE11)/SUM($U11:$W11,$AE11:$AG11),0)</f>
        <v>0.39546690193095446</v>
      </c>
      <c r="AY11" s="49">
        <f t="shared" ref="AY11:AY78" si="22">IFERROR(SUM(V11,AF11)/SUM($U11:$W11,$AE11:$AG11),0)</f>
        <v>0.46559727409328683</v>
      </c>
      <c r="AZ11" s="49">
        <f t="shared" ref="AZ11:AZ78" si="23">IFERROR(SUM(W11,AG11)/SUM($U11:$W11,$AE11:$AG11),0)</f>
        <v>0.13893582397575863</v>
      </c>
      <c r="BA11" s="49">
        <f t="shared" ref="BA11:BA78" si="24">IFERROR(SUM(X11,AH11)/SUM(T11,AD11),0)</f>
        <v>0.14391596575782328</v>
      </c>
      <c r="BB11" s="44"/>
    </row>
    <row r="12" spans="1:54" s="7" customFormat="1" outlineLevel="1" x14ac:dyDescent="0.3">
      <c r="C12" s="38"/>
      <c r="D12" s="38"/>
      <c r="E12" s="38" t="s">
        <v>548</v>
      </c>
      <c r="F12" s="38" t="s">
        <v>273</v>
      </c>
      <c r="G12" s="38" t="str">
        <f>VLOOKUP(E12,Mapping!$E$11:$G$204,3,0)</f>
        <v>Connections</v>
      </c>
      <c r="H12" s="38" t="str">
        <f>VLOOKUP(E12,Mapping!$E$11:$K$204,7,0)</f>
        <v>SCS</v>
      </c>
      <c r="I12" s="38"/>
      <c r="J12" s="48">
        <f>SUMPRODUCT(--('Input|Historical Data'!$E$9:$E$1179=$E12),--('Input|Historical Data'!$O$9:$O$1179="SCS"),--('Input|Historical Data'!$M$9:$M$1179=J$5),'Input|Historical Data'!$I$9:$I$1179)</f>
        <v>3436.6719999999996</v>
      </c>
      <c r="K12" s="48">
        <f>SUMPRODUCT(--('Input|Historical Data'!$E$9:$E$1179=$E12),--('Input|Historical Data'!$O$9:$O$1179="SCS"),--('Input|Historical Data'!$N$9:$N$1179=K$5),'Input|Historical Data'!$I$9:$I$1179)</f>
        <v>1893.8920000000001</v>
      </c>
      <c r="L12" s="48">
        <f>SUMPRODUCT(--('Input|Historical Data'!$E$9:$E$1179=$E12),--('Input|Historical Data'!$O$9:$O$1179="SCS"),--('Input|Historical Data'!$N$9:$N$1179=L$5),'Input|Historical Data'!$I$9:$I$1179)</f>
        <v>891.10900000000015</v>
      </c>
      <c r="M12" s="48">
        <f>SUMPRODUCT(--('Input|Historical Data'!$E$9:$E$1179=$E12),--('Input|Historical Data'!$O$9:$O$1179="SCS"),--('Input|Historical Data'!$N$9:$N$1179=M$5),'Input|Historical Data'!$I$9:$I$1179)</f>
        <v>651.67099999999994</v>
      </c>
      <c r="N12" s="48">
        <f>SUMPRODUCT(--('Input|Historical Data'!$E$9:$E$1179=$E12),--('Input|Historical Data'!$O$9:$O$1179="SCS"),--('Input|Historical Data'!$M$9:$M$1179=N$5),'Input|Historical Data'!$I$9:$I$1179)</f>
        <v>335.17099999999999</v>
      </c>
      <c r="O12" s="49">
        <f t="shared" si="7"/>
        <v>0.55108314089910237</v>
      </c>
      <c r="P12" s="49">
        <f t="shared" si="8"/>
        <v>0.25929416598383559</v>
      </c>
      <c r="Q12" s="49">
        <f t="shared" si="9"/>
        <v>0.18962269311706206</v>
      </c>
      <c r="R12" s="49">
        <f t="shared" si="10"/>
        <v>9.7527782692092821E-2</v>
      </c>
      <c r="S12" s="38"/>
      <c r="T12" s="48">
        <f>SUMPRODUCT(--('Input|Historical Data'!$Q$9:$Q$1179=$E12),--('Input|Historical Data'!$AA$9:$AA$1179="SCS"),--('Input|Historical Data'!$Y$9:$Y$1179=T$5),'Input|Historical Data'!$U$9:$U$1179)</f>
        <v>2098.5129999999999</v>
      </c>
      <c r="U12" s="48">
        <f>SUMPRODUCT(--('Input|Historical Data'!$Q$9:$Q$1179=$E12),--('Input|Historical Data'!$AA$9:$AA$1179="SCS"),--('Input|Historical Data'!$Z$9:$Z$1179=U$5),'Input|Historical Data'!$U$9:$U$1179)</f>
        <v>1303.021</v>
      </c>
      <c r="V12" s="48">
        <f>SUMPRODUCT(--('Input|Historical Data'!$Q$9:$Q$1179=$E12),--('Input|Historical Data'!$AA$9:$AA$1179="SCS"),--('Input|Historical Data'!$Z$9:$Z$1179=V$5),'Input|Historical Data'!$U$9:$U$1179)</f>
        <v>292.56</v>
      </c>
      <c r="W12" s="48">
        <f>SUMPRODUCT(--('Input|Historical Data'!$Q$9:$Q$1179=$E12),--('Input|Historical Data'!$AA$9:$AA$1179="SCS"),--('Input|Historical Data'!$Z$9:$Z$1179=W$5),'Input|Historical Data'!$U$9:$U$1179)</f>
        <v>502.93199999999996</v>
      </c>
      <c r="X12" s="48">
        <f>SUMPRODUCT(--('Input|Historical Data'!$Q$9:$Q$1179=$E12),--('Input|Historical Data'!$AA$9:$AA$1179="SCS"),--('Input|Historical Data'!$Y$9:$Y$1179=X$5),'Input|Historical Data'!$U$9:$U$1179)</f>
        <v>261.27</v>
      </c>
      <c r="Y12" s="49">
        <f t="shared" si="11"/>
        <v>0.62092586512449532</v>
      </c>
      <c r="Z12" s="49">
        <f t="shared" si="1"/>
        <v>0.13941300339812049</v>
      </c>
      <c r="AA12" s="49">
        <f t="shared" si="2"/>
        <v>0.23966113147738421</v>
      </c>
      <c r="AB12" s="49">
        <f t="shared" si="12"/>
        <v>0.12450244530293593</v>
      </c>
      <c r="AC12" s="38"/>
      <c r="AD12" s="48">
        <f>SUMPRODUCT(--('Input|Historical Data'!$AC$9:$AC$1180=$E12),--('Input|Historical Data'!$AM$9:$AM$1180="SCS"),--('Input|Historical Data'!$AK$9:$AK$1180=AD$5),'Input|Historical Data'!$AG$9:$AG$1180)</f>
        <v>786.78600000000006</v>
      </c>
      <c r="AE12" s="48">
        <f>SUMPRODUCT(--('Input|Historical Data'!$AC$9:$AC$1180=$E12),--('Input|Historical Data'!$AM$9:$AM$1180="SCS"),--('Input|Historical Data'!$AL$9:$AL$1180=AE$5),'Input|Historical Data'!$AG$9:$AG$1180)</f>
        <v>363.63199999999995</v>
      </c>
      <c r="AF12" s="48">
        <f>SUMPRODUCT(--('Input|Historical Data'!$AC$9:$AC$1180=$E12),--('Input|Historical Data'!$AM$9:$AM$1180="SCS"),--('Input|Historical Data'!$AL$9:$AL$1180=AF$5),'Input|Historical Data'!$AG$9:$AG$1180)</f>
        <v>48.061999999999998</v>
      </c>
      <c r="AG12" s="48">
        <f>SUMPRODUCT(--('Input|Historical Data'!$AC$9:$AC$1180=$E12),--('Input|Historical Data'!$AM$9:$AM$1180="SCS"),--('Input|Historical Data'!$AL$9:$AL$1180=AG$5),'Input|Historical Data'!$AG$9:$AG$1180)</f>
        <v>375.09199999999998</v>
      </c>
      <c r="AH12" s="48">
        <f>SUMPRODUCT(--('Input|Historical Data'!$AC$9:$AC$1180=$E12),--('Input|Historical Data'!$AM$9:$AM$1180="SCS"),--('Input|Historical Data'!$AK$9:$AK$1180=AH$5),'Input|Historical Data'!$AG$9:$AG$1180)</f>
        <v>84.168000000000006</v>
      </c>
      <c r="AI12" s="49">
        <f t="shared" si="17"/>
        <v>0.4621739583571644</v>
      </c>
      <c r="AJ12" s="49">
        <f t="shared" si="18"/>
        <v>6.1086496201000019E-2</v>
      </c>
      <c r="AK12" s="49">
        <f t="shared" si="19"/>
        <v>0.47673954544183555</v>
      </c>
      <c r="AL12" s="49">
        <f t="shared" si="20"/>
        <v>0.10697699247317569</v>
      </c>
      <c r="AM12" s="38"/>
      <c r="AN12" s="48"/>
      <c r="AO12" s="48"/>
      <c r="AP12" s="48"/>
      <c r="AQ12" s="48"/>
      <c r="AR12" s="48"/>
      <c r="AS12" s="49"/>
      <c r="AT12" s="49"/>
      <c r="AU12" s="49"/>
      <c r="AV12" s="49"/>
      <c r="AW12" s="38"/>
      <c r="AX12" s="49">
        <f t="shared" si="21"/>
        <v>0.57763614793475471</v>
      </c>
      <c r="AY12" s="49">
        <f t="shared" si="22"/>
        <v>0.11805431603449071</v>
      </c>
      <c r="AZ12" s="49">
        <f t="shared" si="23"/>
        <v>0.3043095360307545</v>
      </c>
      <c r="BA12" s="49">
        <f t="shared" si="24"/>
        <v>0.119723467134602</v>
      </c>
      <c r="BB12" s="44"/>
    </row>
    <row r="13" spans="1:54" s="7" customFormat="1" outlineLevel="1" x14ac:dyDescent="0.3">
      <c r="C13" s="38"/>
      <c r="D13" s="38"/>
      <c r="E13" s="38" t="s">
        <v>555</v>
      </c>
      <c r="F13" s="38" t="s">
        <v>273</v>
      </c>
      <c r="G13" s="38" t="str">
        <f>VLOOKUP(E13,Mapping!$E$11:$G$204,3,0)</f>
        <v>Connections</v>
      </c>
      <c r="H13" s="38" t="str">
        <f>VLOOKUP(E13,Mapping!$E$11:$K$204,7,0)</f>
        <v>SCS</v>
      </c>
      <c r="I13" s="38"/>
      <c r="J13" s="48">
        <f>SUMPRODUCT(--('Input|Historical Data'!$E$9:$E$1179=$E13),--('Input|Historical Data'!$O$9:$O$1179="SCS"),--('Input|Historical Data'!$M$9:$M$1179=J$5),'Input|Historical Data'!$I$9:$I$1179)</f>
        <v>0</v>
      </c>
      <c r="K13" s="48">
        <f>SUMPRODUCT(--('Input|Historical Data'!$E$9:$E$1179=$E13),--('Input|Historical Data'!$O$9:$O$1179="SCS"),--('Input|Historical Data'!$N$9:$N$1179=K$5),'Input|Historical Data'!$I$9:$I$1179)</f>
        <v>0</v>
      </c>
      <c r="L13" s="48">
        <f>SUMPRODUCT(--('Input|Historical Data'!$E$9:$E$1179=$E13),--('Input|Historical Data'!$O$9:$O$1179="SCS"),--('Input|Historical Data'!$N$9:$N$1179=L$5),'Input|Historical Data'!$I$9:$I$1179)</f>
        <v>0</v>
      </c>
      <c r="M13" s="48">
        <f>SUMPRODUCT(--('Input|Historical Data'!$E$9:$E$1179=$E13),--('Input|Historical Data'!$O$9:$O$1179="SCS"),--('Input|Historical Data'!$N$9:$N$1179=M$5),'Input|Historical Data'!$I$9:$I$1179)</f>
        <v>0</v>
      </c>
      <c r="N13" s="48">
        <f>SUMPRODUCT(--('Input|Historical Data'!$E$9:$E$1179=$E13),--('Input|Historical Data'!$O$9:$O$1179="SCS"),--('Input|Historical Data'!$M$9:$M$1179=N$5),'Input|Historical Data'!$I$9:$I$1179)</f>
        <v>0</v>
      </c>
      <c r="O13" s="49">
        <f t="shared" si="7"/>
        <v>0</v>
      </c>
      <c r="P13" s="49">
        <f t="shared" si="8"/>
        <v>0</v>
      </c>
      <c r="Q13" s="49">
        <f t="shared" si="9"/>
        <v>0</v>
      </c>
      <c r="R13" s="49">
        <f t="shared" si="10"/>
        <v>0</v>
      </c>
      <c r="S13" s="38"/>
      <c r="T13" s="48">
        <f>SUMPRODUCT(--('Input|Historical Data'!$Q$9:$Q$1179=$E13),--('Input|Historical Data'!$AA$9:$AA$1179="SCS"),--('Input|Historical Data'!$Y$9:$Y$1179=T$5),'Input|Historical Data'!$U$9:$U$1179)</f>
        <v>0</v>
      </c>
      <c r="U13" s="48">
        <f>SUMPRODUCT(--('Input|Historical Data'!$Q$9:$Q$1179=$E13),--('Input|Historical Data'!$AA$9:$AA$1179="SCS"),--('Input|Historical Data'!$Z$9:$Z$1179=U$5),'Input|Historical Data'!$U$9:$U$1179)</f>
        <v>0</v>
      </c>
      <c r="V13" s="48">
        <f>SUMPRODUCT(--('Input|Historical Data'!$Q$9:$Q$1179=$E13),--('Input|Historical Data'!$AA$9:$AA$1179="SCS"),--('Input|Historical Data'!$Z$9:$Z$1179=V$5),'Input|Historical Data'!$U$9:$U$1179)</f>
        <v>0</v>
      </c>
      <c r="W13" s="48">
        <f>SUMPRODUCT(--('Input|Historical Data'!$Q$9:$Q$1179=$E13),--('Input|Historical Data'!$AA$9:$AA$1179="SCS"),--('Input|Historical Data'!$Z$9:$Z$1179=W$5),'Input|Historical Data'!$U$9:$U$1179)</f>
        <v>0</v>
      </c>
      <c r="X13" s="48">
        <f>SUMPRODUCT(--('Input|Historical Data'!$Q$9:$Q$1179=$E13),--('Input|Historical Data'!$AA$9:$AA$1179="SCS"),--('Input|Historical Data'!$Y$9:$Y$1179=X$5),'Input|Historical Data'!$U$9:$U$1179)</f>
        <v>0</v>
      </c>
      <c r="Y13" s="49">
        <f t="shared" ref="Y13" si="25">IFERROR(U13/SUM($U13:$W13),0)</f>
        <v>0</v>
      </c>
      <c r="Z13" s="49">
        <f t="shared" ref="Z13" si="26">IFERROR(V13/SUM($U13:$W13),0)</f>
        <v>0</v>
      </c>
      <c r="AA13" s="49">
        <f t="shared" ref="AA13" si="27">IFERROR(W13/SUM($U13:$W13),0)</f>
        <v>0</v>
      </c>
      <c r="AB13" s="49">
        <f t="shared" ref="AB13" si="28">IFERROR(X13/T13,0)</f>
        <v>0</v>
      </c>
      <c r="AC13" s="38"/>
      <c r="AD13" s="48">
        <f>SUMPRODUCT(--('Input|Historical Data'!$AC$9:$AC$1180=$E13),--('Input|Historical Data'!$AM$9:$AM$1180="SCS"),--('Input|Historical Data'!$AK$9:$AK$1180=AD$5),'Input|Historical Data'!$AG$9:$AG$1180)</f>
        <v>0</v>
      </c>
      <c r="AE13" s="48">
        <f>SUMPRODUCT(--('Input|Historical Data'!$AC$9:$AC$1180=$E13),--('Input|Historical Data'!$AM$9:$AM$1180="SCS"),--('Input|Historical Data'!$AL$9:$AL$1180=AE$5),'Input|Historical Data'!$AG$9:$AG$1180)</f>
        <v>0</v>
      </c>
      <c r="AF13" s="48">
        <f>SUMPRODUCT(--('Input|Historical Data'!$AC$9:$AC$1180=$E13),--('Input|Historical Data'!$AM$9:$AM$1180="SCS"),--('Input|Historical Data'!$AL$9:$AL$1180=AF$5),'Input|Historical Data'!$AG$9:$AG$1180)</f>
        <v>0</v>
      </c>
      <c r="AG13" s="48">
        <f>SUMPRODUCT(--('Input|Historical Data'!$AC$9:$AC$1180=$E13),--('Input|Historical Data'!$AM$9:$AM$1180="SCS"),--('Input|Historical Data'!$AL$9:$AL$1180=AG$5),'Input|Historical Data'!$AG$9:$AG$1180)</f>
        <v>0</v>
      </c>
      <c r="AH13" s="48">
        <f>SUMPRODUCT(--('Input|Historical Data'!$AC$9:$AC$1180=$E13),--('Input|Historical Data'!$AM$9:$AM$1180="SCS"),--('Input|Historical Data'!$AK$9:$AK$1180=AH$5),'Input|Historical Data'!$AG$9:$AG$1180)</f>
        <v>0</v>
      </c>
      <c r="AI13" s="49">
        <f t="shared" ref="AI13" si="29">IFERROR(AE13/SUM($AE13:$AG13),0)</f>
        <v>0</v>
      </c>
      <c r="AJ13" s="49">
        <f t="shared" ref="AJ13" si="30">IFERROR(AF13/SUM($AE13:$AG13),0)</f>
        <v>0</v>
      </c>
      <c r="AK13" s="49">
        <f t="shared" ref="AK13" si="31">IFERROR(AG13/SUM($AE13:$AG13),0)</f>
        <v>0</v>
      </c>
      <c r="AL13" s="49">
        <f t="shared" ref="AL13" si="32">IFERROR(AH13/AD13,0)</f>
        <v>0</v>
      </c>
      <c r="AM13" s="38"/>
      <c r="AN13" s="48"/>
      <c r="AO13" s="48"/>
      <c r="AP13" s="48"/>
      <c r="AQ13" s="48"/>
      <c r="AR13" s="48"/>
      <c r="AS13" s="49"/>
      <c r="AT13" s="49"/>
      <c r="AU13" s="49"/>
      <c r="AV13" s="49"/>
      <c r="AW13" s="38"/>
      <c r="AX13" s="49">
        <f t="shared" ref="AX13" si="33">IFERROR(SUM(U13,AE13)/SUM($U13:$W13,$AE13:$AG13),0)</f>
        <v>0</v>
      </c>
      <c r="AY13" s="49">
        <f t="shared" ref="AY13" si="34">IFERROR(SUM(V13,AF13)/SUM($U13:$W13,$AE13:$AG13),0)</f>
        <v>0</v>
      </c>
      <c r="AZ13" s="49">
        <f t="shared" ref="AZ13" si="35">IFERROR(SUM(W13,AG13)/SUM($U13:$W13,$AE13:$AG13),0)</f>
        <v>0</v>
      </c>
      <c r="BA13" s="49">
        <f t="shared" ref="BA13" si="36">IFERROR(SUM(X13,AH13)/SUM(T13,AD13),0)</f>
        <v>0</v>
      </c>
      <c r="BB13" s="44"/>
    </row>
    <row r="14" spans="1:54" s="7" customFormat="1" outlineLevel="1" x14ac:dyDescent="0.3">
      <c r="C14" s="38"/>
      <c r="D14" s="38"/>
      <c r="E14" s="38" t="s">
        <v>549</v>
      </c>
      <c r="F14" s="38" t="s">
        <v>274</v>
      </c>
      <c r="G14" s="38" t="str">
        <f>VLOOKUP(E14,Mapping!$E$11:$G$204,3,0)</f>
        <v>Connections</v>
      </c>
      <c r="H14" s="38" t="str">
        <f>VLOOKUP(E14,Mapping!$E$11:$K$204,7,0)</f>
        <v>SCS</v>
      </c>
      <c r="I14" s="38"/>
      <c r="J14" s="48">
        <f>SUMPRODUCT(--('Input|Historical Data'!$E$9:$E$1179=$E14),--('Input|Historical Data'!$O$9:$O$1179="SCS"),--('Input|Historical Data'!$M$9:$M$1179=J$5),'Input|Historical Data'!$I$9:$I$1179)</f>
        <v>7702.4920000000002</v>
      </c>
      <c r="K14" s="48">
        <f>SUMPRODUCT(--('Input|Historical Data'!$E$9:$E$1179=$E14),--('Input|Historical Data'!$O$9:$O$1179="SCS"),--('Input|Historical Data'!$N$9:$N$1179=K$5),'Input|Historical Data'!$I$9:$I$1179)</f>
        <v>3431.9929999999999</v>
      </c>
      <c r="L14" s="48">
        <f>SUMPRODUCT(--('Input|Historical Data'!$E$9:$E$1179=$E14),--('Input|Historical Data'!$O$9:$O$1179="SCS"),--('Input|Historical Data'!$N$9:$N$1179=L$5),'Input|Historical Data'!$I$9:$I$1179)</f>
        <v>2829.8230000000003</v>
      </c>
      <c r="M14" s="48">
        <f>SUMPRODUCT(--('Input|Historical Data'!$E$9:$E$1179=$E14),--('Input|Historical Data'!$O$9:$O$1179="SCS"),--('Input|Historical Data'!$N$9:$N$1179=M$5),'Input|Historical Data'!$I$9:$I$1179)</f>
        <v>1440.6759999999999</v>
      </c>
      <c r="N14" s="48">
        <f>SUMPRODUCT(--('Input|Historical Data'!$E$9:$E$1179=$E14),--('Input|Historical Data'!$O$9:$O$1179="SCS"),--('Input|Historical Data'!$M$9:$M$1179=N$5),'Input|Historical Data'!$I$9:$I$1179)</f>
        <v>719.971</v>
      </c>
      <c r="O14" s="49">
        <f t="shared" si="7"/>
        <v>0.44556917423607839</v>
      </c>
      <c r="P14" s="49">
        <f t="shared" si="8"/>
        <v>0.36739057956827481</v>
      </c>
      <c r="Q14" s="49">
        <f t="shared" si="9"/>
        <v>0.1870402461956468</v>
      </c>
      <c r="R14" s="49">
        <f t="shared" si="10"/>
        <v>9.3472476180436151E-2</v>
      </c>
      <c r="S14" s="38"/>
      <c r="T14" s="48">
        <f>SUMPRODUCT(--('Input|Historical Data'!$Q$9:$Q$1179=$E14),--('Input|Historical Data'!$AA$9:$AA$1179="SCS"),--('Input|Historical Data'!$Y$9:$Y$1179=T$5),'Input|Historical Data'!$U$9:$U$1179)</f>
        <v>7475.1840000000002</v>
      </c>
      <c r="U14" s="48">
        <f>SUMPRODUCT(--('Input|Historical Data'!$Q$9:$Q$1179=$E14),--('Input|Historical Data'!$AA$9:$AA$1179="SCS"),--('Input|Historical Data'!$Z$9:$Z$1179=U$5),'Input|Historical Data'!$U$9:$U$1179)</f>
        <v>3488.7960000000003</v>
      </c>
      <c r="V14" s="48">
        <f>SUMPRODUCT(--('Input|Historical Data'!$Q$9:$Q$1179=$E14),--('Input|Historical Data'!$AA$9:$AA$1179="SCS"),--('Input|Historical Data'!$Z$9:$Z$1179=V$5),'Input|Historical Data'!$U$9:$U$1179)</f>
        <v>2279.5529999999999</v>
      </c>
      <c r="W14" s="48">
        <f>SUMPRODUCT(--('Input|Historical Data'!$Q$9:$Q$1179=$E14),--('Input|Historical Data'!$AA$9:$AA$1179="SCS"),--('Input|Historical Data'!$Z$9:$Z$1179=W$5),'Input|Historical Data'!$U$9:$U$1179)</f>
        <v>1706.835</v>
      </c>
      <c r="X14" s="48">
        <f>SUMPRODUCT(--('Input|Historical Data'!$Q$9:$Q$1179=$E14),--('Input|Historical Data'!$AA$9:$AA$1179="SCS"),--('Input|Historical Data'!$Y$9:$Y$1179=X$5),'Input|Historical Data'!$U$9:$U$1179)</f>
        <v>899.505</v>
      </c>
      <c r="Y14" s="49">
        <f t="shared" si="11"/>
        <v>0.46671707345264013</v>
      </c>
      <c r="Z14" s="49">
        <f t="shared" si="1"/>
        <v>0.30494941662974445</v>
      </c>
      <c r="AA14" s="49">
        <f t="shared" si="2"/>
        <v>0.22833350991761542</v>
      </c>
      <c r="AB14" s="49">
        <f t="shared" si="12"/>
        <v>0.12033215503457841</v>
      </c>
      <c r="AC14" s="38"/>
      <c r="AD14" s="48">
        <f>SUMPRODUCT(--('Input|Historical Data'!$AC$9:$AC$1180=$E14),--('Input|Historical Data'!$AM$9:$AM$1180="SCS"),--('Input|Historical Data'!$AK$9:$AK$1180=AD$5),'Input|Historical Data'!$AG$9:$AG$1180)</f>
        <v>4745.4929999999995</v>
      </c>
      <c r="AE14" s="48">
        <f>SUMPRODUCT(--('Input|Historical Data'!$AC$9:$AC$1180=$E14),--('Input|Historical Data'!$AM$9:$AM$1180="SCS"),--('Input|Historical Data'!$AL$9:$AL$1180=AE$5),'Input|Historical Data'!$AG$9:$AG$1180)</f>
        <v>2325.2849999999999</v>
      </c>
      <c r="AF14" s="48">
        <f>SUMPRODUCT(--('Input|Historical Data'!$AC$9:$AC$1180=$E14),--('Input|Historical Data'!$AM$9:$AM$1180="SCS"),--('Input|Historical Data'!$AL$9:$AL$1180=AF$5),'Input|Historical Data'!$AG$9:$AG$1180)</f>
        <v>1268.5</v>
      </c>
      <c r="AG14" s="48">
        <f>SUMPRODUCT(--('Input|Historical Data'!$AC$9:$AC$1180=$E14),--('Input|Historical Data'!$AM$9:$AM$1180="SCS"),--('Input|Historical Data'!$AL$9:$AL$1180=AG$5),'Input|Historical Data'!$AG$9:$AG$1180)</f>
        <v>1151.7080000000001</v>
      </c>
      <c r="AH14" s="48">
        <f>SUMPRODUCT(--('Input|Historical Data'!$AC$9:$AC$1180=$E14),--('Input|Historical Data'!$AM$9:$AM$1180="SCS"),--('Input|Historical Data'!$AK$9:$AK$1180=AH$5),'Input|Historical Data'!$AG$9:$AG$1180)</f>
        <v>594.875</v>
      </c>
      <c r="AI14" s="49">
        <f t="shared" si="17"/>
        <v>0.4899986155284603</v>
      </c>
      <c r="AJ14" s="49">
        <f t="shared" si="18"/>
        <v>0.26730626301629778</v>
      </c>
      <c r="AK14" s="49">
        <f t="shared" si="19"/>
        <v>0.24269512145524186</v>
      </c>
      <c r="AL14" s="49">
        <f t="shared" si="20"/>
        <v>0.1253557849521641</v>
      </c>
      <c r="AM14" s="38"/>
      <c r="AN14" s="48"/>
      <c r="AO14" s="48"/>
      <c r="AP14" s="48"/>
      <c r="AQ14" s="48"/>
      <c r="AR14" s="48"/>
      <c r="AS14" s="49"/>
      <c r="AT14" s="49"/>
      <c r="AU14" s="49"/>
      <c r="AV14" s="49"/>
      <c r="AW14" s="38"/>
      <c r="AX14" s="49">
        <f t="shared" si="21"/>
        <v>0.47575768511024386</v>
      </c>
      <c r="AY14" s="49">
        <f t="shared" si="22"/>
        <v>0.29033195133133782</v>
      </c>
      <c r="AZ14" s="49">
        <f t="shared" si="23"/>
        <v>0.23391036355841824</v>
      </c>
      <c r="BA14" s="49">
        <f t="shared" si="24"/>
        <v>0.12228291444082845</v>
      </c>
      <c r="BB14" s="44"/>
    </row>
    <row r="15" spans="1:54" s="7" customFormat="1" outlineLevel="1" x14ac:dyDescent="0.3">
      <c r="C15" s="38"/>
      <c r="D15" s="38"/>
      <c r="E15" s="38" t="s">
        <v>556</v>
      </c>
      <c r="F15" s="38" t="s">
        <v>274</v>
      </c>
      <c r="G15" s="38" t="str">
        <f>VLOOKUP(E15,Mapping!$E$11:$G$204,3,0)</f>
        <v>Connections</v>
      </c>
      <c r="H15" s="38" t="str">
        <f>VLOOKUP(E15,Mapping!$E$11:$K$204,7,0)</f>
        <v>SCS</v>
      </c>
      <c r="I15" s="38"/>
      <c r="J15" s="48">
        <f>SUMPRODUCT(--('Input|Historical Data'!$E$9:$E$1179=$E15),--('Input|Historical Data'!$O$9:$O$1179="SCS"),--('Input|Historical Data'!$M$9:$M$1179=J$5),'Input|Historical Data'!$I$9:$I$1179)</f>
        <v>0</v>
      </c>
      <c r="K15" s="48">
        <f>SUMPRODUCT(--('Input|Historical Data'!$E$9:$E$1179=$E15),--('Input|Historical Data'!$O$9:$O$1179="SCS"),--('Input|Historical Data'!$N$9:$N$1179=K$5),'Input|Historical Data'!$I$9:$I$1179)</f>
        <v>0</v>
      </c>
      <c r="L15" s="48">
        <f>SUMPRODUCT(--('Input|Historical Data'!$E$9:$E$1179=$E15),--('Input|Historical Data'!$O$9:$O$1179="SCS"),--('Input|Historical Data'!$N$9:$N$1179=L$5),'Input|Historical Data'!$I$9:$I$1179)</f>
        <v>0</v>
      </c>
      <c r="M15" s="48">
        <f>SUMPRODUCT(--('Input|Historical Data'!$E$9:$E$1179=$E15),--('Input|Historical Data'!$O$9:$O$1179="SCS"),--('Input|Historical Data'!$N$9:$N$1179=M$5),'Input|Historical Data'!$I$9:$I$1179)</f>
        <v>0</v>
      </c>
      <c r="N15" s="48">
        <f>SUMPRODUCT(--('Input|Historical Data'!$E$9:$E$1179=$E15),--('Input|Historical Data'!$O$9:$O$1179="SCS"),--('Input|Historical Data'!$M$9:$M$1179=N$5),'Input|Historical Data'!$I$9:$I$1179)</f>
        <v>0</v>
      </c>
      <c r="O15" s="49">
        <f t="shared" si="7"/>
        <v>0</v>
      </c>
      <c r="P15" s="49">
        <f t="shared" si="8"/>
        <v>0</v>
      </c>
      <c r="Q15" s="49">
        <f t="shared" si="9"/>
        <v>0</v>
      </c>
      <c r="R15" s="49">
        <f t="shared" si="10"/>
        <v>0</v>
      </c>
      <c r="S15" s="38"/>
      <c r="T15" s="48">
        <f>SUMPRODUCT(--('Input|Historical Data'!$Q$9:$Q$1179=$E15),--('Input|Historical Data'!$AA$9:$AA$1179="SCS"),--('Input|Historical Data'!$Y$9:$Y$1179=T$5),'Input|Historical Data'!$U$9:$U$1179)</f>
        <v>0</v>
      </c>
      <c r="U15" s="48">
        <f>SUMPRODUCT(--('Input|Historical Data'!$Q$9:$Q$1179=$E15),--('Input|Historical Data'!$AA$9:$AA$1179="SCS"),--('Input|Historical Data'!$Z$9:$Z$1179=U$5),'Input|Historical Data'!$U$9:$U$1179)</f>
        <v>0</v>
      </c>
      <c r="V15" s="48">
        <f>SUMPRODUCT(--('Input|Historical Data'!$Q$9:$Q$1179=$E15),--('Input|Historical Data'!$AA$9:$AA$1179="SCS"),--('Input|Historical Data'!$Z$9:$Z$1179=V$5),'Input|Historical Data'!$U$9:$U$1179)</f>
        <v>0</v>
      </c>
      <c r="W15" s="48">
        <f>SUMPRODUCT(--('Input|Historical Data'!$Q$9:$Q$1179=$E15),--('Input|Historical Data'!$AA$9:$AA$1179="SCS"),--('Input|Historical Data'!$Z$9:$Z$1179=W$5),'Input|Historical Data'!$U$9:$U$1179)</f>
        <v>0</v>
      </c>
      <c r="X15" s="48">
        <f>SUMPRODUCT(--('Input|Historical Data'!$Q$9:$Q$1179=$E15),--('Input|Historical Data'!$AA$9:$AA$1179="SCS"),--('Input|Historical Data'!$Y$9:$Y$1179=X$5),'Input|Historical Data'!$U$9:$U$1179)</f>
        <v>0</v>
      </c>
      <c r="Y15" s="49">
        <f t="shared" ref="Y15" si="37">IFERROR(U15/SUM($U15:$W15),0)</f>
        <v>0</v>
      </c>
      <c r="Z15" s="49">
        <f t="shared" ref="Z15" si="38">IFERROR(V15/SUM($U15:$W15),0)</f>
        <v>0</v>
      </c>
      <c r="AA15" s="49">
        <f t="shared" ref="AA15" si="39">IFERROR(W15/SUM($U15:$W15),0)</f>
        <v>0</v>
      </c>
      <c r="AB15" s="49">
        <f t="shared" ref="AB15" si="40">IFERROR(X15/T15,0)</f>
        <v>0</v>
      </c>
      <c r="AC15" s="38"/>
      <c r="AD15" s="48">
        <f>SUMPRODUCT(--('Input|Historical Data'!$AC$9:$AC$1180=$E15),--('Input|Historical Data'!$AM$9:$AM$1180="SCS"),--('Input|Historical Data'!$AK$9:$AK$1180=AD$5),'Input|Historical Data'!$AG$9:$AG$1180)</f>
        <v>0</v>
      </c>
      <c r="AE15" s="48">
        <f>SUMPRODUCT(--('Input|Historical Data'!$AC$9:$AC$1180=$E15),--('Input|Historical Data'!$AM$9:$AM$1180="SCS"),--('Input|Historical Data'!$AL$9:$AL$1180=AE$5),'Input|Historical Data'!$AG$9:$AG$1180)</f>
        <v>0</v>
      </c>
      <c r="AF15" s="48">
        <f>SUMPRODUCT(--('Input|Historical Data'!$AC$9:$AC$1180=$E15),--('Input|Historical Data'!$AM$9:$AM$1180="SCS"),--('Input|Historical Data'!$AL$9:$AL$1180=AF$5),'Input|Historical Data'!$AG$9:$AG$1180)</f>
        <v>0</v>
      </c>
      <c r="AG15" s="48">
        <f>SUMPRODUCT(--('Input|Historical Data'!$AC$9:$AC$1180=$E15),--('Input|Historical Data'!$AM$9:$AM$1180="SCS"),--('Input|Historical Data'!$AL$9:$AL$1180=AG$5),'Input|Historical Data'!$AG$9:$AG$1180)</f>
        <v>0</v>
      </c>
      <c r="AH15" s="48">
        <f>SUMPRODUCT(--('Input|Historical Data'!$AC$9:$AC$1180=$E15),--('Input|Historical Data'!$AM$9:$AM$1180="SCS"),--('Input|Historical Data'!$AK$9:$AK$1180=AH$5),'Input|Historical Data'!$AG$9:$AG$1180)</f>
        <v>0</v>
      </c>
      <c r="AI15" s="49">
        <f t="shared" ref="AI15" si="41">IFERROR(AE15/SUM($AE15:$AG15),0)</f>
        <v>0</v>
      </c>
      <c r="AJ15" s="49">
        <f t="shared" ref="AJ15" si="42">IFERROR(AF15/SUM($AE15:$AG15),0)</f>
        <v>0</v>
      </c>
      <c r="AK15" s="49">
        <f t="shared" ref="AK15" si="43">IFERROR(AG15/SUM($AE15:$AG15),0)</f>
        <v>0</v>
      </c>
      <c r="AL15" s="49">
        <f t="shared" ref="AL15" si="44">IFERROR(AH15/AD15,0)</f>
        <v>0</v>
      </c>
      <c r="AM15" s="38"/>
      <c r="AN15" s="48"/>
      <c r="AO15" s="48"/>
      <c r="AP15" s="48"/>
      <c r="AQ15" s="48"/>
      <c r="AR15" s="48"/>
      <c r="AS15" s="49"/>
      <c r="AT15" s="49"/>
      <c r="AU15" s="49"/>
      <c r="AV15" s="49"/>
      <c r="AW15" s="38"/>
      <c r="AX15" s="49">
        <f t="shared" ref="AX15" si="45">IFERROR(SUM(U15,AE15)/SUM($U15:$W15,$AE15:$AG15),0)</f>
        <v>0</v>
      </c>
      <c r="AY15" s="49">
        <f t="shared" ref="AY15" si="46">IFERROR(SUM(V15,AF15)/SUM($U15:$W15,$AE15:$AG15),0)</f>
        <v>0</v>
      </c>
      <c r="AZ15" s="49">
        <f t="shared" ref="AZ15" si="47">IFERROR(SUM(W15,AG15)/SUM($U15:$W15,$AE15:$AG15),0)</f>
        <v>0</v>
      </c>
      <c r="BA15" s="49">
        <f t="shared" ref="BA15" si="48">IFERROR(SUM(X15,AH15)/SUM(T15,AD15),0)</f>
        <v>0</v>
      </c>
      <c r="BB15" s="44"/>
    </row>
    <row r="16" spans="1:54" s="7" customFormat="1" outlineLevel="1" x14ac:dyDescent="0.3">
      <c r="C16" s="38"/>
      <c r="D16" s="38"/>
      <c r="E16" s="38" t="s">
        <v>550</v>
      </c>
      <c r="F16" s="38" t="s">
        <v>275</v>
      </c>
      <c r="G16" s="38" t="str">
        <f>VLOOKUP(E16,Mapping!$E$11:$G$204,3,0)</f>
        <v>Connections</v>
      </c>
      <c r="H16" s="38" t="str">
        <f>VLOOKUP(E16,Mapping!$E$11:$K$204,7,0)</f>
        <v>SCS</v>
      </c>
      <c r="I16" s="38"/>
      <c r="J16" s="48">
        <f>SUMPRODUCT(--('Input|Historical Data'!$E$9:$E$1179=$E16),--('Input|Historical Data'!$O$9:$O$1179="SCS"),--('Input|Historical Data'!$M$9:$M$1179=J$5),'Input|Historical Data'!$I$9:$I$1179)</f>
        <v>11882.317000000001</v>
      </c>
      <c r="K16" s="48">
        <f>SUMPRODUCT(--('Input|Historical Data'!$E$9:$E$1179=$E16),--('Input|Historical Data'!$O$9:$O$1179="SCS"),--('Input|Historical Data'!$N$9:$N$1179=K$5),'Input|Historical Data'!$I$9:$I$1179)</f>
        <v>4421.3789999999999</v>
      </c>
      <c r="L16" s="48">
        <f>SUMPRODUCT(--('Input|Historical Data'!$E$9:$E$1179=$E16),--('Input|Historical Data'!$O$9:$O$1179="SCS"),--('Input|Historical Data'!$N$9:$N$1179=L$5),'Input|Historical Data'!$I$9:$I$1179)</f>
        <v>3567.2650000000003</v>
      </c>
      <c r="M16" s="48">
        <f>SUMPRODUCT(--('Input|Historical Data'!$E$9:$E$1179=$E16),--('Input|Historical Data'!$O$9:$O$1179="SCS"),--('Input|Historical Data'!$N$9:$N$1179=M$5),'Input|Historical Data'!$I$9:$I$1179)</f>
        <v>3893.6729999999998</v>
      </c>
      <c r="N16" s="48">
        <f>SUMPRODUCT(--('Input|Historical Data'!$E$9:$E$1179=$E16),--('Input|Historical Data'!$O$9:$O$1179="SCS"),--('Input|Historical Data'!$M$9:$M$1179=N$5),'Input|Historical Data'!$I$9:$I$1179)</f>
        <v>887.24199999999996</v>
      </c>
      <c r="O16" s="49">
        <f t="shared" si="7"/>
        <v>0.37209737797771264</v>
      </c>
      <c r="P16" s="49">
        <f t="shared" si="8"/>
        <v>0.30021627936706291</v>
      </c>
      <c r="Q16" s="49">
        <f t="shared" si="9"/>
        <v>0.32768634265522456</v>
      </c>
      <c r="R16" s="49">
        <f t="shared" si="10"/>
        <v>7.4669107043685151E-2</v>
      </c>
      <c r="S16" s="38"/>
      <c r="T16" s="48">
        <f>SUMPRODUCT(--('Input|Historical Data'!$Q$9:$Q$1179=$E16),--('Input|Historical Data'!$AA$9:$AA$1179="SCS"),--('Input|Historical Data'!$Y$9:$Y$1179=T$5),'Input|Historical Data'!$U$9:$U$1179)</f>
        <v>13697.286</v>
      </c>
      <c r="U16" s="48">
        <f>SUMPRODUCT(--('Input|Historical Data'!$Q$9:$Q$1179=$E16),--('Input|Historical Data'!$AA$9:$AA$1179="SCS"),--('Input|Historical Data'!$Z$9:$Z$1179=U$5),'Input|Historical Data'!$U$9:$U$1179)</f>
        <v>4290.6059999999998</v>
      </c>
      <c r="V16" s="48">
        <f>SUMPRODUCT(--('Input|Historical Data'!$Q$9:$Q$1179=$E16),--('Input|Historical Data'!$AA$9:$AA$1179="SCS"),--('Input|Historical Data'!$Z$9:$Z$1179=V$5),'Input|Historical Data'!$U$9:$U$1179)</f>
        <v>4221.0460000000003</v>
      </c>
      <c r="W16" s="48">
        <f>SUMPRODUCT(--('Input|Historical Data'!$Q$9:$Q$1179=$E16),--('Input|Historical Data'!$AA$9:$AA$1179="SCS"),--('Input|Historical Data'!$Z$9:$Z$1179=W$5),'Input|Historical Data'!$U$9:$U$1179)</f>
        <v>5185.634</v>
      </c>
      <c r="X16" s="48">
        <f>SUMPRODUCT(--('Input|Historical Data'!$Q$9:$Q$1179=$E16),--('Input|Historical Data'!$AA$9:$AA$1179="SCS"),--('Input|Historical Data'!$Y$9:$Y$1179=X$5),'Input|Historical Data'!$U$9:$U$1179)</f>
        <v>1260.9839999999999</v>
      </c>
      <c r="Y16" s="49">
        <f t="shared" si="11"/>
        <v>0.31324497422336073</v>
      </c>
      <c r="Z16" s="49">
        <f t="shared" si="1"/>
        <v>0.30816659592272516</v>
      </c>
      <c r="AA16" s="49">
        <f t="shared" si="2"/>
        <v>0.37858842985391411</v>
      </c>
      <c r="AB16" s="49">
        <f t="shared" si="12"/>
        <v>9.2060865196214772E-2</v>
      </c>
      <c r="AC16" s="38"/>
      <c r="AD16" s="48">
        <f>SUMPRODUCT(--('Input|Historical Data'!$AC$9:$AC$1180=$E16),--('Input|Historical Data'!$AM$9:$AM$1180="SCS"),--('Input|Historical Data'!$AK$9:$AK$1180=AD$5),'Input|Historical Data'!$AG$9:$AG$1180)</f>
        <v>10929.574000000001</v>
      </c>
      <c r="AE16" s="48">
        <f>SUMPRODUCT(--('Input|Historical Data'!$AC$9:$AC$1180=$E16),--('Input|Historical Data'!$AM$9:$AM$1180="SCS"),--('Input|Historical Data'!$AL$9:$AL$1180=AE$5),'Input|Historical Data'!$AG$9:$AG$1180)</f>
        <v>3661.5219999999999</v>
      </c>
      <c r="AF16" s="48">
        <f>SUMPRODUCT(--('Input|Historical Data'!$AC$9:$AC$1180=$E16),--('Input|Historical Data'!$AM$9:$AM$1180="SCS"),--('Input|Historical Data'!$AL$9:$AL$1180=AF$5),'Input|Historical Data'!$AG$9:$AG$1180)</f>
        <v>3396.9270000000001</v>
      </c>
      <c r="AG16" s="48">
        <f>SUMPRODUCT(--('Input|Historical Data'!$AC$9:$AC$1180=$E16),--('Input|Historical Data'!$AM$9:$AM$1180="SCS"),--('Input|Historical Data'!$AL$9:$AL$1180=AG$5),'Input|Historical Data'!$AG$9:$AG$1180)</f>
        <v>3871.125</v>
      </c>
      <c r="AH16" s="48">
        <f>SUMPRODUCT(--('Input|Historical Data'!$AC$9:$AC$1180=$E16),--('Input|Historical Data'!$AM$9:$AM$1180="SCS"),--('Input|Historical Data'!$AK$9:$AK$1180=AH$5),'Input|Historical Data'!$AG$9:$AG$1180)</f>
        <v>1027.3520000000001</v>
      </c>
      <c r="AI16" s="49">
        <f t="shared" si="17"/>
        <v>0.33501049537703848</v>
      </c>
      <c r="AJ16" s="49">
        <f t="shared" si="18"/>
        <v>0.31080140909426113</v>
      </c>
      <c r="AK16" s="49">
        <f t="shared" si="19"/>
        <v>0.3541880955287004</v>
      </c>
      <c r="AL16" s="49">
        <f t="shared" si="20"/>
        <v>9.3997442169292234E-2</v>
      </c>
      <c r="AM16" s="38"/>
      <c r="AN16" s="48"/>
      <c r="AO16" s="48"/>
      <c r="AP16" s="48"/>
      <c r="AQ16" s="48"/>
      <c r="AR16" s="48"/>
      <c r="AS16" s="49"/>
      <c r="AT16" s="49"/>
      <c r="AU16" s="49"/>
      <c r="AV16" s="49"/>
      <c r="AW16" s="38"/>
      <c r="AX16" s="49">
        <f t="shared" si="21"/>
        <v>0.32290466588107453</v>
      </c>
      <c r="AY16" s="49">
        <f t="shared" si="22"/>
        <v>0.30933594457433872</v>
      </c>
      <c r="AZ16" s="49">
        <f t="shared" si="23"/>
        <v>0.3677593895445867</v>
      </c>
      <c r="BA16" s="49">
        <f t="shared" si="24"/>
        <v>9.2920331702864276E-2</v>
      </c>
      <c r="BB16" s="44"/>
    </row>
    <row r="17" spans="3:54" s="7" customFormat="1" outlineLevel="1" x14ac:dyDescent="0.3">
      <c r="C17" s="38"/>
      <c r="D17" s="38"/>
      <c r="E17" s="38" t="s">
        <v>557</v>
      </c>
      <c r="F17" s="38" t="s">
        <v>275</v>
      </c>
      <c r="G17" s="38" t="str">
        <f>VLOOKUP(E17,Mapping!$E$11:$G$204,3,0)</f>
        <v>Connections</v>
      </c>
      <c r="H17" s="38" t="str">
        <f>VLOOKUP(E17,Mapping!$E$11:$K$204,7,0)</f>
        <v>SCS</v>
      </c>
      <c r="I17" s="38"/>
      <c r="J17" s="48">
        <f>SUMPRODUCT(--('Input|Historical Data'!$E$9:$E$1179=$E17),--('Input|Historical Data'!$O$9:$O$1179="SCS"),--('Input|Historical Data'!$M$9:$M$1179=J$5),'Input|Historical Data'!$I$9:$I$1179)</f>
        <v>0</v>
      </c>
      <c r="K17" s="48">
        <f>SUMPRODUCT(--('Input|Historical Data'!$E$9:$E$1179=$E17),--('Input|Historical Data'!$O$9:$O$1179="SCS"),--('Input|Historical Data'!$N$9:$N$1179=K$5),'Input|Historical Data'!$I$9:$I$1179)</f>
        <v>0</v>
      </c>
      <c r="L17" s="48">
        <f>SUMPRODUCT(--('Input|Historical Data'!$E$9:$E$1179=$E17),--('Input|Historical Data'!$O$9:$O$1179="SCS"),--('Input|Historical Data'!$N$9:$N$1179=L$5),'Input|Historical Data'!$I$9:$I$1179)</f>
        <v>0</v>
      </c>
      <c r="M17" s="48">
        <f>SUMPRODUCT(--('Input|Historical Data'!$E$9:$E$1179=$E17),--('Input|Historical Data'!$O$9:$O$1179="SCS"),--('Input|Historical Data'!$N$9:$N$1179=M$5),'Input|Historical Data'!$I$9:$I$1179)</f>
        <v>0</v>
      </c>
      <c r="N17" s="48">
        <f>SUMPRODUCT(--('Input|Historical Data'!$E$9:$E$1179=$E17),--('Input|Historical Data'!$O$9:$O$1179="SCS"),--('Input|Historical Data'!$M$9:$M$1179=N$5),'Input|Historical Data'!$I$9:$I$1179)</f>
        <v>0</v>
      </c>
      <c r="O17" s="49">
        <f t="shared" si="7"/>
        <v>0</v>
      </c>
      <c r="P17" s="49">
        <f t="shared" si="8"/>
        <v>0</v>
      </c>
      <c r="Q17" s="49">
        <f t="shared" si="9"/>
        <v>0</v>
      </c>
      <c r="R17" s="49">
        <f t="shared" si="10"/>
        <v>0</v>
      </c>
      <c r="S17" s="38"/>
      <c r="T17" s="48">
        <f>SUMPRODUCT(--('Input|Historical Data'!$Q$9:$Q$1179=$E17),--('Input|Historical Data'!$AA$9:$AA$1179="SCS"),--('Input|Historical Data'!$Y$9:$Y$1179=T$5),'Input|Historical Data'!$U$9:$U$1179)</f>
        <v>0</v>
      </c>
      <c r="U17" s="48">
        <f>SUMPRODUCT(--('Input|Historical Data'!$Q$9:$Q$1179=$E17),--('Input|Historical Data'!$AA$9:$AA$1179="SCS"),--('Input|Historical Data'!$Z$9:$Z$1179=U$5),'Input|Historical Data'!$U$9:$U$1179)</f>
        <v>0</v>
      </c>
      <c r="V17" s="48">
        <f>SUMPRODUCT(--('Input|Historical Data'!$Q$9:$Q$1179=$E17),--('Input|Historical Data'!$AA$9:$AA$1179="SCS"),--('Input|Historical Data'!$Z$9:$Z$1179=V$5),'Input|Historical Data'!$U$9:$U$1179)</f>
        <v>0</v>
      </c>
      <c r="W17" s="48">
        <f>SUMPRODUCT(--('Input|Historical Data'!$Q$9:$Q$1179=$E17),--('Input|Historical Data'!$AA$9:$AA$1179="SCS"),--('Input|Historical Data'!$Z$9:$Z$1179=W$5),'Input|Historical Data'!$U$9:$U$1179)</f>
        <v>0</v>
      </c>
      <c r="X17" s="48">
        <f>SUMPRODUCT(--('Input|Historical Data'!$Q$9:$Q$1179=$E17),--('Input|Historical Data'!$AA$9:$AA$1179="SCS"),--('Input|Historical Data'!$Y$9:$Y$1179=X$5),'Input|Historical Data'!$U$9:$U$1179)</f>
        <v>0</v>
      </c>
      <c r="Y17" s="49">
        <f t="shared" ref="Y17" si="49">IFERROR(U17/SUM($U17:$W17),0)</f>
        <v>0</v>
      </c>
      <c r="Z17" s="49">
        <f t="shared" ref="Z17" si="50">IFERROR(V17/SUM($U17:$W17),0)</f>
        <v>0</v>
      </c>
      <c r="AA17" s="49">
        <f t="shared" ref="AA17" si="51">IFERROR(W17/SUM($U17:$W17),0)</f>
        <v>0</v>
      </c>
      <c r="AB17" s="49">
        <f t="shared" ref="AB17" si="52">IFERROR(X17/T17,0)</f>
        <v>0</v>
      </c>
      <c r="AC17" s="38"/>
      <c r="AD17" s="48">
        <f>SUMPRODUCT(--('Input|Historical Data'!$AC$9:$AC$1180=$E17),--('Input|Historical Data'!$AM$9:$AM$1180="SCS"),--('Input|Historical Data'!$AK$9:$AK$1180=AD$5),'Input|Historical Data'!$AG$9:$AG$1180)</f>
        <v>0</v>
      </c>
      <c r="AE17" s="48">
        <f>SUMPRODUCT(--('Input|Historical Data'!$AC$9:$AC$1180=$E17),--('Input|Historical Data'!$AM$9:$AM$1180="SCS"),--('Input|Historical Data'!$AL$9:$AL$1180=AE$5),'Input|Historical Data'!$AG$9:$AG$1180)</f>
        <v>0</v>
      </c>
      <c r="AF17" s="48">
        <f>SUMPRODUCT(--('Input|Historical Data'!$AC$9:$AC$1180=$E17),--('Input|Historical Data'!$AM$9:$AM$1180="SCS"),--('Input|Historical Data'!$AL$9:$AL$1180=AF$5),'Input|Historical Data'!$AG$9:$AG$1180)</f>
        <v>0</v>
      </c>
      <c r="AG17" s="48">
        <f>SUMPRODUCT(--('Input|Historical Data'!$AC$9:$AC$1180=$E17),--('Input|Historical Data'!$AM$9:$AM$1180="SCS"),--('Input|Historical Data'!$AL$9:$AL$1180=AG$5),'Input|Historical Data'!$AG$9:$AG$1180)</f>
        <v>0</v>
      </c>
      <c r="AH17" s="48">
        <f>SUMPRODUCT(--('Input|Historical Data'!$AC$9:$AC$1180=$E17),--('Input|Historical Data'!$AM$9:$AM$1180="SCS"),--('Input|Historical Data'!$AK$9:$AK$1180=AH$5),'Input|Historical Data'!$AG$9:$AG$1180)</f>
        <v>0</v>
      </c>
      <c r="AI17" s="49">
        <f t="shared" ref="AI17" si="53">IFERROR(AE17/SUM($AE17:$AG17),0)</f>
        <v>0</v>
      </c>
      <c r="AJ17" s="49">
        <f t="shared" ref="AJ17" si="54">IFERROR(AF17/SUM($AE17:$AG17),0)</f>
        <v>0</v>
      </c>
      <c r="AK17" s="49">
        <f t="shared" ref="AK17" si="55">IFERROR(AG17/SUM($AE17:$AG17),0)</f>
        <v>0</v>
      </c>
      <c r="AL17" s="49">
        <f t="shared" ref="AL17" si="56">IFERROR(AH17/AD17,0)</f>
        <v>0</v>
      </c>
      <c r="AM17" s="38"/>
      <c r="AN17" s="48"/>
      <c r="AO17" s="48"/>
      <c r="AP17" s="48"/>
      <c r="AQ17" s="48"/>
      <c r="AR17" s="48"/>
      <c r="AS17" s="49"/>
      <c r="AT17" s="49"/>
      <c r="AU17" s="49"/>
      <c r="AV17" s="49"/>
      <c r="AW17" s="38"/>
      <c r="AX17" s="49">
        <f t="shared" ref="AX17" si="57">IFERROR(SUM(U17,AE17)/SUM($U17:$W17,$AE17:$AG17),0)</f>
        <v>0</v>
      </c>
      <c r="AY17" s="49">
        <f t="shared" ref="AY17" si="58">IFERROR(SUM(V17,AF17)/SUM($U17:$W17,$AE17:$AG17),0)</f>
        <v>0</v>
      </c>
      <c r="AZ17" s="49">
        <f t="shared" ref="AZ17" si="59">IFERROR(SUM(W17,AG17)/SUM($U17:$W17,$AE17:$AG17),0)</f>
        <v>0</v>
      </c>
      <c r="BA17" s="49">
        <f t="shared" ref="BA17" si="60">IFERROR(SUM(X17,AH17)/SUM(T17,AD17),0)</f>
        <v>0</v>
      </c>
      <c r="BB17" s="44"/>
    </row>
    <row r="18" spans="3:54" s="7" customFormat="1" outlineLevel="1" x14ac:dyDescent="0.3">
      <c r="C18" s="38"/>
      <c r="D18" s="38"/>
      <c r="E18" s="38" t="s">
        <v>551</v>
      </c>
      <c r="F18" s="38" t="s">
        <v>276</v>
      </c>
      <c r="G18" s="38" t="str">
        <f>VLOOKUP(E18,Mapping!$E$11:$G$204,3,0)</f>
        <v>Connections</v>
      </c>
      <c r="H18" s="38" t="str">
        <f>VLOOKUP(E18,Mapping!$E$11:$K$204,7,0)</f>
        <v>SCS</v>
      </c>
      <c r="I18" s="38"/>
      <c r="J18" s="48">
        <f>SUMPRODUCT(--('Input|Historical Data'!$E$9:$E$1179=$E18),--('Input|Historical Data'!$O$9:$O$1179="SCS"),--('Input|Historical Data'!$M$9:$M$1179=J$5),'Input|Historical Data'!$I$9:$I$1179)</f>
        <v>1866.5310000000002</v>
      </c>
      <c r="K18" s="48">
        <f>SUMPRODUCT(--('Input|Historical Data'!$E$9:$E$1179=$E18),--('Input|Historical Data'!$O$9:$O$1179="SCS"),--('Input|Historical Data'!$N$9:$N$1179=K$5),'Input|Historical Data'!$I$9:$I$1179)</f>
        <v>959.10800000000006</v>
      </c>
      <c r="L18" s="48">
        <f>SUMPRODUCT(--('Input|Historical Data'!$E$9:$E$1179=$E18),--('Input|Historical Data'!$O$9:$O$1179="SCS"),--('Input|Historical Data'!$N$9:$N$1179=L$5),'Input|Historical Data'!$I$9:$I$1179)</f>
        <v>553.86400000000003</v>
      </c>
      <c r="M18" s="48">
        <f>SUMPRODUCT(--('Input|Historical Data'!$E$9:$E$1179=$E18),--('Input|Historical Data'!$O$9:$O$1179="SCS"),--('Input|Historical Data'!$N$9:$N$1179=M$5),'Input|Historical Data'!$I$9:$I$1179)</f>
        <v>353.55900000000003</v>
      </c>
      <c r="N18" s="48">
        <f>SUMPRODUCT(--('Input|Historical Data'!$E$9:$E$1179=$E18),--('Input|Historical Data'!$O$9:$O$1179="SCS"),--('Input|Historical Data'!$M$9:$M$1179=N$5),'Input|Historical Data'!$I$9:$I$1179)</f>
        <v>180.518</v>
      </c>
      <c r="O18" s="49">
        <f t="shared" si="7"/>
        <v>0.51384520267812317</v>
      </c>
      <c r="P18" s="49">
        <f t="shared" si="8"/>
        <v>0.29673442337684186</v>
      </c>
      <c r="Q18" s="49">
        <f t="shared" si="9"/>
        <v>0.18942037394503494</v>
      </c>
      <c r="R18" s="49">
        <f t="shared" si="10"/>
        <v>9.6713100398546817E-2</v>
      </c>
      <c r="S18" s="38"/>
      <c r="T18" s="48">
        <f>SUMPRODUCT(--('Input|Historical Data'!$Q$9:$Q$1179=$E18),--('Input|Historical Data'!$AA$9:$AA$1179="SCS"),--('Input|Historical Data'!$Y$9:$Y$1179=T$5),'Input|Historical Data'!$U$9:$U$1179)</f>
        <v>2140.2470000000003</v>
      </c>
      <c r="U18" s="48">
        <f>SUMPRODUCT(--('Input|Historical Data'!$Q$9:$Q$1179=$E18),--('Input|Historical Data'!$AA$9:$AA$1179="SCS"),--('Input|Historical Data'!$Z$9:$Z$1179=U$5),'Input|Historical Data'!$U$9:$U$1179)</f>
        <v>1077.962</v>
      </c>
      <c r="V18" s="48">
        <f>SUMPRODUCT(--('Input|Historical Data'!$Q$9:$Q$1179=$E18),--('Input|Historical Data'!$AA$9:$AA$1179="SCS"),--('Input|Historical Data'!$Z$9:$Z$1179=V$5),'Input|Historical Data'!$U$9:$U$1179)</f>
        <v>581.94900000000007</v>
      </c>
      <c r="W18" s="48">
        <f>SUMPRODUCT(--('Input|Historical Data'!$Q$9:$Q$1179=$E18),--('Input|Historical Data'!$AA$9:$AA$1179="SCS"),--('Input|Historical Data'!$Z$9:$Z$1179=W$5),'Input|Historical Data'!$U$9:$U$1179)</f>
        <v>480.33600000000001</v>
      </c>
      <c r="X18" s="48">
        <f>SUMPRODUCT(--('Input|Historical Data'!$Q$9:$Q$1179=$E18),--('Input|Historical Data'!$AA$9:$AA$1179="SCS"),--('Input|Historical Data'!$Y$9:$Y$1179=X$5),'Input|Historical Data'!$U$9:$U$1179)</f>
        <v>277.702</v>
      </c>
      <c r="Y18" s="49">
        <f t="shared" si="11"/>
        <v>0.50366242774782533</v>
      </c>
      <c r="Z18" s="49">
        <f t="shared" si="1"/>
        <v>0.27190740134199465</v>
      </c>
      <c r="AA18" s="49">
        <f t="shared" si="2"/>
        <v>0.22443017091017997</v>
      </c>
      <c r="AB18" s="49">
        <f t="shared" si="12"/>
        <v>0.12975231363482811</v>
      </c>
      <c r="AC18" s="38"/>
      <c r="AD18" s="48">
        <f>SUMPRODUCT(--('Input|Historical Data'!$AC$9:$AC$1180=$E18),--('Input|Historical Data'!$AM$9:$AM$1180="SCS"),--('Input|Historical Data'!$AK$9:$AK$1180=AD$5),'Input|Historical Data'!$AG$9:$AG$1180)</f>
        <v>2403.7939999999999</v>
      </c>
      <c r="AE18" s="48">
        <f>SUMPRODUCT(--('Input|Historical Data'!$AC$9:$AC$1180=$E18),--('Input|Historical Data'!$AM$9:$AM$1180="SCS"),--('Input|Historical Data'!$AL$9:$AL$1180=AE$5),'Input|Historical Data'!$AG$9:$AG$1180)</f>
        <v>1191.499</v>
      </c>
      <c r="AF18" s="48">
        <f>SUMPRODUCT(--('Input|Historical Data'!$AC$9:$AC$1180=$E18),--('Input|Historical Data'!$AM$9:$AM$1180="SCS"),--('Input|Historical Data'!$AL$9:$AL$1180=AF$5),'Input|Historical Data'!$AG$9:$AG$1180)</f>
        <v>448.02600000000007</v>
      </c>
      <c r="AG18" s="48">
        <f>SUMPRODUCT(--('Input|Historical Data'!$AC$9:$AC$1180=$E18),--('Input|Historical Data'!$AM$9:$AM$1180="SCS"),--('Input|Historical Data'!$AL$9:$AL$1180=AG$5),'Input|Historical Data'!$AG$9:$AG$1180)</f>
        <v>764.26900000000001</v>
      </c>
      <c r="AH18" s="48">
        <f>SUMPRODUCT(--('Input|Historical Data'!$AC$9:$AC$1180=$E18),--('Input|Historical Data'!$AM$9:$AM$1180="SCS"),--('Input|Historical Data'!$AK$9:$AK$1180=AH$5),'Input|Historical Data'!$AG$9:$AG$1180)</f>
        <v>239.124</v>
      </c>
      <c r="AI18" s="49">
        <f t="shared" si="17"/>
        <v>0.49567433815044054</v>
      </c>
      <c r="AJ18" s="49">
        <f t="shared" si="18"/>
        <v>0.18638285976252544</v>
      </c>
      <c r="AK18" s="49">
        <f t="shared" si="19"/>
        <v>0.31794280208703413</v>
      </c>
      <c r="AL18" s="49">
        <f t="shared" si="20"/>
        <v>9.9477742269096267E-2</v>
      </c>
      <c r="AM18" s="38"/>
      <c r="AN18" s="48"/>
      <c r="AO18" s="48"/>
      <c r="AP18" s="48"/>
      <c r="AQ18" s="48"/>
      <c r="AR18" s="48"/>
      <c r="AS18" s="49"/>
      <c r="AT18" s="49"/>
      <c r="AU18" s="49"/>
      <c r="AV18" s="49"/>
      <c r="AW18" s="38"/>
      <c r="AX18" s="49">
        <f t="shared" si="21"/>
        <v>0.49943673483579926</v>
      </c>
      <c r="AY18" s="49">
        <f t="shared" si="22"/>
        <v>0.22666498827805473</v>
      </c>
      <c r="AZ18" s="49">
        <f t="shared" si="23"/>
        <v>0.27389827688614604</v>
      </c>
      <c r="BA18" s="49">
        <f t="shared" si="24"/>
        <v>0.11373708996023583</v>
      </c>
      <c r="BB18" s="44"/>
    </row>
    <row r="19" spans="3:54" s="7" customFormat="1" outlineLevel="1" x14ac:dyDescent="0.3">
      <c r="C19" s="38"/>
      <c r="D19" s="38"/>
      <c r="E19" s="38" t="s">
        <v>552</v>
      </c>
      <c r="F19" s="38" t="s">
        <v>277</v>
      </c>
      <c r="G19" s="38" t="str">
        <f>VLOOKUP(E19,Mapping!$E$11:$G$204,3,0)</f>
        <v>Connections</v>
      </c>
      <c r="H19" s="38" t="str">
        <f>VLOOKUP(E19,Mapping!$E$11:$K$204,7,0)</f>
        <v>SCS</v>
      </c>
      <c r="I19" s="38"/>
      <c r="J19" s="48">
        <f>SUMPRODUCT(--('Input|Historical Data'!$E$9:$E$1179=$E19),--('Input|Historical Data'!$O$9:$O$1179="SCS"),--('Input|Historical Data'!$M$9:$M$1179=J$5),'Input|Historical Data'!$I$9:$I$1179)</f>
        <v>6752.4969999999994</v>
      </c>
      <c r="K19" s="48">
        <f>SUMPRODUCT(--('Input|Historical Data'!$E$9:$E$1179=$E19),--('Input|Historical Data'!$O$9:$O$1179="SCS"),--('Input|Historical Data'!$N$9:$N$1179=K$5),'Input|Historical Data'!$I$9:$I$1179)</f>
        <v>3316.5520000000001</v>
      </c>
      <c r="L19" s="48">
        <f>SUMPRODUCT(--('Input|Historical Data'!$E$9:$E$1179=$E19),--('Input|Historical Data'!$O$9:$O$1179="SCS"),--('Input|Historical Data'!$N$9:$N$1179=L$5),'Input|Historical Data'!$I$9:$I$1179)</f>
        <v>2254.9480000000003</v>
      </c>
      <c r="M19" s="48">
        <f>SUMPRODUCT(--('Input|Historical Data'!$E$9:$E$1179=$E19),--('Input|Historical Data'!$O$9:$O$1179="SCS"),--('Input|Historical Data'!$N$9:$N$1179=M$5),'Input|Historical Data'!$I$9:$I$1179)</f>
        <v>1180.9970000000001</v>
      </c>
      <c r="N19" s="48">
        <f>SUMPRODUCT(--('Input|Historical Data'!$E$9:$E$1179=$E19),--('Input|Historical Data'!$O$9:$O$1179="SCS"),--('Input|Historical Data'!$M$9:$M$1179=N$5),'Input|Historical Data'!$I$9:$I$1179)</f>
        <v>644.36699999999996</v>
      </c>
      <c r="O19" s="49">
        <f t="shared" si="7"/>
        <v>0.49115934446175985</v>
      </c>
      <c r="P19" s="49">
        <f t="shared" si="8"/>
        <v>0.33394283625746152</v>
      </c>
      <c r="Q19" s="49">
        <f t="shared" si="9"/>
        <v>0.17489781928077866</v>
      </c>
      <c r="R19" s="49">
        <f t="shared" si="10"/>
        <v>9.5426477049897249E-2</v>
      </c>
      <c r="S19" s="38"/>
      <c r="T19" s="48">
        <f>SUMPRODUCT(--('Input|Historical Data'!$Q$9:$Q$1179=$E19),--('Input|Historical Data'!$AA$9:$AA$1179="SCS"),--('Input|Historical Data'!$Y$9:$Y$1179=T$5),'Input|Historical Data'!$U$9:$U$1179)</f>
        <v>6357.4780000000001</v>
      </c>
      <c r="U19" s="48">
        <f>SUMPRODUCT(--('Input|Historical Data'!$Q$9:$Q$1179=$E19),--('Input|Historical Data'!$AA$9:$AA$1179="SCS"),--('Input|Historical Data'!$Z$9:$Z$1179=U$5),'Input|Historical Data'!$U$9:$U$1179)</f>
        <v>2997.893</v>
      </c>
      <c r="V19" s="48">
        <f>SUMPRODUCT(--('Input|Historical Data'!$Q$9:$Q$1179=$E19),--('Input|Historical Data'!$AA$9:$AA$1179="SCS"),--('Input|Historical Data'!$Z$9:$Z$1179=V$5),'Input|Historical Data'!$U$9:$U$1179)</f>
        <v>1956.0969999999998</v>
      </c>
      <c r="W19" s="48">
        <f>SUMPRODUCT(--('Input|Historical Data'!$Q$9:$Q$1179=$E19),--('Input|Historical Data'!$AA$9:$AA$1179="SCS"),--('Input|Historical Data'!$Z$9:$Z$1179=W$5),'Input|Historical Data'!$U$9:$U$1179)</f>
        <v>1403.4879999999998</v>
      </c>
      <c r="X19" s="48">
        <f>SUMPRODUCT(--('Input|Historical Data'!$Q$9:$Q$1179=$E19),--('Input|Historical Data'!$AA$9:$AA$1179="SCS"),--('Input|Historical Data'!$Y$9:$Y$1179=X$5),'Input|Historical Data'!$U$9:$U$1179)</f>
        <v>779.83900000000006</v>
      </c>
      <c r="Y19" s="49">
        <f t="shared" si="11"/>
        <v>0.47155381426408405</v>
      </c>
      <c r="Z19" s="49">
        <f t="shared" si="1"/>
        <v>0.30768443083876973</v>
      </c>
      <c r="AA19" s="49">
        <f t="shared" si="2"/>
        <v>0.22076175489714633</v>
      </c>
      <c r="AB19" s="49">
        <f t="shared" si="12"/>
        <v>0.12266483659086198</v>
      </c>
      <c r="AC19" s="38"/>
      <c r="AD19" s="48">
        <f>SUMPRODUCT(--('Input|Historical Data'!$AC$9:$AC$1180=$E19),--('Input|Historical Data'!$AM$9:$AM$1180="SCS"),--('Input|Historical Data'!$AK$9:$AK$1180=AD$5),'Input|Historical Data'!$AG$9:$AG$1180)</f>
        <v>4031.3089999999997</v>
      </c>
      <c r="AE19" s="48">
        <f>SUMPRODUCT(--('Input|Historical Data'!$AC$9:$AC$1180=$E19),--('Input|Historical Data'!$AM$9:$AM$1180="SCS"),--('Input|Historical Data'!$AL$9:$AL$1180=AE$5),'Input|Historical Data'!$AG$9:$AG$1180)</f>
        <v>1957.7149999999999</v>
      </c>
      <c r="AF19" s="48">
        <f>SUMPRODUCT(--('Input|Historical Data'!$AC$9:$AC$1180=$E19),--('Input|Historical Data'!$AM$9:$AM$1180="SCS"),--('Input|Historical Data'!$AL$9:$AL$1180=AF$5),'Input|Historical Data'!$AG$9:$AG$1180)</f>
        <v>1081.904</v>
      </c>
      <c r="AG19" s="48">
        <f>SUMPRODUCT(--('Input|Historical Data'!$AC$9:$AC$1180=$E19),--('Input|Historical Data'!$AM$9:$AM$1180="SCS"),--('Input|Historical Data'!$AL$9:$AL$1180=AG$5),'Input|Historical Data'!$AG$9:$AG$1180)</f>
        <v>991.69</v>
      </c>
      <c r="AH19" s="48">
        <f>SUMPRODUCT(--('Input|Historical Data'!$AC$9:$AC$1180=$E19),--('Input|Historical Data'!$AM$9:$AM$1180="SCS"),--('Input|Historical Data'!$AK$9:$AK$1180=AH$5),'Input|Historical Data'!$AG$9:$AG$1180)</f>
        <v>525.00599999999997</v>
      </c>
      <c r="AI19" s="49">
        <f t="shared" si="17"/>
        <v>0.48562762120194708</v>
      </c>
      <c r="AJ19" s="49">
        <f t="shared" si="18"/>
        <v>0.2683753589714904</v>
      </c>
      <c r="AK19" s="49">
        <f t="shared" si="19"/>
        <v>0.24599701982656258</v>
      </c>
      <c r="AL19" s="49">
        <f t="shared" si="20"/>
        <v>0.13023214047844012</v>
      </c>
      <c r="AM19" s="38"/>
      <c r="AN19" s="48"/>
      <c r="AO19" s="48"/>
      <c r="AP19" s="48"/>
      <c r="AQ19" s="48"/>
      <c r="AR19" s="48"/>
      <c r="AS19" s="49"/>
      <c r="AT19" s="49"/>
      <c r="AU19" s="49"/>
      <c r="AV19" s="49"/>
      <c r="AW19" s="38"/>
      <c r="AX19" s="49">
        <f t="shared" si="21"/>
        <v>0.47701507404088661</v>
      </c>
      <c r="AY19" s="49">
        <f t="shared" si="22"/>
        <v>0.29243077175419996</v>
      </c>
      <c r="AZ19" s="49">
        <f t="shared" si="23"/>
        <v>0.2305541542049134</v>
      </c>
      <c r="BA19" s="49">
        <f t="shared" si="24"/>
        <v>0.12560128530886233</v>
      </c>
      <c r="BB19" s="44"/>
    </row>
    <row r="20" spans="3:54" s="7" customFormat="1" outlineLevel="1" x14ac:dyDescent="0.3">
      <c r="C20" s="38"/>
      <c r="D20" s="38"/>
      <c r="E20" s="38" t="s">
        <v>524</v>
      </c>
      <c r="F20" s="38" t="s">
        <v>278</v>
      </c>
      <c r="G20" s="38" t="str">
        <f>VLOOKUP(E20,Mapping!$E$11:$G$204,3,0)</f>
        <v>Connections</v>
      </c>
      <c r="H20" s="38" t="str">
        <f>VLOOKUP(E20,Mapping!$E$11:$K$204,7,0)</f>
        <v>SCS</v>
      </c>
      <c r="I20" s="38"/>
      <c r="J20" s="48">
        <f>SUMPRODUCT(--('Input|Historical Data'!$E$9:$E$1179=$E20),--('Input|Historical Data'!$O$9:$O$1179="SCS"),--('Input|Historical Data'!$M$9:$M$1179=J$5),'Input|Historical Data'!$I$9:$I$1179)</f>
        <v>0</v>
      </c>
      <c r="K20" s="48">
        <f>SUMPRODUCT(--('Input|Historical Data'!$E$9:$E$1179=$E20),--('Input|Historical Data'!$O$9:$O$1179="SCS"),--('Input|Historical Data'!$N$9:$N$1179=K$5),'Input|Historical Data'!$I$9:$I$1179)</f>
        <v>0</v>
      </c>
      <c r="L20" s="48">
        <f>SUMPRODUCT(--('Input|Historical Data'!$E$9:$E$1179=$E20),--('Input|Historical Data'!$O$9:$O$1179="SCS"),--('Input|Historical Data'!$N$9:$N$1179=L$5),'Input|Historical Data'!$I$9:$I$1179)</f>
        <v>0</v>
      </c>
      <c r="M20" s="48">
        <f>SUMPRODUCT(--('Input|Historical Data'!$E$9:$E$1179=$E20),--('Input|Historical Data'!$O$9:$O$1179="SCS"),--('Input|Historical Data'!$N$9:$N$1179=M$5),'Input|Historical Data'!$I$9:$I$1179)</f>
        <v>0</v>
      </c>
      <c r="N20" s="48">
        <f>SUMPRODUCT(--('Input|Historical Data'!$E$9:$E$1179=$E20),--('Input|Historical Data'!$O$9:$O$1179="SCS"),--('Input|Historical Data'!$M$9:$M$1179=N$5),'Input|Historical Data'!$I$9:$I$1179)</f>
        <v>0</v>
      </c>
      <c r="O20" s="49">
        <f t="shared" si="7"/>
        <v>0</v>
      </c>
      <c r="P20" s="49">
        <f t="shared" si="8"/>
        <v>0</v>
      </c>
      <c r="Q20" s="49">
        <f t="shared" si="9"/>
        <v>0</v>
      </c>
      <c r="R20" s="49">
        <f t="shared" si="10"/>
        <v>0</v>
      </c>
      <c r="S20" s="38"/>
      <c r="T20" s="48">
        <f>SUMPRODUCT(--('Input|Historical Data'!$Q$9:$Q$1179=$E20),--('Input|Historical Data'!$AA$9:$AA$1179="SCS"),--('Input|Historical Data'!$Y$9:$Y$1179=T$5),'Input|Historical Data'!$U$9:$U$1179)</f>
        <v>0</v>
      </c>
      <c r="U20" s="48">
        <f>SUMPRODUCT(--('Input|Historical Data'!$Q$9:$Q$1179=$E20),--('Input|Historical Data'!$AA$9:$AA$1179="SCS"),--('Input|Historical Data'!$Z$9:$Z$1179=U$5),'Input|Historical Data'!$U$9:$U$1179)</f>
        <v>0</v>
      </c>
      <c r="V20" s="48">
        <f>SUMPRODUCT(--('Input|Historical Data'!$Q$9:$Q$1179=$E20),--('Input|Historical Data'!$AA$9:$AA$1179="SCS"),--('Input|Historical Data'!$Z$9:$Z$1179=V$5),'Input|Historical Data'!$U$9:$U$1179)</f>
        <v>0</v>
      </c>
      <c r="W20" s="48">
        <f>SUMPRODUCT(--('Input|Historical Data'!$Q$9:$Q$1179=$E20),--('Input|Historical Data'!$AA$9:$AA$1179="SCS"),--('Input|Historical Data'!$Z$9:$Z$1179=W$5),'Input|Historical Data'!$U$9:$U$1179)</f>
        <v>0</v>
      </c>
      <c r="X20" s="48">
        <f>SUMPRODUCT(--('Input|Historical Data'!$Q$9:$Q$1179=$E20),--('Input|Historical Data'!$AA$9:$AA$1179="SCS"),--('Input|Historical Data'!$Y$9:$Y$1179=X$5),'Input|Historical Data'!$U$9:$U$1179)</f>
        <v>0</v>
      </c>
      <c r="Y20" s="49">
        <f t="shared" si="11"/>
        <v>0</v>
      </c>
      <c r="Z20" s="49">
        <f t="shared" si="1"/>
        <v>0</v>
      </c>
      <c r="AA20" s="49">
        <f t="shared" si="2"/>
        <v>0</v>
      </c>
      <c r="AB20" s="49">
        <f t="shared" si="12"/>
        <v>0</v>
      </c>
      <c r="AC20" s="38"/>
      <c r="AD20" s="48">
        <f>SUMPRODUCT(--('Input|Historical Data'!$AC$9:$AC$1180=$E20),--('Input|Historical Data'!$AM$9:$AM$1180="SCS"),--('Input|Historical Data'!$AK$9:$AK$1180=AD$5),'Input|Historical Data'!$AG$9:$AG$1180)</f>
        <v>0</v>
      </c>
      <c r="AE20" s="48">
        <f>SUMPRODUCT(--('Input|Historical Data'!$AC$9:$AC$1180=$E20),--('Input|Historical Data'!$AM$9:$AM$1180="SCS"),--('Input|Historical Data'!$AL$9:$AL$1180=AE$5),'Input|Historical Data'!$AG$9:$AG$1180)</f>
        <v>0</v>
      </c>
      <c r="AF20" s="48">
        <f>SUMPRODUCT(--('Input|Historical Data'!$AC$9:$AC$1180=$E20),--('Input|Historical Data'!$AM$9:$AM$1180="SCS"),--('Input|Historical Data'!$AL$9:$AL$1180=AF$5),'Input|Historical Data'!$AG$9:$AG$1180)</f>
        <v>0</v>
      </c>
      <c r="AG20" s="48">
        <f>SUMPRODUCT(--('Input|Historical Data'!$AC$9:$AC$1180=$E20),--('Input|Historical Data'!$AM$9:$AM$1180="SCS"),--('Input|Historical Data'!$AL$9:$AL$1180=AG$5),'Input|Historical Data'!$AG$9:$AG$1180)</f>
        <v>0</v>
      </c>
      <c r="AH20" s="48">
        <f>SUMPRODUCT(--('Input|Historical Data'!$AC$9:$AC$1180=$E20),--('Input|Historical Data'!$AM$9:$AM$1180="SCS"),--('Input|Historical Data'!$AK$9:$AK$1180=AH$5),'Input|Historical Data'!$AG$9:$AG$1180)</f>
        <v>0</v>
      </c>
      <c r="AI20" s="49">
        <f t="shared" si="17"/>
        <v>0</v>
      </c>
      <c r="AJ20" s="49">
        <f t="shared" si="18"/>
        <v>0</v>
      </c>
      <c r="AK20" s="49">
        <f t="shared" si="19"/>
        <v>0</v>
      </c>
      <c r="AL20" s="49">
        <f t="shared" si="20"/>
        <v>0</v>
      </c>
      <c r="AM20" s="38"/>
      <c r="AN20" s="48"/>
      <c r="AO20" s="48"/>
      <c r="AP20" s="48"/>
      <c r="AQ20" s="48"/>
      <c r="AR20" s="48"/>
      <c r="AS20" s="49"/>
      <c r="AT20" s="49"/>
      <c r="AU20" s="49"/>
      <c r="AV20" s="49"/>
      <c r="AW20" s="38"/>
      <c r="AX20" s="49">
        <f t="shared" si="21"/>
        <v>0</v>
      </c>
      <c r="AY20" s="49">
        <f t="shared" si="22"/>
        <v>0</v>
      </c>
      <c r="AZ20" s="49">
        <f t="shared" si="23"/>
        <v>0</v>
      </c>
      <c r="BA20" s="49">
        <f t="shared" si="24"/>
        <v>0</v>
      </c>
      <c r="BB20" s="44"/>
    </row>
    <row r="21" spans="3:54" s="7" customFormat="1" outlineLevel="1" x14ac:dyDescent="0.3">
      <c r="C21" s="38"/>
      <c r="D21" s="38"/>
      <c r="E21" s="38" t="s">
        <v>526</v>
      </c>
      <c r="F21" s="38" t="s">
        <v>279</v>
      </c>
      <c r="G21" s="38" t="str">
        <f>VLOOKUP(E21,Mapping!$E$11:$G$204,3,0)</f>
        <v>Connections</v>
      </c>
      <c r="H21" s="38" t="str">
        <f>VLOOKUP(E21,Mapping!$E$11:$K$204,7,0)</f>
        <v>SCS</v>
      </c>
      <c r="I21" s="38"/>
      <c r="J21" s="48">
        <f>SUMPRODUCT(--('Input|Historical Data'!$E$9:$E$1179=$E21),--('Input|Historical Data'!$O$9:$O$1179="SCS"),--('Input|Historical Data'!$M$9:$M$1179=J$5),'Input|Historical Data'!$I$9:$I$1179)</f>
        <v>0</v>
      </c>
      <c r="K21" s="48">
        <f>SUMPRODUCT(--('Input|Historical Data'!$E$9:$E$1179=$E21),--('Input|Historical Data'!$O$9:$O$1179="SCS"),--('Input|Historical Data'!$N$9:$N$1179=K$5),'Input|Historical Data'!$I$9:$I$1179)</f>
        <v>0</v>
      </c>
      <c r="L21" s="48">
        <f>SUMPRODUCT(--('Input|Historical Data'!$E$9:$E$1179=$E21),--('Input|Historical Data'!$O$9:$O$1179="SCS"),--('Input|Historical Data'!$N$9:$N$1179=L$5),'Input|Historical Data'!$I$9:$I$1179)</f>
        <v>0</v>
      </c>
      <c r="M21" s="48">
        <f>SUMPRODUCT(--('Input|Historical Data'!$E$9:$E$1179=$E21),--('Input|Historical Data'!$O$9:$O$1179="SCS"),--('Input|Historical Data'!$N$9:$N$1179=M$5),'Input|Historical Data'!$I$9:$I$1179)</f>
        <v>0</v>
      </c>
      <c r="N21" s="48">
        <f>SUMPRODUCT(--('Input|Historical Data'!$E$9:$E$1179=$E21),--('Input|Historical Data'!$O$9:$O$1179="SCS"),--('Input|Historical Data'!$M$9:$M$1179=N$5),'Input|Historical Data'!$I$9:$I$1179)</f>
        <v>0</v>
      </c>
      <c r="O21" s="49">
        <f t="shared" si="7"/>
        <v>0</v>
      </c>
      <c r="P21" s="49">
        <f t="shared" si="8"/>
        <v>0</v>
      </c>
      <c r="Q21" s="49">
        <f t="shared" si="9"/>
        <v>0</v>
      </c>
      <c r="R21" s="49">
        <f t="shared" si="10"/>
        <v>0</v>
      </c>
      <c r="S21" s="38"/>
      <c r="T21" s="48">
        <f>SUMPRODUCT(--('Input|Historical Data'!$Q$9:$Q$1179=$E21),--('Input|Historical Data'!$AA$9:$AA$1179="SCS"),--('Input|Historical Data'!$Y$9:$Y$1179=T$5),'Input|Historical Data'!$U$9:$U$1179)</f>
        <v>0</v>
      </c>
      <c r="U21" s="48">
        <f>SUMPRODUCT(--('Input|Historical Data'!$Q$9:$Q$1179=$E21),--('Input|Historical Data'!$AA$9:$AA$1179="SCS"),--('Input|Historical Data'!$Z$9:$Z$1179=U$5),'Input|Historical Data'!$U$9:$U$1179)</f>
        <v>0</v>
      </c>
      <c r="V21" s="48">
        <f>SUMPRODUCT(--('Input|Historical Data'!$Q$9:$Q$1179=$E21),--('Input|Historical Data'!$AA$9:$AA$1179="SCS"),--('Input|Historical Data'!$Z$9:$Z$1179=V$5),'Input|Historical Data'!$U$9:$U$1179)</f>
        <v>0</v>
      </c>
      <c r="W21" s="48">
        <f>SUMPRODUCT(--('Input|Historical Data'!$Q$9:$Q$1179=$E21),--('Input|Historical Data'!$AA$9:$AA$1179="SCS"),--('Input|Historical Data'!$Z$9:$Z$1179=W$5),'Input|Historical Data'!$U$9:$U$1179)</f>
        <v>0</v>
      </c>
      <c r="X21" s="48">
        <f>SUMPRODUCT(--('Input|Historical Data'!$Q$9:$Q$1179=$E21),--('Input|Historical Data'!$AA$9:$AA$1179="SCS"),--('Input|Historical Data'!$Y$9:$Y$1179=X$5),'Input|Historical Data'!$U$9:$U$1179)</f>
        <v>0</v>
      </c>
      <c r="Y21" s="49">
        <f t="shared" si="11"/>
        <v>0</v>
      </c>
      <c r="Z21" s="49">
        <f t="shared" si="1"/>
        <v>0</v>
      </c>
      <c r="AA21" s="49">
        <f t="shared" si="2"/>
        <v>0</v>
      </c>
      <c r="AB21" s="49">
        <f t="shared" si="12"/>
        <v>0</v>
      </c>
      <c r="AC21" s="38"/>
      <c r="AD21" s="48">
        <f>SUMPRODUCT(--('Input|Historical Data'!$AC$9:$AC$1180=$E21),--('Input|Historical Data'!$AM$9:$AM$1180="SCS"),--('Input|Historical Data'!$AK$9:$AK$1180=AD$5),'Input|Historical Data'!$AG$9:$AG$1180)</f>
        <v>0</v>
      </c>
      <c r="AE21" s="48">
        <f>SUMPRODUCT(--('Input|Historical Data'!$AC$9:$AC$1180=$E21),--('Input|Historical Data'!$AM$9:$AM$1180="SCS"),--('Input|Historical Data'!$AL$9:$AL$1180=AE$5),'Input|Historical Data'!$AG$9:$AG$1180)</f>
        <v>0</v>
      </c>
      <c r="AF21" s="48">
        <f>SUMPRODUCT(--('Input|Historical Data'!$AC$9:$AC$1180=$E21),--('Input|Historical Data'!$AM$9:$AM$1180="SCS"),--('Input|Historical Data'!$AL$9:$AL$1180=AF$5),'Input|Historical Data'!$AG$9:$AG$1180)</f>
        <v>0</v>
      </c>
      <c r="AG21" s="48">
        <f>SUMPRODUCT(--('Input|Historical Data'!$AC$9:$AC$1180=$E21),--('Input|Historical Data'!$AM$9:$AM$1180="SCS"),--('Input|Historical Data'!$AL$9:$AL$1180=AG$5),'Input|Historical Data'!$AG$9:$AG$1180)</f>
        <v>0</v>
      </c>
      <c r="AH21" s="48">
        <f>SUMPRODUCT(--('Input|Historical Data'!$AC$9:$AC$1180=$E21),--('Input|Historical Data'!$AM$9:$AM$1180="SCS"),--('Input|Historical Data'!$AK$9:$AK$1180=AH$5),'Input|Historical Data'!$AG$9:$AG$1180)</f>
        <v>0</v>
      </c>
      <c r="AI21" s="49">
        <f t="shared" si="17"/>
        <v>0</v>
      </c>
      <c r="AJ21" s="49">
        <f t="shared" si="18"/>
        <v>0</v>
      </c>
      <c r="AK21" s="49">
        <f t="shared" si="19"/>
        <v>0</v>
      </c>
      <c r="AL21" s="49">
        <f t="shared" si="20"/>
        <v>0</v>
      </c>
      <c r="AM21" s="38"/>
      <c r="AN21" s="48"/>
      <c r="AO21" s="48"/>
      <c r="AP21" s="48"/>
      <c r="AQ21" s="48"/>
      <c r="AR21" s="48"/>
      <c r="AS21" s="49"/>
      <c r="AT21" s="49"/>
      <c r="AU21" s="49"/>
      <c r="AV21" s="49"/>
      <c r="AW21" s="38"/>
      <c r="AX21" s="49">
        <f t="shared" si="21"/>
        <v>0</v>
      </c>
      <c r="AY21" s="49">
        <f t="shared" si="22"/>
        <v>0</v>
      </c>
      <c r="AZ21" s="49">
        <f t="shared" si="23"/>
        <v>0</v>
      </c>
      <c r="BA21" s="49">
        <f t="shared" si="24"/>
        <v>0</v>
      </c>
      <c r="BB21" s="44"/>
    </row>
    <row r="22" spans="3:54" s="7" customFormat="1" outlineLevel="1" x14ac:dyDescent="0.3">
      <c r="C22" s="38"/>
      <c r="D22" s="38"/>
      <c r="E22" s="38" t="s">
        <v>99</v>
      </c>
      <c r="F22" s="38" t="s">
        <v>280</v>
      </c>
      <c r="G22" s="38" t="str">
        <f>VLOOKUP(E22,Mapping!$E$11:$G$204,3,0)</f>
        <v>Connections</v>
      </c>
      <c r="H22" s="38" t="str">
        <f>VLOOKUP(E22,Mapping!$E$11:$K$204,7,0)</f>
        <v>SCS</v>
      </c>
      <c r="I22" s="38"/>
      <c r="J22" s="48">
        <f>SUMPRODUCT(--('Input|Historical Data'!$E$9:$E$1179=$E22),--('Input|Historical Data'!$O$9:$O$1179="SCS"),--('Input|Historical Data'!$M$9:$M$1179=J$5),'Input|Historical Data'!$I$9:$I$1179)</f>
        <v>0</v>
      </c>
      <c r="K22" s="48">
        <f>SUMPRODUCT(--('Input|Historical Data'!$E$9:$E$1179=$E22),--('Input|Historical Data'!$O$9:$O$1179="SCS"),--('Input|Historical Data'!$N$9:$N$1179=K$5),'Input|Historical Data'!$I$9:$I$1179)</f>
        <v>0</v>
      </c>
      <c r="L22" s="48">
        <f>SUMPRODUCT(--('Input|Historical Data'!$E$9:$E$1179=$E22),--('Input|Historical Data'!$O$9:$O$1179="SCS"),--('Input|Historical Data'!$N$9:$N$1179=L$5),'Input|Historical Data'!$I$9:$I$1179)</f>
        <v>0</v>
      </c>
      <c r="M22" s="48">
        <f>SUMPRODUCT(--('Input|Historical Data'!$E$9:$E$1179=$E22),--('Input|Historical Data'!$O$9:$O$1179="SCS"),--('Input|Historical Data'!$N$9:$N$1179=M$5),'Input|Historical Data'!$I$9:$I$1179)</f>
        <v>0</v>
      </c>
      <c r="N22" s="48">
        <f>SUMPRODUCT(--('Input|Historical Data'!$E$9:$E$1179=$E22),--('Input|Historical Data'!$O$9:$O$1179="SCS"),--('Input|Historical Data'!$M$9:$M$1179=N$5),'Input|Historical Data'!$I$9:$I$1179)</f>
        <v>0</v>
      </c>
      <c r="O22" s="49">
        <f t="shared" si="7"/>
        <v>0</v>
      </c>
      <c r="P22" s="49">
        <f t="shared" si="8"/>
        <v>0</v>
      </c>
      <c r="Q22" s="49">
        <f t="shared" si="9"/>
        <v>0</v>
      </c>
      <c r="R22" s="49">
        <f t="shared" si="10"/>
        <v>0</v>
      </c>
      <c r="S22" s="38"/>
      <c r="T22" s="48">
        <f>SUMPRODUCT(--('Input|Historical Data'!$Q$9:$Q$1179=$E22),--('Input|Historical Data'!$AA$9:$AA$1179="SCS"),--('Input|Historical Data'!$Y$9:$Y$1179=T$5),'Input|Historical Data'!$U$9:$U$1179)</f>
        <v>0</v>
      </c>
      <c r="U22" s="48">
        <f>SUMPRODUCT(--('Input|Historical Data'!$Q$9:$Q$1179=$E22),--('Input|Historical Data'!$AA$9:$AA$1179="SCS"),--('Input|Historical Data'!$Z$9:$Z$1179=U$5),'Input|Historical Data'!$U$9:$U$1179)</f>
        <v>0</v>
      </c>
      <c r="V22" s="48">
        <f>SUMPRODUCT(--('Input|Historical Data'!$Q$9:$Q$1179=$E22),--('Input|Historical Data'!$AA$9:$AA$1179="SCS"),--('Input|Historical Data'!$Z$9:$Z$1179=V$5),'Input|Historical Data'!$U$9:$U$1179)</f>
        <v>0</v>
      </c>
      <c r="W22" s="48">
        <f>SUMPRODUCT(--('Input|Historical Data'!$Q$9:$Q$1179=$E22),--('Input|Historical Data'!$AA$9:$AA$1179="SCS"),--('Input|Historical Data'!$Z$9:$Z$1179=W$5),'Input|Historical Data'!$U$9:$U$1179)</f>
        <v>0</v>
      </c>
      <c r="X22" s="48">
        <f>SUMPRODUCT(--('Input|Historical Data'!$Q$9:$Q$1179=$E22),--('Input|Historical Data'!$AA$9:$AA$1179="SCS"),--('Input|Historical Data'!$Y$9:$Y$1179=X$5),'Input|Historical Data'!$U$9:$U$1179)</f>
        <v>0</v>
      </c>
      <c r="Y22" s="49">
        <f t="shared" si="11"/>
        <v>0</v>
      </c>
      <c r="Z22" s="49">
        <f t="shared" si="1"/>
        <v>0</v>
      </c>
      <c r="AA22" s="49">
        <f t="shared" si="2"/>
        <v>0</v>
      </c>
      <c r="AB22" s="49">
        <f t="shared" si="12"/>
        <v>0</v>
      </c>
      <c r="AC22" s="38"/>
      <c r="AD22" s="48">
        <f>SUMPRODUCT(--('Input|Historical Data'!$AC$9:$AC$1180=$E22),--('Input|Historical Data'!$AM$9:$AM$1180="SCS"),--('Input|Historical Data'!$AK$9:$AK$1180=AD$5),'Input|Historical Data'!$AG$9:$AG$1180)</f>
        <v>0</v>
      </c>
      <c r="AE22" s="48">
        <f>SUMPRODUCT(--('Input|Historical Data'!$AC$9:$AC$1180=$E22),--('Input|Historical Data'!$AM$9:$AM$1180="SCS"),--('Input|Historical Data'!$AL$9:$AL$1180=AE$5),'Input|Historical Data'!$AG$9:$AG$1180)</f>
        <v>0</v>
      </c>
      <c r="AF22" s="48">
        <f>SUMPRODUCT(--('Input|Historical Data'!$AC$9:$AC$1180=$E22),--('Input|Historical Data'!$AM$9:$AM$1180="SCS"),--('Input|Historical Data'!$AL$9:$AL$1180=AF$5),'Input|Historical Data'!$AG$9:$AG$1180)</f>
        <v>0</v>
      </c>
      <c r="AG22" s="48">
        <f>SUMPRODUCT(--('Input|Historical Data'!$AC$9:$AC$1180=$E22),--('Input|Historical Data'!$AM$9:$AM$1180="SCS"),--('Input|Historical Data'!$AL$9:$AL$1180=AG$5),'Input|Historical Data'!$AG$9:$AG$1180)</f>
        <v>0</v>
      </c>
      <c r="AH22" s="48">
        <f>SUMPRODUCT(--('Input|Historical Data'!$AC$9:$AC$1180=$E22),--('Input|Historical Data'!$AM$9:$AM$1180="SCS"),--('Input|Historical Data'!$AK$9:$AK$1180=AH$5),'Input|Historical Data'!$AG$9:$AG$1180)</f>
        <v>0</v>
      </c>
      <c r="AI22" s="49">
        <f t="shared" si="17"/>
        <v>0</v>
      </c>
      <c r="AJ22" s="49">
        <f t="shared" si="18"/>
        <v>0</v>
      </c>
      <c r="AK22" s="49">
        <f t="shared" si="19"/>
        <v>0</v>
      </c>
      <c r="AL22" s="49">
        <f t="shared" si="20"/>
        <v>0</v>
      </c>
      <c r="AM22" s="38"/>
      <c r="AN22" s="48"/>
      <c r="AO22" s="48"/>
      <c r="AP22" s="48"/>
      <c r="AQ22" s="48"/>
      <c r="AR22" s="48"/>
      <c r="AS22" s="49"/>
      <c r="AT22" s="49"/>
      <c r="AU22" s="49"/>
      <c r="AV22" s="49"/>
      <c r="AW22" s="38"/>
      <c r="AX22" s="49">
        <f t="shared" si="21"/>
        <v>0</v>
      </c>
      <c r="AY22" s="49">
        <f t="shared" si="22"/>
        <v>0</v>
      </c>
      <c r="AZ22" s="49">
        <f t="shared" si="23"/>
        <v>0</v>
      </c>
      <c r="BA22" s="49">
        <f t="shared" si="24"/>
        <v>0</v>
      </c>
      <c r="BB22" s="44"/>
    </row>
    <row r="23" spans="3:54" s="7" customFormat="1" outlineLevel="1" x14ac:dyDescent="0.3">
      <c r="C23" s="38"/>
      <c r="D23" s="38"/>
      <c r="E23" s="38" t="s">
        <v>100</v>
      </c>
      <c r="F23" s="38" t="s">
        <v>281</v>
      </c>
      <c r="G23" s="38" t="str">
        <f>VLOOKUP(E23,Mapping!$E$11:$G$204,3,0)</f>
        <v>Connections</v>
      </c>
      <c r="H23" s="38" t="str">
        <f>VLOOKUP(E23,Mapping!$E$11:$K$204,7,0)</f>
        <v>SCS</v>
      </c>
      <c r="I23" s="38"/>
      <c r="J23" s="48">
        <f>SUMPRODUCT(--('Input|Historical Data'!$E$9:$E$1179=$E23),--('Input|Historical Data'!$O$9:$O$1179="SCS"),--('Input|Historical Data'!$M$9:$M$1179=J$5),'Input|Historical Data'!$I$9:$I$1179)</f>
        <v>0</v>
      </c>
      <c r="K23" s="48">
        <f>SUMPRODUCT(--('Input|Historical Data'!$E$9:$E$1179=$E23),--('Input|Historical Data'!$O$9:$O$1179="SCS"),--('Input|Historical Data'!$N$9:$N$1179=K$5),'Input|Historical Data'!$I$9:$I$1179)</f>
        <v>0</v>
      </c>
      <c r="L23" s="48">
        <f>SUMPRODUCT(--('Input|Historical Data'!$E$9:$E$1179=$E23),--('Input|Historical Data'!$O$9:$O$1179="SCS"),--('Input|Historical Data'!$N$9:$N$1179=L$5),'Input|Historical Data'!$I$9:$I$1179)</f>
        <v>0</v>
      </c>
      <c r="M23" s="48">
        <f>SUMPRODUCT(--('Input|Historical Data'!$E$9:$E$1179=$E23),--('Input|Historical Data'!$O$9:$O$1179="SCS"),--('Input|Historical Data'!$N$9:$N$1179=M$5),'Input|Historical Data'!$I$9:$I$1179)</f>
        <v>0</v>
      </c>
      <c r="N23" s="48">
        <f>SUMPRODUCT(--('Input|Historical Data'!$E$9:$E$1179=$E23),--('Input|Historical Data'!$O$9:$O$1179="SCS"),--('Input|Historical Data'!$M$9:$M$1179=N$5),'Input|Historical Data'!$I$9:$I$1179)</f>
        <v>0</v>
      </c>
      <c r="O23" s="49">
        <f t="shared" si="7"/>
        <v>0</v>
      </c>
      <c r="P23" s="49">
        <f t="shared" si="8"/>
        <v>0</v>
      </c>
      <c r="Q23" s="49">
        <f t="shared" si="9"/>
        <v>0</v>
      </c>
      <c r="R23" s="49">
        <f t="shared" si="10"/>
        <v>0</v>
      </c>
      <c r="S23" s="38"/>
      <c r="T23" s="48">
        <f>SUMPRODUCT(--('Input|Historical Data'!$Q$9:$Q$1179=$E23),--('Input|Historical Data'!$AA$9:$AA$1179="SCS"),--('Input|Historical Data'!$Y$9:$Y$1179=T$5),'Input|Historical Data'!$U$9:$U$1179)</f>
        <v>0</v>
      </c>
      <c r="U23" s="48">
        <f>SUMPRODUCT(--('Input|Historical Data'!$Q$9:$Q$1179=$E23),--('Input|Historical Data'!$AA$9:$AA$1179="SCS"),--('Input|Historical Data'!$Z$9:$Z$1179=U$5),'Input|Historical Data'!$U$9:$U$1179)</f>
        <v>0</v>
      </c>
      <c r="V23" s="48">
        <f>SUMPRODUCT(--('Input|Historical Data'!$Q$9:$Q$1179=$E23),--('Input|Historical Data'!$AA$9:$AA$1179="SCS"),--('Input|Historical Data'!$Z$9:$Z$1179=V$5),'Input|Historical Data'!$U$9:$U$1179)</f>
        <v>0</v>
      </c>
      <c r="W23" s="48">
        <f>SUMPRODUCT(--('Input|Historical Data'!$Q$9:$Q$1179=$E23),--('Input|Historical Data'!$AA$9:$AA$1179="SCS"),--('Input|Historical Data'!$Z$9:$Z$1179=W$5),'Input|Historical Data'!$U$9:$U$1179)</f>
        <v>0</v>
      </c>
      <c r="X23" s="48">
        <f>SUMPRODUCT(--('Input|Historical Data'!$Q$9:$Q$1179=$E23),--('Input|Historical Data'!$AA$9:$AA$1179="SCS"),--('Input|Historical Data'!$Y$9:$Y$1179=X$5),'Input|Historical Data'!$U$9:$U$1179)</f>
        <v>0</v>
      </c>
      <c r="Y23" s="49">
        <f t="shared" si="11"/>
        <v>0</v>
      </c>
      <c r="Z23" s="49">
        <f t="shared" si="1"/>
        <v>0</v>
      </c>
      <c r="AA23" s="49">
        <f t="shared" si="2"/>
        <v>0</v>
      </c>
      <c r="AB23" s="49">
        <f t="shared" si="12"/>
        <v>0</v>
      </c>
      <c r="AC23" s="38"/>
      <c r="AD23" s="48">
        <f>SUMPRODUCT(--('Input|Historical Data'!$AC$9:$AC$1180=$E23),--('Input|Historical Data'!$AM$9:$AM$1180="SCS"),--('Input|Historical Data'!$AK$9:$AK$1180=AD$5),'Input|Historical Data'!$AG$9:$AG$1180)</f>
        <v>0</v>
      </c>
      <c r="AE23" s="48">
        <f>SUMPRODUCT(--('Input|Historical Data'!$AC$9:$AC$1180=$E23),--('Input|Historical Data'!$AM$9:$AM$1180="SCS"),--('Input|Historical Data'!$AL$9:$AL$1180=AE$5),'Input|Historical Data'!$AG$9:$AG$1180)</f>
        <v>0</v>
      </c>
      <c r="AF23" s="48">
        <f>SUMPRODUCT(--('Input|Historical Data'!$AC$9:$AC$1180=$E23),--('Input|Historical Data'!$AM$9:$AM$1180="SCS"),--('Input|Historical Data'!$AL$9:$AL$1180=AF$5),'Input|Historical Data'!$AG$9:$AG$1180)</f>
        <v>0</v>
      </c>
      <c r="AG23" s="48">
        <f>SUMPRODUCT(--('Input|Historical Data'!$AC$9:$AC$1180=$E23),--('Input|Historical Data'!$AM$9:$AM$1180="SCS"),--('Input|Historical Data'!$AL$9:$AL$1180=AG$5),'Input|Historical Data'!$AG$9:$AG$1180)</f>
        <v>0</v>
      </c>
      <c r="AH23" s="48">
        <f>SUMPRODUCT(--('Input|Historical Data'!$AC$9:$AC$1180=$E23),--('Input|Historical Data'!$AM$9:$AM$1180="SCS"),--('Input|Historical Data'!$AK$9:$AK$1180=AH$5),'Input|Historical Data'!$AG$9:$AG$1180)</f>
        <v>0</v>
      </c>
      <c r="AI23" s="49">
        <f t="shared" si="17"/>
        <v>0</v>
      </c>
      <c r="AJ23" s="49">
        <f t="shared" si="18"/>
        <v>0</v>
      </c>
      <c r="AK23" s="49">
        <f t="shared" si="19"/>
        <v>0</v>
      </c>
      <c r="AL23" s="49">
        <f t="shared" si="20"/>
        <v>0</v>
      </c>
      <c r="AM23" s="38"/>
      <c r="AN23" s="48"/>
      <c r="AO23" s="48"/>
      <c r="AP23" s="48"/>
      <c r="AQ23" s="48"/>
      <c r="AR23" s="48"/>
      <c r="AS23" s="49"/>
      <c r="AT23" s="49"/>
      <c r="AU23" s="49"/>
      <c r="AV23" s="49"/>
      <c r="AW23" s="38"/>
      <c r="AX23" s="49">
        <f t="shared" si="21"/>
        <v>0</v>
      </c>
      <c r="AY23" s="49">
        <f t="shared" si="22"/>
        <v>0</v>
      </c>
      <c r="AZ23" s="49">
        <f t="shared" si="23"/>
        <v>0</v>
      </c>
      <c r="BA23" s="49">
        <f t="shared" si="24"/>
        <v>0</v>
      </c>
      <c r="BB23" s="44"/>
    </row>
    <row r="24" spans="3:54" s="7" customFormat="1" outlineLevel="1" x14ac:dyDescent="0.3">
      <c r="C24" s="38"/>
      <c r="D24" s="38"/>
      <c r="E24" s="38" t="s">
        <v>553</v>
      </c>
      <c r="F24" s="38" t="s">
        <v>282</v>
      </c>
      <c r="G24" s="38" t="str">
        <f>VLOOKUP(E24,Mapping!$E$11:$G$204,3,0)</f>
        <v>Connections</v>
      </c>
      <c r="H24" s="38" t="str">
        <f>VLOOKUP(E24,Mapping!$E$11:$K$204,7,0)</f>
        <v>SCS</v>
      </c>
      <c r="I24" s="38"/>
      <c r="J24" s="48">
        <f>SUMPRODUCT(--('Input|Historical Data'!$E$9:$E$1179=$E24),--('Input|Historical Data'!$O$9:$O$1179="SCS"),--('Input|Historical Data'!$M$9:$M$1179=J$5),'Input|Historical Data'!$I$9:$I$1179)</f>
        <v>1549.7170000000001</v>
      </c>
      <c r="K24" s="48">
        <f>SUMPRODUCT(--('Input|Historical Data'!$E$9:$E$1179=$E24),--('Input|Historical Data'!$O$9:$O$1179="SCS"),--('Input|Historical Data'!$N$9:$N$1179=K$5),'Input|Historical Data'!$I$9:$I$1179)</f>
        <v>632.44000000000005</v>
      </c>
      <c r="L24" s="48">
        <f>SUMPRODUCT(--('Input|Historical Data'!$E$9:$E$1179=$E24),--('Input|Historical Data'!$O$9:$O$1179="SCS"),--('Input|Historical Data'!$N$9:$N$1179=L$5),'Input|Historical Data'!$I$9:$I$1179)</f>
        <v>385.86</v>
      </c>
      <c r="M24" s="48">
        <f>SUMPRODUCT(--('Input|Historical Data'!$E$9:$E$1179=$E24),--('Input|Historical Data'!$O$9:$O$1179="SCS"),--('Input|Historical Data'!$N$9:$N$1179=M$5),'Input|Historical Data'!$I$9:$I$1179)</f>
        <v>531.41700000000003</v>
      </c>
      <c r="N24" s="48">
        <f>SUMPRODUCT(--('Input|Historical Data'!$E$9:$E$1179=$E24),--('Input|Historical Data'!$O$9:$O$1179="SCS"),--('Input|Historical Data'!$M$9:$M$1179=N$5),'Input|Historical Data'!$I$9:$I$1179)</f>
        <v>114.52500000000001</v>
      </c>
      <c r="O24" s="49">
        <f t="shared" si="7"/>
        <v>0.40810031767090377</v>
      </c>
      <c r="P24" s="49">
        <f t="shared" si="8"/>
        <v>0.24898739576322643</v>
      </c>
      <c r="Q24" s="49">
        <f t="shared" si="9"/>
        <v>0.34291228656586975</v>
      </c>
      <c r="R24" s="49">
        <f t="shared" si="10"/>
        <v>7.3900589591518961E-2</v>
      </c>
      <c r="S24" s="38"/>
      <c r="T24" s="48">
        <f>SUMPRODUCT(--('Input|Historical Data'!$Q$9:$Q$1179=$E24),--('Input|Historical Data'!$AA$9:$AA$1179="SCS"),--('Input|Historical Data'!$Y$9:$Y$1179=T$5),'Input|Historical Data'!$U$9:$U$1179)</f>
        <v>2065.4160000000002</v>
      </c>
      <c r="U24" s="48">
        <f>SUMPRODUCT(--('Input|Historical Data'!$Q$9:$Q$1179=$E24),--('Input|Historical Data'!$AA$9:$AA$1179="SCS"),--('Input|Historical Data'!$Z$9:$Z$1179=U$5),'Input|Historical Data'!$U$9:$U$1179)</f>
        <v>678.56500000000005</v>
      </c>
      <c r="V24" s="48">
        <f>SUMPRODUCT(--('Input|Historical Data'!$Q$9:$Q$1179=$E24),--('Input|Historical Data'!$AA$9:$AA$1179="SCS"),--('Input|Historical Data'!$Z$9:$Z$1179=V$5),'Input|Historical Data'!$U$9:$U$1179)</f>
        <v>338.995</v>
      </c>
      <c r="W24" s="48">
        <f>SUMPRODUCT(--('Input|Historical Data'!$Q$9:$Q$1179=$E24),--('Input|Historical Data'!$AA$9:$AA$1179="SCS"),--('Input|Historical Data'!$Z$9:$Z$1179=W$5),'Input|Historical Data'!$U$9:$U$1179)</f>
        <v>1047.856</v>
      </c>
      <c r="X24" s="48">
        <f>SUMPRODUCT(--('Input|Historical Data'!$Q$9:$Q$1179=$E24),--('Input|Historical Data'!$AA$9:$AA$1179="SCS"),--('Input|Historical Data'!$Y$9:$Y$1179=X$5),'Input|Historical Data'!$U$9:$U$1179)</f>
        <v>154.32</v>
      </c>
      <c r="Y24" s="49">
        <f t="shared" si="11"/>
        <v>0.32853672093176389</v>
      </c>
      <c r="Z24" s="49">
        <f t="shared" si="1"/>
        <v>0.1641291633259353</v>
      </c>
      <c r="AA24" s="49">
        <f t="shared" si="2"/>
        <v>0.50733411574230081</v>
      </c>
      <c r="AB24" s="49">
        <f t="shared" si="12"/>
        <v>7.4716183083698387E-2</v>
      </c>
      <c r="AC24" s="38"/>
      <c r="AD24" s="48">
        <f>SUMPRODUCT(--('Input|Historical Data'!$AC$9:$AC$1180=$E24),--('Input|Historical Data'!$AM$9:$AM$1180="SCS"),--('Input|Historical Data'!$AK$9:$AK$1180=AD$5),'Input|Historical Data'!$AG$9:$AG$1180)</f>
        <v>3452.248</v>
      </c>
      <c r="AE24" s="48">
        <f>SUMPRODUCT(--('Input|Historical Data'!$AC$9:$AC$1180=$E24),--('Input|Historical Data'!$AM$9:$AM$1180="SCS"),--('Input|Historical Data'!$AL$9:$AL$1180=AE$5),'Input|Historical Data'!$AG$9:$AG$1180)</f>
        <v>522.31200000000001</v>
      </c>
      <c r="AF24" s="48">
        <f>SUMPRODUCT(--('Input|Historical Data'!$AC$9:$AC$1180=$E24),--('Input|Historical Data'!$AM$9:$AM$1180="SCS"),--('Input|Historical Data'!$AL$9:$AL$1180=AF$5),'Input|Historical Data'!$AG$9:$AG$1180)</f>
        <v>351.19</v>
      </c>
      <c r="AG24" s="48">
        <f>SUMPRODUCT(--('Input|Historical Data'!$AC$9:$AC$1180=$E24),--('Input|Historical Data'!$AM$9:$AM$1180="SCS"),--('Input|Historical Data'!$AL$9:$AL$1180=AG$5),'Input|Historical Data'!$AG$9:$AG$1180)</f>
        <v>2578.7460000000001</v>
      </c>
      <c r="AH24" s="48">
        <f>SUMPRODUCT(--('Input|Historical Data'!$AC$9:$AC$1180=$E24),--('Input|Historical Data'!$AM$9:$AM$1180="SCS"),--('Input|Historical Data'!$AK$9:$AK$1180=AH$5),'Input|Historical Data'!$AG$9:$AG$1180)</f>
        <v>130.197</v>
      </c>
      <c r="AI24" s="49">
        <f t="shared" si="17"/>
        <v>0.15129619888258317</v>
      </c>
      <c r="AJ24" s="49">
        <f t="shared" si="18"/>
        <v>0.10172791757718448</v>
      </c>
      <c r="AK24" s="49">
        <f t="shared" si="19"/>
        <v>0.74697588354023237</v>
      </c>
      <c r="AL24" s="49">
        <f t="shared" si="20"/>
        <v>3.7713686849843928E-2</v>
      </c>
      <c r="AM24" s="38"/>
      <c r="AN24" s="48"/>
      <c r="AO24" s="48"/>
      <c r="AP24" s="48"/>
      <c r="AQ24" s="48"/>
      <c r="AR24" s="48"/>
      <c r="AS24" s="49"/>
      <c r="AT24" s="49"/>
      <c r="AU24" s="49"/>
      <c r="AV24" s="49"/>
      <c r="AW24" s="38"/>
      <c r="AX24" s="49">
        <f t="shared" si="21"/>
        <v>0.21764228485098039</v>
      </c>
      <c r="AY24" s="49">
        <f t="shared" si="22"/>
        <v>0.12508644962795848</v>
      </c>
      <c r="AZ24" s="49">
        <f t="shared" si="23"/>
        <v>0.65727126552106097</v>
      </c>
      <c r="BA24" s="49">
        <f t="shared" si="24"/>
        <v>5.1564756389660543E-2</v>
      </c>
      <c r="BB24" s="44"/>
    </row>
    <row r="25" spans="3:54" s="7" customFormat="1" outlineLevel="1" x14ac:dyDescent="0.3">
      <c r="C25" s="38"/>
      <c r="D25" s="38"/>
      <c r="E25" s="38" t="s">
        <v>554</v>
      </c>
      <c r="F25" s="38" t="s">
        <v>282</v>
      </c>
      <c r="G25" s="38" t="str">
        <f>VLOOKUP(E25,Mapping!$E$11:$G$204,3,0)</f>
        <v>Connections</v>
      </c>
      <c r="H25" s="38" t="str">
        <f>VLOOKUP(E25,Mapping!$E$11:$K$204,7,0)</f>
        <v>SCS</v>
      </c>
      <c r="I25" s="38"/>
      <c r="J25" s="48">
        <f>SUMPRODUCT(--('Input|Historical Data'!$E$9:$E$1179=$E25),--('Input|Historical Data'!$O$9:$O$1179="SCS"),--('Input|Historical Data'!$M$9:$M$1179=J$5),'Input|Historical Data'!$I$9:$I$1179)</f>
        <v>0</v>
      </c>
      <c r="K25" s="48">
        <f>SUMPRODUCT(--('Input|Historical Data'!$E$9:$E$1179=$E25),--('Input|Historical Data'!$O$9:$O$1179="SCS"),--('Input|Historical Data'!$N$9:$N$1179=K$5),'Input|Historical Data'!$I$9:$I$1179)</f>
        <v>0</v>
      </c>
      <c r="L25" s="48">
        <f>SUMPRODUCT(--('Input|Historical Data'!$E$9:$E$1179=$E25),--('Input|Historical Data'!$O$9:$O$1179="SCS"),--('Input|Historical Data'!$N$9:$N$1179=L$5),'Input|Historical Data'!$I$9:$I$1179)</f>
        <v>0</v>
      </c>
      <c r="M25" s="48">
        <f>SUMPRODUCT(--('Input|Historical Data'!$E$9:$E$1179=$E25),--('Input|Historical Data'!$O$9:$O$1179="SCS"),--('Input|Historical Data'!$N$9:$N$1179=M$5),'Input|Historical Data'!$I$9:$I$1179)</f>
        <v>0</v>
      </c>
      <c r="N25" s="48">
        <f>SUMPRODUCT(--('Input|Historical Data'!$E$9:$E$1179=$E25),--('Input|Historical Data'!$O$9:$O$1179="SCS"),--('Input|Historical Data'!$M$9:$M$1179=N$5),'Input|Historical Data'!$I$9:$I$1179)</f>
        <v>0</v>
      </c>
      <c r="O25" s="49">
        <f t="shared" si="7"/>
        <v>0</v>
      </c>
      <c r="P25" s="49">
        <f t="shared" si="8"/>
        <v>0</v>
      </c>
      <c r="Q25" s="49">
        <f t="shared" si="9"/>
        <v>0</v>
      </c>
      <c r="R25" s="49">
        <f t="shared" si="10"/>
        <v>0</v>
      </c>
      <c r="S25" s="38"/>
      <c r="T25" s="48">
        <f>SUMPRODUCT(--('Input|Historical Data'!$Q$9:$Q$1179=$E25),--('Input|Historical Data'!$AA$9:$AA$1179="SCS"),--('Input|Historical Data'!$Y$9:$Y$1179=T$5),'Input|Historical Data'!$U$9:$U$1179)</f>
        <v>0</v>
      </c>
      <c r="U25" s="48">
        <f>SUMPRODUCT(--('Input|Historical Data'!$Q$9:$Q$1179=$E25),--('Input|Historical Data'!$AA$9:$AA$1179="SCS"),--('Input|Historical Data'!$Z$9:$Z$1179=U$5),'Input|Historical Data'!$U$9:$U$1179)</f>
        <v>0</v>
      </c>
      <c r="V25" s="48">
        <f>SUMPRODUCT(--('Input|Historical Data'!$Q$9:$Q$1179=$E25),--('Input|Historical Data'!$AA$9:$AA$1179="SCS"),--('Input|Historical Data'!$Z$9:$Z$1179=V$5),'Input|Historical Data'!$U$9:$U$1179)</f>
        <v>0</v>
      </c>
      <c r="W25" s="48">
        <f>SUMPRODUCT(--('Input|Historical Data'!$Q$9:$Q$1179=$E25),--('Input|Historical Data'!$AA$9:$AA$1179="SCS"),--('Input|Historical Data'!$Z$9:$Z$1179=W$5),'Input|Historical Data'!$U$9:$U$1179)</f>
        <v>0</v>
      </c>
      <c r="X25" s="48">
        <f>SUMPRODUCT(--('Input|Historical Data'!$Q$9:$Q$1179=$E25),--('Input|Historical Data'!$AA$9:$AA$1179="SCS"),--('Input|Historical Data'!$Y$9:$Y$1179=X$5),'Input|Historical Data'!$U$9:$U$1179)</f>
        <v>0</v>
      </c>
      <c r="Y25" s="49">
        <f t="shared" ref="Y25" si="61">IFERROR(U25/SUM($U25:$W25),0)</f>
        <v>0</v>
      </c>
      <c r="Z25" s="49">
        <f t="shared" ref="Z25" si="62">IFERROR(V25/SUM($U25:$W25),0)</f>
        <v>0</v>
      </c>
      <c r="AA25" s="49">
        <f t="shared" ref="AA25" si="63">IFERROR(W25/SUM($U25:$W25),0)</f>
        <v>0</v>
      </c>
      <c r="AB25" s="49">
        <f t="shared" ref="AB25" si="64">IFERROR(X25/T25,0)</f>
        <v>0</v>
      </c>
      <c r="AC25" s="38"/>
      <c r="AD25" s="48">
        <f>SUMPRODUCT(--('Input|Historical Data'!$AC$9:$AC$1180=$E25),--('Input|Historical Data'!$AM$9:$AM$1180="SCS"),--('Input|Historical Data'!$AK$9:$AK$1180=AD$5),'Input|Historical Data'!$AG$9:$AG$1180)</f>
        <v>0</v>
      </c>
      <c r="AE25" s="48">
        <f>SUMPRODUCT(--('Input|Historical Data'!$AC$9:$AC$1180=$E25),--('Input|Historical Data'!$AM$9:$AM$1180="SCS"),--('Input|Historical Data'!$AL$9:$AL$1180=AE$5),'Input|Historical Data'!$AG$9:$AG$1180)</f>
        <v>0</v>
      </c>
      <c r="AF25" s="48">
        <f>SUMPRODUCT(--('Input|Historical Data'!$AC$9:$AC$1180=$E25),--('Input|Historical Data'!$AM$9:$AM$1180="SCS"),--('Input|Historical Data'!$AL$9:$AL$1180=AF$5),'Input|Historical Data'!$AG$9:$AG$1180)</f>
        <v>0</v>
      </c>
      <c r="AG25" s="48">
        <f>SUMPRODUCT(--('Input|Historical Data'!$AC$9:$AC$1180=$E25),--('Input|Historical Data'!$AM$9:$AM$1180="SCS"),--('Input|Historical Data'!$AL$9:$AL$1180=AG$5),'Input|Historical Data'!$AG$9:$AG$1180)</f>
        <v>0</v>
      </c>
      <c r="AH25" s="48">
        <f>SUMPRODUCT(--('Input|Historical Data'!$AC$9:$AC$1180=$E25),--('Input|Historical Data'!$AM$9:$AM$1180="SCS"),--('Input|Historical Data'!$AK$9:$AK$1180=AH$5),'Input|Historical Data'!$AG$9:$AG$1180)</f>
        <v>0</v>
      </c>
      <c r="AI25" s="49">
        <f t="shared" ref="AI25" si="65">IFERROR(AE25/SUM($AE25:$AG25),0)</f>
        <v>0</v>
      </c>
      <c r="AJ25" s="49">
        <f t="shared" ref="AJ25" si="66">IFERROR(AF25/SUM($AE25:$AG25),0)</f>
        <v>0</v>
      </c>
      <c r="AK25" s="49">
        <f t="shared" ref="AK25" si="67">IFERROR(AG25/SUM($AE25:$AG25),0)</f>
        <v>0</v>
      </c>
      <c r="AL25" s="49">
        <f t="shared" ref="AL25" si="68">IFERROR(AH25/AD25,0)</f>
        <v>0</v>
      </c>
      <c r="AM25" s="38"/>
      <c r="AN25" s="48"/>
      <c r="AO25" s="48"/>
      <c r="AP25" s="48"/>
      <c r="AQ25" s="48"/>
      <c r="AR25" s="48"/>
      <c r="AS25" s="49"/>
      <c r="AT25" s="49"/>
      <c r="AU25" s="49"/>
      <c r="AV25" s="49"/>
      <c r="AW25" s="38"/>
      <c r="AX25" s="49">
        <f t="shared" ref="AX25" si="69">IFERROR(SUM(U25,AE25)/SUM($U25:$W25,$AE25:$AG25),0)</f>
        <v>0</v>
      </c>
      <c r="AY25" s="49">
        <f t="shared" ref="AY25" si="70">IFERROR(SUM(V25,AF25)/SUM($U25:$W25,$AE25:$AG25),0)</f>
        <v>0</v>
      </c>
      <c r="AZ25" s="49">
        <f t="shared" ref="AZ25" si="71">IFERROR(SUM(W25,AG25)/SUM($U25:$W25,$AE25:$AG25),0)</f>
        <v>0</v>
      </c>
      <c r="BA25" s="49">
        <f t="shared" ref="BA25" si="72">IFERROR(SUM(X25,AH25)/SUM(T25,AD25),0)</f>
        <v>0</v>
      </c>
      <c r="BB25" s="44"/>
    </row>
    <row r="26" spans="3:54" s="7" customFormat="1" outlineLevel="1" x14ac:dyDescent="0.3">
      <c r="C26" s="38"/>
      <c r="D26" s="38"/>
      <c r="E26" s="38" t="s">
        <v>528</v>
      </c>
      <c r="F26" s="38" t="s">
        <v>283</v>
      </c>
      <c r="G26" s="38" t="str">
        <f>VLOOKUP(E26,Mapping!$E$11:$G$204,3,0)</f>
        <v>Connections</v>
      </c>
      <c r="H26" s="38" t="str">
        <f>VLOOKUP(E26,Mapping!$E$11:$K$204,7,0)</f>
        <v>SCS</v>
      </c>
      <c r="I26" s="38"/>
      <c r="J26" s="48">
        <f>SUMPRODUCT(--('Input|Historical Data'!$E$9:$E$1179=$E26),--('Input|Historical Data'!$O$9:$O$1179="SCS"),--('Input|Historical Data'!$M$9:$M$1179=J$5),'Input|Historical Data'!$I$9:$I$1179)</f>
        <v>3121.0760000000005</v>
      </c>
      <c r="K26" s="48">
        <f>SUMPRODUCT(--('Input|Historical Data'!$E$9:$E$1179=$E26),--('Input|Historical Data'!$O$9:$O$1179="SCS"),--('Input|Historical Data'!$N$9:$N$1179=K$5),'Input|Historical Data'!$I$9:$I$1179)</f>
        <v>1107.4090000000001</v>
      </c>
      <c r="L26" s="48">
        <f>SUMPRODUCT(--('Input|Historical Data'!$E$9:$E$1179=$E26),--('Input|Historical Data'!$O$9:$O$1179="SCS"),--('Input|Historical Data'!$N$9:$N$1179=L$5),'Input|Historical Data'!$I$9:$I$1179)</f>
        <v>254.94900000000001</v>
      </c>
      <c r="M26" s="48">
        <f>SUMPRODUCT(--('Input|Historical Data'!$E$9:$E$1179=$E26),--('Input|Historical Data'!$O$9:$O$1179="SCS"),--('Input|Historical Data'!$N$9:$N$1179=M$5),'Input|Historical Data'!$I$9:$I$1179)</f>
        <v>1758.7179999999998</v>
      </c>
      <c r="N26" s="48">
        <f>SUMPRODUCT(--('Input|Historical Data'!$E$9:$E$1179=$E26),--('Input|Historical Data'!$O$9:$O$1179="SCS"),--('Input|Historical Data'!$M$9:$M$1179=N$5),'Input|Historical Data'!$I$9:$I$1179)</f>
        <v>162.17500000000001</v>
      </c>
      <c r="O26" s="49">
        <f t="shared" si="7"/>
        <v>0.35481641587708856</v>
      </c>
      <c r="P26" s="49">
        <f t="shared" si="8"/>
        <v>8.1686251792651002E-2</v>
      </c>
      <c r="Q26" s="49">
        <f t="shared" si="9"/>
        <v>0.56349733233026045</v>
      </c>
      <c r="R26" s="49">
        <f t="shared" si="10"/>
        <v>5.1961246698254061E-2</v>
      </c>
      <c r="S26" s="38"/>
      <c r="T26" s="48">
        <f>SUMPRODUCT(--('Input|Historical Data'!$Q$9:$Q$1179=$E26),--('Input|Historical Data'!$AA$9:$AA$1179="SCS"),--('Input|Historical Data'!$Y$9:$Y$1179=T$5),'Input|Historical Data'!$U$9:$U$1179)</f>
        <v>2005.3630000000001</v>
      </c>
      <c r="U26" s="48">
        <f>SUMPRODUCT(--('Input|Historical Data'!$Q$9:$Q$1179=$E26),--('Input|Historical Data'!$AA$9:$AA$1179="SCS"),--('Input|Historical Data'!$Z$9:$Z$1179=U$5),'Input|Historical Data'!$U$9:$U$1179)</f>
        <v>689.279</v>
      </c>
      <c r="V26" s="48">
        <f>SUMPRODUCT(--('Input|Historical Data'!$Q$9:$Q$1179=$E26),--('Input|Historical Data'!$AA$9:$AA$1179="SCS"),--('Input|Historical Data'!$Z$9:$Z$1179=V$5),'Input|Historical Data'!$U$9:$U$1179)</f>
        <v>283.80099999999999</v>
      </c>
      <c r="W26" s="48">
        <f>SUMPRODUCT(--('Input|Historical Data'!$Q$9:$Q$1179=$E26),--('Input|Historical Data'!$AA$9:$AA$1179="SCS"),--('Input|Historical Data'!$Z$9:$Z$1179=W$5),'Input|Historical Data'!$U$9:$U$1179)</f>
        <v>1032.2829999999999</v>
      </c>
      <c r="X26" s="48">
        <f>SUMPRODUCT(--('Input|Historical Data'!$Q$9:$Q$1179=$E26),--('Input|Historical Data'!$AA$9:$AA$1179="SCS"),--('Input|Historical Data'!$Y$9:$Y$1179=X$5),'Input|Historical Data'!$U$9:$U$1179)</f>
        <v>154.70599999999999</v>
      </c>
      <c r="Y26" s="49">
        <f t="shared" si="11"/>
        <v>0.34371782066388978</v>
      </c>
      <c r="Z26" s="49">
        <f t="shared" si="1"/>
        <v>0.14152101140790971</v>
      </c>
      <c r="AA26" s="49">
        <f t="shared" si="2"/>
        <v>0.51476116792820048</v>
      </c>
      <c r="AB26" s="49">
        <f t="shared" si="12"/>
        <v>7.7146132645311588E-2</v>
      </c>
      <c r="AC26" s="38"/>
      <c r="AD26" s="48">
        <f>SUMPRODUCT(--('Input|Historical Data'!$AC$9:$AC$1180=$E26),--('Input|Historical Data'!$AM$9:$AM$1180="SCS"),--('Input|Historical Data'!$AK$9:$AK$1180=AD$5),'Input|Historical Data'!$AG$9:$AG$1180)</f>
        <v>2380.2440000000001</v>
      </c>
      <c r="AE26" s="48">
        <f>SUMPRODUCT(--('Input|Historical Data'!$AC$9:$AC$1180=$E26),--('Input|Historical Data'!$AM$9:$AM$1180="SCS"),--('Input|Historical Data'!$AL$9:$AL$1180=AE$5),'Input|Historical Data'!$AG$9:$AG$1180)</f>
        <v>606.31500000000005</v>
      </c>
      <c r="AF26" s="48">
        <f>SUMPRODUCT(--('Input|Historical Data'!$AC$9:$AC$1180=$E26),--('Input|Historical Data'!$AM$9:$AM$1180="SCS"),--('Input|Historical Data'!$AL$9:$AL$1180=AF$5),'Input|Historical Data'!$AG$9:$AG$1180)</f>
        <v>80.403000000000006</v>
      </c>
      <c r="AG26" s="48">
        <f>SUMPRODUCT(--('Input|Historical Data'!$AC$9:$AC$1180=$E26),--('Input|Historical Data'!$AM$9:$AM$1180="SCS"),--('Input|Historical Data'!$AL$9:$AL$1180=AG$5),'Input|Historical Data'!$AG$9:$AG$1180)</f>
        <v>1693.5260000000001</v>
      </c>
      <c r="AH26" s="48">
        <f>SUMPRODUCT(--('Input|Historical Data'!$AC$9:$AC$1180=$E26),--('Input|Historical Data'!$AM$9:$AM$1180="SCS"),--('Input|Historical Data'!$AK$9:$AK$1180=AH$5),'Input|Historical Data'!$AG$9:$AG$1180)</f>
        <v>118.387</v>
      </c>
      <c r="AI26" s="49">
        <f t="shared" si="17"/>
        <v>0.25472808670035507</v>
      </c>
      <c r="AJ26" s="49">
        <f t="shared" si="18"/>
        <v>3.3779310020317248E-2</v>
      </c>
      <c r="AK26" s="49">
        <f t="shared" si="19"/>
        <v>0.71149260327932762</v>
      </c>
      <c r="AL26" s="49">
        <f t="shared" si="20"/>
        <v>4.9737337852757947E-2</v>
      </c>
      <c r="AM26" s="38"/>
      <c r="AN26" s="48"/>
      <c r="AO26" s="48"/>
      <c r="AP26" s="48"/>
      <c r="AQ26" s="48"/>
      <c r="AR26" s="48"/>
      <c r="AS26" s="49"/>
      <c r="AT26" s="49"/>
      <c r="AU26" s="49"/>
      <c r="AV26" s="49"/>
      <c r="AW26" s="38"/>
      <c r="AX26" s="49">
        <f t="shared" si="21"/>
        <v>0.2954195394160945</v>
      </c>
      <c r="AY26" s="49">
        <f t="shared" si="22"/>
        <v>8.3045288827749503E-2</v>
      </c>
      <c r="AZ26" s="49">
        <f t="shared" si="23"/>
        <v>0.62153517175615602</v>
      </c>
      <c r="BA26" s="49">
        <f t="shared" si="24"/>
        <v>6.2270285504378291E-2</v>
      </c>
      <c r="BB26" s="44"/>
    </row>
    <row r="27" spans="3:54" s="7" customFormat="1" outlineLevel="1" x14ac:dyDescent="0.3">
      <c r="C27" s="38"/>
      <c r="D27" s="38"/>
      <c r="E27" s="38" t="s">
        <v>102</v>
      </c>
      <c r="F27" s="38" t="s">
        <v>284</v>
      </c>
      <c r="G27" s="38" t="str">
        <f>VLOOKUP(E27,Mapping!$E$11:$G$204,3,0)</f>
        <v>Public Lighting</v>
      </c>
      <c r="H27" s="38" t="str">
        <f>VLOOKUP(E27,Mapping!$E$11:$K$204,7,0)</f>
        <v>Public Lighting</v>
      </c>
      <c r="I27" s="38"/>
      <c r="J27" s="48">
        <f>SUMPRODUCT(--('Input|Historical Data'!$E$9:$E$1179=$E27),--('Input|Historical Data'!$O$9:$O$1179="SCS"),--('Input|Historical Data'!$M$9:$M$1179=J$5),'Input|Historical Data'!$I$9:$I$1179)</f>
        <v>0</v>
      </c>
      <c r="K27" s="48">
        <f>SUMPRODUCT(--('Input|Historical Data'!$E$9:$E$1179=$E27),--('Input|Historical Data'!$O$9:$O$1179="SCS"),--('Input|Historical Data'!$N$9:$N$1179=K$5),'Input|Historical Data'!$I$9:$I$1179)</f>
        <v>0</v>
      </c>
      <c r="L27" s="48">
        <f>SUMPRODUCT(--('Input|Historical Data'!$E$9:$E$1179=$E27),--('Input|Historical Data'!$O$9:$O$1179="SCS"),--('Input|Historical Data'!$N$9:$N$1179=L$5),'Input|Historical Data'!$I$9:$I$1179)</f>
        <v>0</v>
      </c>
      <c r="M27" s="48">
        <f>SUMPRODUCT(--('Input|Historical Data'!$E$9:$E$1179=$E27),--('Input|Historical Data'!$O$9:$O$1179="SCS"),--('Input|Historical Data'!$N$9:$N$1179=M$5),'Input|Historical Data'!$I$9:$I$1179)</f>
        <v>0</v>
      </c>
      <c r="N27" s="48">
        <f>SUMPRODUCT(--('Input|Historical Data'!$E$9:$E$1179=$E27),--('Input|Historical Data'!$O$9:$O$1179="SCS"),--('Input|Historical Data'!$M$9:$M$1179=N$5),'Input|Historical Data'!$I$9:$I$1179)</f>
        <v>0</v>
      </c>
      <c r="O27" s="49">
        <f t="shared" si="7"/>
        <v>0</v>
      </c>
      <c r="P27" s="49">
        <f t="shared" si="8"/>
        <v>0</v>
      </c>
      <c r="Q27" s="49">
        <f t="shared" si="9"/>
        <v>0</v>
      </c>
      <c r="R27" s="49">
        <f t="shared" si="10"/>
        <v>0</v>
      </c>
      <c r="S27" s="38"/>
      <c r="T27" s="48">
        <f>SUMPRODUCT(--('Input|Historical Data'!$Q$9:$Q$1179=$E27),--('Input|Historical Data'!$AA$9:$AA$1179="SCS"),--('Input|Historical Data'!$Y$9:$Y$1179=T$5),'Input|Historical Data'!$U$9:$U$1179)</f>
        <v>0</v>
      </c>
      <c r="U27" s="48">
        <f>SUMPRODUCT(--('Input|Historical Data'!$Q$9:$Q$1179=$E27),--('Input|Historical Data'!$AA$9:$AA$1179="SCS"),--('Input|Historical Data'!$Z$9:$Z$1179=U$5),'Input|Historical Data'!$U$9:$U$1179)</f>
        <v>0</v>
      </c>
      <c r="V27" s="48">
        <f>SUMPRODUCT(--('Input|Historical Data'!$Q$9:$Q$1179=$E27),--('Input|Historical Data'!$AA$9:$AA$1179="SCS"),--('Input|Historical Data'!$Z$9:$Z$1179=V$5),'Input|Historical Data'!$U$9:$U$1179)</f>
        <v>0</v>
      </c>
      <c r="W27" s="48">
        <f>SUMPRODUCT(--('Input|Historical Data'!$Q$9:$Q$1179=$E27),--('Input|Historical Data'!$AA$9:$AA$1179="SCS"),--('Input|Historical Data'!$Z$9:$Z$1179=W$5),'Input|Historical Data'!$U$9:$U$1179)</f>
        <v>0</v>
      </c>
      <c r="X27" s="48">
        <f>SUMPRODUCT(--('Input|Historical Data'!$Q$9:$Q$1179=$E27),--('Input|Historical Data'!$AA$9:$AA$1179="SCS"),--('Input|Historical Data'!$Y$9:$Y$1179=X$5),'Input|Historical Data'!$U$9:$U$1179)</f>
        <v>0</v>
      </c>
      <c r="Y27" s="49">
        <f t="shared" si="11"/>
        <v>0</v>
      </c>
      <c r="Z27" s="49">
        <f t="shared" si="1"/>
        <v>0</v>
      </c>
      <c r="AA27" s="49">
        <f t="shared" si="2"/>
        <v>0</v>
      </c>
      <c r="AB27" s="49">
        <f t="shared" si="12"/>
        <v>0</v>
      </c>
      <c r="AC27" s="38"/>
      <c r="AD27" s="48">
        <f>SUMPRODUCT(--('Input|Historical Data'!$AC$9:$AC$1180=$E27),--('Input|Historical Data'!$AM$9:$AM$1180="SCS"),--('Input|Historical Data'!$AK$9:$AK$1180=AD$5),'Input|Historical Data'!$AG$9:$AG$1180)</f>
        <v>0</v>
      </c>
      <c r="AE27" s="48">
        <f>SUMPRODUCT(--('Input|Historical Data'!$AC$9:$AC$1180=$E27),--('Input|Historical Data'!$AM$9:$AM$1180="SCS"),--('Input|Historical Data'!$AL$9:$AL$1180=AE$5),'Input|Historical Data'!$AG$9:$AG$1180)</f>
        <v>0</v>
      </c>
      <c r="AF27" s="48">
        <f>SUMPRODUCT(--('Input|Historical Data'!$AC$9:$AC$1180=$E27),--('Input|Historical Data'!$AM$9:$AM$1180="SCS"),--('Input|Historical Data'!$AL$9:$AL$1180=AF$5),'Input|Historical Data'!$AG$9:$AG$1180)</f>
        <v>0</v>
      </c>
      <c r="AG27" s="48">
        <f>SUMPRODUCT(--('Input|Historical Data'!$AC$9:$AC$1180=$E27),--('Input|Historical Data'!$AM$9:$AM$1180="SCS"),--('Input|Historical Data'!$AL$9:$AL$1180=AG$5),'Input|Historical Data'!$AG$9:$AG$1180)</f>
        <v>0</v>
      </c>
      <c r="AH27" s="48">
        <f>SUMPRODUCT(--('Input|Historical Data'!$AC$9:$AC$1180=$E27),--('Input|Historical Data'!$AM$9:$AM$1180="SCS"),--('Input|Historical Data'!$AK$9:$AK$1180=AH$5),'Input|Historical Data'!$AG$9:$AG$1180)</f>
        <v>0</v>
      </c>
      <c r="AI27" s="49">
        <f t="shared" si="17"/>
        <v>0</v>
      </c>
      <c r="AJ27" s="49">
        <f t="shared" si="18"/>
        <v>0</v>
      </c>
      <c r="AK27" s="49">
        <f t="shared" si="19"/>
        <v>0</v>
      </c>
      <c r="AL27" s="49">
        <f t="shared" si="20"/>
        <v>0</v>
      </c>
      <c r="AM27" s="38"/>
      <c r="AN27" s="48"/>
      <c r="AO27" s="48"/>
      <c r="AP27" s="48"/>
      <c r="AQ27" s="48"/>
      <c r="AR27" s="48"/>
      <c r="AS27" s="49"/>
      <c r="AT27" s="49"/>
      <c r="AU27" s="49"/>
      <c r="AV27" s="49"/>
      <c r="AW27" s="38"/>
      <c r="AX27" s="49">
        <f t="shared" si="21"/>
        <v>0</v>
      </c>
      <c r="AY27" s="49">
        <f t="shared" si="22"/>
        <v>0</v>
      </c>
      <c r="AZ27" s="49">
        <f t="shared" si="23"/>
        <v>0</v>
      </c>
      <c r="BA27" s="49">
        <f t="shared" si="24"/>
        <v>0</v>
      </c>
      <c r="BB27" s="44"/>
    </row>
    <row r="28" spans="3:54" s="7" customFormat="1" outlineLevel="1" x14ac:dyDescent="0.3">
      <c r="C28" s="38"/>
      <c r="D28" s="38"/>
      <c r="E28" s="38" t="s">
        <v>103</v>
      </c>
      <c r="F28" s="38" t="s">
        <v>285</v>
      </c>
      <c r="G28" s="38" t="str">
        <f>VLOOKUP(E28,Mapping!$E$11:$G$204,3,0)</f>
        <v>Public Lighting</v>
      </c>
      <c r="H28" s="38" t="str">
        <f>VLOOKUP(E28,Mapping!$E$11:$K$204,7,0)</f>
        <v>Public Lighting</v>
      </c>
      <c r="I28" s="38"/>
      <c r="J28" s="48">
        <f>SUMPRODUCT(--('Input|Historical Data'!$E$9:$E$1179=$E28),--('Input|Historical Data'!$O$9:$O$1179="SCS"),--('Input|Historical Data'!$M$9:$M$1179=J$5),'Input|Historical Data'!$I$9:$I$1179)</f>
        <v>0</v>
      </c>
      <c r="K28" s="48">
        <f>SUMPRODUCT(--('Input|Historical Data'!$E$9:$E$1179=$E28),--('Input|Historical Data'!$O$9:$O$1179="SCS"),--('Input|Historical Data'!$N$9:$N$1179=K$5),'Input|Historical Data'!$I$9:$I$1179)</f>
        <v>0</v>
      </c>
      <c r="L28" s="48">
        <f>SUMPRODUCT(--('Input|Historical Data'!$E$9:$E$1179=$E28),--('Input|Historical Data'!$O$9:$O$1179="SCS"),--('Input|Historical Data'!$N$9:$N$1179=L$5),'Input|Historical Data'!$I$9:$I$1179)</f>
        <v>0</v>
      </c>
      <c r="M28" s="48">
        <f>SUMPRODUCT(--('Input|Historical Data'!$E$9:$E$1179=$E28),--('Input|Historical Data'!$O$9:$O$1179="SCS"),--('Input|Historical Data'!$N$9:$N$1179=M$5),'Input|Historical Data'!$I$9:$I$1179)</f>
        <v>0</v>
      </c>
      <c r="N28" s="48">
        <f>SUMPRODUCT(--('Input|Historical Data'!$E$9:$E$1179=$E28),--('Input|Historical Data'!$O$9:$O$1179="SCS"),--('Input|Historical Data'!$M$9:$M$1179=N$5),'Input|Historical Data'!$I$9:$I$1179)</f>
        <v>0</v>
      </c>
      <c r="O28" s="49">
        <f t="shared" si="7"/>
        <v>0</v>
      </c>
      <c r="P28" s="49">
        <f t="shared" si="8"/>
        <v>0</v>
      </c>
      <c r="Q28" s="49">
        <f t="shared" si="9"/>
        <v>0</v>
      </c>
      <c r="R28" s="49">
        <f t="shared" si="10"/>
        <v>0</v>
      </c>
      <c r="S28" s="38"/>
      <c r="T28" s="48">
        <f>SUMPRODUCT(--('Input|Historical Data'!$Q$9:$Q$1179=$E28),--('Input|Historical Data'!$AA$9:$AA$1179="SCS"),--('Input|Historical Data'!$Y$9:$Y$1179=T$5),'Input|Historical Data'!$U$9:$U$1179)</f>
        <v>0</v>
      </c>
      <c r="U28" s="48">
        <f>SUMPRODUCT(--('Input|Historical Data'!$Q$9:$Q$1179=$E28),--('Input|Historical Data'!$AA$9:$AA$1179="SCS"),--('Input|Historical Data'!$Z$9:$Z$1179=U$5),'Input|Historical Data'!$U$9:$U$1179)</f>
        <v>0</v>
      </c>
      <c r="V28" s="48">
        <f>SUMPRODUCT(--('Input|Historical Data'!$Q$9:$Q$1179=$E28),--('Input|Historical Data'!$AA$9:$AA$1179="SCS"),--('Input|Historical Data'!$Z$9:$Z$1179=V$5),'Input|Historical Data'!$U$9:$U$1179)</f>
        <v>0</v>
      </c>
      <c r="W28" s="48">
        <f>SUMPRODUCT(--('Input|Historical Data'!$Q$9:$Q$1179=$E28),--('Input|Historical Data'!$AA$9:$AA$1179="SCS"),--('Input|Historical Data'!$Z$9:$Z$1179=W$5),'Input|Historical Data'!$U$9:$U$1179)</f>
        <v>0</v>
      </c>
      <c r="X28" s="48">
        <f>SUMPRODUCT(--('Input|Historical Data'!$Q$9:$Q$1179=$E28),--('Input|Historical Data'!$AA$9:$AA$1179="SCS"),--('Input|Historical Data'!$Y$9:$Y$1179=X$5),'Input|Historical Data'!$U$9:$U$1179)</f>
        <v>0</v>
      </c>
      <c r="Y28" s="49">
        <f t="shared" si="11"/>
        <v>0</v>
      </c>
      <c r="Z28" s="49">
        <f t="shared" si="1"/>
        <v>0</v>
      </c>
      <c r="AA28" s="49">
        <f t="shared" si="2"/>
        <v>0</v>
      </c>
      <c r="AB28" s="49">
        <f t="shared" si="12"/>
        <v>0</v>
      </c>
      <c r="AC28" s="38"/>
      <c r="AD28" s="48">
        <f>SUMPRODUCT(--('Input|Historical Data'!$AC$9:$AC$1180=$E28),--('Input|Historical Data'!$AM$9:$AM$1180="SCS"),--('Input|Historical Data'!$AK$9:$AK$1180=AD$5),'Input|Historical Data'!$AG$9:$AG$1180)</f>
        <v>0</v>
      </c>
      <c r="AE28" s="48">
        <f>SUMPRODUCT(--('Input|Historical Data'!$AC$9:$AC$1180=$E28),--('Input|Historical Data'!$AM$9:$AM$1180="SCS"),--('Input|Historical Data'!$AL$9:$AL$1180=AE$5),'Input|Historical Data'!$AG$9:$AG$1180)</f>
        <v>0</v>
      </c>
      <c r="AF28" s="48">
        <f>SUMPRODUCT(--('Input|Historical Data'!$AC$9:$AC$1180=$E28),--('Input|Historical Data'!$AM$9:$AM$1180="SCS"),--('Input|Historical Data'!$AL$9:$AL$1180=AF$5),'Input|Historical Data'!$AG$9:$AG$1180)</f>
        <v>0</v>
      </c>
      <c r="AG28" s="48">
        <f>SUMPRODUCT(--('Input|Historical Data'!$AC$9:$AC$1180=$E28),--('Input|Historical Data'!$AM$9:$AM$1180="SCS"),--('Input|Historical Data'!$AL$9:$AL$1180=AG$5),'Input|Historical Data'!$AG$9:$AG$1180)</f>
        <v>0</v>
      </c>
      <c r="AH28" s="48">
        <f>SUMPRODUCT(--('Input|Historical Data'!$AC$9:$AC$1180=$E28),--('Input|Historical Data'!$AM$9:$AM$1180="SCS"),--('Input|Historical Data'!$AK$9:$AK$1180=AH$5),'Input|Historical Data'!$AG$9:$AG$1180)</f>
        <v>0</v>
      </c>
      <c r="AI28" s="49">
        <f t="shared" si="17"/>
        <v>0</v>
      </c>
      <c r="AJ28" s="49">
        <f t="shared" si="18"/>
        <v>0</v>
      </c>
      <c r="AK28" s="49">
        <f t="shared" si="19"/>
        <v>0</v>
      </c>
      <c r="AL28" s="49">
        <f t="shared" si="20"/>
        <v>0</v>
      </c>
      <c r="AM28" s="38"/>
      <c r="AN28" s="48"/>
      <c r="AO28" s="48"/>
      <c r="AP28" s="48"/>
      <c r="AQ28" s="48"/>
      <c r="AR28" s="48"/>
      <c r="AS28" s="49"/>
      <c r="AT28" s="49"/>
      <c r="AU28" s="49"/>
      <c r="AV28" s="49"/>
      <c r="AW28" s="38"/>
      <c r="AX28" s="49">
        <f t="shared" si="21"/>
        <v>0</v>
      </c>
      <c r="AY28" s="49">
        <f t="shared" si="22"/>
        <v>0</v>
      </c>
      <c r="AZ28" s="49">
        <f t="shared" si="23"/>
        <v>0</v>
      </c>
      <c r="BA28" s="49">
        <f t="shared" si="24"/>
        <v>0</v>
      </c>
      <c r="BB28" s="44"/>
    </row>
    <row r="29" spans="3:54" s="7" customFormat="1" outlineLevel="1" x14ac:dyDescent="0.3">
      <c r="C29" s="38"/>
      <c r="D29" s="38"/>
      <c r="E29" s="38" t="s">
        <v>104</v>
      </c>
      <c r="F29" s="38" t="s">
        <v>286</v>
      </c>
      <c r="G29" s="38" t="str">
        <f>VLOOKUP(E29,Mapping!$E$11:$G$204,3,0)</f>
        <v>Public Lighting</v>
      </c>
      <c r="H29" s="38" t="str">
        <f>VLOOKUP(E29,Mapping!$E$11:$K$204,7,0)</f>
        <v>Public Lighting</v>
      </c>
      <c r="I29" s="38"/>
      <c r="J29" s="48">
        <f>SUMPRODUCT(--('Input|Historical Data'!$E$9:$E$1179=$E29),--('Input|Historical Data'!$O$9:$O$1179="SCS"),--('Input|Historical Data'!$M$9:$M$1179=J$5),'Input|Historical Data'!$I$9:$I$1179)</f>
        <v>0</v>
      </c>
      <c r="K29" s="48">
        <f>SUMPRODUCT(--('Input|Historical Data'!$E$9:$E$1179=$E29),--('Input|Historical Data'!$O$9:$O$1179="SCS"),--('Input|Historical Data'!$N$9:$N$1179=K$5),'Input|Historical Data'!$I$9:$I$1179)</f>
        <v>0</v>
      </c>
      <c r="L29" s="48">
        <f>SUMPRODUCT(--('Input|Historical Data'!$E$9:$E$1179=$E29),--('Input|Historical Data'!$O$9:$O$1179="SCS"),--('Input|Historical Data'!$N$9:$N$1179=L$5),'Input|Historical Data'!$I$9:$I$1179)</f>
        <v>0</v>
      </c>
      <c r="M29" s="48">
        <f>SUMPRODUCT(--('Input|Historical Data'!$E$9:$E$1179=$E29),--('Input|Historical Data'!$O$9:$O$1179="SCS"),--('Input|Historical Data'!$N$9:$N$1179=M$5),'Input|Historical Data'!$I$9:$I$1179)</f>
        <v>0</v>
      </c>
      <c r="N29" s="48">
        <f>SUMPRODUCT(--('Input|Historical Data'!$E$9:$E$1179=$E29),--('Input|Historical Data'!$O$9:$O$1179="SCS"),--('Input|Historical Data'!$M$9:$M$1179=N$5),'Input|Historical Data'!$I$9:$I$1179)</f>
        <v>0</v>
      </c>
      <c r="O29" s="49">
        <f t="shared" si="7"/>
        <v>0</v>
      </c>
      <c r="P29" s="49">
        <f t="shared" si="8"/>
        <v>0</v>
      </c>
      <c r="Q29" s="49">
        <f t="shared" si="9"/>
        <v>0</v>
      </c>
      <c r="R29" s="49">
        <f t="shared" si="10"/>
        <v>0</v>
      </c>
      <c r="S29" s="38"/>
      <c r="T29" s="48">
        <f>SUMPRODUCT(--('Input|Historical Data'!$Q$9:$Q$1179=$E29),--('Input|Historical Data'!$AA$9:$AA$1179="SCS"),--('Input|Historical Data'!$Y$9:$Y$1179=T$5),'Input|Historical Data'!$U$9:$U$1179)</f>
        <v>0</v>
      </c>
      <c r="U29" s="48">
        <f>SUMPRODUCT(--('Input|Historical Data'!$Q$9:$Q$1179=$E29),--('Input|Historical Data'!$AA$9:$AA$1179="SCS"),--('Input|Historical Data'!$Z$9:$Z$1179=U$5),'Input|Historical Data'!$U$9:$U$1179)</f>
        <v>0</v>
      </c>
      <c r="V29" s="48">
        <f>SUMPRODUCT(--('Input|Historical Data'!$Q$9:$Q$1179=$E29),--('Input|Historical Data'!$AA$9:$AA$1179="SCS"),--('Input|Historical Data'!$Z$9:$Z$1179=V$5),'Input|Historical Data'!$U$9:$U$1179)</f>
        <v>0</v>
      </c>
      <c r="W29" s="48">
        <f>SUMPRODUCT(--('Input|Historical Data'!$Q$9:$Q$1179=$E29),--('Input|Historical Data'!$AA$9:$AA$1179="SCS"),--('Input|Historical Data'!$Z$9:$Z$1179=W$5),'Input|Historical Data'!$U$9:$U$1179)</f>
        <v>0</v>
      </c>
      <c r="X29" s="48">
        <f>SUMPRODUCT(--('Input|Historical Data'!$Q$9:$Q$1179=$E29),--('Input|Historical Data'!$AA$9:$AA$1179="SCS"),--('Input|Historical Data'!$Y$9:$Y$1179=X$5),'Input|Historical Data'!$U$9:$U$1179)</f>
        <v>0</v>
      </c>
      <c r="Y29" s="49">
        <f t="shared" si="11"/>
        <v>0</v>
      </c>
      <c r="Z29" s="49">
        <f t="shared" si="1"/>
        <v>0</v>
      </c>
      <c r="AA29" s="49">
        <f t="shared" si="2"/>
        <v>0</v>
      </c>
      <c r="AB29" s="49">
        <f t="shared" si="12"/>
        <v>0</v>
      </c>
      <c r="AC29" s="38"/>
      <c r="AD29" s="48">
        <f>SUMPRODUCT(--('Input|Historical Data'!$AC$9:$AC$1180=$E29),--('Input|Historical Data'!$AM$9:$AM$1180="SCS"),--('Input|Historical Data'!$AK$9:$AK$1180=AD$5),'Input|Historical Data'!$AG$9:$AG$1180)</f>
        <v>0</v>
      </c>
      <c r="AE29" s="48">
        <f>SUMPRODUCT(--('Input|Historical Data'!$AC$9:$AC$1180=$E29),--('Input|Historical Data'!$AM$9:$AM$1180="SCS"),--('Input|Historical Data'!$AL$9:$AL$1180=AE$5),'Input|Historical Data'!$AG$9:$AG$1180)</f>
        <v>0</v>
      </c>
      <c r="AF29" s="48">
        <f>SUMPRODUCT(--('Input|Historical Data'!$AC$9:$AC$1180=$E29),--('Input|Historical Data'!$AM$9:$AM$1180="SCS"),--('Input|Historical Data'!$AL$9:$AL$1180=AF$5),'Input|Historical Data'!$AG$9:$AG$1180)</f>
        <v>0</v>
      </c>
      <c r="AG29" s="48">
        <f>SUMPRODUCT(--('Input|Historical Data'!$AC$9:$AC$1180=$E29),--('Input|Historical Data'!$AM$9:$AM$1180="SCS"),--('Input|Historical Data'!$AL$9:$AL$1180=AG$5),'Input|Historical Data'!$AG$9:$AG$1180)</f>
        <v>0</v>
      </c>
      <c r="AH29" s="48">
        <f>SUMPRODUCT(--('Input|Historical Data'!$AC$9:$AC$1180=$E29),--('Input|Historical Data'!$AM$9:$AM$1180="SCS"),--('Input|Historical Data'!$AK$9:$AK$1180=AH$5),'Input|Historical Data'!$AG$9:$AG$1180)</f>
        <v>0</v>
      </c>
      <c r="AI29" s="49">
        <f t="shared" si="17"/>
        <v>0</v>
      </c>
      <c r="AJ29" s="49">
        <f t="shared" si="18"/>
        <v>0</v>
      </c>
      <c r="AK29" s="49">
        <f t="shared" si="19"/>
        <v>0</v>
      </c>
      <c r="AL29" s="49">
        <f t="shared" si="20"/>
        <v>0</v>
      </c>
      <c r="AM29" s="38"/>
      <c r="AN29" s="48"/>
      <c r="AO29" s="48"/>
      <c r="AP29" s="48"/>
      <c r="AQ29" s="48"/>
      <c r="AR29" s="48"/>
      <c r="AS29" s="49"/>
      <c r="AT29" s="49"/>
      <c r="AU29" s="49"/>
      <c r="AV29" s="49"/>
      <c r="AW29" s="38"/>
      <c r="AX29" s="49">
        <f t="shared" si="21"/>
        <v>0</v>
      </c>
      <c r="AY29" s="49">
        <f t="shared" si="22"/>
        <v>0</v>
      </c>
      <c r="AZ29" s="49">
        <f t="shared" si="23"/>
        <v>0</v>
      </c>
      <c r="BA29" s="49">
        <f t="shared" si="24"/>
        <v>0</v>
      </c>
      <c r="BB29" s="44"/>
    </row>
    <row r="30" spans="3:54" s="7" customFormat="1" outlineLevel="1" x14ac:dyDescent="0.3">
      <c r="C30" s="38"/>
      <c r="D30" s="38"/>
      <c r="E30" s="38" t="s">
        <v>105</v>
      </c>
      <c r="F30" s="38" t="s">
        <v>287</v>
      </c>
      <c r="G30" s="38" t="str">
        <f>VLOOKUP(E30,Mapping!$E$11:$G$204,3,0)</f>
        <v>ACS</v>
      </c>
      <c r="H30" s="38" t="str">
        <f>VLOOKUP(E30,Mapping!$E$11:$K$204,7,0)</f>
        <v>ACS</v>
      </c>
      <c r="I30" s="38"/>
      <c r="J30" s="48">
        <f>SUMPRODUCT(--('Input|Historical Data'!$E$9:$E$1179=$E30),--('Input|Historical Data'!$O$9:$O$1179="SCS"),--('Input|Historical Data'!$M$9:$M$1179=J$5),'Input|Historical Data'!$I$9:$I$1179)</f>
        <v>0</v>
      </c>
      <c r="K30" s="48">
        <f>SUMPRODUCT(--('Input|Historical Data'!$E$9:$E$1179=$E30),--('Input|Historical Data'!$O$9:$O$1179="SCS"),--('Input|Historical Data'!$N$9:$N$1179=K$5),'Input|Historical Data'!$I$9:$I$1179)</f>
        <v>0</v>
      </c>
      <c r="L30" s="48">
        <f>SUMPRODUCT(--('Input|Historical Data'!$E$9:$E$1179=$E30),--('Input|Historical Data'!$O$9:$O$1179="SCS"),--('Input|Historical Data'!$N$9:$N$1179=L$5),'Input|Historical Data'!$I$9:$I$1179)</f>
        <v>0</v>
      </c>
      <c r="M30" s="48">
        <f>SUMPRODUCT(--('Input|Historical Data'!$E$9:$E$1179=$E30),--('Input|Historical Data'!$O$9:$O$1179="SCS"),--('Input|Historical Data'!$N$9:$N$1179=M$5),'Input|Historical Data'!$I$9:$I$1179)</f>
        <v>0</v>
      </c>
      <c r="N30" s="48">
        <f>SUMPRODUCT(--('Input|Historical Data'!$E$9:$E$1179=$E30),--('Input|Historical Data'!$O$9:$O$1179="SCS"),--('Input|Historical Data'!$M$9:$M$1179=N$5),'Input|Historical Data'!$I$9:$I$1179)</f>
        <v>0</v>
      </c>
      <c r="O30" s="49">
        <f t="shared" si="7"/>
        <v>0</v>
      </c>
      <c r="P30" s="49">
        <f t="shared" si="8"/>
        <v>0</v>
      </c>
      <c r="Q30" s="49">
        <f t="shared" si="9"/>
        <v>0</v>
      </c>
      <c r="R30" s="49">
        <f t="shared" si="10"/>
        <v>0</v>
      </c>
      <c r="S30" s="38"/>
      <c r="T30" s="48">
        <f>SUMPRODUCT(--('Input|Historical Data'!$Q$9:$Q$1179=$E30),--('Input|Historical Data'!$AA$9:$AA$1179="SCS"),--('Input|Historical Data'!$Y$9:$Y$1179=T$5),'Input|Historical Data'!$U$9:$U$1179)</f>
        <v>0</v>
      </c>
      <c r="U30" s="48">
        <f>SUMPRODUCT(--('Input|Historical Data'!$Q$9:$Q$1179=$E30),--('Input|Historical Data'!$AA$9:$AA$1179="SCS"),--('Input|Historical Data'!$Z$9:$Z$1179=U$5),'Input|Historical Data'!$U$9:$U$1179)</f>
        <v>0</v>
      </c>
      <c r="V30" s="48">
        <f>SUMPRODUCT(--('Input|Historical Data'!$Q$9:$Q$1179=$E30),--('Input|Historical Data'!$AA$9:$AA$1179="SCS"),--('Input|Historical Data'!$Z$9:$Z$1179=V$5),'Input|Historical Data'!$U$9:$U$1179)</f>
        <v>0</v>
      </c>
      <c r="W30" s="48">
        <f>SUMPRODUCT(--('Input|Historical Data'!$Q$9:$Q$1179=$E30),--('Input|Historical Data'!$AA$9:$AA$1179="SCS"),--('Input|Historical Data'!$Z$9:$Z$1179=W$5),'Input|Historical Data'!$U$9:$U$1179)</f>
        <v>0</v>
      </c>
      <c r="X30" s="48">
        <f>SUMPRODUCT(--('Input|Historical Data'!$Q$9:$Q$1179=$E30),--('Input|Historical Data'!$AA$9:$AA$1179="SCS"),--('Input|Historical Data'!$Y$9:$Y$1179=X$5),'Input|Historical Data'!$U$9:$U$1179)</f>
        <v>0</v>
      </c>
      <c r="Y30" s="49">
        <f t="shared" si="11"/>
        <v>0</v>
      </c>
      <c r="Z30" s="49">
        <f t="shared" si="1"/>
        <v>0</v>
      </c>
      <c r="AA30" s="49">
        <f t="shared" si="2"/>
        <v>0</v>
      </c>
      <c r="AB30" s="49">
        <f t="shared" si="12"/>
        <v>0</v>
      </c>
      <c r="AC30" s="38"/>
      <c r="AD30" s="48">
        <f>SUMPRODUCT(--('Input|Historical Data'!$AC$9:$AC$1180=$E30),--('Input|Historical Data'!$AM$9:$AM$1180="SCS"),--('Input|Historical Data'!$AK$9:$AK$1180=AD$5),'Input|Historical Data'!$AG$9:$AG$1180)</f>
        <v>0</v>
      </c>
      <c r="AE30" s="48">
        <f>SUMPRODUCT(--('Input|Historical Data'!$AC$9:$AC$1180=$E30),--('Input|Historical Data'!$AM$9:$AM$1180="SCS"),--('Input|Historical Data'!$AL$9:$AL$1180=AE$5),'Input|Historical Data'!$AG$9:$AG$1180)</f>
        <v>0</v>
      </c>
      <c r="AF30" s="48">
        <f>SUMPRODUCT(--('Input|Historical Data'!$AC$9:$AC$1180=$E30),--('Input|Historical Data'!$AM$9:$AM$1180="SCS"),--('Input|Historical Data'!$AL$9:$AL$1180=AF$5),'Input|Historical Data'!$AG$9:$AG$1180)</f>
        <v>0</v>
      </c>
      <c r="AG30" s="48">
        <f>SUMPRODUCT(--('Input|Historical Data'!$AC$9:$AC$1180=$E30),--('Input|Historical Data'!$AM$9:$AM$1180="SCS"),--('Input|Historical Data'!$AL$9:$AL$1180=AG$5),'Input|Historical Data'!$AG$9:$AG$1180)</f>
        <v>0</v>
      </c>
      <c r="AH30" s="48">
        <f>SUMPRODUCT(--('Input|Historical Data'!$AC$9:$AC$1180=$E30),--('Input|Historical Data'!$AM$9:$AM$1180="SCS"),--('Input|Historical Data'!$AK$9:$AK$1180=AH$5),'Input|Historical Data'!$AG$9:$AG$1180)</f>
        <v>0</v>
      </c>
      <c r="AI30" s="49">
        <f t="shared" si="17"/>
        <v>0</v>
      </c>
      <c r="AJ30" s="49">
        <f t="shared" si="18"/>
        <v>0</v>
      </c>
      <c r="AK30" s="49">
        <f t="shared" si="19"/>
        <v>0</v>
      </c>
      <c r="AL30" s="49">
        <f t="shared" si="20"/>
        <v>0</v>
      </c>
      <c r="AM30" s="38"/>
      <c r="AN30" s="48"/>
      <c r="AO30" s="48"/>
      <c r="AP30" s="48"/>
      <c r="AQ30" s="48"/>
      <c r="AR30" s="48"/>
      <c r="AS30" s="49"/>
      <c r="AT30" s="49"/>
      <c r="AU30" s="49"/>
      <c r="AV30" s="49"/>
      <c r="AW30" s="38"/>
      <c r="AX30" s="49">
        <f t="shared" si="21"/>
        <v>0</v>
      </c>
      <c r="AY30" s="49">
        <f t="shared" si="22"/>
        <v>0</v>
      </c>
      <c r="AZ30" s="49">
        <f t="shared" si="23"/>
        <v>0</v>
      </c>
      <c r="BA30" s="49">
        <f t="shared" si="24"/>
        <v>0</v>
      </c>
      <c r="BB30" s="44"/>
    </row>
    <row r="31" spans="3:54" s="7" customFormat="1" outlineLevel="1" x14ac:dyDescent="0.3">
      <c r="C31" s="38"/>
      <c r="D31" s="38"/>
      <c r="E31" s="38" t="s">
        <v>106</v>
      </c>
      <c r="F31" s="38" t="s">
        <v>288</v>
      </c>
      <c r="G31" s="38" t="str">
        <f>VLOOKUP(E31,Mapping!$E$11:$G$204,3,0)</f>
        <v>ACS</v>
      </c>
      <c r="H31" s="38" t="str">
        <f>VLOOKUP(E31,Mapping!$E$11:$K$204,7,0)</f>
        <v>ACS</v>
      </c>
      <c r="I31" s="38"/>
      <c r="J31" s="48">
        <f>SUMPRODUCT(--('Input|Historical Data'!$E$9:$E$1179=$E31),--('Input|Historical Data'!$O$9:$O$1179="SCS"),--('Input|Historical Data'!$M$9:$M$1179=J$5),'Input|Historical Data'!$I$9:$I$1179)</f>
        <v>0</v>
      </c>
      <c r="K31" s="48">
        <f>SUMPRODUCT(--('Input|Historical Data'!$E$9:$E$1179=$E31),--('Input|Historical Data'!$O$9:$O$1179="SCS"),--('Input|Historical Data'!$N$9:$N$1179=K$5),'Input|Historical Data'!$I$9:$I$1179)</f>
        <v>0</v>
      </c>
      <c r="L31" s="48">
        <f>SUMPRODUCT(--('Input|Historical Data'!$E$9:$E$1179=$E31),--('Input|Historical Data'!$O$9:$O$1179="SCS"),--('Input|Historical Data'!$N$9:$N$1179=L$5),'Input|Historical Data'!$I$9:$I$1179)</f>
        <v>0</v>
      </c>
      <c r="M31" s="48">
        <f>SUMPRODUCT(--('Input|Historical Data'!$E$9:$E$1179=$E31),--('Input|Historical Data'!$O$9:$O$1179="SCS"),--('Input|Historical Data'!$N$9:$N$1179=M$5),'Input|Historical Data'!$I$9:$I$1179)</f>
        <v>0</v>
      </c>
      <c r="N31" s="48">
        <f>SUMPRODUCT(--('Input|Historical Data'!$E$9:$E$1179=$E31),--('Input|Historical Data'!$O$9:$O$1179="SCS"),--('Input|Historical Data'!$M$9:$M$1179=N$5),'Input|Historical Data'!$I$9:$I$1179)</f>
        <v>0</v>
      </c>
      <c r="O31" s="49">
        <f t="shared" si="7"/>
        <v>0</v>
      </c>
      <c r="P31" s="49">
        <f t="shared" si="8"/>
        <v>0</v>
      </c>
      <c r="Q31" s="49">
        <f t="shared" si="9"/>
        <v>0</v>
      </c>
      <c r="R31" s="49">
        <f t="shared" si="10"/>
        <v>0</v>
      </c>
      <c r="S31" s="38"/>
      <c r="T31" s="48">
        <f>SUMPRODUCT(--('Input|Historical Data'!$Q$9:$Q$1179=$E31),--('Input|Historical Data'!$AA$9:$AA$1179="SCS"),--('Input|Historical Data'!$Y$9:$Y$1179=T$5),'Input|Historical Data'!$U$9:$U$1179)</f>
        <v>0</v>
      </c>
      <c r="U31" s="48">
        <f>SUMPRODUCT(--('Input|Historical Data'!$Q$9:$Q$1179=$E31),--('Input|Historical Data'!$AA$9:$AA$1179="SCS"),--('Input|Historical Data'!$Z$9:$Z$1179=U$5),'Input|Historical Data'!$U$9:$U$1179)</f>
        <v>0</v>
      </c>
      <c r="V31" s="48">
        <f>SUMPRODUCT(--('Input|Historical Data'!$Q$9:$Q$1179=$E31),--('Input|Historical Data'!$AA$9:$AA$1179="SCS"),--('Input|Historical Data'!$Z$9:$Z$1179=V$5),'Input|Historical Data'!$U$9:$U$1179)</f>
        <v>0</v>
      </c>
      <c r="W31" s="48">
        <f>SUMPRODUCT(--('Input|Historical Data'!$Q$9:$Q$1179=$E31),--('Input|Historical Data'!$AA$9:$AA$1179="SCS"),--('Input|Historical Data'!$Z$9:$Z$1179=W$5),'Input|Historical Data'!$U$9:$U$1179)</f>
        <v>0</v>
      </c>
      <c r="X31" s="48">
        <f>SUMPRODUCT(--('Input|Historical Data'!$Q$9:$Q$1179=$E31),--('Input|Historical Data'!$AA$9:$AA$1179="SCS"),--('Input|Historical Data'!$Y$9:$Y$1179=X$5),'Input|Historical Data'!$U$9:$U$1179)</f>
        <v>0</v>
      </c>
      <c r="Y31" s="49">
        <f t="shared" si="11"/>
        <v>0</v>
      </c>
      <c r="Z31" s="49">
        <f t="shared" si="1"/>
        <v>0</v>
      </c>
      <c r="AA31" s="49">
        <f t="shared" si="2"/>
        <v>0</v>
      </c>
      <c r="AB31" s="49">
        <f t="shared" si="12"/>
        <v>0</v>
      </c>
      <c r="AC31" s="38"/>
      <c r="AD31" s="48">
        <f>SUMPRODUCT(--('Input|Historical Data'!$AC$9:$AC$1180=$E31),--('Input|Historical Data'!$AM$9:$AM$1180="SCS"),--('Input|Historical Data'!$AK$9:$AK$1180=AD$5),'Input|Historical Data'!$AG$9:$AG$1180)</f>
        <v>0</v>
      </c>
      <c r="AE31" s="48">
        <f>SUMPRODUCT(--('Input|Historical Data'!$AC$9:$AC$1180=$E31),--('Input|Historical Data'!$AM$9:$AM$1180="SCS"),--('Input|Historical Data'!$AL$9:$AL$1180=AE$5),'Input|Historical Data'!$AG$9:$AG$1180)</f>
        <v>0</v>
      </c>
      <c r="AF31" s="48">
        <f>SUMPRODUCT(--('Input|Historical Data'!$AC$9:$AC$1180=$E31),--('Input|Historical Data'!$AM$9:$AM$1180="SCS"),--('Input|Historical Data'!$AL$9:$AL$1180=AF$5),'Input|Historical Data'!$AG$9:$AG$1180)</f>
        <v>0</v>
      </c>
      <c r="AG31" s="48">
        <f>SUMPRODUCT(--('Input|Historical Data'!$AC$9:$AC$1180=$E31),--('Input|Historical Data'!$AM$9:$AM$1180="SCS"),--('Input|Historical Data'!$AL$9:$AL$1180=AG$5),'Input|Historical Data'!$AG$9:$AG$1180)</f>
        <v>0</v>
      </c>
      <c r="AH31" s="48">
        <f>SUMPRODUCT(--('Input|Historical Data'!$AC$9:$AC$1180=$E31),--('Input|Historical Data'!$AM$9:$AM$1180="SCS"),--('Input|Historical Data'!$AK$9:$AK$1180=AH$5),'Input|Historical Data'!$AG$9:$AG$1180)</f>
        <v>0</v>
      </c>
      <c r="AI31" s="49">
        <f t="shared" si="17"/>
        <v>0</v>
      </c>
      <c r="AJ31" s="49">
        <f t="shared" si="18"/>
        <v>0</v>
      </c>
      <c r="AK31" s="49">
        <f t="shared" si="19"/>
        <v>0</v>
      </c>
      <c r="AL31" s="49">
        <f t="shared" si="20"/>
        <v>0</v>
      </c>
      <c r="AM31" s="38"/>
      <c r="AN31" s="48"/>
      <c r="AO31" s="48"/>
      <c r="AP31" s="48"/>
      <c r="AQ31" s="48"/>
      <c r="AR31" s="48"/>
      <c r="AS31" s="49"/>
      <c r="AT31" s="49"/>
      <c r="AU31" s="49"/>
      <c r="AV31" s="49"/>
      <c r="AW31" s="38"/>
      <c r="AX31" s="49">
        <f t="shared" si="21"/>
        <v>0</v>
      </c>
      <c r="AY31" s="49">
        <f t="shared" si="22"/>
        <v>0</v>
      </c>
      <c r="AZ31" s="49">
        <f t="shared" si="23"/>
        <v>0</v>
      </c>
      <c r="BA31" s="49">
        <f t="shared" si="24"/>
        <v>0</v>
      </c>
      <c r="BB31" s="44"/>
    </row>
    <row r="32" spans="3:54" s="7" customFormat="1" outlineLevel="1" x14ac:dyDescent="0.3">
      <c r="C32" s="38"/>
      <c r="D32" s="38"/>
      <c r="E32" s="38" t="s">
        <v>107</v>
      </c>
      <c r="F32" s="38" t="s">
        <v>289</v>
      </c>
      <c r="G32" s="38" t="str">
        <f>VLOOKUP(E32,Mapping!$E$11:$G$204,3,0)</f>
        <v>Public Lighting</v>
      </c>
      <c r="H32" s="38" t="str">
        <f>VLOOKUP(E32,Mapping!$E$11:$K$204,7,0)</f>
        <v>Public Lighting</v>
      </c>
      <c r="I32" s="38"/>
      <c r="J32" s="48">
        <f>SUMPRODUCT(--('Input|Historical Data'!$E$9:$E$1179=$E32),--('Input|Historical Data'!$O$9:$O$1179="SCS"),--('Input|Historical Data'!$M$9:$M$1179=J$5),'Input|Historical Data'!$I$9:$I$1179)</f>
        <v>0</v>
      </c>
      <c r="K32" s="48">
        <f>SUMPRODUCT(--('Input|Historical Data'!$E$9:$E$1179=$E32),--('Input|Historical Data'!$O$9:$O$1179="SCS"),--('Input|Historical Data'!$N$9:$N$1179=K$5),'Input|Historical Data'!$I$9:$I$1179)</f>
        <v>0</v>
      </c>
      <c r="L32" s="48">
        <f>SUMPRODUCT(--('Input|Historical Data'!$E$9:$E$1179=$E32),--('Input|Historical Data'!$O$9:$O$1179="SCS"),--('Input|Historical Data'!$N$9:$N$1179=L$5),'Input|Historical Data'!$I$9:$I$1179)</f>
        <v>0</v>
      </c>
      <c r="M32" s="48">
        <f>SUMPRODUCT(--('Input|Historical Data'!$E$9:$E$1179=$E32),--('Input|Historical Data'!$O$9:$O$1179="SCS"),--('Input|Historical Data'!$N$9:$N$1179=M$5),'Input|Historical Data'!$I$9:$I$1179)</f>
        <v>0</v>
      </c>
      <c r="N32" s="48">
        <f>SUMPRODUCT(--('Input|Historical Data'!$E$9:$E$1179=$E32),--('Input|Historical Data'!$O$9:$O$1179="SCS"),--('Input|Historical Data'!$M$9:$M$1179=N$5),'Input|Historical Data'!$I$9:$I$1179)</f>
        <v>0</v>
      </c>
      <c r="O32" s="49">
        <f t="shared" si="7"/>
        <v>0</v>
      </c>
      <c r="P32" s="49">
        <f t="shared" si="8"/>
        <v>0</v>
      </c>
      <c r="Q32" s="49">
        <f t="shared" si="9"/>
        <v>0</v>
      </c>
      <c r="R32" s="49">
        <f t="shared" si="10"/>
        <v>0</v>
      </c>
      <c r="S32" s="38"/>
      <c r="T32" s="48">
        <f>SUMPRODUCT(--('Input|Historical Data'!$Q$9:$Q$1179=$E32),--('Input|Historical Data'!$AA$9:$AA$1179="SCS"),--('Input|Historical Data'!$Y$9:$Y$1179=T$5),'Input|Historical Data'!$U$9:$U$1179)</f>
        <v>0</v>
      </c>
      <c r="U32" s="48">
        <f>SUMPRODUCT(--('Input|Historical Data'!$Q$9:$Q$1179=$E32),--('Input|Historical Data'!$AA$9:$AA$1179="SCS"),--('Input|Historical Data'!$Z$9:$Z$1179=U$5),'Input|Historical Data'!$U$9:$U$1179)</f>
        <v>0</v>
      </c>
      <c r="V32" s="48">
        <f>SUMPRODUCT(--('Input|Historical Data'!$Q$9:$Q$1179=$E32),--('Input|Historical Data'!$AA$9:$AA$1179="SCS"),--('Input|Historical Data'!$Z$9:$Z$1179=V$5),'Input|Historical Data'!$U$9:$U$1179)</f>
        <v>0</v>
      </c>
      <c r="W32" s="48">
        <f>SUMPRODUCT(--('Input|Historical Data'!$Q$9:$Q$1179=$E32),--('Input|Historical Data'!$AA$9:$AA$1179="SCS"),--('Input|Historical Data'!$Z$9:$Z$1179=W$5),'Input|Historical Data'!$U$9:$U$1179)</f>
        <v>0</v>
      </c>
      <c r="X32" s="48">
        <f>SUMPRODUCT(--('Input|Historical Data'!$Q$9:$Q$1179=$E32),--('Input|Historical Data'!$AA$9:$AA$1179="SCS"),--('Input|Historical Data'!$Y$9:$Y$1179=X$5),'Input|Historical Data'!$U$9:$U$1179)</f>
        <v>0</v>
      </c>
      <c r="Y32" s="49">
        <f t="shared" si="11"/>
        <v>0</v>
      </c>
      <c r="Z32" s="49">
        <f t="shared" si="1"/>
        <v>0</v>
      </c>
      <c r="AA32" s="49">
        <f t="shared" si="2"/>
        <v>0</v>
      </c>
      <c r="AB32" s="49">
        <f t="shared" si="12"/>
        <v>0</v>
      </c>
      <c r="AC32" s="38"/>
      <c r="AD32" s="48">
        <f>SUMPRODUCT(--('Input|Historical Data'!$AC$9:$AC$1180=$E32),--('Input|Historical Data'!$AM$9:$AM$1180="SCS"),--('Input|Historical Data'!$AK$9:$AK$1180=AD$5),'Input|Historical Data'!$AG$9:$AG$1180)</f>
        <v>0</v>
      </c>
      <c r="AE32" s="48">
        <f>SUMPRODUCT(--('Input|Historical Data'!$AC$9:$AC$1180=$E32),--('Input|Historical Data'!$AM$9:$AM$1180="SCS"),--('Input|Historical Data'!$AL$9:$AL$1180=AE$5),'Input|Historical Data'!$AG$9:$AG$1180)</f>
        <v>0</v>
      </c>
      <c r="AF32" s="48">
        <f>SUMPRODUCT(--('Input|Historical Data'!$AC$9:$AC$1180=$E32),--('Input|Historical Data'!$AM$9:$AM$1180="SCS"),--('Input|Historical Data'!$AL$9:$AL$1180=AF$5),'Input|Historical Data'!$AG$9:$AG$1180)</f>
        <v>0</v>
      </c>
      <c r="AG32" s="48">
        <f>SUMPRODUCT(--('Input|Historical Data'!$AC$9:$AC$1180=$E32),--('Input|Historical Data'!$AM$9:$AM$1180="SCS"),--('Input|Historical Data'!$AL$9:$AL$1180=AG$5),'Input|Historical Data'!$AG$9:$AG$1180)</f>
        <v>0</v>
      </c>
      <c r="AH32" s="48">
        <f>SUMPRODUCT(--('Input|Historical Data'!$AC$9:$AC$1180=$E32),--('Input|Historical Data'!$AM$9:$AM$1180="SCS"),--('Input|Historical Data'!$AK$9:$AK$1180=AH$5),'Input|Historical Data'!$AG$9:$AG$1180)</f>
        <v>0</v>
      </c>
      <c r="AI32" s="49">
        <f t="shared" si="17"/>
        <v>0</v>
      </c>
      <c r="AJ32" s="49">
        <f t="shared" si="18"/>
        <v>0</v>
      </c>
      <c r="AK32" s="49">
        <f t="shared" si="19"/>
        <v>0</v>
      </c>
      <c r="AL32" s="49">
        <f t="shared" si="20"/>
        <v>0</v>
      </c>
      <c r="AM32" s="38"/>
      <c r="AN32" s="48"/>
      <c r="AO32" s="48"/>
      <c r="AP32" s="48"/>
      <c r="AQ32" s="48"/>
      <c r="AR32" s="48"/>
      <c r="AS32" s="49"/>
      <c r="AT32" s="49"/>
      <c r="AU32" s="49"/>
      <c r="AV32" s="49"/>
      <c r="AW32" s="38"/>
      <c r="AX32" s="49">
        <f t="shared" si="21"/>
        <v>0</v>
      </c>
      <c r="AY32" s="49">
        <f t="shared" si="22"/>
        <v>0</v>
      </c>
      <c r="AZ32" s="49">
        <f t="shared" si="23"/>
        <v>0</v>
      </c>
      <c r="BA32" s="49">
        <f t="shared" si="24"/>
        <v>0</v>
      </c>
      <c r="BB32" s="44"/>
    </row>
    <row r="33" spans="3:54" s="7" customFormat="1" outlineLevel="1" x14ac:dyDescent="0.3">
      <c r="C33" s="38"/>
      <c r="D33" s="38"/>
      <c r="E33" s="38" t="s">
        <v>108</v>
      </c>
      <c r="F33" s="38" t="s">
        <v>290</v>
      </c>
      <c r="G33" s="38" t="str">
        <f>VLOOKUP(E33,Mapping!$E$11:$G$204,3,0)</f>
        <v>Public Lighting</v>
      </c>
      <c r="H33" s="38" t="str">
        <f>VLOOKUP(E33,Mapping!$E$11:$K$204,7,0)</f>
        <v>Public Lighting</v>
      </c>
      <c r="I33" s="38"/>
      <c r="J33" s="48">
        <f>SUMPRODUCT(--('Input|Historical Data'!$E$9:$E$1179=$E33),--('Input|Historical Data'!$O$9:$O$1179="SCS"),--('Input|Historical Data'!$M$9:$M$1179=J$5),'Input|Historical Data'!$I$9:$I$1179)</f>
        <v>0</v>
      </c>
      <c r="K33" s="48">
        <f>SUMPRODUCT(--('Input|Historical Data'!$E$9:$E$1179=$E33),--('Input|Historical Data'!$O$9:$O$1179="SCS"),--('Input|Historical Data'!$N$9:$N$1179=K$5),'Input|Historical Data'!$I$9:$I$1179)</f>
        <v>0</v>
      </c>
      <c r="L33" s="48">
        <f>SUMPRODUCT(--('Input|Historical Data'!$E$9:$E$1179=$E33),--('Input|Historical Data'!$O$9:$O$1179="SCS"),--('Input|Historical Data'!$N$9:$N$1179=L$5),'Input|Historical Data'!$I$9:$I$1179)</f>
        <v>0</v>
      </c>
      <c r="M33" s="48">
        <f>SUMPRODUCT(--('Input|Historical Data'!$E$9:$E$1179=$E33),--('Input|Historical Data'!$O$9:$O$1179="SCS"),--('Input|Historical Data'!$N$9:$N$1179=M$5),'Input|Historical Data'!$I$9:$I$1179)</f>
        <v>0</v>
      </c>
      <c r="N33" s="48">
        <f>SUMPRODUCT(--('Input|Historical Data'!$E$9:$E$1179=$E33),--('Input|Historical Data'!$O$9:$O$1179="SCS"),--('Input|Historical Data'!$M$9:$M$1179=N$5),'Input|Historical Data'!$I$9:$I$1179)</f>
        <v>0</v>
      </c>
      <c r="O33" s="49">
        <f t="shared" si="7"/>
        <v>0</v>
      </c>
      <c r="P33" s="49">
        <f t="shared" si="8"/>
        <v>0</v>
      </c>
      <c r="Q33" s="49">
        <f t="shared" si="9"/>
        <v>0</v>
      </c>
      <c r="R33" s="49">
        <f t="shared" si="10"/>
        <v>0</v>
      </c>
      <c r="S33" s="38"/>
      <c r="T33" s="48">
        <f>SUMPRODUCT(--('Input|Historical Data'!$Q$9:$Q$1179=$E33),--('Input|Historical Data'!$AA$9:$AA$1179="SCS"),--('Input|Historical Data'!$Y$9:$Y$1179=T$5),'Input|Historical Data'!$U$9:$U$1179)</f>
        <v>0</v>
      </c>
      <c r="U33" s="48">
        <f>SUMPRODUCT(--('Input|Historical Data'!$Q$9:$Q$1179=$E33),--('Input|Historical Data'!$AA$9:$AA$1179="SCS"),--('Input|Historical Data'!$Z$9:$Z$1179=U$5),'Input|Historical Data'!$U$9:$U$1179)</f>
        <v>0</v>
      </c>
      <c r="V33" s="48">
        <f>SUMPRODUCT(--('Input|Historical Data'!$Q$9:$Q$1179=$E33),--('Input|Historical Data'!$AA$9:$AA$1179="SCS"),--('Input|Historical Data'!$Z$9:$Z$1179=V$5),'Input|Historical Data'!$U$9:$U$1179)</f>
        <v>0</v>
      </c>
      <c r="W33" s="48">
        <f>SUMPRODUCT(--('Input|Historical Data'!$Q$9:$Q$1179=$E33),--('Input|Historical Data'!$AA$9:$AA$1179="SCS"),--('Input|Historical Data'!$Z$9:$Z$1179=W$5),'Input|Historical Data'!$U$9:$U$1179)</f>
        <v>0</v>
      </c>
      <c r="X33" s="48">
        <f>SUMPRODUCT(--('Input|Historical Data'!$Q$9:$Q$1179=$E33),--('Input|Historical Data'!$AA$9:$AA$1179="SCS"),--('Input|Historical Data'!$Y$9:$Y$1179=X$5),'Input|Historical Data'!$U$9:$U$1179)</f>
        <v>0</v>
      </c>
      <c r="Y33" s="49">
        <f t="shared" si="11"/>
        <v>0</v>
      </c>
      <c r="Z33" s="49">
        <f t="shared" si="1"/>
        <v>0</v>
      </c>
      <c r="AA33" s="49">
        <f t="shared" si="2"/>
        <v>0</v>
      </c>
      <c r="AB33" s="49">
        <f t="shared" si="12"/>
        <v>0</v>
      </c>
      <c r="AC33" s="38"/>
      <c r="AD33" s="48">
        <f>SUMPRODUCT(--('Input|Historical Data'!$AC$9:$AC$1180=$E33),--('Input|Historical Data'!$AM$9:$AM$1180="SCS"),--('Input|Historical Data'!$AK$9:$AK$1180=AD$5),'Input|Historical Data'!$AG$9:$AG$1180)</f>
        <v>0</v>
      </c>
      <c r="AE33" s="48">
        <f>SUMPRODUCT(--('Input|Historical Data'!$AC$9:$AC$1180=$E33),--('Input|Historical Data'!$AM$9:$AM$1180="SCS"),--('Input|Historical Data'!$AL$9:$AL$1180=AE$5),'Input|Historical Data'!$AG$9:$AG$1180)</f>
        <v>0</v>
      </c>
      <c r="AF33" s="48">
        <f>SUMPRODUCT(--('Input|Historical Data'!$AC$9:$AC$1180=$E33),--('Input|Historical Data'!$AM$9:$AM$1180="SCS"),--('Input|Historical Data'!$AL$9:$AL$1180=AF$5),'Input|Historical Data'!$AG$9:$AG$1180)</f>
        <v>0</v>
      </c>
      <c r="AG33" s="48">
        <f>SUMPRODUCT(--('Input|Historical Data'!$AC$9:$AC$1180=$E33),--('Input|Historical Data'!$AM$9:$AM$1180="SCS"),--('Input|Historical Data'!$AL$9:$AL$1180=AG$5),'Input|Historical Data'!$AG$9:$AG$1180)</f>
        <v>0</v>
      </c>
      <c r="AH33" s="48">
        <f>SUMPRODUCT(--('Input|Historical Data'!$AC$9:$AC$1180=$E33),--('Input|Historical Data'!$AM$9:$AM$1180="SCS"),--('Input|Historical Data'!$AK$9:$AK$1180=AH$5),'Input|Historical Data'!$AG$9:$AG$1180)</f>
        <v>0</v>
      </c>
      <c r="AI33" s="49">
        <f t="shared" si="17"/>
        <v>0</v>
      </c>
      <c r="AJ33" s="49">
        <f t="shared" si="18"/>
        <v>0</v>
      </c>
      <c r="AK33" s="49">
        <f t="shared" si="19"/>
        <v>0</v>
      </c>
      <c r="AL33" s="49">
        <f t="shared" si="20"/>
        <v>0</v>
      </c>
      <c r="AM33" s="38"/>
      <c r="AN33" s="48"/>
      <c r="AO33" s="48"/>
      <c r="AP33" s="48"/>
      <c r="AQ33" s="48"/>
      <c r="AR33" s="48"/>
      <c r="AS33" s="49"/>
      <c r="AT33" s="49"/>
      <c r="AU33" s="49"/>
      <c r="AV33" s="49"/>
      <c r="AW33" s="38"/>
      <c r="AX33" s="49">
        <f t="shared" si="21"/>
        <v>0</v>
      </c>
      <c r="AY33" s="49">
        <f t="shared" si="22"/>
        <v>0</v>
      </c>
      <c r="AZ33" s="49">
        <f t="shared" si="23"/>
        <v>0</v>
      </c>
      <c r="BA33" s="49">
        <f t="shared" si="24"/>
        <v>0</v>
      </c>
      <c r="BB33" s="44"/>
    </row>
    <row r="34" spans="3:54" s="7" customFormat="1" outlineLevel="1" x14ac:dyDescent="0.3">
      <c r="C34" s="38"/>
      <c r="D34" s="38"/>
      <c r="E34" s="38" t="s">
        <v>109</v>
      </c>
      <c r="F34" s="38" t="s">
        <v>291</v>
      </c>
      <c r="G34" s="38" t="str">
        <f>VLOOKUP(E34,Mapping!$E$11:$G$204,3,0)</f>
        <v>Public Lighting</v>
      </c>
      <c r="H34" s="38" t="str">
        <f>VLOOKUP(E34,Mapping!$E$11:$K$204,7,0)</f>
        <v>Public Lighting</v>
      </c>
      <c r="I34" s="38"/>
      <c r="J34" s="48">
        <f>SUMPRODUCT(--('Input|Historical Data'!$E$9:$E$1179=$E34),--('Input|Historical Data'!$O$9:$O$1179="SCS"),--('Input|Historical Data'!$M$9:$M$1179=J$5),'Input|Historical Data'!$I$9:$I$1179)</f>
        <v>0</v>
      </c>
      <c r="K34" s="48">
        <f>SUMPRODUCT(--('Input|Historical Data'!$E$9:$E$1179=$E34),--('Input|Historical Data'!$O$9:$O$1179="SCS"),--('Input|Historical Data'!$N$9:$N$1179=K$5),'Input|Historical Data'!$I$9:$I$1179)</f>
        <v>0</v>
      </c>
      <c r="L34" s="48">
        <f>SUMPRODUCT(--('Input|Historical Data'!$E$9:$E$1179=$E34),--('Input|Historical Data'!$O$9:$O$1179="SCS"),--('Input|Historical Data'!$N$9:$N$1179=L$5),'Input|Historical Data'!$I$9:$I$1179)</f>
        <v>0</v>
      </c>
      <c r="M34" s="48">
        <f>SUMPRODUCT(--('Input|Historical Data'!$E$9:$E$1179=$E34),--('Input|Historical Data'!$O$9:$O$1179="SCS"),--('Input|Historical Data'!$N$9:$N$1179=M$5),'Input|Historical Data'!$I$9:$I$1179)</f>
        <v>0</v>
      </c>
      <c r="N34" s="48">
        <f>SUMPRODUCT(--('Input|Historical Data'!$E$9:$E$1179=$E34),--('Input|Historical Data'!$O$9:$O$1179="SCS"),--('Input|Historical Data'!$M$9:$M$1179=N$5),'Input|Historical Data'!$I$9:$I$1179)</f>
        <v>0</v>
      </c>
      <c r="O34" s="49">
        <f t="shared" si="7"/>
        <v>0</v>
      </c>
      <c r="P34" s="49">
        <f t="shared" si="8"/>
        <v>0</v>
      </c>
      <c r="Q34" s="49">
        <f t="shared" si="9"/>
        <v>0</v>
      </c>
      <c r="R34" s="49">
        <f t="shared" si="10"/>
        <v>0</v>
      </c>
      <c r="S34" s="38"/>
      <c r="T34" s="48">
        <f>SUMPRODUCT(--('Input|Historical Data'!$Q$9:$Q$1179=$E34),--('Input|Historical Data'!$AA$9:$AA$1179="SCS"),--('Input|Historical Data'!$Y$9:$Y$1179=T$5),'Input|Historical Data'!$U$9:$U$1179)</f>
        <v>0</v>
      </c>
      <c r="U34" s="48">
        <f>SUMPRODUCT(--('Input|Historical Data'!$Q$9:$Q$1179=$E34),--('Input|Historical Data'!$AA$9:$AA$1179="SCS"),--('Input|Historical Data'!$Z$9:$Z$1179=U$5),'Input|Historical Data'!$U$9:$U$1179)</f>
        <v>0</v>
      </c>
      <c r="V34" s="48">
        <f>SUMPRODUCT(--('Input|Historical Data'!$Q$9:$Q$1179=$E34),--('Input|Historical Data'!$AA$9:$AA$1179="SCS"),--('Input|Historical Data'!$Z$9:$Z$1179=V$5),'Input|Historical Data'!$U$9:$U$1179)</f>
        <v>0</v>
      </c>
      <c r="W34" s="48">
        <f>SUMPRODUCT(--('Input|Historical Data'!$Q$9:$Q$1179=$E34),--('Input|Historical Data'!$AA$9:$AA$1179="SCS"),--('Input|Historical Data'!$Z$9:$Z$1179=W$5),'Input|Historical Data'!$U$9:$U$1179)</f>
        <v>0</v>
      </c>
      <c r="X34" s="48">
        <f>SUMPRODUCT(--('Input|Historical Data'!$Q$9:$Q$1179=$E34),--('Input|Historical Data'!$AA$9:$AA$1179="SCS"),--('Input|Historical Data'!$Y$9:$Y$1179=X$5),'Input|Historical Data'!$U$9:$U$1179)</f>
        <v>0</v>
      </c>
      <c r="Y34" s="49">
        <f t="shared" si="11"/>
        <v>0</v>
      </c>
      <c r="Z34" s="49">
        <f t="shared" si="1"/>
        <v>0</v>
      </c>
      <c r="AA34" s="49">
        <f t="shared" si="2"/>
        <v>0</v>
      </c>
      <c r="AB34" s="49">
        <f t="shared" si="12"/>
        <v>0</v>
      </c>
      <c r="AC34" s="38"/>
      <c r="AD34" s="48">
        <f>SUMPRODUCT(--('Input|Historical Data'!$AC$9:$AC$1180=$E34),--('Input|Historical Data'!$AM$9:$AM$1180="SCS"),--('Input|Historical Data'!$AK$9:$AK$1180=AD$5),'Input|Historical Data'!$AG$9:$AG$1180)</f>
        <v>0</v>
      </c>
      <c r="AE34" s="48">
        <f>SUMPRODUCT(--('Input|Historical Data'!$AC$9:$AC$1180=$E34),--('Input|Historical Data'!$AM$9:$AM$1180="SCS"),--('Input|Historical Data'!$AL$9:$AL$1180=AE$5),'Input|Historical Data'!$AG$9:$AG$1180)</f>
        <v>0</v>
      </c>
      <c r="AF34" s="48">
        <f>SUMPRODUCT(--('Input|Historical Data'!$AC$9:$AC$1180=$E34),--('Input|Historical Data'!$AM$9:$AM$1180="SCS"),--('Input|Historical Data'!$AL$9:$AL$1180=AF$5),'Input|Historical Data'!$AG$9:$AG$1180)</f>
        <v>0</v>
      </c>
      <c r="AG34" s="48">
        <f>SUMPRODUCT(--('Input|Historical Data'!$AC$9:$AC$1180=$E34),--('Input|Historical Data'!$AM$9:$AM$1180="SCS"),--('Input|Historical Data'!$AL$9:$AL$1180=AG$5),'Input|Historical Data'!$AG$9:$AG$1180)</f>
        <v>0</v>
      </c>
      <c r="AH34" s="48">
        <f>SUMPRODUCT(--('Input|Historical Data'!$AC$9:$AC$1180=$E34),--('Input|Historical Data'!$AM$9:$AM$1180="SCS"),--('Input|Historical Data'!$AK$9:$AK$1180=AH$5),'Input|Historical Data'!$AG$9:$AG$1180)</f>
        <v>0</v>
      </c>
      <c r="AI34" s="49">
        <f t="shared" si="17"/>
        <v>0</v>
      </c>
      <c r="AJ34" s="49">
        <f t="shared" si="18"/>
        <v>0</v>
      </c>
      <c r="AK34" s="49">
        <f t="shared" si="19"/>
        <v>0</v>
      </c>
      <c r="AL34" s="49">
        <f t="shared" si="20"/>
        <v>0</v>
      </c>
      <c r="AM34" s="38"/>
      <c r="AN34" s="48"/>
      <c r="AO34" s="48"/>
      <c r="AP34" s="48"/>
      <c r="AQ34" s="48"/>
      <c r="AR34" s="48"/>
      <c r="AS34" s="49"/>
      <c r="AT34" s="49"/>
      <c r="AU34" s="49"/>
      <c r="AV34" s="49"/>
      <c r="AW34" s="38"/>
      <c r="AX34" s="49">
        <f t="shared" si="21"/>
        <v>0</v>
      </c>
      <c r="AY34" s="49">
        <f t="shared" si="22"/>
        <v>0</v>
      </c>
      <c r="AZ34" s="49">
        <f t="shared" si="23"/>
        <v>0</v>
      </c>
      <c r="BA34" s="49">
        <f t="shared" si="24"/>
        <v>0</v>
      </c>
      <c r="BB34" s="44"/>
    </row>
    <row r="35" spans="3:54" s="7" customFormat="1" outlineLevel="1" x14ac:dyDescent="0.3">
      <c r="C35" s="38"/>
      <c r="D35" s="38"/>
      <c r="E35" s="38" t="s">
        <v>110</v>
      </c>
      <c r="F35" s="38" t="s">
        <v>292</v>
      </c>
      <c r="G35" s="38" t="str">
        <f>VLOOKUP(E35,Mapping!$E$11:$G$204,3,0)</f>
        <v>Public Lighting</v>
      </c>
      <c r="H35" s="38" t="str">
        <f>VLOOKUP(E35,Mapping!$E$11:$K$204,7,0)</f>
        <v>Public Lighting</v>
      </c>
      <c r="I35" s="38"/>
      <c r="J35" s="48">
        <f>SUMPRODUCT(--('Input|Historical Data'!$E$9:$E$1179=$E35),--('Input|Historical Data'!$O$9:$O$1179="SCS"),--('Input|Historical Data'!$M$9:$M$1179=J$5),'Input|Historical Data'!$I$9:$I$1179)</f>
        <v>0</v>
      </c>
      <c r="K35" s="48">
        <f>SUMPRODUCT(--('Input|Historical Data'!$E$9:$E$1179=$E35),--('Input|Historical Data'!$O$9:$O$1179="SCS"),--('Input|Historical Data'!$N$9:$N$1179=K$5),'Input|Historical Data'!$I$9:$I$1179)</f>
        <v>0</v>
      </c>
      <c r="L35" s="48">
        <f>SUMPRODUCT(--('Input|Historical Data'!$E$9:$E$1179=$E35),--('Input|Historical Data'!$O$9:$O$1179="SCS"),--('Input|Historical Data'!$N$9:$N$1179=L$5),'Input|Historical Data'!$I$9:$I$1179)</f>
        <v>0</v>
      </c>
      <c r="M35" s="48">
        <f>SUMPRODUCT(--('Input|Historical Data'!$E$9:$E$1179=$E35),--('Input|Historical Data'!$O$9:$O$1179="SCS"),--('Input|Historical Data'!$N$9:$N$1179=M$5),'Input|Historical Data'!$I$9:$I$1179)</f>
        <v>0</v>
      </c>
      <c r="N35" s="48">
        <f>SUMPRODUCT(--('Input|Historical Data'!$E$9:$E$1179=$E35),--('Input|Historical Data'!$O$9:$O$1179="SCS"),--('Input|Historical Data'!$M$9:$M$1179=N$5),'Input|Historical Data'!$I$9:$I$1179)</f>
        <v>0</v>
      </c>
      <c r="O35" s="49">
        <f t="shared" si="7"/>
        <v>0</v>
      </c>
      <c r="P35" s="49">
        <f t="shared" si="8"/>
        <v>0</v>
      </c>
      <c r="Q35" s="49">
        <f t="shared" si="9"/>
        <v>0</v>
      </c>
      <c r="R35" s="49">
        <f t="shared" si="10"/>
        <v>0</v>
      </c>
      <c r="S35" s="38"/>
      <c r="T35" s="48">
        <f>SUMPRODUCT(--('Input|Historical Data'!$Q$9:$Q$1179=$E35),--('Input|Historical Data'!$AA$9:$AA$1179="SCS"),--('Input|Historical Data'!$Y$9:$Y$1179=T$5),'Input|Historical Data'!$U$9:$U$1179)</f>
        <v>0</v>
      </c>
      <c r="U35" s="48">
        <f>SUMPRODUCT(--('Input|Historical Data'!$Q$9:$Q$1179=$E35),--('Input|Historical Data'!$AA$9:$AA$1179="SCS"),--('Input|Historical Data'!$Z$9:$Z$1179=U$5),'Input|Historical Data'!$U$9:$U$1179)</f>
        <v>0</v>
      </c>
      <c r="V35" s="48">
        <f>SUMPRODUCT(--('Input|Historical Data'!$Q$9:$Q$1179=$E35),--('Input|Historical Data'!$AA$9:$AA$1179="SCS"),--('Input|Historical Data'!$Z$9:$Z$1179=V$5),'Input|Historical Data'!$U$9:$U$1179)</f>
        <v>0</v>
      </c>
      <c r="W35" s="48">
        <f>SUMPRODUCT(--('Input|Historical Data'!$Q$9:$Q$1179=$E35),--('Input|Historical Data'!$AA$9:$AA$1179="SCS"),--('Input|Historical Data'!$Z$9:$Z$1179=W$5),'Input|Historical Data'!$U$9:$U$1179)</f>
        <v>0</v>
      </c>
      <c r="X35" s="48">
        <f>SUMPRODUCT(--('Input|Historical Data'!$Q$9:$Q$1179=$E35),--('Input|Historical Data'!$AA$9:$AA$1179="SCS"),--('Input|Historical Data'!$Y$9:$Y$1179=X$5),'Input|Historical Data'!$U$9:$U$1179)</f>
        <v>0</v>
      </c>
      <c r="Y35" s="49">
        <f t="shared" si="11"/>
        <v>0</v>
      </c>
      <c r="Z35" s="49">
        <f t="shared" si="1"/>
        <v>0</v>
      </c>
      <c r="AA35" s="49">
        <f t="shared" si="2"/>
        <v>0</v>
      </c>
      <c r="AB35" s="49">
        <f t="shared" si="12"/>
        <v>0</v>
      </c>
      <c r="AC35" s="38"/>
      <c r="AD35" s="48">
        <f>SUMPRODUCT(--('Input|Historical Data'!$AC$9:$AC$1180=$E35),--('Input|Historical Data'!$AM$9:$AM$1180="SCS"),--('Input|Historical Data'!$AK$9:$AK$1180=AD$5),'Input|Historical Data'!$AG$9:$AG$1180)</f>
        <v>0</v>
      </c>
      <c r="AE35" s="48">
        <f>SUMPRODUCT(--('Input|Historical Data'!$AC$9:$AC$1180=$E35),--('Input|Historical Data'!$AM$9:$AM$1180="SCS"),--('Input|Historical Data'!$AL$9:$AL$1180=AE$5),'Input|Historical Data'!$AG$9:$AG$1180)</f>
        <v>0</v>
      </c>
      <c r="AF35" s="48">
        <f>SUMPRODUCT(--('Input|Historical Data'!$AC$9:$AC$1180=$E35),--('Input|Historical Data'!$AM$9:$AM$1180="SCS"),--('Input|Historical Data'!$AL$9:$AL$1180=AF$5),'Input|Historical Data'!$AG$9:$AG$1180)</f>
        <v>0</v>
      </c>
      <c r="AG35" s="48">
        <f>SUMPRODUCT(--('Input|Historical Data'!$AC$9:$AC$1180=$E35),--('Input|Historical Data'!$AM$9:$AM$1180="SCS"),--('Input|Historical Data'!$AL$9:$AL$1180=AG$5),'Input|Historical Data'!$AG$9:$AG$1180)</f>
        <v>0</v>
      </c>
      <c r="AH35" s="48">
        <f>SUMPRODUCT(--('Input|Historical Data'!$AC$9:$AC$1180=$E35),--('Input|Historical Data'!$AM$9:$AM$1180="SCS"),--('Input|Historical Data'!$AK$9:$AK$1180=AH$5),'Input|Historical Data'!$AG$9:$AG$1180)</f>
        <v>0</v>
      </c>
      <c r="AI35" s="49">
        <f t="shared" si="17"/>
        <v>0</v>
      </c>
      <c r="AJ35" s="49">
        <f t="shared" si="18"/>
        <v>0</v>
      </c>
      <c r="AK35" s="49">
        <f t="shared" si="19"/>
        <v>0</v>
      </c>
      <c r="AL35" s="49">
        <f t="shared" si="20"/>
        <v>0</v>
      </c>
      <c r="AM35" s="38"/>
      <c r="AN35" s="48"/>
      <c r="AO35" s="48"/>
      <c r="AP35" s="48"/>
      <c r="AQ35" s="48"/>
      <c r="AR35" s="48"/>
      <c r="AS35" s="49"/>
      <c r="AT35" s="49"/>
      <c r="AU35" s="49"/>
      <c r="AV35" s="49"/>
      <c r="AW35" s="38"/>
      <c r="AX35" s="49">
        <f t="shared" si="21"/>
        <v>0</v>
      </c>
      <c r="AY35" s="49">
        <f t="shared" si="22"/>
        <v>0</v>
      </c>
      <c r="AZ35" s="49">
        <f t="shared" si="23"/>
        <v>0</v>
      </c>
      <c r="BA35" s="49">
        <f t="shared" si="24"/>
        <v>0</v>
      </c>
      <c r="BB35" s="44"/>
    </row>
    <row r="36" spans="3:54" s="7" customFormat="1" outlineLevel="1" x14ac:dyDescent="0.3">
      <c r="C36" s="38"/>
      <c r="D36" s="38"/>
      <c r="E36" s="38" t="s">
        <v>111</v>
      </c>
      <c r="F36" s="38" t="s">
        <v>293</v>
      </c>
      <c r="G36" s="38" t="str">
        <f>VLOOKUP(E36,Mapping!$E$11:$G$204,3,0)</f>
        <v>Connections</v>
      </c>
      <c r="H36" s="38" t="str">
        <f>VLOOKUP(E36,Mapping!$E$11:$K$204,7,0)</f>
        <v>SCS</v>
      </c>
      <c r="I36" s="38"/>
      <c r="J36" s="48">
        <f>SUMPRODUCT(--('Input|Historical Data'!$E$9:$E$1179=$E36),--('Input|Historical Data'!$O$9:$O$1179="SCS"),--('Input|Historical Data'!$M$9:$M$1179=J$5),'Input|Historical Data'!$I$9:$I$1179)</f>
        <v>8470.2929999999997</v>
      </c>
      <c r="K36" s="48">
        <f>SUMPRODUCT(--('Input|Historical Data'!$E$9:$E$1179=$E36),--('Input|Historical Data'!$O$9:$O$1179="SCS"),--('Input|Historical Data'!$N$9:$N$1179=K$5),'Input|Historical Data'!$I$9:$I$1179)</f>
        <v>4770.6010000000006</v>
      </c>
      <c r="L36" s="48">
        <f>SUMPRODUCT(--('Input|Historical Data'!$E$9:$E$1179=$E36),--('Input|Historical Data'!$O$9:$O$1179="SCS"),--('Input|Historical Data'!$N$9:$N$1179=L$5),'Input|Historical Data'!$I$9:$I$1179)</f>
        <v>1308.4580000000001</v>
      </c>
      <c r="M36" s="48">
        <f>SUMPRODUCT(--('Input|Historical Data'!$E$9:$E$1179=$E36),--('Input|Historical Data'!$O$9:$O$1179="SCS"),--('Input|Historical Data'!$N$9:$N$1179=M$5),'Input|Historical Data'!$I$9:$I$1179)</f>
        <v>2391.2339999999995</v>
      </c>
      <c r="N36" s="48">
        <f>SUMPRODUCT(--('Input|Historical Data'!$E$9:$E$1179=$E36),--('Input|Historical Data'!$O$9:$O$1179="SCS"),--('Input|Historical Data'!$M$9:$M$1179=N$5),'Input|Historical Data'!$I$9:$I$1179)</f>
        <v>725.2</v>
      </c>
      <c r="O36" s="49">
        <f t="shared" si="7"/>
        <v>0.56321558179864617</v>
      </c>
      <c r="P36" s="49">
        <f t="shared" si="8"/>
        <v>0.15447612024755222</v>
      </c>
      <c r="Q36" s="49">
        <f t="shared" si="9"/>
        <v>0.28230829795380147</v>
      </c>
      <c r="R36" s="49">
        <f t="shared" si="10"/>
        <v>8.5616872993649701E-2</v>
      </c>
      <c r="S36" s="38"/>
      <c r="T36" s="48">
        <f>SUMPRODUCT(--('Input|Historical Data'!$Q$9:$Q$1179=$E36),--('Input|Historical Data'!$AA$9:$AA$1179="SCS"),--('Input|Historical Data'!$Y$9:$Y$1179=T$5),'Input|Historical Data'!$U$9:$U$1179)</f>
        <v>12135.215000000002</v>
      </c>
      <c r="U36" s="48">
        <f>SUMPRODUCT(--('Input|Historical Data'!$Q$9:$Q$1179=$E36),--('Input|Historical Data'!$AA$9:$AA$1179="SCS"),--('Input|Historical Data'!$Z$9:$Z$1179=U$5),'Input|Historical Data'!$U$9:$U$1179)</f>
        <v>5056.5020000000004</v>
      </c>
      <c r="V36" s="48">
        <f>SUMPRODUCT(--('Input|Historical Data'!$Q$9:$Q$1179=$E36),--('Input|Historical Data'!$AA$9:$AA$1179="SCS"),--('Input|Historical Data'!$Z$9:$Z$1179=V$5),'Input|Historical Data'!$U$9:$U$1179)</f>
        <v>1886.9360000000001</v>
      </c>
      <c r="W36" s="48">
        <f>SUMPRODUCT(--('Input|Historical Data'!$Q$9:$Q$1179=$E36),--('Input|Historical Data'!$AA$9:$AA$1179="SCS"),--('Input|Historical Data'!$Z$9:$Z$1179=W$5),'Input|Historical Data'!$U$9:$U$1179)</f>
        <v>5191.777</v>
      </c>
      <c r="X36" s="48">
        <f>SUMPRODUCT(--('Input|Historical Data'!$Q$9:$Q$1179=$E36),--('Input|Historical Data'!$AA$9:$AA$1179="SCS"),--('Input|Historical Data'!$Y$9:$Y$1179=X$5),'Input|Historical Data'!$U$9:$U$1179)</f>
        <v>1143.5129999999999</v>
      </c>
      <c r="Y36" s="49">
        <f t="shared" si="11"/>
        <v>0.41668005058006802</v>
      </c>
      <c r="Z36" s="49">
        <f t="shared" si="1"/>
        <v>0.15549258913006486</v>
      </c>
      <c r="AA36" s="49">
        <f t="shared" si="2"/>
        <v>0.42782736028986712</v>
      </c>
      <c r="AB36" s="49">
        <f t="shared" si="12"/>
        <v>9.4230963357468306E-2</v>
      </c>
      <c r="AC36" s="38"/>
      <c r="AD36" s="48">
        <f>SUMPRODUCT(--('Input|Historical Data'!$AC$9:$AC$1180=$E36),--('Input|Historical Data'!$AM$9:$AM$1180="SCS"),--('Input|Historical Data'!$AK$9:$AK$1180=AD$5),'Input|Historical Data'!$AG$9:$AG$1180)</f>
        <v>14313.503999999999</v>
      </c>
      <c r="AE36" s="48">
        <f>SUMPRODUCT(--('Input|Historical Data'!$AC$9:$AC$1180=$E36),--('Input|Historical Data'!$AM$9:$AM$1180="SCS"),--('Input|Historical Data'!$AL$9:$AL$1180=AE$5),'Input|Historical Data'!$AG$9:$AG$1180)</f>
        <v>6516.3620000000001</v>
      </c>
      <c r="AF36" s="48">
        <f>SUMPRODUCT(--('Input|Historical Data'!$AC$9:$AC$1180=$E36),--('Input|Historical Data'!$AM$9:$AM$1180="SCS"),--('Input|Historical Data'!$AL$9:$AL$1180=AF$5),'Input|Historical Data'!$AG$9:$AG$1180)</f>
        <v>1959.1470000000002</v>
      </c>
      <c r="AG36" s="48">
        <f>SUMPRODUCT(--('Input|Historical Data'!$AC$9:$AC$1180=$E36),--('Input|Historical Data'!$AM$9:$AM$1180="SCS"),--('Input|Historical Data'!$AL$9:$AL$1180=AG$5),'Input|Historical Data'!$AG$9:$AG$1180)</f>
        <v>5837.9949999999999</v>
      </c>
      <c r="AH36" s="48">
        <f>SUMPRODUCT(--('Input|Historical Data'!$AC$9:$AC$1180=$E36),--('Input|Historical Data'!$AM$9:$AM$1180="SCS"),--('Input|Historical Data'!$AK$9:$AK$1180=AH$5),'Input|Historical Data'!$AG$9:$AG$1180)</f>
        <v>1370.01</v>
      </c>
      <c r="AI36" s="49">
        <f t="shared" si="17"/>
        <v>0.45525973234785833</v>
      </c>
      <c r="AJ36" s="49">
        <f t="shared" si="18"/>
        <v>0.13687403168364645</v>
      </c>
      <c r="AK36" s="49">
        <f t="shared" si="19"/>
        <v>0.40786623596849519</v>
      </c>
      <c r="AL36" s="49">
        <f t="shared" si="20"/>
        <v>9.5714508480942193E-2</v>
      </c>
      <c r="AM36" s="38"/>
      <c r="AN36" s="48"/>
      <c r="AO36" s="48"/>
      <c r="AP36" s="48"/>
      <c r="AQ36" s="48"/>
      <c r="AR36" s="48"/>
      <c r="AS36" s="49"/>
      <c r="AT36" s="49"/>
      <c r="AU36" s="49"/>
      <c r="AV36" s="49"/>
      <c r="AW36" s="38"/>
      <c r="AX36" s="49">
        <f t="shared" si="21"/>
        <v>0.43755858270489401</v>
      </c>
      <c r="AY36" s="49">
        <f t="shared" si="22"/>
        <v>0.14541660788940289</v>
      </c>
      <c r="AZ36" s="49">
        <f t="shared" si="23"/>
        <v>0.41702480940570319</v>
      </c>
      <c r="BA36" s="49">
        <f t="shared" si="24"/>
        <v>9.5033827536222082E-2</v>
      </c>
      <c r="BB36" s="44"/>
    </row>
    <row r="37" spans="3:54" s="7" customFormat="1" outlineLevel="1" x14ac:dyDescent="0.3">
      <c r="C37" s="38"/>
      <c r="D37" s="38"/>
      <c r="E37" s="38" t="s">
        <v>112</v>
      </c>
      <c r="F37" s="38" t="s">
        <v>294</v>
      </c>
      <c r="G37" s="38" t="str">
        <f>VLOOKUP(E37,Mapping!$E$11:$G$204,3,0)</f>
        <v>Connections</v>
      </c>
      <c r="H37" s="38" t="str">
        <f>VLOOKUP(E37,Mapping!$E$11:$K$204,7,0)</f>
        <v>SCS</v>
      </c>
      <c r="I37" s="38"/>
      <c r="J37" s="48">
        <f>SUMPRODUCT(--('Input|Historical Data'!$E$9:$E$1179=$E37),--('Input|Historical Data'!$O$9:$O$1179="SCS"),--('Input|Historical Data'!$M$9:$M$1179=J$5),'Input|Historical Data'!$I$9:$I$1179)</f>
        <v>2.2660000000000005</v>
      </c>
      <c r="K37" s="48">
        <f>SUMPRODUCT(--('Input|Historical Data'!$E$9:$E$1179=$E37),--('Input|Historical Data'!$O$9:$O$1179="SCS"),--('Input|Historical Data'!$N$9:$N$1179=K$5),'Input|Historical Data'!$I$9:$I$1179)</f>
        <v>1.802</v>
      </c>
      <c r="L37" s="48">
        <f>SUMPRODUCT(--('Input|Historical Data'!$E$9:$E$1179=$E37),--('Input|Historical Data'!$O$9:$O$1179="SCS"),--('Input|Historical Data'!$N$9:$N$1179=L$5),'Input|Historical Data'!$I$9:$I$1179)</f>
        <v>0</v>
      </c>
      <c r="M37" s="48">
        <f>SUMPRODUCT(--('Input|Historical Data'!$E$9:$E$1179=$E37),--('Input|Historical Data'!$O$9:$O$1179="SCS"),--('Input|Historical Data'!$N$9:$N$1179=M$5),'Input|Historical Data'!$I$9:$I$1179)</f>
        <v>0.46400000000000002</v>
      </c>
      <c r="N37" s="48">
        <f>SUMPRODUCT(--('Input|Historical Data'!$E$9:$E$1179=$E37),--('Input|Historical Data'!$O$9:$O$1179="SCS"),--('Input|Historical Data'!$M$9:$M$1179=N$5),'Input|Historical Data'!$I$9:$I$1179)</f>
        <v>0.311</v>
      </c>
      <c r="O37" s="49">
        <f t="shared" si="7"/>
        <v>0.79523389232127095</v>
      </c>
      <c r="P37" s="49">
        <f t="shared" si="8"/>
        <v>0</v>
      </c>
      <c r="Q37" s="49">
        <f t="shared" si="9"/>
        <v>0.20476610767872905</v>
      </c>
      <c r="R37" s="49">
        <f t="shared" si="10"/>
        <v>0.13724624889673431</v>
      </c>
      <c r="S37" s="38"/>
      <c r="T37" s="48">
        <f>SUMPRODUCT(--('Input|Historical Data'!$Q$9:$Q$1179=$E37),--('Input|Historical Data'!$AA$9:$AA$1179="SCS"),--('Input|Historical Data'!$Y$9:$Y$1179=T$5),'Input|Historical Data'!$U$9:$U$1179)</f>
        <v>5.8849999999999998</v>
      </c>
      <c r="U37" s="48">
        <f>SUMPRODUCT(--('Input|Historical Data'!$Q$9:$Q$1179=$E37),--('Input|Historical Data'!$AA$9:$AA$1179="SCS"),--('Input|Historical Data'!$Z$9:$Z$1179=U$5),'Input|Historical Data'!$U$9:$U$1179)</f>
        <v>4.641</v>
      </c>
      <c r="V37" s="48">
        <f>SUMPRODUCT(--('Input|Historical Data'!$Q$9:$Q$1179=$E37),--('Input|Historical Data'!$AA$9:$AA$1179="SCS"),--('Input|Historical Data'!$Z$9:$Z$1179=V$5),'Input|Historical Data'!$U$9:$U$1179)</f>
        <v>0.11799999999999999</v>
      </c>
      <c r="W37" s="48">
        <f>SUMPRODUCT(--('Input|Historical Data'!$Q$9:$Q$1179=$E37),--('Input|Historical Data'!$AA$9:$AA$1179="SCS"),--('Input|Historical Data'!$Z$9:$Z$1179=W$5),'Input|Historical Data'!$U$9:$U$1179)</f>
        <v>1.1259999999999999</v>
      </c>
      <c r="X37" s="48">
        <f>SUMPRODUCT(--('Input|Historical Data'!$Q$9:$Q$1179=$E37),--('Input|Historical Data'!$AA$9:$AA$1179="SCS"),--('Input|Historical Data'!$Y$9:$Y$1179=X$5),'Input|Historical Data'!$U$9:$U$1179)</f>
        <v>0.81</v>
      </c>
      <c r="Y37" s="49">
        <f t="shared" si="11"/>
        <v>0.78861512319456251</v>
      </c>
      <c r="Z37" s="49">
        <f t="shared" si="1"/>
        <v>2.0050977060322855E-2</v>
      </c>
      <c r="AA37" s="49">
        <f t="shared" si="2"/>
        <v>0.19133389974511469</v>
      </c>
      <c r="AB37" s="49">
        <f t="shared" si="12"/>
        <v>0.13763806287170774</v>
      </c>
      <c r="AC37" s="38"/>
      <c r="AD37" s="48">
        <f>SUMPRODUCT(--('Input|Historical Data'!$AC$9:$AC$1180=$E37),--('Input|Historical Data'!$AM$9:$AM$1180="SCS"),--('Input|Historical Data'!$AK$9:$AK$1180=AD$5),'Input|Historical Data'!$AG$9:$AG$1180)</f>
        <v>58.418999999999997</v>
      </c>
      <c r="AE37" s="48">
        <f>SUMPRODUCT(--('Input|Historical Data'!$AC$9:$AC$1180=$E37),--('Input|Historical Data'!$AM$9:$AM$1180="SCS"),--('Input|Historical Data'!$AL$9:$AL$1180=AE$5),'Input|Historical Data'!$AG$9:$AG$1180)</f>
        <v>4.476</v>
      </c>
      <c r="AF37" s="48">
        <f>SUMPRODUCT(--('Input|Historical Data'!$AC$9:$AC$1180=$E37),--('Input|Historical Data'!$AM$9:$AM$1180="SCS"),--('Input|Historical Data'!$AL$9:$AL$1180=AF$5),'Input|Historical Data'!$AG$9:$AG$1180)</f>
        <v>0.14799999999999999</v>
      </c>
      <c r="AG37" s="48">
        <f>SUMPRODUCT(--('Input|Historical Data'!$AC$9:$AC$1180=$E37),--('Input|Historical Data'!$AM$9:$AM$1180="SCS"),--('Input|Historical Data'!$AL$9:$AL$1180=AG$5),'Input|Historical Data'!$AG$9:$AG$1180)</f>
        <v>53.795000000000002</v>
      </c>
      <c r="AH37" s="48">
        <f>SUMPRODUCT(--('Input|Historical Data'!$AC$9:$AC$1180=$E37),--('Input|Historical Data'!$AM$9:$AM$1180="SCS"),--('Input|Historical Data'!$AK$9:$AK$1180=AH$5),'Input|Historical Data'!$AG$9:$AG$1180)</f>
        <v>0.76700000000000002</v>
      </c>
      <c r="AI37" s="49">
        <f t="shared" si="17"/>
        <v>7.6618908231910851E-2</v>
      </c>
      <c r="AJ37" s="49">
        <f t="shared" si="18"/>
        <v>2.5334223454697956E-3</v>
      </c>
      <c r="AK37" s="49">
        <f t="shared" si="19"/>
        <v>0.92084766942261931</v>
      </c>
      <c r="AL37" s="49">
        <f t="shared" si="20"/>
        <v>1.3129290128211712E-2</v>
      </c>
      <c r="AM37" s="38"/>
      <c r="AN37" s="48"/>
      <c r="AO37" s="48"/>
      <c r="AP37" s="48"/>
      <c r="AQ37" s="48"/>
      <c r="AR37" s="48"/>
      <c r="AS37" s="49"/>
      <c r="AT37" s="49"/>
      <c r="AU37" s="49"/>
      <c r="AV37" s="49"/>
      <c r="AW37" s="38"/>
      <c r="AX37" s="49">
        <f t="shared" si="21"/>
        <v>0.14177967156008958</v>
      </c>
      <c r="AY37" s="49">
        <f t="shared" si="22"/>
        <v>4.1366011445633242E-3</v>
      </c>
      <c r="AZ37" s="49">
        <f t="shared" si="23"/>
        <v>0.85408372729534709</v>
      </c>
      <c r="BA37" s="49">
        <f t="shared" si="24"/>
        <v>2.4524135357053993E-2</v>
      </c>
      <c r="BB37" s="44"/>
    </row>
    <row r="38" spans="3:54" s="7" customFormat="1" outlineLevel="1" x14ac:dyDescent="0.3">
      <c r="C38" s="38"/>
      <c r="D38" s="38"/>
      <c r="E38" s="38" t="s">
        <v>113</v>
      </c>
      <c r="F38" s="38" t="s">
        <v>295</v>
      </c>
      <c r="G38" s="38" t="str">
        <f>VLOOKUP(E38,Mapping!$E$11:$G$204,3,0)</f>
        <v>Connections</v>
      </c>
      <c r="H38" s="38" t="str">
        <f>VLOOKUP(E38,Mapping!$E$11:$K$204,7,0)</f>
        <v>SCS</v>
      </c>
      <c r="I38" s="38"/>
      <c r="J38" s="48">
        <f>SUMPRODUCT(--('Input|Historical Data'!$E$9:$E$1179=$E38),--('Input|Historical Data'!$O$9:$O$1179="SCS"),--('Input|Historical Data'!$M$9:$M$1179=J$5),'Input|Historical Data'!$I$9:$I$1179)</f>
        <v>1392.7719999999999</v>
      </c>
      <c r="K38" s="48">
        <f>SUMPRODUCT(--('Input|Historical Data'!$E$9:$E$1179=$E38),--('Input|Historical Data'!$O$9:$O$1179="SCS"),--('Input|Historical Data'!$N$9:$N$1179=K$5),'Input|Historical Data'!$I$9:$I$1179)</f>
        <v>751.6</v>
      </c>
      <c r="L38" s="48">
        <f>SUMPRODUCT(--('Input|Historical Data'!$E$9:$E$1179=$E38),--('Input|Historical Data'!$O$9:$O$1179="SCS"),--('Input|Historical Data'!$N$9:$N$1179=L$5),'Input|Historical Data'!$I$9:$I$1179)</f>
        <v>223.38800000000001</v>
      </c>
      <c r="M38" s="48">
        <f>SUMPRODUCT(--('Input|Historical Data'!$E$9:$E$1179=$E38),--('Input|Historical Data'!$O$9:$O$1179="SCS"),--('Input|Historical Data'!$N$9:$N$1179=M$5),'Input|Historical Data'!$I$9:$I$1179)</f>
        <v>417.78399999999999</v>
      </c>
      <c r="N38" s="48">
        <f>SUMPRODUCT(--('Input|Historical Data'!$E$9:$E$1179=$E38),--('Input|Historical Data'!$O$9:$O$1179="SCS"),--('Input|Historical Data'!$M$9:$M$1179=N$5),'Input|Historical Data'!$I$9:$I$1179)</f>
        <v>119.09699999999999</v>
      </c>
      <c r="O38" s="49">
        <f t="shared" si="7"/>
        <v>0.53964324383316153</v>
      </c>
      <c r="P38" s="49">
        <f t="shared" si="8"/>
        <v>0.16039093261495782</v>
      </c>
      <c r="Q38" s="49">
        <f t="shared" si="9"/>
        <v>0.29996582355188073</v>
      </c>
      <c r="R38" s="49">
        <f t="shared" si="10"/>
        <v>8.5510765581157583E-2</v>
      </c>
      <c r="S38" s="38"/>
      <c r="T38" s="48">
        <f>SUMPRODUCT(--('Input|Historical Data'!$Q$9:$Q$1179=$E38),--('Input|Historical Data'!$AA$9:$AA$1179="SCS"),--('Input|Historical Data'!$Y$9:$Y$1179=T$5),'Input|Historical Data'!$U$9:$U$1179)</f>
        <v>2413.7049999999995</v>
      </c>
      <c r="U38" s="48">
        <f>SUMPRODUCT(--('Input|Historical Data'!$Q$9:$Q$1179=$E38),--('Input|Historical Data'!$AA$9:$AA$1179="SCS"),--('Input|Historical Data'!$Z$9:$Z$1179=U$5),'Input|Historical Data'!$U$9:$U$1179)</f>
        <v>1105.758</v>
      </c>
      <c r="V38" s="48">
        <f>SUMPRODUCT(--('Input|Historical Data'!$Q$9:$Q$1179=$E38),--('Input|Historical Data'!$AA$9:$AA$1179="SCS"),--('Input|Historical Data'!$Z$9:$Z$1179=V$5),'Input|Historical Data'!$U$9:$U$1179)</f>
        <v>353.07599999999996</v>
      </c>
      <c r="W38" s="48">
        <f>SUMPRODUCT(--('Input|Historical Data'!$Q$9:$Q$1179=$E38),--('Input|Historical Data'!$AA$9:$AA$1179="SCS"),--('Input|Historical Data'!$Z$9:$Z$1179=W$5),'Input|Historical Data'!$U$9:$U$1179)</f>
        <v>954.87099999999998</v>
      </c>
      <c r="X38" s="48">
        <f>SUMPRODUCT(--('Input|Historical Data'!$Q$9:$Q$1179=$E38),--('Input|Historical Data'!$AA$9:$AA$1179="SCS"),--('Input|Historical Data'!$Y$9:$Y$1179=X$5),'Input|Historical Data'!$U$9:$U$1179)</f>
        <v>218.73699999999999</v>
      </c>
      <c r="Y38" s="49">
        <f t="shared" si="11"/>
        <v>0.45811646410808282</v>
      </c>
      <c r="Z38" s="49">
        <f t="shared" si="1"/>
        <v>0.14627968206553824</v>
      </c>
      <c r="AA38" s="49">
        <f t="shared" si="2"/>
        <v>0.39560385382637897</v>
      </c>
      <c r="AB38" s="49">
        <f t="shared" si="12"/>
        <v>9.0622922022368116E-2</v>
      </c>
      <c r="AC38" s="38"/>
      <c r="AD38" s="48">
        <f>SUMPRODUCT(--('Input|Historical Data'!$AC$9:$AC$1180=$E38),--('Input|Historical Data'!$AM$9:$AM$1180="SCS"),--('Input|Historical Data'!$AK$9:$AK$1180=AD$5),'Input|Historical Data'!$AG$9:$AG$1180)</f>
        <v>1091.4080000000001</v>
      </c>
      <c r="AE38" s="48">
        <f>SUMPRODUCT(--('Input|Historical Data'!$AC$9:$AC$1180=$E38),--('Input|Historical Data'!$AM$9:$AM$1180="SCS"),--('Input|Historical Data'!$AL$9:$AL$1180=AE$5),'Input|Historical Data'!$AG$9:$AG$1180)</f>
        <v>554.23900000000003</v>
      </c>
      <c r="AF38" s="48">
        <f>SUMPRODUCT(--('Input|Historical Data'!$AC$9:$AC$1180=$E38),--('Input|Historical Data'!$AM$9:$AM$1180="SCS"),--('Input|Historical Data'!$AL$9:$AL$1180=AF$5),'Input|Historical Data'!$AG$9:$AG$1180)</f>
        <v>159.10599999999999</v>
      </c>
      <c r="AG38" s="48">
        <f>SUMPRODUCT(--('Input|Historical Data'!$AC$9:$AC$1180=$E38),--('Input|Historical Data'!$AM$9:$AM$1180="SCS"),--('Input|Historical Data'!$AL$9:$AL$1180=AG$5),'Input|Historical Data'!$AG$9:$AG$1180)</f>
        <v>378.06299999999999</v>
      </c>
      <c r="AH38" s="48">
        <f>SUMPRODUCT(--('Input|Historical Data'!$AC$9:$AC$1180=$E38),--('Input|Historical Data'!$AM$9:$AM$1180="SCS"),--('Input|Historical Data'!$AK$9:$AK$1180=AH$5),'Input|Historical Data'!$AG$9:$AG$1180)</f>
        <v>110.544</v>
      </c>
      <c r="AI38" s="49">
        <f t="shared" si="17"/>
        <v>0.50782017357395226</v>
      </c>
      <c r="AJ38" s="49">
        <f t="shared" si="18"/>
        <v>0.14578049638631932</v>
      </c>
      <c r="AK38" s="49">
        <f t="shared" si="19"/>
        <v>0.3463993300397285</v>
      </c>
      <c r="AL38" s="49">
        <f t="shared" si="20"/>
        <v>0.10128567868294898</v>
      </c>
      <c r="AM38" s="38"/>
      <c r="AN38" s="48"/>
      <c r="AO38" s="48"/>
      <c r="AP38" s="48"/>
      <c r="AQ38" s="48"/>
      <c r="AR38" s="48"/>
      <c r="AS38" s="49"/>
      <c r="AT38" s="49"/>
      <c r="AU38" s="49"/>
      <c r="AV38" s="49"/>
      <c r="AW38" s="38"/>
      <c r="AX38" s="49">
        <f t="shared" si="21"/>
        <v>0.47359300541808491</v>
      </c>
      <c r="AY38" s="49">
        <f t="shared" si="22"/>
        <v>0.14612424763481233</v>
      </c>
      <c r="AZ38" s="49">
        <f t="shared" si="23"/>
        <v>0.38028274694710268</v>
      </c>
      <c r="BA38" s="49">
        <f t="shared" si="24"/>
        <v>9.3943048341094876E-2</v>
      </c>
      <c r="BB38" s="44"/>
    </row>
    <row r="39" spans="3:54" s="7" customFormat="1" outlineLevel="1" x14ac:dyDescent="0.3">
      <c r="C39" s="38"/>
      <c r="D39" s="38"/>
      <c r="E39" s="38" t="s">
        <v>114</v>
      </c>
      <c r="F39" s="38" t="s">
        <v>296</v>
      </c>
      <c r="G39" s="38" t="str">
        <f>VLOOKUP(E39,Mapping!$E$11:$G$204,3,0)</f>
        <v>Connections</v>
      </c>
      <c r="H39" s="38" t="str">
        <f>VLOOKUP(E39,Mapping!$E$11:$K$204,7,0)</f>
        <v>SCS</v>
      </c>
      <c r="I39" s="38"/>
      <c r="J39" s="48">
        <f>SUMPRODUCT(--('Input|Historical Data'!$E$9:$E$1179=$E39),--('Input|Historical Data'!$O$9:$O$1179="SCS"),--('Input|Historical Data'!$M$9:$M$1179=J$5),'Input|Historical Data'!$I$9:$I$1179)</f>
        <v>113.27000000000001</v>
      </c>
      <c r="K39" s="48">
        <f>SUMPRODUCT(--('Input|Historical Data'!$E$9:$E$1179=$E39),--('Input|Historical Data'!$O$9:$O$1179="SCS"),--('Input|Historical Data'!$N$9:$N$1179=K$5),'Input|Historical Data'!$I$9:$I$1179)</f>
        <v>53.281000000000006</v>
      </c>
      <c r="L39" s="48">
        <f>SUMPRODUCT(--('Input|Historical Data'!$E$9:$E$1179=$E39),--('Input|Historical Data'!$O$9:$O$1179="SCS"),--('Input|Historical Data'!$N$9:$N$1179=L$5),'Input|Historical Data'!$I$9:$I$1179)</f>
        <v>43.627000000000002</v>
      </c>
      <c r="M39" s="48">
        <f>SUMPRODUCT(--('Input|Historical Data'!$E$9:$E$1179=$E39),--('Input|Historical Data'!$O$9:$O$1179="SCS"),--('Input|Historical Data'!$N$9:$N$1179=M$5),'Input|Historical Data'!$I$9:$I$1179)</f>
        <v>16.362000000000002</v>
      </c>
      <c r="N39" s="48">
        <f>SUMPRODUCT(--('Input|Historical Data'!$E$9:$E$1179=$E39),--('Input|Historical Data'!$O$9:$O$1179="SCS"),--('Input|Historical Data'!$M$9:$M$1179=N$5),'Input|Historical Data'!$I$9:$I$1179)</f>
        <v>10.475</v>
      </c>
      <c r="O39" s="49">
        <f t="shared" si="7"/>
        <v>0.47038933521673876</v>
      </c>
      <c r="P39" s="49">
        <f t="shared" si="8"/>
        <v>0.385159353756511</v>
      </c>
      <c r="Q39" s="49">
        <f t="shared" si="9"/>
        <v>0.14445131102675024</v>
      </c>
      <c r="R39" s="49">
        <f t="shared" si="10"/>
        <v>9.2478149554162614E-2</v>
      </c>
      <c r="S39" s="38"/>
      <c r="T39" s="48">
        <f>SUMPRODUCT(--('Input|Historical Data'!$Q$9:$Q$1179=$E39),--('Input|Historical Data'!$AA$9:$AA$1179="SCS"),--('Input|Historical Data'!$Y$9:$Y$1179=T$5),'Input|Historical Data'!$U$9:$U$1179)</f>
        <v>310.57799999999997</v>
      </c>
      <c r="U39" s="48">
        <f>SUMPRODUCT(--('Input|Historical Data'!$Q$9:$Q$1179=$E39),--('Input|Historical Data'!$AA$9:$AA$1179="SCS"),--('Input|Historical Data'!$Z$9:$Z$1179=U$5),'Input|Historical Data'!$U$9:$U$1179)</f>
        <v>90.742999999999995</v>
      </c>
      <c r="V39" s="48">
        <f>SUMPRODUCT(--('Input|Historical Data'!$Q$9:$Q$1179=$E39),--('Input|Historical Data'!$AA$9:$AA$1179="SCS"),--('Input|Historical Data'!$Z$9:$Z$1179=V$5),'Input|Historical Data'!$U$9:$U$1179)</f>
        <v>45.716999999999999</v>
      </c>
      <c r="W39" s="48">
        <f>SUMPRODUCT(--('Input|Historical Data'!$Q$9:$Q$1179=$E39),--('Input|Historical Data'!$AA$9:$AA$1179="SCS"),--('Input|Historical Data'!$Z$9:$Z$1179=W$5),'Input|Historical Data'!$U$9:$U$1179)</f>
        <v>174.11799999999999</v>
      </c>
      <c r="X39" s="48">
        <f>SUMPRODUCT(--('Input|Historical Data'!$Q$9:$Q$1179=$E39),--('Input|Historical Data'!$AA$9:$AA$1179="SCS"),--('Input|Historical Data'!$Y$9:$Y$1179=X$5),'Input|Historical Data'!$U$9:$U$1179)</f>
        <v>28.181000000000001</v>
      </c>
      <c r="Y39" s="49">
        <f t="shared" si="11"/>
        <v>0.29217459060203876</v>
      </c>
      <c r="Z39" s="49">
        <f t="shared" si="1"/>
        <v>0.14719973726406893</v>
      </c>
      <c r="AA39" s="49">
        <f t="shared" si="2"/>
        <v>0.56062567213389236</v>
      </c>
      <c r="AB39" s="49">
        <f t="shared" si="12"/>
        <v>9.0737270508535708E-2</v>
      </c>
      <c r="AC39" s="38"/>
      <c r="AD39" s="48">
        <f>SUMPRODUCT(--('Input|Historical Data'!$AC$9:$AC$1180=$E39),--('Input|Historical Data'!$AM$9:$AM$1180="SCS"),--('Input|Historical Data'!$AK$9:$AK$1180=AD$5),'Input|Historical Data'!$AG$9:$AG$1180)</f>
        <v>391.77399999999994</v>
      </c>
      <c r="AE39" s="48">
        <f>SUMPRODUCT(--('Input|Historical Data'!$AC$9:$AC$1180=$E39),--('Input|Historical Data'!$AM$9:$AM$1180="SCS"),--('Input|Historical Data'!$AL$9:$AL$1180=AE$5),'Input|Historical Data'!$AG$9:$AG$1180)</f>
        <v>210.54399999999998</v>
      </c>
      <c r="AF39" s="48">
        <f>SUMPRODUCT(--('Input|Historical Data'!$AC$9:$AC$1180=$E39),--('Input|Historical Data'!$AM$9:$AM$1180="SCS"),--('Input|Historical Data'!$AL$9:$AL$1180=AF$5),'Input|Historical Data'!$AG$9:$AG$1180)</f>
        <v>115.593</v>
      </c>
      <c r="AG39" s="48">
        <f>SUMPRODUCT(--('Input|Historical Data'!$AC$9:$AC$1180=$E39),--('Input|Historical Data'!$AM$9:$AM$1180="SCS"),--('Input|Historical Data'!$AL$9:$AL$1180=AG$5),'Input|Historical Data'!$AG$9:$AG$1180)</f>
        <v>65.637</v>
      </c>
      <c r="AH39" s="48">
        <f>SUMPRODUCT(--('Input|Historical Data'!$AC$9:$AC$1180=$E39),--('Input|Historical Data'!$AM$9:$AM$1180="SCS"),--('Input|Historical Data'!$AK$9:$AK$1180=AH$5),'Input|Historical Data'!$AG$9:$AG$1180)</f>
        <v>42.871000000000002</v>
      </c>
      <c r="AI39" s="49">
        <f t="shared" si="17"/>
        <v>0.53741187521377121</v>
      </c>
      <c r="AJ39" s="49">
        <f t="shared" si="18"/>
        <v>0.29505020751759942</v>
      </c>
      <c r="AK39" s="49">
        <f t="shared" si="19"/>
        <v>0.16753791726862938</v>
      </c>
      <c r="AL39" s="49">
        <f t="shared" si="20"/>
        <v>0.10942788444358229</v>
      </c>
      <c r="AM39" s="38"/>
      <c r="AN39" s="48"/>
      <c r="AO39" s="48"/>
      <c r="AP39" s="48"/>
      <c r="AQ39" s="48"/>
      <c r="AR39" s="48"/>
      <c r="AS39" s="49"/>
      <c r="AT39" s="49"/>
      <c r="AU39" s="49"/>
      <c r="AV39" s="49"/>
      <c r="AW39" s="38"/>
      <c r="AX39" s="49">
        <f t="shared" si="21"/>
        <v>0.42896866528464367</v>
      </c>
      <c r="AY39" s="49">
        <f t="shared" si="22"/>
        <v>0.22967116203840815</v>
      </c>
      <c r="AZ39" s="49">
        <f t="shared" si="23"/>
        <v>0.34136017267694835</v>
      </c>
      <c r="BA39" s="49">
        <f t="shared" si="24"/>
        <v>0.10116294963209334</v>
      </c>
      <c r="BB39" s="44"/>
    </row>
    <row r="40" spans="3:54" s="7" customFormat="1" outlineLevel="1" x14ac:dyDescent="0.3">
      <c r="C40" s="38"/>
      <c r="D40" s="38"/>
      <c r="E40" s="38" t="s">
        <v>115</v>
      </c>
      <c r="F40" s="38" t="s">
        <v>297</v>
      </c>
      <c r="G40" s="38" t="str">
        <f>VLOOKUP(E40,Mapping!$E$11:$G$204,3,0)</f>
        <v>Connections</v>
      </c>
      <c r="H40" s="38" t="str">
        <f>VLOOKUP(E40,Mapping!$E$11:$K$204,7,0)</f>
        <v>SCS</v>
      </c>
      <c r="I40" s="38"/>
      <c r="J40" s="48">
        <f>SUMPRODUCT(--('Input|Historical Data'!$E$9:$E$1179=$E40),--('Input|Historical Data'!$O$9:$O$1179="SCS"),--('Input|Historical Data'!$M$9:$M$1179=J$5),'Input|Historical Data'!$I$9:$I$1179)</f>
        <v>800.08199999999999</v>
      </c>
      <c r="K40" s="48">
        <f>SUMPRODUCT(--('Input|Historical Data'!$E$9:$E$1179=$E40),--('Input|Historical Data'!$O$9:$O$1179="SCS"),--('Input|Historical Data'!$N$9:$N$1179=K$5),'Input|Historical Data'!$I$9:$I$1179)</f>
        <v>548.11599999999999</v>
      </c>
      <c r="L40" s="48">
        <f>SUMPRODUCT(--('Input|Historical Data'!$E$9:$E$1179=$E40),--('Input|Historical Data'!$O$9:$O$1179="SCS"),--('Input|Historical Data'!$N$9:$N$1179=L$5),'Input|Historical Data'!$I$9:$I$1179)</f>
        <v>122.11999999999999</v>
      </c>
      <c r="M40" s="48">
        <f>SUMPRODUCT(--('Input|Historical Data'!$E$9:$E$1179=$E40),--('Input|Historical Data'!$O$9:$O$1179="SCS"),--('Input|Historical Data'!$N$9:$N$1179=M$5),'Input|Historical Data'!$I$9:$I$1179)</f>
        <v>129.84600000000003</v>
      </c>
      <c r="N40" s="48">
        <f>SUMPRODUCT(--('Input|Historical Data'!$E$9:$E$1179=$E40),--('Input|Historical Data'!$O$9:$O$1179="SCS"),--('Input|Historical Data'!$M$9:$M$1179=N$5),'Input|Historical Data'!$I$9:$I$1179)</f>
        <v>75.17</v>
      </c>
      <c r="O40" s="49">
        <f t="shared" si="7"/>
        <v>0.68507477983506693</v>
      </c>
      <c r="P40" s="49">
        <f t="shared" si="8"/>
        <v>0.15263435497861469</v>
      </c>
      <c r="Q40" s="49">
        <f t="shared" si="9"/>
        <v>0.16229086518631844</v>
      </c>
      <c r="R40" s="49">
        <f t="shared" si="10"/>
        <v>9.3952869830842348E-2</v>
      </c>
      <c r="S40" s="38"/>
      <c r="T40" s="48">
        <f>SUMPRODUCT(--('Input|Historical Data'!$Q$9:$Q$1179=$E40),--('Input|Historical Data'!$AA$9:$AA$1179="SCS"),--('Input|Historical Data'!$Y$9:$Y$1179=T$5),'Input|Historical Data'!$U$9:$U$1179)</f>
        <v>932.68600000000004</v>
      </c>
      <c r="U40" s="48">
        <f>SUMPRODUCT(--('Input|Historical Data'!$Q$9:$Q$1179=$E40),--('Input|Historical Data'!$AA$9:$AA$1179="SCS"),--('Input|Historical Data'!$Z$9:$Z$1179=U$5),'Input|Historical Data'!$U$9:$U$1179)</f>
        <v>138.34399999999999</v>
      </c>
      <c r="V40" s="48">
        <f>SUMPRODUCT(--('Input|Historical Data'!$Q$9:$Q$1179=$E40),--('Input|Historical Data'!$AA$9:$AA$1179="SCS"),--('Input|Historical Data'!$Z$9:$Z$1179=V$5),'Input|Historical Data'!$U$9:$U$1179)</f>
        <v>52.635999999999996</v>
      </c>
      <c r="W40" s="48">
        <f>SUMPRODUCT(--('Input|Historical Data'!$Q$9:$Q$1179=$E40),--('Input|Historical Data'!$AA$9:$AA$1179="SCS"),--('Input|Historical Data'!$Z$9:$Z$1179=W$5),'Input|Historical Data'!$U$9:$U$1179)</f>
        <v>741.70600000000002</v>
      </c>
      <c r="X40" s="48">
        <f>SUMPRODUCT(--('Input|Historical Data'!$Q$9:$Q$1179=$E40),--('Input|Historical Data'!$AA$9:$AA$1179="SCS"),--('Input|Historical Data'!$Y$9:$Y$1179=X$5),'Input|Historical Data'!$U$9:$U$1179)</f>
        <v>31.998999999999999</v>
      </c>
      <c r="Y40" s="49">
        <f t="shared" si="11"/>
        <v>0.14832859075830448</v>
      </c>
      <c r="Z40" s="49">
        <f t="shared" si="1"/>
        <v>5.6434855889334667E-2</v>
      </c>
      <c r="AA40" s="49">
        <f t="shared" si="2"/>
        <v>0.79523655335236076</v>
      </c>
      <c r="AB40" s="49">
        <f t="shared" si="12"/>
        <v>3.4308438209643972E-2</v>
      </c>
      <c r="AC40" s="38"/>
      <c r="AD40" s="48">
        <f>SUMPRODUCT(--('Input|Historical Data'!$AC$9:$AC$1180=$E40),--('Input|Historical Data'!$AM$9:$AM$1180="SCS"),--('Input|Historical Data'!$AK$9:$AK$1180=AD$5),'Input|Historical Data'!$AG$9:$AG$1180)</f>
        <v>542.70899999999995</v>
      </c>
      <c r="AE40" s="48">
        <f>SUMPRODUCT(--('Input|Historical Data'!$AC$9:$AC$1180=$E40),--('Input|Historical Data'!$AM$9:$AM$1180="SCS"),--('Input|Historical Data'!$AL$9:$AL$1180=AE$5),'Input|Historical Data'!$AG$9:$AG$1180)</f>
        <v>329.18200000000002</v>
      </c>
      <c r="AF40" s="48">
        <f>SUMPRODUCT(--('Input|Historical Data'!$AC$9:$AC$1180=$E40),--('Input|Historical Data'!$AM$9:$AM$1180="SCS"),--('Input|Historical Data'!$AL$9:$AL$1180=AF$5),'Input|Historical Data'!$AG$9:$AG$1180)</f>
        <v>63.116000000000007</v>
      </c>
      <c r="AG40" s="48">
        <f>SUMPRODUCT(--('Input|Historical Data'!$AC$9:$AC$1180=$E40),--('Input|Historical Data'!$AM$9:$AM$1180="SCS"),--('Input|Historical Data'!$AL$9:$AL$1180=AG$5),'Input|Historical Data'!$AG$9:$AG$1180)</f>
        <v>150.411</v>
      </c>
      <c r="AH40" s="48">
        <f>SUMPRODUCT(--('Input|Historical Data'!$AC$9:$AC$1180=$E40),--('Input|Historical Data'!$AM$9:$AM$1180="SCS"),--('Input|Historical Data'!$AK$9:$AK$1180=AH$5),'Input|Historical Data'!$AG$9:$AG$1180)</f>
        <v>67.028999999999996</v>
      </c>
      <c r="AI40" s="49">
        <f t="shared" si="17"/>
        <v>0.60655341997276624</v>
      </c>
      <c r="AJ40" s="49">
        <f t="shared" si="18"/>
        <v>0.11629805291601945</v>
      </c>
      <c r="AK40" s="49">
        <f t="shared" si="19"/>
        <v>0.27714852711121429</v>
      </c>
      <c r="AL40" s="49">
        <f t="shared" si="20"/>
        <v>0.12350817841605723</v>
      </c>
      <c r="AM40" s="38"/>
      <c r="AN40" s="48"/>
      <c r="AO40" s="48"/>
      <c r="AP40" s="48"/>
      <c r="AQ40" s="48"/>
      <c r="AR40" s="48"/>
      <c r="AS40" s="49"/>
      <c r="AT40" s="49"/>
      <c r="AU40" s="49"/>
      <c r="AV40" s="49"/>
      <c r="AW40" s="38"/>
      <c r="AX40" s="49">
        <f t="shared" si="21"/>
        <v>0.31688191975708202</v>
      </c>
      <c r="AY40" s="49">
        <f t="shared" si="22"/>
        <v>7.8454922241162545E-2</v>
      </c>
      <c r="AZ40" s="49">
        <f t="shared" si="23"/>
        <v>0.60466315800175541</v>
      </c>
      <c r="BA40" s="49">
        <f t="shared" si="24"/>
        <v>6.7119652703174396E-2</v>
      </c>
      <c r="BB40" s="44"/>
    </row>
    <row r="41" spans="3:54" s="7" customFormat="1" outlineLevel="1" x14ac:dyDescent="0.3">
      <c r="C41" s="38"/>
      <c r="D41" s="38"/>
      <c r="E41" s="38" t="s">
        <v>116</v>
      </c>
      <c r="F41" s="38" t="s">
        <v>298</v>
      </c>
      <c r="G41" s="38" t="str">
        <f>VLOOKUP(E41,Mapping!$E$11:$G$204,3,0)</f>
        <v>Connections</v>
      </c>
      <c r="H41" s="38" t="str">
        <f>VLOOKUP(E41,Mapping!$E$11:$K$204,7,0)</f>
        <v>SCS</v>
      </c>
      <c r="I41" s="38"/>
      <c r="J41" s="48">
        <f>SUMPRODUCT(--('Input|Historical Data'!$E$9:$E$1179=$E41),--('Input|Historical Data'!$O$9:$O$1179="SCS"),--('Input|Historical Data'!$M$9:$M$1179=J$5),'Input|Historical Data'!$I$9:$I$1179)</f>
        <v>0.62499999999999911</v>
      </c>
      <c r="K41" s="48">
        <f>SUMPRODUCT(--('Input|Historical Data'!$E$9:$E$1179=$E41),--('Input|Historical Data'!$O$9:$O$1179="SCS"),--('Input|Historical Data'!$N$9:$N$1179=K$5),'Input|Historical Data'!$I$9:$I$1179)</f>
        <v>-4.4169999999999998</v>
      </c>
      <c r="L41" s="48">
        <f>SUMPRODUCT(--('Input|Historical Data'!$E$9:$E$1179=$E41),--('Input|Historical Data'!$O$9:$O$1179="SCS"),--('Input|Historical Data'!$N$9:$N$1179=L$5),'Input|Historical Data'!$I$9:$I$1179)</f>
        <v>2.5709999999999997</v>
      </c>
      <c r="M41" s="48">
        <f>SUMPRODUCT(--('Input|Historical Data'!$E$9:$E$1179=$E41),--('Input|Historical Data'!$O$9:$O$1179="SCS"),--('Input|Historical Data'!$N$9:$N$1179=M$5),'Input|Historical Data'!$I$9:$I$1179)</f>
        <v>2.4709999999999996</v>
      </c>
      <c r="N41" s="48">
        <f>SUMPRODUCT(--('Input|Historical Data'!$E$9:$E$1179=$E41),--('Input|Historical Data'!$O$9:$O$1179="SCS"),--('Input|Historical Data'!$M$9:$M$1179=N$5),'Input|Historical Data'!$I$9:$I$1179)</f>
        <v>1.0049999999999999</v>
      </c>
      <c r="O41" s="49">
        <f t="shared" si="7"/>
        <v>-7.067200000000005</v>
      </c>
      <c r="P41" s="49">
        <f t="shared" si="8"/>
        <v>4.1136000000000026</v>
      </c>
      <c r="Q41" s="49">
        <f t="shared" si="9"/>
        <v>3.9536000000000024</v>
      </c>
      <c r="R41" s="49">
        <f t="shared" si="10"/>
        <v>1.6080000000000021</v>
      </c>
      <c r="S41" s="38"/>
      <c r="T41" s="48">
        <f>SUMPRODUCT(--('Input|Historical Data'!$Q$9:$Q$1179=$E41),--('Input|Historical Data'!$AA$9:$AA$1179="SCS"),--('Input|Historical Data'!$Y$9:$Y$1179=T$5),'Input|Historical Data'!$U$9:$U$1179)</f>
        <v>3.3719999999999999</v>
      </c>
      <c r="U41" s="48">
        <f>SUMPRODUCT(--('Input|Historical Data'!$Q$9:$Q$1179=$E41),--('Input|Historical Data'!$AA$9:$AA$1179="SCS"),--('Input|Historical Data'!$Z$9:$Z$1179=U$5),'Input|Historical Data'!$U$9:$U$1179)</f>
        <v>2.7439999999999998</v>
      </c>
      <c r="V41" s="48">
        <f>SUMPRODUCT(--('Input|Historical Data'!$Q$9:$Q$1179=$E41),--('Input|Historical Data'!$AA$9:$AA$1179="SCS"),--('Input|Historical Data'!$Z$9:$Z$1179=V$5),'Input|Historical Data'!$U$9:$U$1179)</f>
        <v>2.4E-2</v>
      </c>
      <c r="W41" s="48">
        <f>SUMPRODUCT(--('Input|Historical Data'!$Q$9:$Q$1179=$E41),--('Input|Historical Data'!$AA$9:$AA$1179="SCS"),--('Input|Historical Data'!$Z$9:$Z$1179=W$5),'Input|Historical Data'!$U$9:$U$1179)</f>
        <v>0.60399999999999998</v>
      </c>
      <c r="X41" s="48">
        <f>SUMPRODUCT(--('Input|Historical Data'!$Q$9:$Q$1179=$E41),--('Input|Historical Data'!$AA$9:$AA$1179="SCS"),--('Input|Historical Data'!$Y$9:$Y$1179=X$5),'Input|Historical Data'!$U$9:$U$1179)</f>
        <v>0.57599999999999996</v>
      </c>
      <c r="Y41" s="49">
        <f t="shared" si="11"/>
        <v>0.81376037959667846</v>
      </c>
      <c r="Z41" s="49">
        <f t="shared" si="1"/>
        <v>7.1174377224199293E-3</v>
      </c>
      <c r="AA41" s="49">
        <f t="shared" si="2"/>
        <v>0.17912218268090155</v>
      </c>
      <c r="AB41" s="49">
        <f t="shared" si="12"/>
        <v>0.1708185053380783</v>
      </c>
      <c r="AC41" s="38"/>
      <c r="AD41" s="48">
        <f>SUMPRODUCT(--('Input|Historical Data'!$AC$9:$AC$1180=$E41),--('Input|Historical Data'!$AM$9:$AM$1180="SCS"),--('Input|Historical Data'!$AK$9:$AK$1180=AD$5),'Input|Historical Data'!$AG$9:$AG$1180)</f>
        <v>4.8159999999999998</v>
      </c>
      <c r="AE41" s="48">
        <f>SUMPRODUCT(--('Input|Historical Data'!$AC$9:$AC$1180=$E41),--('Input|Historical Data'!$AM$9:$AM$1180="SCS"),--('Input|Historical Data'!$AL$9:$AL$1180=AE$5),'Input|Historical Data'!$AG$9:$AG$1180)</f>
        <v>3.891</v>
      </c>
      <c r="AF41" s="48">
        <f>SUMPRODUCT(--('Input|Historical Data'!$AC$9:$AC$1180=$E41),--('Input|Historical Data'!$AM$9:$AM$1180="SCS"),--('Input|Historical Data'!$AL$9:$AL$1180=AF$5),'Input|Historical Data'!$AG$9:$AG$1180)</f>
        <v>1.7999999999999999E-2</v>
      </c>
      <c r="AG41" s="48">
        <f>SUMPRODUCT(--('Input|Historical Data'!$AC$9:$AC$1180=$E41),--('Input|Historical Data'!$AM$9:$AM$1180="SCS"),--('Input|Historical Data'!$AL$9:$AL$1180=AG$5),'Input|Historical Data'!$AG$9:$AG$1180)</f>
        <v>0.90700000000000003</v>
      </c>
      <c r="AH41" s="48">
        <f>SUMPRODUCT(--('Input|Historical Data'!$AC$9:$AC$1180=$E41),--('Input|Historical Data'!$AM$9:$AM$1180="SCS"),--('Input|Historical Data'!$AK$9:$AK$1180=AH$5),'Input|Historical Data'!$AG$9:$AG$1180)</f>
        <v>0.59399999999999997</v>
      </c>
      <c r="AI41" s="49">
        <f t="shared" si="17"/>
        <v>0.80793189368770768</v>
      </c>
      <c r="AJ41" s="49">
        <f t="shared" si="18"/>
        <v>3.7375415282392024E-3</v>
      </c>
      <c r="AK41" s="49">
        <f t="shared" si="19"/>
        <v>0.18833056478405316</v>
      </c>
      <c r="AL41" s="49">
        <f t="shared" si="20"/>
        <v>0.12333887043189369</v>
      </c>
      <c r="AM41" s="38"/>
      <c r="AN41" s="48"/>
      <c r="AO41" s="48"/>
      <c r="AP41" s="48"/>
      <c r="AQ41" s="48"/>
      <c r="AR41" s="48"/>
      <c r="AS41" s="49"/>
      <c r="AT41" s="49"/>
      <c r="AU41" s="49"/>
      <c r="AV41" s="49"/>
      <c r="AW41" s="38"/>
      <c r="AX41" s="49">
        <f t="shared" si="21"/>
        <v>0.810332193453835</v>
      </c>
      <c r="AY41" s="49">
        <f t="shared" si="22"/>
        <v>5.1294577430385929E-3</v>
      </c>
      <c r="AZ41" s="49">
        <f t="shared" si="23"/>
        <v>0.18453834880312656</v>
      </c>
      <c r="BA41" s="49">
        <f t="shared" si="24"/>
        <v>0.14289203712750367</v>
      </c>
      <c r="BB41" s="44"/>
    </row>
    <row r="42" spans="3:54" s="7" customFormat="1" outlineLevel="1" x14ac:dyDescent="0.3">
      <c r="C42" s="38"/>
      <c r="D42" s="38"/>
      <c r="E42" s="38" t="s">
        <v>509</v>
      </c>
      <c r="F42" s="38"/>
      <c r="G42" s="38" t="str">
        <f>VLOOKUP(E42,Mapping!$E$11:$G$204,3,0)</f>
        <v>Connections</v>
      </c>
      <c r="H42" s="38" t="str">
        <f>VLOOKUP(E42,Mapping!$E$11:$K$204,7,0)</f>
        <v>SCS</v>
      </c>
      <c r="I42" s="38"/>
      <c r="J42" s="48">
        <f>SUMPRODUCT(--('Input|Historical Data'!$E$9:$E$1179=$E42),--('Input|Historical Data'!$O$9:$O$1179="SCS"),--('Input|Historical Data'!$M$9:$M$1179=J$5),'Input|Historical Data'!$I$9:$I$1179)</f>
        <v>0</v>
      </c>
      <c r="K42" s="48">
        <f>SUMPRODUCT(--('Input|Historical Data'!$E$9:$E$1179=$E42),--('Input|Historical Data'!$O$9:$O$1179="SCS"),--('Input|Historical Data'!$N$9:$N$1179=K$5),'Input|Historical Data'!$I$9:$I$1179)</f>
        <v>0</v>
      </c>
      <c r="L42" s="48">
        <f>SUMPRODUCT(--('Input|Historical Data'!$E$9:$E$1179=$E42),--('Input|Historical Data'!$O$9:$O$1179="SCS"),--('Input|Historical Data'!$N$9:$N$1179=L$5),'Input|Historical Data'!$I$9:$I$1179)</f>
        <v>0</v>
      </c>
      <c r="M42" s="48">
        <f>SUMPRODUCT(--('Input|Historical Data'!$E$9:$E$1179=$E42),--('Input|Historical Data'!$O$9:$O$1179="SCS"),--('Input|Historical Data'!$N$9:$N$1179=M$5),'Input|Historical Data'!$I$9:$I$1179)</f>
        <v>0</v>
      </c>
      <c r="N42" s="48">
        <f>SUMPRODUCT(--('Input|Historical Data'!$E$9:$E$1179=$E42),--('Input|Historical Data'!$O$9:$O$1179="SCS"),--('Input|Historical Data'!$M$9:$M$1179=N$5),'Input|Historical Data'!$I$9:$I$1179)</f>
        <v>0</v>
      </c>
      <c r="O42" s="49">
        <f t="shared" si="7"/>
        <v>0</v>
      </c>
      <c r="P42" s="49">
        <f t="shared" si="8"/>
        <v>0</v>
      </c>
      <c r="Q42" s="49">
        <f t="shared" si="9"/>
        <v>0</v>
      </c>
      <c r="R42" s="49">
        <f t="shared" si="10"/>
        <v>0</v>
      </c>
      <c r="S42" s="38"/>
      <c r="T42" s="48">
        <f>SUMPRODUCT(--('Input|Historical Data'!$Q$9:$Q$1179=$E42),--('Input|Historical Data'!$AA$9:$AA$1179="SCS"),--('Input|Historical Data'!$Y$9:$Y$1179=T$5),'Input|Historical Data'!$U$9:$U$1179)</f>
        <v>0</v>
      </c>
      <c r="U42" s="48">
        <f>SUMPRODUCT(--('Input|Historical Data'!$Q$9:$Q$1179=$E42),--('Input|Historical Data'!$AA$9:$AA$1179="SCS"),--('Input|Historical Data'!$Z$9:$Z$1179=U$5),'Input|Historical Data'!$U$9:$U$1179)</f>
        <v>0</v>
      </c>
      <c r="V42" s="48">
        <f>SUMPRODUCT(--('Input|Historical Data'!$Q$9:$Q$1179=$E42),--('Input|Historical Data'!$AA$9:$AA$1179="SCS"),--('Input|Historical Data'!$Z$9:$Z$1179=V$5),'Input|Historical Data'!$U$9:$U$1179)</f>
        <v>0</v>
      </c>
      <c r="W42" s="48">
        <f>SUMPRODUCT(--('Input|Historical Data'!$Q$9:$Q$1179=$E42),--('Input|Historical Data'!$AA$9:$AA$1179="SCS"),--('Input|Historical Data'!$Z$9:$Z$1179=W$5),'Input|Historical Data'!$U$9:$U$1179)</f>
        <v>0</v>
      </c>
      <c r="X42" s="48">
        <f>SUMPRODUCT(--('Input|Historical Data'!$Q$9:$Q$1179=$E42),--('Input|Historical Data'!$AA$9:$AA$1179="SCS"),--('Input|Historical Data'!$Y$9:$Y$1179=X$5),'Input|Historical Data'!$U$9:$U$1179)</f>
        <v>0</v>
      </c>
      <c r="Y42" s="49">
        <f t="shared" si="11"/>
        <v>0</v>
      </c>
      <c r="Z42" s="49">
        <f t="shared" si="1"/>
        <v>0</v>
      </c>
      <c r="AA42" s="49">
        <f t="shared" si="2"/>
        <v>0</v>
      </c>
      <c r="AB42" s="49">
        <f t="shared" si="12"/>
        <v>0</v>
      </c>
      <c r="AC42" s="38"/>
      <c r="AD42" s="48">
        <f>SUMPRODUCT(--('Input|Historical Data'!$AC$9:$AC$1180=$E42),--('Input|Historical Data'!$AM$9:$AM$1180="SCS"),--('Input|Historical Data'!$AK$9:$AK$1180=AD$5),'Input|Historical Data'!$AG$9:$AG$1180)</f>
        <v>0</v>
      </c>
      <c r="AE42" s="48">
        <f>SUMPRODUCT(--('Input|Historical Data'!$AC$9:$AC$1180=$E42),--('Input|Historical Data'!$AM$9:$AM$1180="SCS"),--('Input|Historical Data'!$AL$9:$AL$1180=AE$5),'Input|Historical Data'!$AG$9:$AG$1180)</f>
        <v>0</v>
      </c>
      <c r="AF42" s="48">
        <f>SUMPRODUCT(--('Input|Historical Data'!$AC$9:$AC$1180=$E42),--('Input|Historical Data'!$AM$9:$AM$1180="SCS"),--('Input|Historical Data'!$AL$9:$AL$1180=AF$5),'Input|Historical Data'!$AG$9:$AG$1180)</f>
        <v>0</v>
      </c>
      <c r="AG42" s="48">
        <f>SUMPRODUCT(--('Input|Historical Data'!$AC$9:$AC$1180=$E42),--('Input|Historical Data'!$AM$9:$AM$1180="SCS"),--('Input|Historical Data'!$AL$9:$AL$1180=AG$5),'Input|Historical Data'!$AG$9:$AG$1180)</f>
        <v>0</v>
      </c>
      <c r="AH42" s="48">
        <f>SUMPRODUCT(--('Input|Historical Data'!$AC$9:$AC$1180=$E42),--('Input|Historical Data'!$AM$9:$AM$1180="SCS"),--('Input|Historical Data'!$AK$9:$AK$1180=AH$5),'Input|Historical Data'!$AG$9:$AG$1180)</f>
        <v>0</v>
      </c>
      <c r="AI42" s="49">
        <f t="shared" si="17"/>
        <v>0</v>
      </c>
      <c r="AJ42" s="49">
        <f t="shared" si="18"/>
        <v>0</v>
      </c>
      <c r="AK42" s="49">
        <f t="shared" si="19"/>
        <v>0</v>
      </c>
      <c r="AL42" s="49">
        <f t="shared" si="20"/>
        <v>0</v>
      </c>
      <c r="AM42" s="38"/>
      <c r="AN42" s="48"/>
      <c r="AO42" s="48"/>
      <c r="AP42" s="48"/>
      <c r="AQ42" s="48"/>
      <c r="AR42" s="48"/>
      <c r="AS42" s="49"/>
      <c r="AT42" s="49"/>
      <c r="AU42" s="49"/>
      <c r="AV42" s="49"/>
      <c r="AW42" s="38"/>
      <c r="AX42" s="49">
        <f t="shared" si="21"/>
        <v>0</v>
      </c>
      <c r="AY42" s="49">
        <f t="shared" si="22"/>
        <v>0</v>
      </c>
      <c r="AZ42" s="49">
        <f t="shared" si="23"/>
        <v>0</v>
      </c>
      <c r="BA42" s="49">
        <f t="shared" si="24"/>
        <v>0</v>
      </c>
      <c r="BB42" s="44"/>
    </row>
    <row r="43" spans="3:54" s="7" customFormat="1" outlineLevel="1" x14ac:dyDescent="0.3">
      <c r="C43" s="38"/>
      <c r="D43" s="38"/>
      <c r="E43" s="38" t="s">
        <v>510</v>
      </c>
      <c r="F43" s="38"/>
      <c r="G43" s="38" t="str">
        <f>VLOOKUP(E43,Mapping!$E$11:$G$204,3,0)</f>
        <v>Connections</v>
      </c>
      <c r="H43" s="38" t="str">
        <f>VLOOKUP(E43,Mapping!$E$11:$K$204,7,0)</f>
        <v>SCS</v>
      </c>
      <c r="I43" s="38"/>
      <c r="J43" s="48">
        <f>SUMPRODUCT(--('Input|Historical Data'!$E$9:$E$1179=$E43),--('Input|Historical Data'!$O$9:$O$1179="SCS"),--('Input|Historical Data'!$M$9:$M$1179=J$5),'Input|Historical Data'!$I$9:$I$1179)</f>
        <v>0</v>
      </c>
      <c r="K43" s="48">
        <f>SUMPRODUCT(--('Input|Historical Data'!$E$9:$E$1179=$E43),--('Input|Historical Data'!$O$9:$O$1179="SCS"),--('Input|Historical Data'!$N$9:$N$1179=K$5),'Input|Historical Data'!$I$9:$I$1179)</f>
        <v>0</v>
      </c>
      <c r="L43" s="48">
        <f>SUMPRODUCT(--('Input|Historical Data'!$E$9:$E$1179=$E43),--('Input|Historical Data'!$O$9:$O$1179="SCS"),--('Input|Historical Data'!$N$9:$N$1179=L$5),'Input|Historical Data'!$I$9:$I$1179)</f>
        <v>0</v>
      </c>
      <c r="M43" s="48">
        <f>SUMPRODUCT(--('Input|Historical Data'!$E$9:$E$1179=$E43),--('Input|Historical Data'!$O$9:$O$1179="SCS"),--('Input|Historical Data'!$N$9:$N$1179=M$5),'Input|Historical Data'!$I$9:$I$1179)</f>
        <v>0</v>
      </c>
      <c r="N43" s="48">
        <f>SUMPRODUCT(--('Input|Historical Data'!$E$9:$E$1179=$E43),--('Input|Historical Data'!$O$9:$O$1179="SCS"),--('Input|Historical Data'!$M$9:$M$1179=N$5),'Input|Historical Data'!$I$9:$I$1179)</f>
        <v>0</v>
      </c>
      <c r="O43" s="49">
        <f t="shared" si="7"/>
        <v>0</v>
      </c>
      <c r="P43" s="49">
        <f t="shared" si="8"/>
        <v>0</v>
      </c>
      <c r="Q43" s="49">
        <f t="shared" si="9"/>
        <v>0</v>
      </c>
      <c r="R43" s="49">
        <f t="shared" si="10"/>
        <v>0</v>
      </c>
      <c r="S43" s="38"/>
      <c r="T43" s="48">
        <f>SUMPRODUCT(--('Input|Historical Data'!$Q$9:$Q$1179=$E43),--('Input|Historical Data'!$AA$9:$AA$1179="SCS"),--('Input|Historical Data'!$Y$9:$Y$1179=T$5),'Input|Historical Data'!$U$9:$U$1179)</f>
        <v>0</v>
      </c>
      <c r="U43" s="48">
        <f>SUMPRODUCT(--('Input|Historical Data'!$Q$9:$Q$1179=$E43),--('Input|Historical Data'!$AA$9:$AA$1179="SCS"),--('Input|Historical Data'!$Z$9:$Z$1179=U$5),'Input|Historical Data'!$U$9:$U$1179)</f>
        <v>0</v>
      </c>
      <c r="V43" s="48">
        <f>SUMPRODUCT(--('Input|Historical Data'!$Q$9:$Q$1179=$E43),--('Input|Historical Data'!$AA$9:$AA$1179="SCS"),--('Input|Historical Data'!$Z$9:$Z$1179=V$5),'Input|Historical Data'!$U$9:$U$1179)</f>
        <v>0</v>
      </c>
      <c r="W43" s="48">
        <f>SUMPRODUCT(--('Input|Historical Data'!$Q$9:$Q$1179=$E43),--('Input|Historical Data'!$AA$9:$AA$1179="SCS"),--('Input|Historical Data'!$Z$9:$Z$1179=W$5),'Input|Historical Data'!$U$9:$U$1179)</f>
        <v>0</v>
      </c>
      <c r="X43" s="48">
        <f>SUMPRODUCT(--('Input|Historical Data'!$Q$9:$Q$1179=$E43),--('Input|Historical Data'!$AA$9:$AA$1179="SCS"),--('Input|Historical Data'!$Y$9:$Y$1179=X$5),'Input|Historical Data'!$U$9:$U$1179)</f>
        <v>0</v>
      </c>
      <c r="Y43" s="49">
        <f t="shared" si="11"/>
        <v>0</v>
      </c>
      <c r="Z43" s="49">
        <f t="shared" si="1"/>
        <v>0</v>
      </c>
      <c r="AA43" s="49">
        <f t="shared" si="2"/>
        <v>0</v>
      </c>
      <c r="AB43" s="49">
        <f t="shared" si="12"/>
        <v>0</v>
      </c>
      <c r="AC43" s="38"/>
      <c r="AD43" s="48">
        <f>SUMPRODUCT(--('Input|Historical Data'!$AC$9:$AC$1180=$E43),--('Input|Historical Data'!$AM$9:$AM$1180="SCS"),--('Input|Historical Data'!$AK$9:$AK$1180=AD$5),'Input|Historical Data'!$AG$9:$AG$1180)</f>
        <v>0</v>
      </c>
      <c r="AE43" s="48">
        <f>SUMPRODUCT(--('Input|Historical Data'!$AC$9:$AC$1180=$E43),--('Input|Historical Data'!$AM$9:$AM$1180="SCS"),--('Input|Historical Data'!$AL$9:$AL$1180=AE$5),'Input|Historical Data'!$AG$9:$AG$1180)</f>
        <v>0</v>
      </c>
      <c r="AF43" s="48">
        <f>SUMPRODUCT(--('Input|Historical Data'!$AC$9:$AC$1180=$E43),--('Input|Historical Data'!$AM$9:$AM$1180="SCS"),--('Input|Historical Data'!$AL$9:$AL$1180=AF$5),'Input|Historical Data'!$AG$9:$AG$1180)</f>
        <v>0</v>
      </c>
      <c r="AG43" s="48">
        <f>SUMPRODUCT(--('Input|Historical Data'!$AC$9:$AC$1180=$E43),--('Input|Historical Data'!$AM$9:$AM$1180="SCS"),--('Input|Historical Data'!$AL$9:$AL$1180=AG$5),'Input|Historical Data'!$AG$9:$AG$1180)</f>
        <v>0</v>
      </c>
      <c r="AH43" s="48">
        <f>SUMPRODUCT(--('Input|Historical Data'!$AC$9:$AC$1180=$E43),--('Input|Historical Data'!$AM$9:$AM$1180="SCS"),--('Input|Historical Data'!$AK$9:$AK$1180=AH$5),'Input|Historical Data'!$AG$9:$AG$1180)</f>
        <v>0</v>
      </c>
      <c r="AI43" s="49">
        <f t="shared" si="17"/>
        <v>0</v>
      </c>
      <c r="AJ43" s="49">
        <f t="shared" si="18"/>
        <v>0</v>
      </c>
      <c r="AK43" s="49">
        <f t="shared" si="19"/>
        <v>0</v>
      </c>
      <c r="AL43" s="49">
        <f t="shared" si="20"/>
        <v>0</v>
      </c>
      <c r="AM43" s="38"/>
      <c r="AN43" s="48"/>
      <c r="AO43" s="48"/>
      <c r="AP43" s="48"/>
      <c r="AQ43" s="48"/>
      <c r="AR43" s="48"/>
      <c r="AS43" s="49"/>
      <c r="AT43" s="49"/>
      <c r="AU43" s="49"/>
      <c r="AV43" s="49"/>
      <c r="AW43" s="38"/>
      <c r="AX43" s="49">
        <f t="shared" si="21"/>
        <v>0</v>
      </c>
      <c r="AY43" s="49">
        <f t="shared" si="22"/>
        <v>0</v>
      </c>
      <c r="AZ43" s="49">
        <f t="shared" si="23"/>
        <v>0</v>
      </c>
      <c r="BA43" s="49">
        <f t="shared" si="24"/>
        <v>0</v>
      </c>
      <c r="BB43" s="44"/>
    </row>
    <row r="44" spans="3:54" s="7" customFormat="1" outlineLevel="1" x14ac:dyDescent="0.3">
      <c r="C44" s="38"/>
      <c r="D44" s="38"/>
      <c r="E44" s="38" t="s">
        <v>511</v>
      </c>
      <c r="F44" s="38"/>
      <c r="G44" s="38" t="str">
        <f>VLOOKUP(E44,Mapping!$E$11:$G$204,3,0)</f>
        <v>Connections</v>
      </c>
      <c r="H44" s="38" t="str">
        <f>VLOOKUP(E44,Mapping!$E$11:$K$204,7,0)</f>
        <v>SCS</v>
      </c>
      <c r="I44" s="38"/>
      <c r="J44" s="48">
        <f>SUMPRODUCT(--('Input|Historical Data'!$E$9:$E$1179=$E44),--('Input|Historical Data'!$O$9:$O$1179="SCS"),--('Input|Historical Data'!$M$9:$M$1179=J$5),'Input|Historical Data'!$I$9:$I$1179)</f>
        <v>0</v>
      </c>
      <c r="K44" s="48">
        <f>SUMPRODUCT(--('Input|Historical Data'!$E$9:$E$1179=$E44),--('Input|Historical Data'!$O$9:$O$1179="SCS"),--('Input|Historical Data'!$N$9:$N$1179=K$5),'Input|Historical Data'!$I$9:$I$1179)</f>
        <v>0</v>
      </c>
      <c r="L44" s="48">
        <f>SUMPRODUCT(--('Input|Historical Data'!$E$9:$E$1179=$E44),--('Input|Historical Data'!$O$9:$O$1179="SCS"),--('Input|Historical Data'!$N$9:$N$1179=L$5),'Input|Historical Data'!$I$9:$I$1179)</f>
        <v>0</v>
      </c>
      <c r="M44" s="48">
        <f>SUMPRODUCT(--('Input|Historical Data'!$E$9:$E$1179=$E44),--('Input|Historical Data'!$O$9:$O$1179="SCS"),--('Input|Historical Data'!$N$9:$N$1179=M$5),'Input|Historical Data'!$I$9:$I$1179)</f>
        <v>0</v>
      </c>
      <c r="N44" s="48">
        <f>SUMPRODUCT(--('Input|Historical Data'!$E$9:$E$1179=$E44),--('Input|Historical Data'!$O$9:$O$1179="SCS"),--('Input|Historical Data'!$M$9:$M$1179=N$5),'Input|Historical Data'!$I$9:$I$1179)</f>
        <v>0</v>
      </c>
      <c r="O44" s="49">
        <f t="shared" si="7"/>
        <v>0</v>
      </c>
      <c r="P44" s="49">
        <f t="shared" si="8"/>
        <v>0</v>
      </c>
      <c r="Q44" s="49">
        <f t="shared" si="9"/>
        <v>0</v>
      </c>
      <c r="R44" s="49">
        <f t="shared" si="10"/>
        <v>0</v>
      </c>
      <c r="S44" s="38"/>
      <c r="T44" s="48">
        <f>SUMPRODUCT(--('Input|Historical Data'!$Q$9:$Q$1179=$E44),--('Input|Historical Data'!$AA$9:$AA$1179="SCS"),--('Input|Historical Data'!$Y$9:$Y$1179=T$5),'Input|Historical Data'!$U$9:$U$1179)</f>
        <v>0</v>
      </c>
      <c r="U44" s="48">
        <f>SUMPRODUCT(--('Input|Historical Data'!$Q$9:$Q$1179=$E44),--('Input|Historical Data'!$AA$9:$AA$1179="SCS"),--('Input|Historical Data'!$Z$9:$Z$1179=U$5),'Input|Historical Data'!$U$9:$U$1179)</f>
        <v>0</v>
      </c>
      <c r="V44" s="48">
        <f>SUMPRODUCT(--('Input|Historical Data'!$Q$9:$Q$1179=$E44),--('Input|Historical Data'!$AA$9:$AA$1179="SCS"),--('Input|Historical Data'!$Z$9:$Z$1179=V$5),'Input|Historical Data'!$U$9:$U$1179)</f>
        <v>0</v>
      </c>
      <c r="W44" s="48">
        <f>SUMPRODUCT(--('Input|Historical Data'!$Q$9:$Q$1179=$E44),--('Input|Historical Data'!$AA$9:$AA$1179="SCS"),--('Input|Historical Data'!$Z$9:$Z$1179=W$5),'Input|Historical Data'!$U$9:$U$1179)</f>
        <v>0</v>
      </c>
      <c r="X44" s="48">
        <f>SUMPRODUCT(--('Input|Historical Data'!$Q$9:$Q$1179=$E44),--('Input|Historical Data'!$AA$9:$AA$1179="SCS"),--('Input|Historical Data'!$Y$9:$Y$1179=X$5),'Input|Historical Data'!$U$9:$U$1179)</f>
        <v>0</v>
      </c>
      <c r="Y44" s="49">
        <f t="shared" si="11"/>
        <v>0</v>
      </c>
      <c r="Z44" s="49">
        <f t="shared" si="1"/>
        <v>0</v>
      </c>
      <c r="AA44" s="49">
        <f t="shared" si="2"/>
        <v>0</v>
      </c>
      <c r="AB44" s="49">
        <f t="shared" si="12"/>
        <v>0</v>
      </c>
      <c r="AC44" s="38"/>
      <c r="AD44" s="48">
        <f>SUMPRODUCT(--('Input|Historical Data'!$AC$9:$AC$1180=$E44),--('Input|Historical Data'!$AM$9:$AM$1180="SCS"),--('Input|Historical Data'!$AK$9:$AK$1180=AD$5),'Input|Historical Data'!$AG$9:$AG$1180)</f>
        <v>0</v>
      </c>
      <c r="AE44" s="48">
        <f>SUMPRODUCT(--('Input|Historical Data'!$AC$9:$AC$1180=$E44),--('Input|Historical Data'!$AM$9:$AM$1180="SCS"),--('Input|Historical Data'!$AL$9:$AL$1180=AE$5),'Input|Historical Data'!$AG$9:$AG$1180)</f>
        <v>0</v>
      </c>
      <c r="AF44" s="48">
        <f>SUMPRODUCT(--('Input|Historical Data'!$AC$9:$AC$1180=$E44),--('Input|Historical Data'!$AM$9:$AM$1180="SCS"),--('Input|Historical Data'!$AL$9:$AL$1180=AF$5),'Input|Historical Data'!$AG$9:$AG$1180)</f>
        <v>0</v>
      </c>
      <c r="AG44" s="48">
        <f>SUMPRODUCT(--('Input|Historical Data'!$AC$9:$AC$1180=$E44),--('Input|Historical Data'!$AM$9:$AM$1180="SCS"),--('Input|Historical Data'!$AL$9:$AL$1180=AG$5),'Input|Historical Data'!$AG$9:$AG$1180)</f>
        <v>0</v>
      </c>
      <c r="AH44" s="48">
        <f>SUMPRODUCT(--('Input|Historical Data'!$AC$9:$AC$1180=$E44),--('Input|Historical Data'!$AM$9:$AM$1180="SCS"),--('Input|Historical Data'!$AK$9:$AK$1180=AH$5),'Input|Historical Data'!$AG$9:$AG$1180)</f>
        <v>0</v>
      </c>
      <c r="AI44" s="49">
        <f t="shared" si="17"/>
        <v>0</v>
      </c>
      <c r="AJ44" s="49">
        <f t="shared" si="18"/>
        <v>0</v>
      </c>
      <c r="AK44" s="49">
        <f t="shared" si="19"/>
        <v>0</v>
      </c>
      <c r="AL44" s="49">
        <f t="shared" si="20"/>
        <v>0</v>
      </c>
      <c r="AM44" s="38"/>
      <c r="AN44" s="48"/>
      <c r="AO44" s="48"/>
      <c r="AP44" s="48"/>
      <c r="AQ44" s="48"/>
      <c r="AR44" s="48"/>
      <c r="AS44" s="49"/>
      <c r="AT44" s="49"/>
      <c r="AU44" s="49"/>
      <c r="AV44" s="49"/>
      <c r="AW44" s="38"/>
      <c r="AX44" s="49">
        <f t="shared" si="21"/>
        <v>0</v>
      </c>
      <c r="AY44" s="49">
        <f t="shared" si="22"/>
        <v>0</v>
      </c>
      <c r="AZ44" s="49">
        <f t="shared" si="23"/>
        <v>0</v>
      </c>
      <c r="BA44" s="49">
        <f t="shared" si="24"/>
        <v>0</v>
      </c>
      <c r="BB44" s="44"/>
    </row>
    <row r="45" spans="3:54" s="7" customFormat="1" outlineLevel="1" x14ac:dyDescent="0.3">
      <c r="C45" s="38"/>
      <c r="D45" s="38"/>
      <c r="E45" s="38" t="s">
        <v>117</v>
      </c>
      <c r="F45" s="38" t="s">
        <v>299</v>
      </c>
      <c r="G45" s="38" t="str">
        <f>VLOOKUP(E45,Mapping!$E$11:$G$204,3,0)</f>
        <v>Connections</v>
      </c>
      <c r="H45" s="38" t="str">
        <f>VLOOKUP(E45,Mapping!$E$11:$K$204,7,0)</f>
        <v>SCS</v>
      </c>
      <c r="I45" s="38"/>
      <c r="J45" s="48">
        <f>SUMPRODUCT(--('Input|Historical Data'!$E$9:$E$1179=$E45),--('Input|Historical Data'!$O$9:$O$1179="SCS"),--('Input|Historical Data'!$M$9:$M$1179=J$5),'Input|Historical Data'!$I$9:$I$1179)</f>
        <v>0</v>
      </c>
      <c r="K45" s="48">
        <f>SUMPRODUCT(--('Input|Historical Data'!$E$9:$E$1179=$E45),--('Input|Historical Data'!$O$9:$O$1179="SCS"),--('Input|Historical Data'!$N$9:$N$1179=K$5),'Input|Historical Data'!$I$9:$I$1179)</f>
        <v>0</v>
      </c>
      <c r="L45" s="48">
        <f>SUMPRODUCT(--('Input|Historical Data'!$E$9:$E$1179=$E45),--('Input|Historical Data'!$O$9:$O$1179="SCS"),--('Input|Historical Data'!$N$9:$N$1179=L$5),'Input|Historical Data'!$I$9:$I$1179)</f>
        <v>0</v>
      </c>
      <c r="M45" s="48">
        <f>SUMPRODUCT(--('Input|Historical Data'!$E$9:$E$1179=$E45),--('Input|Historical Data'!$O$9:$O$1179="SCS"),--('Input|Historical Data'!$N$9:$N$1179=M$5),'Input|Historical Data'!$I$9:$I$1179)</f>
        <v>0</v>
      </c>
      <c r="N45" s="48">
        <f>SUMPRODUCT(--('Input|Historical Data'!$E$9:$E$1179=$E45),--('Input|Historical Data'!$O$9:$O$1179="SCS"),--('Input|Historical Data'!$M$9:$M$1179=N$5),'Input|Historical Data'!$I$9:$I$1179)</f>
        <v>0</v>
      </c>
      <c r="O45" s="49">
        <f t="shared" si="7"/>
        <v>0</v>
      </c>
      <c r="P45" s="49">
        <f t="shared" si="8"/>
        <v>0</v>
      </c>
      <c r="Q45" s="49">
        <f t="shared" si="9"/>
        <v>0</v>
      </c>
      <c r="R45" s="49">
        <f t="shared" si="10"/>
        <v>0</v>
      </c>
      <c r="S45" s="38"/>
      <c r="T45" s="48">
        <f>SUMPRODUCT(--('Input|Historical Data'!$Q$9:$Q$1179=$E45),--('Input|Historical Data'!$AA$9:$AA$1179="SCS"),--('Input|Historical Data'!$Y$9:$Y$1179=T$5),'Input|Historical Data'!$U$9:$U$1179)</f>
        <v>0</v>
      </c>
      <c r="U45" s="48">
        <f>SUMPRODUCT(--('Input|Historical Data'!$Q$9:$Q$1179=$E45),--('Input|Historical Data'!$AA$9:$AA$1179="SCS"),--('Input|Historical Data'!$Z$9:$Z$1179=U$5),'Input|Historical Data'!$U$9:$U$1179)</f>
        <v>0</v>
      </c>
      <c r="V45" s="48">
        <f>SUMPRODUCT(--('Input|Historical Data'!$Q$9:$Q$1179=$E45),--('Input|Historical Data'!$AA$9:$AA$1179="SCS"),--('Input|Historical Data'!$Z$9:$Z$1179=V$5),'Input|Historical Data'!$U$9:$U$1179)</f>
        <v>0</v>
      </c>
      <c r="W45" s="48">
        <f>SUMPRODUCT(--('Input|Historical Data'!$Q$9:$Q$1179=$E45),--('Input|Historical Data'!$AA$9:$AA$1179="SCS"),--('Input|Historical Data'!$Z$9:$Z$1179=W$5),'Input|Historical Data'!$U$9:$U$1179)</f>
        <v>0</v>
      </c>
      <c r="X45" s="48">
        <f>SUMPRODUCT(--('Input|Historical Data'!$Q$9:$Q$1179=$E45),--('Input|Historical Data'!$AA$9:$AA$1179="SCS"),--('Input|Historical Data'!$Y$9:$Y$1179=X$5),'Input|Historical Data'!$U$9:$U$1179)</f>
        <v>0</v>
      </c>
      <c r="Y45" s="49">
        <f t="shared" si="11"/>
        <v>0</v>
      </c>
      <c r="Z45" s="49">
        <f t="shared" si="1"/>
        <v>0</v>
      </c>
      <c r="AA45" s="49">
        <f t="shared" si="2"/>
        <v>0</v>
      </c>
      <c r="AB45" s="49">
        <f t="shared" si="12"/>
        <v>0</v>
      </c>
      <c r="AC45" s="38"/>
      <c r="AD45" s="48">
        <f>SUMPRODUCT(--('Input|Historical Data'!$AC$9:$AC$1180=$E45),--('Input|Historical Data'!$AM$9:$AM$1180="SCS"),--('Input|Historical Data'!$AK$9:$AK$1180=AD$5),'Input|Historical Data'!$AG$9:$AG$1180)</f>
        <v>0</v>
      </c>
      <c r="AE45" s="48">
        <f>SUMPRODUCT(--('Input|Historical Data'!$AC$9:$AC$1180=$E45),--('Input|Historical Data'!$AM$9:$AM$1180="SCS"),--('Input|Historical Data'!$AL$9:$AL$1180=AE$5),'Input|Historical Data'!$AG$9:$AG$1180)</f>
        <v>0</v>
      </c>
      <c r="AF45" s="48">
        <f>SUMPRODUCT(--('Input|Historical Data'!$AC$9:$AC$1180=$E45),--('Input|Historical Data'!$AM$9:$AM$1180="SCS"),--('Input|Historical Data'!$AL$9:$AL$1180=AF$5),'Input|Historical Data'!$AG$9:$AG$1180)</f>
        <v>0</v>
      </c>
      <c r="AG45" s="48">
        <f>SUMPRODUCT(--('Input|Historical Data'!$AC$9:$AC$1180=$E45),--('Input|Historical Data'!$AM$9:$AM$1180="SCS"),--('Input|Historical Data'!$AL$9:$AL$1180=AG$5),'Input|Historical Data'!$AG$9:$AG$1180)</f>
        <v>0</v>
      </c>
      <c r="AH45" s="48">
        <f>SUMPRODUCT(--('Input|Historical Data'!$AC$9:$AC$1180=$E45),--('Input|Historical Data'!$AM$9:$AM$1180="SCS"),--('Input|Historical Data'!$AK$9:$AK$1180=AH$5),'Input|Historical Data'!$AG$9:$AG$1180)</f>
        <v>0</v>
      </c>
      <c r="AI45" s="49">
        <f t="shared" si="17"/>
        <v>0</v>
      </c>
      <c r="AJ45" s="49">
        <f t="shared" si="18"/>
        <v>0</v>
      </c>
      <c r="AK45" s="49">
        <f t="shared" si="19"/>
        <v>0</v>
      </c>
      <c r="AL45" s="49">
        <f t="shared" si="20"/>
        <v>0</v>
      </c>
      <c r="AM45" s="38"/>
      <c r="AN45" s="48"/>
      <c r="AO45" s="48"/>
      <c r="AP45" s="48"/>
      <c r="AQ45" s="48"/>
      <c r="AR45" s="48"/>
      <c r="AS45" s="49"/>
      <c r="AT45" s="49"/>
      <c r="AU45" s="49"/>
      <c r="AV45" s="49"/>
      <c r="AW45" s="38"/>
      <c r="AX45" s="49">
        <f t="shared" si="21"/>
        <v>0</v>
      </c>
      <c r="AY45" s="49">
        <f t="shared" si="22"/>
        <v>0</v>
      </c>
      <c r="AZ45" s="49">
        <f t="shared" si="23"/>
        <v>0</v>
      </c>
      <c r="BA45" s="49">
        <f t="shared" si="24"/>
        <v>0</v>
      </c>
      <c r="BB45" s="44"/>
    </row>
    <row r="46" spans="3:54" s="7" customFormat="1" outlineLevel="1" x14ac:dyDescent="0.3">
      <c r="C46" s="38"/>
      <c r="D46" s="38"/>
      <c r="E46" s="38" t="s">
        <v>118</v>
      </c>
      <c r="F46" s="38" t="s">
        <v>300</v>
      </c>
      <c r="G46" s="38" t="str">
        <f>VLOOKUP(E46,Mapping!$E$11:$G$204,3,0)</f>
        <v>Connections</v>
      </c>
      <c r="H46" s="38" t="str">
        <f>VLOOKUP(E46,Mapping!$E$11:$K$204,7,0)</f>
        <v>SCS</v>
      </c>
      <c r="I46" s="38"/>
      <c r="J46" s="48">
        <f>SUMPRODUCT(--('Input|Historical Data'!$E$9:$E$1179=$E46),--('Input|Historical Data'!$O$9:$O$1179="SCS"),--('Input|Historical Data'!$M$9:$M$1179=J$5),'Input|Historical Data'!$I$9:$I$1179)</f>
        <v>722.44600000000003</v>
      </c>
      <c r="K46" s="48">
        <f>SUMPRODUCT(--('Input|Historical Data'!$E$9:$E$1179=$E46),--('Input|Historical Data'!$O$9:$O$1179="SCS"),--('Input|Historical Data'!$N$9:$N$1179=K$5),'Input|Historical Data'!$I$9:$I$1179)</f>
        <v>343.26400000000001</v>
      </c>
      <c r="L46" s="48">
        <f>SUMPRODUCT(--('Input|Historical Data'!$E$9:$E$1179=$E46),--('Input|Historical Data'!$O$9:$O$1179="SCS"),--('Input|Historical Data'!$N$9:$N$1179=L$5),'Input|Historical Data'!$I$9:$I$1179)</f>
        <v>130.261</v>
      </c>
      <c r="M46" s="48">
        <f>SUMPRODUCT(--('Input|Historical Data'!$E$9:$E$1179=$E46),--('Input|Historical Data'!$O$9:$O$1179="SCS"),--('Input|Historical Data'!$N$9:$N$1179=M$5),'Input|Historical Data'!$I$9:$I$1179)</f>
        <v>248.92099999999999</v>
      </c>
      <c r="N46" s="48">
        <f>SUMPRODUCT(--('Input|Historical Data'!$E$9:$E$1179=$E46),--('Input|Historical Data'!$O$9:$O$1179="SCS"),--('Input|Historical Data'!$M$9:$M$1179=N$5),'Input|Historical Data'!$I$9:$I$1179)</f>
        <v>52.890999999999998</v>
      </c>
      <c r="O46" s="49">
        <f t="shared" si="7"/>
        <v>0.47514139465094979</v>
      </c>
      <c r="P46" s="49">
        <f t="shared" si="8"/>
        <v>0.18030551764422534</v>
      </c>
      <c r="Q46" s="49">
        <f t="shared" si="9"/>
        <v>0.34455308770482501</v>
      </c>
      <c r="R46" s="49">
        <f t="shared" si="10"/>
        <v>7.3211008158395222E-2</v>
      </c>
      <c r="S46" s="38"/>
      <c r="T46" s="48">
        <f>SUMPRODUCT(--('Input|Historical Data'!$Q$9:$Q$1179=$E46),--('Input|Historical Data'!$AA$9:$AA$1179="SCS"),--('Input|Historical Data'!$Y$9:$Y$1179=T$5),'Input|Historical Data'!$U$9:$U$1179)</f>
        <v>618.12599999999998</v>
      </c>
      <c r="U46" s="48">
        <f>SUMPRODUCT(--('Input|Historical Data'!$Q$9:$Q$1179=$E46),--('Input|Historical Data'!$AA$9:$AA$1179="SCS"),--('Input|Historical Data'!$Z$9:$Z$1179=U$5),'Input|Historical Data'!$U$9:$U$1179)</f>
        <v>227.67599999999999</v>
      </c>
      <c r="V46" s="48">
        <f>SUMPRODUCT(--('Input|Historical Data'!$Q$9:$Q$1179=$E46),--('Input|Historical Data'!$AA$9:$AA$1179="SCS"),--('Input|Historical Data'!$Z$9:$Z$1179=V$5),'Input|Historical Data'!$U$9:$U$1179)</f>
        <v>275.84800000000001</v>
      </c>
      <c r="W46" s="48">
        <f>SUMPRODUCT(--('Input|Historical Data'!$Q$9:$Q$1179=$E46),--('Input|Historical Data'!$AA$9:$AA$1179="SCS"),--('Input|Historical Data'!$Z$9:$Z$1179=W$5),'Input|Historical Data'!$U$9:$U$1179)</f>
        <v>114.602</v>
      </c>
      <c r="X46" s="48">
        <f>SUMPRODUCT(--('Input|Historical Data'!$Q$9:$Q$1179=$E46),--('Input|Historical Data'!$AA$9:$AA$1179="SCS"),--('Input|Historical Data'!$Y$9:$Y$1179=X$5),'Input|Historical Data'!$U$9:$U$1179)</f>
        <v>71.893000000000001</v>
      </c>
      <c r="Y46" s="49">
        <f t="shared" si="11"/>
        <v>0.36833267003814757</v>
      </c>
      <c r="Z46" s="49">
        <f t="shared" si="1"/>
        <v>0.44626500098685384</v>
      </c>
      <c r="AA46" s="49">
        <f t="shared" si="2"/>
        <v>0.18540232897499864</v>
      </c>
      <c r="AB46" s="49">
        <f t="shared" si="12"/>
        <v>0.11630800192840943</v>
      </c>
      <c r="AC46" s="38"/>
      <c r="AD46" s="48">
        <f>SUMPRODUCT(--('Input|Historical Data'!$AC$9:$AC$1180=$E46),--('Input|Historical Data'!$AM$9:$AM$1180="SCS"),--('Input|Historical Data'!$AK$9:$AK$1180=AD$5),'Input|Historical Data'!$AG$9:$AG$1180)</f>
        <v>296.48900000000003</v>
      </c>
      <c r="AE46" s="48">
        <f>SUMPRODUCT(--('Input|Historical Data'!$AC$9:$AC$1180=$E46),--('Input|Historical Data'!$AM$9:$AM$1180="SCS"),--('Input|Historical Data'!$AL$9:$AL$1180=AE$5),'Input|Historical Data'!$AG$9:$AG$1180)</f>
        <v>167.80799999999999</v>
      </c>
      <c r="AF46" s="48">
        <f>SUMPRODUCT(--('Input|Historical Data'!$AC$9:$AC$1180=$E46),--('Input|Historical Data'!$AM$9:$AM$1180="SCS"),--('Input|Historical Data'!$AL$9:$AL$1180=AF$5),'Input|Historical Data'!$AG$9:$AG$1180)</f>
        <v>78.983999999999995</v>
      </c>
      <c r="AG46" s="48">
        <f>SUMPRODUCT(--('Input|Historical Data'!$AC$9:$AC$1180=$E46),--('Input|Historical Data'!$AM$9:$AM$1180="SCS"),--('Input|Historical Data'!$AL$9:$AL$1180=AG$5),'Input|Historical Data'!$AG$9:$AG$1180)</f>
        <v>49.697000000000003</v>
      </c>
      <c r="AH46" s="48">
        <f>SUMPRODUCT(--('Input|Historical Data'!$AC$9:$AC$1180=$E46),--('Input|Historical Data'!$AM$9:$AM$1180="SCS"),--('Input|Historical Data'!$AK$9:$AK$1180=AH$5),'Input|Historical Data'!$AG$9:$AG$1180)</f>
        <v>39.098999999999997</v>
      </c>
      <c r="AI46" s="49">
        <f t="shared" si="17"/>
        <v>0.56598389822219375</v>
      </c>
      <c r="AJ46" s="49">
        <f t="shared" si="18"/>
        <v>0.26639774156882717</v>
      </c>
      <c r="AK46" s="49">
        <f t="shared" si="19"/>
        <v>0.16761836020897911</v>
      </c>
      <c r="AL46" s="49">
        <f t="shared" si="20"/>
        <v>0.13187335786487861</v>
      </c>
      <c r="AM46" s="38"/>
      <c r="AN46" s="48"/>
      <c r="AO46" s="48"/>
      <c r="AP46" s="48"/>
      <c r="AQ46" s="48"/>
      <c r="AR46" s="48"/>
      <c r="AS46" s="49"/>
      <c r="AT46" s="49"/>
      <c r="AU46" s="49"/>
      <c r="AV46" s="49"/>
      <c r="AW46" s="38"/>
      <c r="AX46" s="49">
        <f t="shared" si="21"/>
        <v>0.43240489167573237</v>
      </c>
      <c r="AY46" s="49">
        <f t="shared" si="22"/>
        <v>0.38795777458274794</v>
      </c>
      <c r="AZ46" s="49">
        <f t="shared" si="23"/>
        <v>0.17963733374151966</v>
      </c>
      <c r="BA46" s="49">
        <f t="shared" si="24"/>
        <v>0.12135379367274754</v>
      </c>
      <c r="BB46" s="44"/>
    </row>
    <row r="47" spans="3:54" s="7" customFormat="1" outlineLevel="1" x14ac:dyDescent="0.3">
      <c r="C47" s="38"/>
      <c r="D47" s="38"/>
      <c r="E47" s="38" t="s">
        <v>119</v>
      </c>
      <c r="F47" s="38" t="s">
        <v>301</v>
      </c>
      <c r="G47" s="38" t="str">
        <f>VLOOKUP(E47,Mapping!$E$11:$G$204,3,0)</f>
        <v>Connections</v>
      </c>
      <c r="H47" s="38" t="str">
        <f>VLOOKUP(E47,Mapping!$E$11:$K$204,7,0)</f>
        <v>SCS</v>
      </c>
      <c r="I47" s="38"/>
      <c r="J47" s="48">
        <f>SUMPRODUCT(--('Input|Historical Data'!$E$9:$E$1179=$E47),--('Input|Historical Data'!$O$9:$O$1179="SCS"),--('Input|Historical Data'!$M$9:$M$1179=J$5),'Input|Historical Data'!$I$9:$I$1179)</f>
        <v>366.92099999999999</v>
      </c>
      <c r="K47" s="48">
        <f>SUMPRODUCT(--('Input|Historical Data'!$E$9:$E$1179=$E47),--('Input|Historical Data'!$O$9:$O$1179="SCS"),--('Input|Historical Data'!$N$9:$N$1179=K$5),'Input|Historical Data'!$I$9:$I$1179)</f>
        <v>142.74</v>
      </c>
      <c r="L47" s="48">
        <f>SUMPRODUCT(--('Input|Historical Data'!$E$9:$E$1179=$E47),--('Input|Historical Data'!$O$9:$O$1179="SCS"),--('Input|Historical Data'!$N$9:$N$1179=L$5),'Input|Historical Data'!$I$9:$I$1179)</f>
        <v>176.60899999999998</v>
      </c>
      <c r="M47" s="48">
        <f>SUMPRODUCT(--('Input|Historical Data'!$E$9:$E$1179=$E47),--('Input|Historical Data'!$O$9:$O$1179="SCS"),--('Input|Historical Data'!$N$9:$N$1179=M$5),'Input|Historical Data'!$I$9:$I$1179)</f>
        <v>47.572000000000003</v>
      </c>
      <c r="N47" s="48">
        <f>SUMPRODUCT(--('Input|Historical Data'!$E$9:$E$1179=$E47),--('Input|Historical Data'!$O$9:$O$1179="SCS"),--('Input|Historical Data'!$M$9:$M$1179=N$5),'Input|Historical Data'!$I$9:$I$1179)</f>
        <v>38.274000000000001</v>
      </c>
      <c r="O47" s="49">
        <f t="shared" si="7"/>
        <v>0.38902106993058455</v>
      </c>
      <c r="P47" s="49">
        <f t="shared" si="8"/>
        <v>0.48132704315097796</v>
      </c>
      <c r="Q47" s="49">
        <f t="shared" si="9"/>
        <v>0.12965188691843749</v>
      </c>
      <c r="R47" s="49">
        <f t="shared" si="10"/>
        <v>0.10431128226511975</v>
      </c>
      <c r="S47" s="38"/>
      <c r="T47" s="48">
        <f>SUMPRODUCT(--('Input|Historical Data'!$Q$9:$Q$1179=$E47),--('Input|Historical Data'!$AA$9:$AA$1179="SCS"),--('Input|Historical Data'!$Y$9:$Y$1179=T$5),'Input|Historical Data'!$U$9:$U$1179)</f>
        <v>203.74699999999999</v>
      </c>
      <c r="U47" s="48">
        <f>SUMPRODUCT(--('Input|Historical Data'!$Q$9:$Q$1179=$E47),--('Input|Historical Data'!$AA$9:$AA$1179="SCS"),--('Input|Historical Data'!$Z$9:$Z$1179=U$5),'Input|Historical Data'!$U$9:$U$1179)</f>
        <v>125.60499999999999</v>
      </c>
      <c r="V47" s="48">
        <f>SUMPRODUCT(--('Input|Historical Data'!$Q$9:$Q$1179=$E47),--('Input|Historical Data'!$AA$9:$AA$1179="SCS"),--('Input|Historical Data'!$Z$9:$Z$1179=V$5),'Input|Historical Data'!$U$9:$U$1179)</f>
        <v>43.83</v>
      </c>
      <c r="W47" s="48">
        <f>SUMPRODUCT(--('Input|Historical Data'!$Q$9:$Q$1179=$E47),--('Input|Historical Data'!$AA$9:$AA$1179="SCS"),--('Input|Historical Data'!$Z$9:$Z$1179=W$5),'Input|Historical Data'!$U$9:$U$1179)</f>
        <v>34.311999999999998</v>
      </c>
      <c r="X47" s="48">
        <f>SUMPRODUCT(--('Input|Historical Data'!$Q$9:$Q$1179=$E47),--('Input|Historical Data'!$AA$9:$AA$1179="SCS"),--('Input|Historical Data'!$Y$9:$Y$1179=X$5),'Input|Historical Data'!$U$9:$U$1179)</f>
        <v>26.004000000000001</v>
      </c>
      <c r="Y47" s="49">
        <f t="shared" si="11"/>
        <v>0.61647533460615367</v>
      </c>
      <c r="Z47" s="49">
        <f t="shared" si="1"/>
        <v>0.21511973182427224</v>
      </c>
      <c r="AA47" s="49">
        <f t="shared" si="2"/>
        <v>0.16840493356957401</v>
      </c>
      <c r="AB47" s="49">
        <f t="shared" si="12"/>
        <v>0.12762887306316167</v>
      </c>
      <c r="AC47" s="38"/>
      <c r="AD47" s="48">
        <f>SUMPRODUCT(--('Input|Historical Data'!$AC$9:$AC$1180=$E47),--('Input|Historical Data'!$AM$9:$AM$1180="SCS"),--('Input|Historical Data'!$AK$9:$AK$1180=AD$5),'Input|Historical Data'!$AG$9:$AG$1180)</f>
        <v>103.864</v>
      </c>
      <c r="AE47" s="48">
        <f>SUMPRODUCT(--('Input|Historical Data'!$AC$9:$AC$1180=$E47),--('Input|Historical Data'!$AM$9:$AM$1180="SCS"),--('Input|Historical Data'!$AL$9:$AL$1180=AE$5),'Input|Historical Data'!$AG$9:$AG$1180)</f>
        <v>56.728999999999999</v>
      </c>
      <c r="AF47" s="48">
        <f>SUMPRODUCT(--('Input|Historical Data'!$AC$9:$AC$1180=$E47),--('Input|Historical Data'!$AM$9:$AM$1180="SCS"),--('Input|Historical Data'!$AL$9:$AL$1180=AF$5),'Input|Historical Data'!$AG$9:$AG$1180)</f>
        <v>29.504000000000001</v>
      </c>
      <c r="AG47" s="48">
        <f>SUMPRODUCT(--('Input|Historical Data'!$AC$9:$AC$1180=$E47),--('Input|Historical Data'!$AM$9:$AM$1180="SCS"),--('Input|Historical Data'!$AL$9:$AL$1180=AG$5),'Input|Historical Data'!$AG$9:$AG$1180)</f>
        <v>17.631</v>
      </c>
      <c r="AH47" s="48">
        <f>SUMPRODUCT(--('Input|Historical Data'!$AC$9:$AC$1180=$E47),--('Input|Historical Data'!$AM$9:$AM$1180="SCS"),--('Input|Historical Data'!$AK$9:$AK$1180=AH$5),'Input|Historical Data'!$AG$9:$AG$1180)</f>
        <v>15.359</v>
      </c>
      <c r="AI47" s="49">
        <f t="shared" si="17"/>
        <v>0.54618539628745277</v>
      </c>
      <c r="AJ47" s="49">
        <f t="shared" si="18"/>
        <v>0.28406377570669339</v>
      </c>
      <c r="AK47" s="49">
        <f t="shared" si="19"/>
        <v>0.16975082800585381</v>
      </c>
      <c r="AL47" s="49">
        <f t="shared" si="20"/>
        <v>0.1478760687052299</v>
      </c>
      <c r="AM47" s="38"/>
      <c r="AN47" s="48"/>
      <c r="AO47" s="48"/>
      <c r="AP47" s="48"/>
      <c r="AQ47" s="48"/>
      <c r="AR47" s="48"/>
      <c r="AS47" s="49"/>
      <c r="AT47" s="49"/>
      <c r="AU47" s="49"/>
      <c r="AV47" s="49"/>
      <c r="AW47" s="38"/>
      <c r="AX47" s="49">
        <f t="shared" si="21"/>
        <v>0.59274213210840965</v>
      </c>
      <c r="AY47" s="49">
        <f t="shared" si="22"/>
        <v>0.23839849680278016</v>
      </c>
      <c r="AZ47" s="49">
        <f t="shared" si="23"/>
        <v>0.16885937108881022</v>
      </c>
      <c r="BA47" s="49">
        <f t="shared" si="24"/>
        <v>0.13446528245088765</v>
      </c>
      <c r="BB47" s="44"/>
    </row>
    <row r="48" spans="3:54" s="7" customFormat="1" outlineLevel="1" x14ac:dyDescent="0.3">
      <c r="C48" s="38"/>
      <c r="D48" s="38"/>
      <c r="E48" s="38" t="s">
        <v>120</v>
      </c>
      <c r="F48" s="38" t="s">
        <v>302</v>
      </c>
      <c r="G48" s="38" t="str">
        <f>VLOOKUP(E48,Mapping!$E$11:$G$204,3,0)</f>
        <v>Augmentation</v>
      </c>
      <c r="H48" s="38" t="str">
        <f>VLOOKUP(E48,Mapping!$E$11:$K$204,7,0)</f>
        <v>SCS</v>
      </c>
      <c r="I48" s="38"/>
      <c r="J48" s="48">
        <f>SUMPRODUCT(--('Input|Historical Data'!$E$9:$E$1179=$E48),--('Input|Historical Data'!$O$9:$O$1179="SCS"),--('Input|Historical Data'!$M$9:$M$1179=J$5),'Input|Historical Data'!$I$9:$I$1179)</f>
        <v>0</v>
      </c>
      <c r="K48" s="48">
        <f>SUMPRODUCT(--('Input|Historical Data'!$E$9:$E$1179=$E48),--('Input|Historical Data'!$O$9:$O$1179="SCS"),--('Input|Historical Data'!$N$9:$N$1179=K$5),'Input|Historical Data'!$I$9:$I$1179)</f>
        <v>0</v>
      </c>
      <c r="L48" s="48">
        <f>SUMPRODUCT(--('Input|Historical Data'!$E$9:$E$1179=$E48),--('Input|Historical Data'!$O$9:$O$1179="SCS"),--('Input|Historical Data'!$N$9:$N$1179=L$5),'Input|Historical Data'!$I$9:$I$1179)</f>
        <v>0</v>
      </c>
      <c r="M48" s="48">
        <f>SUMPRODUCT(--('Input|Historical Data'!$E$9:$E$1179=$E48),--('Input|Historical Data'!$O$9:$O$1179="SCS"),--('Input|Historical Data'!$N$9:$N$1179=M$5),'Input|Historical Data'!$I$9:$I$1179)</f>
        <v>0</v>
      </c>
      <c r="N48" s="48">
        <f>SUMPRODUCT(--('Input|Historical Data'!$E$9:$E$1179=$E48),--('Input|Historical Data'!$O$9:$O$1179="SCS"),--('Input|Historical Data'!$M$9:$M$1179=N$5),'Input|Historical Data'!$I$9:$I$1179)</f>
        <v>0</v>
      </c>
      <c r="O48" s="49">
        <f t="shared" si="7"/>
        <v>0</v>
      </c>
      <c r="P48" s="49">
        <f t="shared" si="8"/>
        <v>0</v>
      </c>
      <c r="Q48" s="49">
        <f t="shared" si="9"/>
        <v>0</v>
      </c>
      <c r="R48" s="49">
        <f t="shared" si="10"/>
        <v>0</v>
      </c>
      <c r="S48" s="38"/>
      <c r="T48" s="48">
        <f>SUMPRODUCT(--('Input|Historical Data'!$Q$9:$Q$1179=$E48),--('Input|Historical Data'!$AA$9:$AA$1179="SCS"),--('Input|Historical Data'!$Y$9:$Y$1179=T$5),'Input|Historical Data'!$U$9:$U$1179)</f>
        <v>0</v>
      </c>
      <c r="U48" s="48">
        <f>SUMPRODUCT(--('Input|Historical Data'!$Q$9:$Q$1179=$E48),--('Input|Historical Data'!$AA$9:$AA$1179="SCS"),--('Input|Historical Data'!$Z$9:$Z$1179=U$5),'Input|Historical Data'!$U$9:$U$1179)</f>
        <v>0</v>
      </c>
      <c r="V48" s="48">
        <f>SUMPRODUCT(--('Input|Historical Data'!$Q$9:$Q$1179=$E48),--('Input|Historical Data'!$AA$9:$AA$1179="SCS"),--('Input|Historical Data'!$Z$9:$Z$1179=V$5),'Input|Historical Data'!$U$9:$U$1179)</f>
        <v>0</v>
      </c>
      <c r="W48" s="48">
        <f>SUMPRODUCT(--('Input|Historical Data'!$Q$9:$Q$1179=$E48),--('Input|Historical Data'!$AA$9:$AA$1179="SCS"),--('Input|Historical Data'!$Z$9:$Z$1179=W$5),'Input|Historical Data'!$U$9:$U$1179)</f>
        <v>0</v>
      </c>
      <c r="X48" s="48">
        <f>SUMPRODUCT(--('Input|Historical Data'!$Q$9:$Q$1179=$E48),--('Input|Historical Data'!$AA$9:$AA$1179="SCS"),--('Input|Historical Data'!$Y$9:$Y$1179=X$5),'Input|Historical Data'!$U$9:$U$1179)</f>
        <v>0</v>
      </c>
      <c r="Y48" s="49">
        <f t="shared" si="11"/>
        <v>0</v>
      </c>
      <c r="Z48" s="49">
        <f t="shared" si="1"/>
        <v>0</v>
      </c>
      <c r="AA48" s="49">
        <f t="shared" si="2"/>
        <v>0</v>
      </c>
      <c r="AB48" s="49">
        <f t="shared" si="12"/>
        <v>0</v>
      </c>
      <c r="AC48" s="38"/>
      <c r="AD48" s="48">
        <f>SUMPRODUCT(--('Input|Historical Data'!$AC$9:$AC$1180=$E48),--('Input|Historical Data'!$AM$9:$AM$1180="SCS"),--('Input|Historical Data'!$AK$9:$AK$1180=AD$5),'Input|Historical Data'!$AG$9:$AG$1180)</f>
        <v>0</v>
      </c>
      <c r="AE48" s="48">
        <f>SUMPRODUCT(--('Input|Historical Data'!$AC$9:$AC$1180=$E48),--('Input|Historical Data'!$AM$9:$AM$1180="SCS"),--('Input|Historical Data'!$AL$9:$AL$1180=AE$5),'Input|Historical Data'!$AG$9:$AG$1180)</f>
        <v>0</v>
      </c>
      <c r="AF48" s="48">
        <f>SUMPRODUCT(--('Input|Historical Data'!$AC$9:$AC$1180=$E48),--('Input|Historical Data'!$AM$9:$AM$1180="SCS"),--('Input|Historical Data'!$AL$9:$AL$1180=AF$5),'Input|Historical Data'!$AG$9:$AG$1180)</f>
        <v>0</v>
      </c>
      <c r="AG48" s="48">
        <f>SUMPRODUCT(--('Input|Historical Data'!$AC$9:$AC$1180=$E48),--('Input|Historical Data'!$AM$9:$AM$1180="SCS"),--('Input|Historical Data'!$AL$9:$AL$1180=AG$5),'Input|Historical Data'!$AG$9:$AG$1180)</f>
        <v>0</v>
      </c>
      <c r="AH48" s="48">
        <f>SUMPRODUCT(--('Input|Historical Data'!$AC$9:$AC$1180=$E48),--('Input|Historical Data'!$AM$9:$AM$1180="SCS"),--('Input|Historical Data'!$AK$9:$AK$1180=AH$5),'Input|Historical Data'!$AG$9:$AG$1180)</f>
        <v>0</v>
      </c>
      <c r="AI48" s="49">
        <f t="shared" si="17"/>
        <v>0</v>
      </c>
      <c r="AJ48" s="49">
        <f t="shared" si="18"/>
        <v>0</v>
      </c>
      <c r="AK48" s="49">
        <f t="shared" si="19"/>
        <v>0</v>
      </c>
      <c r="AL48" s="49">
        <f t="shared" si="20"/>
        <v>0</v>
      </c>
      <c r="AM48" s="38"/>
      <c r="AN48" s="48"/>
      <c r="AO48" s="48"/>
      <c r="AP48" s="48"/>
      <c r="AQ48" s="48"/>
      <c r="AR48" s="48"/>
      <c r="AS48" s="49"/>
      <c r="AT48" s="49"/>
      <c r="AU48" s="49"/>
      <c r="AV48" s="49"/>
      <c r="AW48" s="38"/>
      <c r="AX48" s="49">
        <f t="shared" si="21"/>
        <v>0</v>
      </c>
      <c r="AY48" s="49">
        <f t="shared" si="22"/>
        <v>0</v>
      </c>
      <c r="AZ48" s="49">
        <f t="shared" si="23"/>
        <v>0</v>
      </c>
      <c r="BA48" s="49">
        <f t="shared" si="24"/>
        <v>0</v>
      </c>
      <c r="BB48" s="44"/>
    </row>
    <row r="49" spans="3:54" s="7" customFormat="1" outlineLevel="1" x14ac:dyDescent="0.3">
      <c r="C49" s="38"/>
      <c r="D49" s="38"/>
      <c r="E49" s="38" t="s">
        <v>121</v>
      </c>
      <c r="F49" s="38" t="s">
        <v>303</v>
      </c>
      <c r="G49" s="38" t="str">
        <f>VLOOKUP(E49,Mapping!$E$11:$G$204,3,0)</f>
        <v>Augmentation</v>
      </c>
      <c r="H49" s="38" t="str">
        <f>VLOOKUP(E49,Mapping!$E$11:$K$204,7,0)</f>
        <v>SCS</v>
      </c>
      <c r="I49" s="38"/>
      <c r="J49" s="48">
        <f>SUMPRODUCT(--('Input|Historical Data'!$E$9:$E$1179=$E49),--('Input|Historical Data'!$O$9:$O$1179="SCS"),--('Input|Historical Data'!$M$9:$M$1179=J$5),'Input|Historical Data'!$I$9:$I$1179)</f>
        <v>777.45899999999995</v>
      </c>
      <c r="K49" s="48">
        <f>SUMPRODUCT(--('Input|Historical Data'!$E$9:$E$1179=$E49),--('Input|Historical Data'!$O$9:$O$1179="SCS"),--('Input|Historical Data'!$N$9:$N$1179=K$5),'Input|Historical Data'!$I$9:$I$1179)</f>
        <v>427.464</v>
      </c>
      <c r="L49" s="48">
        <f>SUMPRODUCT(--('Input|Historical Data'!$E$9:$E$1179=$E49),--('Input|Historical Data'!$O$9:$O$1179="SCS"),--('Input|Historical Data'!$N$9:$N$1179=L$5),'Input|Historical Data'!$I$9:$I$1179)</f>
        <v>223.46700000000001</v>
      </c>
      <c r="M49" s="48">
        <f>SUMPRODUCT(--('Input|Historical Data'!$E$9:$E$1179=$E49),--('Input|Historical Data'!$O$9:$O$1179="SCS"),--('Input|Historical Data'!$N$9:$N$1179=M$5),'Input|Historical Data'!$I$9:$I$1179)</f>
        <v>126.52800000000001</v>
      </c>
      <c r="N49" s="48">
        <f>SUMPRODUCT(--('Input|Historical Data'!$E$9:$E$1179=$E49),--('Input|Historical Data'!$O$9:$O$1179="SCS"),--('Input|Historical Data'!$M$9:$M$1179=N$5),'Input|Historical Data'!$I$9:$I$1179)</f>
        <v>71.652000000000001</v>
      </c>
      <c r="O49" s="49">
        <f t="shared" si="7"/>
        <v>0.54982191986972939</v>
      </c>
      <c r="P49" s="49">
        <f t="shared" si="8"/>
        <v>0.28743252055735413</v>
      </c>
      <c r="Q49" s="49">
        <f t="shared" si="9"/>
        <v>0.16274555957291639</v>
      </c>
      <c r="R49" s="49">
        <f t="shared" si="10"/>
        <v>9.2161773161028429E-2</v>
      </c>
      <c r="S49" s="38"/>
      <c r="T49" s="48">
        <f>SUMPRODUCT(--('Input|Historical Data'!$Q$9:$Q$1179=$E49),--('Input|Historical Data'!$AA$9:$AA$1179="SCS"),--('Input|Historical Data'!$Y$9:$Y$1179=T$5),'Input|Historical Data'!$U$9:$U$1179)</f>
        <v>3169.8720000000008</v>
      </c>
      <c r="U49" s="48">
        <f>SUMPRODUCT(--('Input|Historical Data'!$Q$9:$Q$1179=$E49),--('Input|Historical Data'!$AA$9:$AA$1179="SCS"),--('Input|Historical Data'!$Z$9:$Z$1179=U$5),'Input|Historical Data'!$U$9:$U$1179)</f>
        <v>1811.4949999999999</v>
      </c>
      <c r="V49" s="48">
        <f>SUMPRODUCT(--('Input|Historical Data'!$Q$9:$Q$1179=$E49),--('Input|Historical Data'!$AA$9:$AA$1179="SCS"),--('Input|Historical Data'!$Z$9:$Z$1179=V$5),'Input|Historical Data'!$U$9:$U$1179)</f>
        <v>480.96899999999994</v>
      </c>
      <c r="W49" s="48">
        <f>SUMPRODUCT(--('Input|Historical Data'!$Q$9:$Q$1179=$E49),--('Input|Historical Data'!$AA$9:$AA$1179="SCS"),--('Input|Historical Data'!$Z$9:$Z$1179=W$5),'Input|Historical Data'!$U$9:$U$1179)</f>
        <v>877.40800000000002</v>
      </c>
      <c r="X49" s="48">
        <f>SUMPRODUCT(--('Input|Historical Data'!$Q$9:$Q$1179=$E49),--('Input|Historical Data'!$AA$9:$AA$1179="SCS"),--('Input|Historical Data'!$Y$9:$Y$1179=X$5),'Input|Historical Data'!$U$9:$U$1179)</f>
        <v>416.39499999999998</v>
      </c>
      <c r="Y49" s="49">
        <f t="shared" si="11"/>
        <v>0.57147260204828454</v>
      </c>
      <c r="Z49" s="49">
        <f t="shared" si="1"/>
        <v>0.15173136328533138</v>
      </c>
      <c r="AA49" s="49">
        <f t="shared" si="2"/>
        <v>0.27679603466638403</v>
      </c>
      <c r="AB49" s="49">
        <f t="shared" si="12"/>
        <v>0.13136019372391058</v>
      </c>
      <c r="AC49" s="38"/>
      <c r="AD49" s="48">
        <f>SUMPRODUCT(--('Input|Historical Data'!$AC$9:$AC$1180=$E49),--('Input|Historical Data'!$AM$9:$AM$1180="SCS"),--('Input|Historical Data'!$AK$9:$AK$1180=AD$5),'Input|Historical Data'!$AG$9:$AG$1180)</f>
        <v>1728.4730000000002</v>
      </c>
      <c r="AE49" s="48">
        <f>SUMPRODUCT(--('Input|Historical Data'!$AC$9:$AC$1180=$E49),--('Input|Historical Data'!$AM$9:$AM$1180="SCS"),--('Input|Historical Data'!$AL$9:$AL$1180=AE$5),'Input|Historical Data'!$AG$9:$AG$1180)</f>
        <v>708.73700000000008</v>
      </c>
      <c r="AF49" s="48">
        <f>SUMPRODUCT(--('Input|Historical Data'!$AC$9:$AC$1180=$E49),--('Input|Historical Data'!$AM$9:$AM$1180="SCS"),--('Input|Historical Data'!$AL$9:$AL$1180=AF$5),'Input|Historical Data'!$AG$9:$AG$1180)</f>
        <v>569.87599999999998</v>
      </c>
      <c r="AG49" s="48">
        <f>SUMPRODUCT(--('Input|Historical Data'!$AC$9:$AC$1180=$E49),--('Input|Historical Data'!$AM$9:$AM$1180="SCS"),--('Input|Historical Data'!$AL$9:$AL$1180=AG$5),'Input|Historical Data'!$AG$9:$AG$1180)</f>
        <v>449.86</v>
      </c>
      <c r="AH49" s="48">
        <f>SUMPRODUCT(--('Input|Historical Data'!$AC$9:$AC$1180=$E49),--('Input|Historical Data'!$AM$9:$AM$1180="SCS"),--('Input|Historical Data'!$AK$9:$AK$1180=AH$5),'Input|Historical Data'!$AG$9:$AG$1180)</f>
        <v>179.03200000000001</v>
      </c>
      <c r="AI49" s="49">
        <f t="shared" si="17"/>
        <v>0.41003648885461336</v>
      </c>
      <c r="AJ49" s="49">
        <f t="shared" si="18"/>
        <v>0.32969910435395866</v>
      </c>
      <c r="AK49" s="49">
        <f t="shared" si="19"/>
        <v>0.26026440679142804</v>
      </c>
      <c r="AL49" s="49">
        <f t="shared" si="20"/>
        <v>0.10357812936620936</v>
      </c>
      <c r="AM49" s="38"/>
      <c r="AN49" s="48"/>
      <c r="AO49" s="48"/>
      <c r="AP49" s="48"/>
      <c r="AQ49" s="48"/>
      <c r="AR49" s="48"/>
      <c r="AS49" s="49"/>
      <c r="AT49" s="49"/>
      <c r="AU49" s="49"/>
      <c r="AV49" s="49"/>
      <c r="AW49" s="38"/>
      <c r="AX49" s="49">
        <f t="shared" si="21"/>
        <v>0.51450683853423973</v>
      </c>
      <c r="AY49" s="49">
        <f t="shared" si="22"/>
        <v>0.21453062207745677</v>
      </c>
      <c r="AZ49" s="49">
        <f t="shared" si="23"/>
        <v>0.27096253938830367</v>
      </c>
      <c r="BA49" s="49">
        <f t="shared" si="24"/>
        <v>0.12155677070520755</v>
      </c>
      <c r="BB49" s="44"/>
    </row>
    <row r="50" spans="3:54" s="7" customFormat="1" outlineLevel="1" x14ac:dyDescent="0.3">
      <c r="C50" s="38"/>
      <c r="D50" s="38"/>
      <c r="E50" s="38" t="s">
        <v>122</v>
      </c>
      <c r="F50" s="38" t="s">
        <v>304</v>
      </c>
      <c r="G50" s="38" t="str">
        <f>VLOOKUP(E50,Mapping!$E$11:$G$204,3,0)</f>
        <v>Augmentation</v>
      </c>
      <c r="H50" s="38" t="str">
        <f>VLOOKUP(E50,Mapping!$E$11:$K$204,7,0)</f>
        <v>SCS</v>
      </c>
      <c r="I50" s="38"/>
      <c r="J50" s="48">
        <f>SUMPRODUCT(--('Input|Historical Data'!$E$9:$E$1179=$E50),--('Input|Historical Data'!$O$9:$O$1179="SCS"),--('Input|Historical Data'!$M$9:$M$1179=J$5),'Input|Historical Data'!$I$9:$I$1179)</f>
        <v>981.2</v>
      </c>
      <c r="K50" s="48">
        <f>SUMPRODUCT(--('Input|Historical Data'!$E$9:$E$1179=$E50),--('Input|Historical Data'!$O$9:$O$1179="SCS"),--('Input|Historical Data'!$N$9:$N$1179=K$5),'Input|Historical Data'!$I$9:$I$1179)</f>
        <v>935.17399999999998</v>
      </c>
      <c r="L50" s="48">
        <f>SUMPRODUCT(--('Input|Historical Data'!$E$9:$E$1179=$E50),--('Input|Historical Data'!$O$9:$O$1179="SCS"),--('Input|Historical Data'!$N$9:$N$1179=L$5),'Input|Historical Data'!$I$9:$I$1179)</f>
        <v>129.94499999999999</v>
      </c>
      <c r="M50" s="48">
        <f>SUMPRODUCT(--('Input|Historical Data'!$E$9:$E$1179=$E50),--('Input|Historical Data'!$O$9:$O$1179="SCS"),--('Input|Historical Data'!$N$9:$N$1179=M$5),'Input|Historical Data'!$I$9:$I$1179)</f>
        <v>-83.918999999999983</v>
      </c>
      <c r="N50" s="48">
        <f>SUMPRODUCT(--('Input|Historical Data'!$E$9:$E$1179=$E50),--('Input|Historical Data'!$O$9:$O$1179="SCS"),--('Input|Historical Data'!$M$9:$M$1179=N$5),'Input|Historical Data'!$I$9:$I$1179)</f>
        <v>124.038</v>
      </c>
      <c r="O50" s="49">
        <f t="shared" si="7"/>
        <v>0.95309213208316357</v>
      </c>
      <c r="P50" s="49">
        <f t="shared" si="8"/>
        <v>0.13243477374643295</v>
      </c>
      <c r="Q50" s="49">
        <f t="shared" si="9"/>
        <v>-8.5526905829596406E-2</v>
      </c>
      <c r="R50" s="49">
        <f t="shared" si="10"/>
        <v>0.12641459437423563</v>
      </c>
      <c r="S50" s="38"/>
      <c r="T50" s="48">
        <f>SUMPRODUCT(--('Input|Historical Data'!$Q$9:$Q$1179=$E50),--('Input|Historical Data'!$AA$9:$AA$1179="SCS"),--('Input|Historical Data'!$Y$9:$Y$1179=T$5),'Input|Historical Data'!$U$9:$U$1179)</f>
        <v>2963.712</v>
      </c>
      <c r="U50" s="48">
        <f>SUMPRODUCT(--('Input|Historical Data'!$Q$9:$Q$1179=$E50),--('Input|Historical Data'!$AA$9:$AA$1179="SCS"),--('Input|Historical Data'!$Z$9:$Z$1179=U$5),'Input|Historical Data'!$U$9:$U$1179)</f>
        <v>1775.79</v>
      </c>
      <c r="V50" s="48">
        <f>SUMPRODUCT(--('Input|Historical Data'!$Q$9:$Q$1179=$E50),--('Input|Historical Data'!$AA$9:$AA$1179="SCS"),--('Input|Historical Data'!$Z$9:$Z$1179=V$5),'Input|Historical Data'!$U$9:$U$1179)</f>
        <v>308.45400000000001</v>
      </c>
      <c r="W50" s="48">
        <f>SUMPRODUCT(--('Input|Historical Data'!$Q$9:$Q$1179=$E50),--('Input|Historical Data'!$AA$9:$AA$1179="SCS"),--('Input|Historical Data'!$Z$9:$Z$1179=W$5),'Input|Historical Data'!$U$9:$U$1179)</f>
        <v>879.46799999999996</v>
      </c>
      <c r="X50" s="48">
        <f>SUMPRODUCT(--('Input|Historical Data'!$Q$9:$Q$1179=$E50),--('Input|Historical Data'!$AA$9:$AA$1179="SCS"),--('Input|Historical Data'!$Y$9:$Y$1179=X$5),'Input|Historical Data'!$U$9:$U$1179)</f>
        <v>350.08</v>
      </c>
      <c r="Y50" s="49">
        <f t="shared" si="11"/>
        <v>0.59917765288934954</v>
      </c>
      <c r="Z50" s="49">
        <f t="shared" si="1"/>
        <v>0.10407691435605079</v>
      </c>
      <c r="AA50" s="49">
        <f t="shared" si="2"/>
        <v>0.29674543275459964</v>
      </c>
      <c r="AB50" s="49">
        <f t="shared" si="12"/>
        <v>0.11812213872333073</v>
      </c>
      <c r="AC50" s="38"/>
      <c r="AD50" s="48">
        <f>SUMPRODUCT(--('Input|Historical Data'!$AC$9:$AC$1180=$E50),--('Input|Historical Data'!$AM$9:$AM$1180="SCS"),--('Input|Historical Data'!$AK$9:$AK$1180=AD$5),'Input|Historical Data'!$AG$9:$AG$1180)</f>
        <v>2301.549</v>
      </c>
      <c r="AE50" s="48">
        <f>SUMPRODUCT(--('Input|Historical Data'!$AC$9:$AC$1180=$E50),--('Input|Historical Data'!$AM$9:$AM$1180="SCS"),--('Input|Historical Data'!$AL$9:$AL$1180=AE$5),'Input|Historical Data'!$AG$9:$AG$1180)</f>
        <v>1715.289</v>
      </c>
      <c r="AF50" s="48">
        <f>SUMPRODUCT(--('Input|Historical Data'!$AC$9:$AC$1180=$E50),--('Input|Historical Data'!$AM$9:$AM$1180="SCS"),--('Input|Historical Data'!$AL$9:$AL$1180=AF$5),'Input|Historical Data'!$AG$9:$AG$1180)</f>
        <v>71.841999999999999</v>
      </c>
      <c r="AG50" s="48">
        <f>SUMPRODUCT(--('Input|Historical Data'!$AC$9:$AC$1180=$E50),--('Input|Historical Data'!$AM$9:$AM$1180="SCS"),--('Input|Historical Data'!$AL$9:$AL$1180=AG$5),'Input|Historical Data'!$AG$9:$AG$1180)</f>
        <v>514.41800000000012</v>
      </c>
      <c r="AH50" s="48">
        <f>SUMPRODUCT(--('Input|Historical Data'!$AC$9:$AC$1180=$E50),--('Input|Historical Data'!$AM$9:$AM$1180="SCS"),--('Input|Historical Data'!$AK$9:$AK$1180=AH$5),'Input|Historical Data'!$AG$9:$AG$1180)</f>
        <v>125.04300000000001</v>
      </c>
      <c r="AI50" s="49">
        <f t="shared" si="17"/>
        <v>0.74527589897064972</v>
      </c>
      <c r="AJ50" s="49">
        <f t="shared" si="18"/>
        <v>3.1214629799322109E-2</v>
      </c>
      <c r="AK50" s="49">
        <f t="shared" si="19"/>
        <v>0.22350947123002818</v>
      </c>
      <c r="AL50" s="49">
        <f t="shared" si="20"/>
        <v>5.432993171120841E-2</v>
      </c>
      <c r="AM50" s="38"/>
      <c r="AN50" s="48"/>
      <c r="AO50" s="48"/>
      <c r="AP50" s="48"/>
      <c r="AQ50" s="48"/>
      <c r="AR50" s="48"/>
      <c r="AS50" s="49"/>
      <c r="AT50" s="49"/>
      <c r="AU50" s="49"/>
      <c r="AV50" s="49"/>
      <c r="AW50" s="38"/>
      <c r="AX50" s="49">
        <f t="shared" si="21"/>
        <v>0.66304006582009889</v>
      </c>
      <c r="AY50" s="49">
        <f t="shared" si="22"/>
        <v>7.2227378661760544E-2</v>
      </c>
      <c r="AZ50" s="49">
        <f t="shared" si="23"/>
        <v>0.26473255551814046</v>
      </c>
      <c r="BA50" s="49">
        <f t="shared" si="24"/>
        <v>9.0237312072468948E-2</v>
      </c>
      <c r="BB50" s="44"/>
    </row>
    <row r="51" spans="3:54" s="7" customFormat="1" outlineLevel="1" x14ac:dyDescent="0.3">
      <c r="C51" s="38"/>
      <c r="D51" s="38"/>
      <c r="E51" s="38" t="s">
        <v>123</v>
      </c>
      <c r="F51" s="38" t="s">
        <v>305</v>
      </c>
      <c r="G51" s="38" t="str">
        <f>VLOOKUP(E51,Mapping!$E$11:$G$204,3,0)</f>
        <v>Augmentation</v>
      </c>
      <c r="H51" s="38" t="str">
        <f>VLOOKUP(E51,Mapping!$E$11:$K$204,7,0)</f>
        <v>SCS</v>
      </c>
      <c r="I51" s="38"/>
      <c r="J51" s="48">
        <f>SUMPRODUCT(--('Input|Historical Data'!$E$9:$E$1179=$E51),--('Input|Historical Data'!$O$9:$O$1179="SCS"),--('Input|Historical Data'!$M$9:$M$1179=J$5),'Input|Historical Data'!$I$9:$I$1179)</f>
        <v>847.45899999999995</v>
      </c>
      <c r="K51" s="48">
        <f>SUMPRODUCT(--('Input|Historical Data'!$E$9:$E$1179=$E51),--('Input|Historical Data'!$O$9:$O$1179="SCS"),--('Input|Historical Data'!$N$9:$N$1179=K$5),'Input|Historical Data'!$I$9:$I$1179)</f>
        <v>199.99599999999998</v>
      </c>
      <c r="L51" s="48">
        <f>SUMPRODUCT(--('Input|Historical Data'!$E$9:$E$1179=$E51),--('Input|Historical Data'!$O$9:$O$1179="SCS"),--('Input|Historical Data'!$N$9:$N$1179=L$5),'Input|Historical Data'!$I$9:$I$1179)</f>
        <v>601.15</v>
      </c>
      <c r="M51" s="48">
        <f>SUMPRODUCT(--('Input|Historical Data'!$E$9:$E$1179=$E51),--('Input|Historical Data'!$O$9:$O$1179="SCS"),--('Input|Historical Data'!$N$9:$N$1179=M$5),'Input|Historical Data'!$I$9:$I$1179)</f>
        <v>46.313000000000002</v>
      </c>
      <c r="N51" s="48">
        <f>SUMPRODUCT(--('Input|Historical Data'!$E$9:$E$1179=$E51),--('Input|Historical Data'!$O$9:$O$1179="SCS"),--('Input|Historical Data'!$M$9:$M$1179=N$5),'Input|Historical Data'!$I$9:$I$1179)</f>
        <v>60.726999999999997</v>
      </c>
      <c r="O51" s="49">
        <f t="shared" si="7"/>
        <v>0.23599489768826573</v>
      </c>
      <c r="P51" s="49">
        <f t="shared" si="8"/>
        <v>0.70935585084352171</v>
      </c>
      <c r="Q51" s="49">
        <f t="shared" si="9"/>
        <v>5.4649251468212624E-2</v>
      </c>
      <c r="R51" s="49">
        <f t="shared" si="10"/>
        <v>7.1657743914454855E-2</v>
      </c>
      <c r="S51" s="38"/>
      <c r="T51" s="48">
        <f>SUMPRODUCT(--('Input|Historical Data'!$Q$9:$Q$1179=$E51),--('Input|Historical Data'!$AA$9:$AA$1179="SCS"),--('Input|Historical Data'!$Y$9:$Y$1179=T$5),'Input|Historical Data'!$U$9:$U$1179)</f>
        <v>819.0100000000001</v>
      </c>
      <c r="U51" s="48">
        <f>SUMPRODUCT(--('Input|Historical Data'!$Q$9:$Q$1179=$E51),--('Input|Historical Data'!$AA$9:$AA$1179="SCS"),--('Input|Historical Data'!$Z$9:$Z$1179=U$5),'Input|Historical Data'!$U$9:$U$1179)</f>
        <v>207.13</v>
      </c>
      <c r="V51" s="48">
        <f>SUMPRODUCT(--('Input|Historical Data'!$Q$9:$Q$1179=$E51),--('Input|Historical Data'!$AA$9:$AA$1179="SCS"),--('Input|Historical Data'!$Z$9:$Z$1179=V$5),'Input|Historical Data'!$U$9:$U$1179)</f>
        <v>545.49399999999991</v>
      </c>
      <c r="W51" s="48">
        <f>SUMPRODUCT(--('Input|Historical Data'!$Q$9:$Q$1179=$E51),--('Input|Historical Data'!$AA$9:$AA$1179="SCS"),--('Input|Historical Data'!$Z$9:$Z$1179=W$5),'Input|Historical Data'!$U$9:$U$1179)</f>
        <v>66.385999999999996</v>
      </c>
      <c r="X51" s="48">
        <f>SUMPRODUCT(--('Input|Historical Data'!$Q$9:$Q$1179=$E51),--('Input|Historical Data'!$AA$9:$AA$1179="SCS"),--('Input|Historical Data'!$Y$9:$Y$1179=X$5),'Input|Historical Data'!$U$9:$U$1179)</f>
        <v>88.879000000000005</v>
      </c>
      <c r="Y51" s="49">
        <f t="shared" si="11"/>
        <v>0.25290289495854756</v>
      </c>
      <c r="Z51" s="49">
        <f t="shared" si="1"/>
        <v>0.66604070768366685</v>
      </c>
      <c r="AA51" s="49">
        <f t="shared" si="2"/>
        <v>8.1056397357785623E-2</v>
      </c>
      <c r="AB51" s="49">
        <f t="shared" si="12"/>
        <v>0.10852004249032368</v>
      </c>
      <c r="AC51" s="38"/>
      <c r="AD51" s="48">
        <f>SUMPRODUCT(--('Input|Historical Data'!$AC$9:$AC$1180=$E51),--('Input|Historical Data'!$AM$9:$AM$1180="SCS"),--('Input|Historical Data'!$AK$9:$AK$1180=AD$5),'Input|Historical Data'!$AG$9:$AG$1180)</f>
        <v>1031.2820000000002</v>
      </c>
      <c r="AE51" s="48">
        <f>SUMPRODUCT(--('Input|Historical Data'!$AC$9:$AC$1180=$E51),--('Input|Historical Data'!$AM$9:$AM$1180="SCS"),--('Input|Historical Data'!$AL$9:$AL$1180=AE$5),'Input|Historical Data'!$AG$9:$AG$1180)</f>
        <v>175.941</v>
      </c>
      <c r="AF51" s="48">
        <f>SUMPRODUCT(--('Input|Historical Data'!$AC$9:$AC$1180=$E51),--('Input|Historical Data'!$AM$9:$AM$1180="SCS"),--('Input|Historical Data'!$AL$9:$AL$1180=AF$5),'Input|Historical Data'!$AG$9:$AG$1180)</f>
        <v>771.44799999999998</v>
      </c>
      <c r="AG51" s="48">
        <f>SUMPRODUCT(--('Input|Historical Data'!$AC$9:$AC$1180=$E51),--('Input|Historical Data'!$AM$9:$AM$1180="SCS"),--('Input|Historical Data'!$AL$9:$AL$1180=AG$5),'Input|Historical Data'!$AG$9:$AG$1180)</f>
        <v>83.893000000000001</v>
      </c>
      <c r="AH51" s="48">
        <f>SUMPRODUCT(--('Input|Historical Data'!$AC$9:$AC$1180=$E51),--('Input|Historical Data'!$AM$9:$AM$1180="SCS"),--('Input|Historical Data'!$AK$9:$AK$1180=AH$5),'Input|Historical Data'!$AG$9:$AG$1180)</f>
        <v>76.811000000000007</v>
      </c>
      <c r="AI51" s="49">
        <f t="shared" si="17"/>
        <v>0.17060416064665146</v>
      </c>
      <c r="AJ51" s="49">
        <f t="shared" si="18"/>
        <v>0.74804757573583169</v>
      </c>
      <c r="AK51" s="49">
        <f t="shared" si="19"/>
        <v>8.1348263617516847E-2</v>
      </c>
      <c r="AL51" s="49">
        <f t="shared" si="20"/>
        <v>7.4481082768825591E-2</v>
      </c>
      <c r="AM51" s="38"/>
      <c r="AN51" s="48"/>
      <c r="AO51" s="48"/>
      <c r="AP51" s="48"/>
      <c r="AQ51" s="48"/>
      <c r="AR51" s="48"/>
      <c r="AS51" s="49"/>
      <c r="AT51" s="49"/>
      <c r="AU51" s="49"/>
      <c r="AV51" s="49"/>
      <c r="AW51" s="38"/>
      <c r="AX51" s="49">
        <f t="shared" si="21"/>
        <v>0.20703272780728665</v>
      </c>
      <c r="AY51" s="49">
        <f t="shared" si="22"/>
        <v>0.71174819974360803</v>
      </c>
      <c r="AZ51" s="49">
        <f t="shared" si="23"/>
        <v>8.1219072449105326E-2</v>
      </c>
      <c r="BA51" s="49">
        <f t="shared" si="24"/>
        <v>8.9548028095024976E-2</v>
      </c>
      <c r="BB51" s="44"/>
    </row>
    <row r="52" spans="3:54" s="7" customFormat="1" outlineLevel="1" x14ac:dyDescent="0.3">
      <c r="C52" s="38"/>
      <c r="D52" s="38"/>
      <c r="E52" s="38" t="s">
        <v>124</v>
      </c>
      <c r="F52" s="38" t="s">
        <v>306</v>
      </c>
      <c r="G52" s="38" t="str">
        <f>VLOOKUP(E52,Mapping!$E$11:$G$204,3,0)</f>
        <v>Augmentation</v>
      </c>
      <c r="H52" s="38" t="str">
        <f>VLOOKUP(E52,Mapping!$E$11:$K$204,7,0)</f>
        <v>SCS</v>
      </c>
      <c r="I52" s="38"/>
      <c r="J52" s="48">
        <f>SUMPRODUCT(--('Input|Historical Data'!$E$9:$E$1179=$E52),--('Input|Historical Data'!$O$9:$O$1179="SCS"),--('Input|Historical Data'!$M$9:$M$1179=J$5),'Input|Historical Data'!$I$9:$I$1179)</f>
        <v>49.472000000000001</v>
      </c>
      <c r="K52" s="48">
        <f>SUMPRODUCT(--('Input|Historical Data'!$E$9:$E$1179=$E52),--('Input|Historical Data'!$O$9:$O$1179="SCS"),--('Input|Historical Data'!$N$9:$N$1179=K$5),'Input|Historical Data'!$I$9:$I$1179)</f>
        <v>17.966999999999999</v>
      </c>
      <c r="L52" s="48">
        <f>SUMPRODUCT(--('Input|Historical Data'!$E$9:$E$1179=$E52),--('Input|Historical Data'!$O$9:$O$1179="SCS"),--('Input|Historical Data'!$N$9:$N$1179=L$5),'Input|Historical Data'!$I$9:$I$1179)</f>
        <v>25.777999999999999</v>
      </c>
      <c r="M52" s="48">
        <f>SUMPRODUCT(--('Input|Historical Data'!$E$9:$E$1179=$E52),--('Input|Historical Data'!$O$9:$O$1179="SCS"),--('Input|Historical Data'!$N$9:$N$1179=M$5),'Input|Historical Data'!$I$9:$I$1179)</f>
        <v>5.7270000000000003</v>
      </c>
      <c r="N52" s="48">
        <f>SUMPRODUCT(--('Input|Historical Data'!$E$9:$E$1179=$E52),--('Input|Historical Data'!$O$9:$O$1179="SCS"),--('Input|Historical Data'!$M$9:$M$1179=N$5),'Input|Historical Data'!$I$9:$I$1179)</f>
        <v>3.8359999999999999</v>
      </c>
      <c r="O52" s="49">
        <f t="shared" si="7"/>
        <v>0.36317512936610608</v>
      </c>
      <c r="P52" s="49">
        <f t="shared" si="8"/>
        <v>0.52106241914618379</v>
      </c>
      <c r="Q52" s="49">
        <f t="shared" si="9"/>
        <v>0.11576245148771024</v>
      </c>
      <c r="R52" s="49">
        <f t="shared" si="10"/>
        <v>7.7538809831824054E-2</v>
      </c>
      <c r="S52" s="38"/>
      <c r="T52" s="48">
        <f>SUMPRODUCT(--('Input|Historical Data'!$Q$9:$Q$1179=$E52),--('Input|Historical Data'!$AA$9:$AA$1179="SCS"),--('Input|Historical Data'!$Y$9:$Y$1179=T$5),'Input|Historical Data'!$U$9:$U$1179)</f>
        <v>75.424000000000007</v>
      </c>
      <c r="U52" s="48">
        <f>SUMPRODUCT(--('Input|Historical Data'!$Q$9:$Q$1179=$E52),--('Input|Historical Data'!$AA$9:$AA$1179="SCS"),--('Input|Historical Data'!$Z$9:$Z$1179=U$5),'Input|Historical Data'!$U$9:$U$1179)</f>
        <v>29.314</v>
      </c>
      <c r="V52" s="48">
        <f>SUMPRODUCT(--('Input|Historical Data'!$Q$9:$Q$1179=$E52),--('Input|Historical Data'!$AA$9:$AA$1179="SCS"),--('Input|Historical Data'!$Z$9:$Z$1179=V$5),'Input|Historical Data'!$U$9:$U$1179)</f>
        <v>36.782000000000004</v>
      </c>
      <c r="W52" s="48">
        <f>SUMPRODUCT(--('Input|Historical Data'!$Q$9:$Q$1179=$E52),--('Input|Historical Data'!$AA$9:$AA$1179="SCS"),--('Input|Historical Data'!$Z$9:$Z$1179=W$5),'Input|Historical Data'!$U$9:$U$1179)</f>
        <v>9.3279999999999994</v>
      </c>
      <c r="X52" s="48">
        <f>SUMPRODUCT(--('Input|Historical Data'!$Q$9:$Q$1179=$E52),--('Input|Historical Data'!$AA$9:$AA$1179="SCS"),--('Input|Historical Data'!$Y$9:$Y$1179=X$5),'Input|Historical Data'!$U$9:$U$1179)</f>
        <v>7.5640000000000001</v>
      </c>
      <c r="Y52" s="49">
        <f t="shared" si="11"/>
        <v>0.38865613067458632</v>
      </c>
      <c r="Z52" s="49">
        <f t="shared" si="1"/>
        <v>0.48766970725498515</v>
      </c>
      <c r="AA52" s="49">
        <f t="shared" si="2"/>
        <v>0.12367416207042849</v>
      </c>
      <c r="AB52" s="49">
        <f t="shared" si="12"/>
        <v>0.10028638099278743</v>
      </c>
      <c r="AC52" s="38"/>
      <c r="AD52" s="48">
        <f>SUMPRODUCT(--('Input|Historical Data'!$AC$9:$AC$1180=$E52),--('Input|Historical Data'!$AM$9:$AM$1180="SCS"),--('Input|Historical Data'!$AK$9:$AK$1180=AD$5),'Input|Historical Data'!$AG$9:$AG$1180)</f>
        <v>456.24100000000004</v>
      </c>
      <c r="AE52" s="48">
        <f>SUMPRODUCT(--('Input|Historical Data'!$AC$9:$AC$1180=$E52),--('Input|Historical Data'!$AM$9:$AM$1180="SCS"),--('Input|Historical Data'!$AL$9:$AL$1180=AE$5),'Input|Historical Data'!$AG$9:$AG$1180)</f>
        <v>79.831000000000003</v>
      </c>
      <c r="AF52" s="48">
        <f>SUMPRODUCT(--('Input|Historical Data'!$AC$9:$AC$1180=$E52),--('Input|Historical Data'!$AM$9:$AM$1180="SCS"),--('Input|Historical Data'!$AL$9:$AL$1180=AF$5),'Input|Historical Data'!$AG$9:$AG$1180)</f>
        <v>351.13100000000003</v>
      </c>
      <c r="AG52" s="48">
        <f>SUMPRODUCT(--('Input|Historical Data'!$AC$9:$AC$1180=$E52),--('Input|Historical Data'!$AM$9:$AM$1180="SCS"),--('Input|Historical Data'!$AL$9:$AL$1180=AG$5),'Input|Historical Data'!$AG$9:$AG$1180)</f>
        <v>25.278999999999996</v>
      </c>
      <c r="AH52" s="48">
        <f>SUMPRODUCT(--('Input|Historical Data'!$AC$9:$AC$1180=$E52),--('Input|Historical Data'!$AM$9:$AM$1180="SCS"),--('Input|Historical Data'!$AK$9:$AK$1180=AH$5),'Input|Historical Data'!$AG$9:$AG$1180)</f>
        <v>17.434999999999999</v>
      </c>
      <c r="AI52" s="49">
        <f t="shared" si="17"/>
        <v>0.17497550636615297</v>
      </c>
      <c r="AJ52" s="49">
        <f t="shared" si="18"/>
        <v>0.76961737327421254</v>
      </c>
      <c r="AK52" s="49">
        <f t="shared" si="19"/>
        <v>5.5407120359634479E-2</v>
      </c>
      <c r="AL52" s="49">
        <f t="shared" si="20"/>
        <v>3.8214452449472969E-2</v>
      </c>
      <c r="AM52" s="38"/>
      <c r="AN52" s="48"/>
      <c r="AO52" s="48"/>
      <c r="AP52" s="48"/>
      <c r="AQ52" s="48"/>
      <c r="AR52" s="48"/>
      <c r="AS52" s="49"/>
      <c r="AT52" s="49"/>
      <c r="AU52" s="49"/>
      <c r="AV52" s="49"/>
      <c r="AW52" s="38"/>
      <c r="AX52" s="49">
        <f t="shared" si="21"/>
        <v>0.20528904479324389</v>
      </c>
      <c r="AY52" s="49">
        <f t="shared" si="22"/>
        <v>0.72961921510725747</v>
      </c>
      <c r="AZ52" s="49">
        <f t="shared" si="23"/>
        <v>6.5091740099498752E-2</v>
      </c>
      <c r="BA52" s="49">
        <f t="shared" si="24"/>
        <v>4.7020210094702482E-2</v>
      </c>
      <c r="BB52" s="44"/>
    </row>
    <row r="53" spans="3:54" s="7" customFormat="1" outlineLevel="1" x14ac:dyDescent="0.3">
      <c r="C53" s="38"/>
      <c r="D53" s="38"/>
      <c r="E53" s="38" t="s">
        <v>125</v>
      </c>
      <c r="F53" s="38" t="s">
        <v>307</v>
      </c>
      <c r="G53" s="38" t="str">
        <f>VLOOKUP(E53,Mapping!$E$11:$G$204,3,0)</f>
        <v>Augmentation</v>
      </c>
      <c r="H53" s="38" t="str">
        <f>VLOOKUP(E53,Mapping!$E$11:$K$204,7,0)</f>
        <v>SCS</v>
      </c>
      <c r="I53" s="38"/>
      <c r="J53" s="48">
        <f>SUMPRODUCT(--('Input|Historical Data'!$E$9:$E$1179=$E53),--('Input|Historical Data'!$O$9:$O$1179="SCS"),--('Input|Historical Data'!$M$9:$M$1179=J$5),'Input|Historical Data'!$I$9:$I$1179)</f>
        <v>7398.8050000000003</v>
      </c>
      <c r="K53" s="48">
        <f>SUMPRODUCT(--('Input|Historical Data'!$E$9:$E$1179=$E53),--('Input|Historical Data'!$O$9:$O$1179="SCS"),--('Input|Historical Data'!$N$9:$N$1179=K$5),'Input|Historical Data'!$I$9:$I$1179)</f>
        <v>3760.2150000000001</v>
      </c>
      <c r="L53" s="48">
        <f>SUMPRODUCT(--('Input|Historical Data'!$E$9:$E$1179=$E53),--('Input|Historical Data'!$O$9:$O$1179="SCS"),--('Input|Historical Data'!$N$9:$N$1179=L$5),'Input|Historical Data'!$I$9:$I$1179)</f>
        <v>2424.4560000000001</v>
      </c>
      <c r="M53" s="48">
        <f>SUMPRODUCT(--('Input|Historical Data'!$E$9:$E$1179=$E53),--('Input|Historical Data'!$O$9:$O$1179="SCS"),--('Input|Historical Data'!$N$9:$N$1179=M$5),'Input|Historical Data'!$I$9:$I$1179)</f>
        <v>1214.134</v>
      </c>
      <c r="N53" s="48">
        <f>SUMPRODUCT(--('Input|Historical Data'!$E$9:$E$1179=$E53),--('Input|Historical Data'!$O$9:$O$1179="SCS"),--('Input|Historical Data'!$M$9:$M$1179=N$5),'Input|Historical Data'!$I$9:$I$1179)</f>
        <v>690.47799999999995</v>
      </c>
      <c r="O53" s="49">
        <f t="shared" si="7"/>
        <v>0.5082192327004158</v>
      </c>
      <c r="P53" s="49">
        <f t="shared" si="8"/>
        <v>0.32768210542107812</v>
      </c>
      <c r="Q53" s="49">
        <f t="shared" si="9"/>
        <v>0.16409866187850605</v>
      </c>
      <c r="R53" s="49">
        <f t="shared" si="10"/>
        <v>9.3322908226396009E-2</v>
      </c>
      <c r="S53" s="38"/>
      <c r="T53" s="48">
        <f>SUMPRODUCT(--('Input|Historical Data'!$Q$9:$Q$1179=$E53),--('Input|Historical Data'!$AA$9:$AA$1179="SCS"),--('Input|Historical Data'!$Y$9:$Y$1179=T$5),'Input|Historical Data'!$U$9:$U$1179)</f>
        <v>1641.0890000000004</v>
      </c>
      <c r="U53" s="48">
        <f>SUMPRODUCT(--('Input|Historical Data'!$Q$9:$Q$1179=$E53),--('Input|Historical Data'!$AA$9:$AA$1179="SCS"),--('Input|Historical Data'!$Z$9:$Z$1179=U$5),'Input|Historical Data'!$U$9:$U$1179)</f>
        <v>967.15599999999995</v>
      </c>
      <c r="V53" s="48">
        <f>SUMPRODUCT(--('Input|Historical Data'!$Q$9:$Q$1179=$E53),--('Input|Historical Data'!$AA$9:$AA$1179="SCS"),--('Input|Historical Data'!$Z$9:$Z$1179=V$5),'Input|Historical Data'!$U$9:$U$1179)</f>
        <v>290.01</v>
      </c>
      <c r="W53" s="48">
        <f>SUMPRODUCT(--('Input|Historical Data'!$Q$9:$Q$1179=$E53),--('Input|Historical Data'!$AA$9:$AA$1179="SCS"),--('Input|Historical Data'!$Z$9:$Z$1179=W$5),'Input|Historical Data'!$U$9:$U$1179)</f>
        <v>383.923</v>
      </c>
      <c r="X53" s="48">
        <f>SUMPRODUCT(--('Input|Historical Data'!$Q$9:$Q$1179=$E53),--('Input|Historical Data'!$AA$9:$AA$1179="SCS"),--('Input|Historical Data'!$Y$9:$Y$1179=X$5),'Input|Historical Data'!$U$9:$U$1179)</f>
        <v>253.52</v>
      </c>
      <c r="Y53" s="49">
        <f t="shared" si="11"/>
        <v>0.58933793353072261</v>
      </c>
      <c r="Z53" s="49">
        <f t="shared" si="1"/>
        <v>0.17671802077766655</v>
      </c>
      <c r="AA53" s="49">
        <f t="shared" si="2"/>
        <v>0.2339440456916109</v>
      </c>
      <c r="AB53" s="49">
        <f t="shared" si="12"/>
        <v>0.15448278551620293</v>
      </c>
      <c r="AC53" s="38"/>
      <c r="AD53" s="48">
        <f>SUMPRODUCT(--('Input|Historical Data'!$AC$9:$AC$1180=$E53),--('Input|Historical Data'!$AM$9:$AM$1180="SCS"),--('Input|Historical Data'!$AK$9:$AK$1180=AD$5),'Input|Historical Data'!$AG$9:$AG$1180)</f>
        <v>2125.4250000000002</v>
      </c>
      <c r="AE53" s="48">
        <f>SUMPRODUCT(--('Input|Historical Data'!$AC$9:$AC$1180=$E53),--('Input|Historical Data'!$AM$9:$AM$1180="SCS"),--('Input|Historical Data'!$AL$9:$AL$1180=AE$5),'Input|Historical Data'!$AG$9:$AG$1180)</f>
        <v>693.68299999999999</v>
      </c>
      <c r="AF53" s="48">
        <f>SUMPRODUCT(--('Input|Historical Data'!$AC$9:$AC$1180=$E53),--('Input|Historical Data'!$AM$9:$AM$1180="SCS"),--('Input|Historical Data'!$AL$9:$AL$1180=AF$5),'Input|Historical Data'!$AG$9:$AG$1180)</f>
        <v>1300.6790000000001</v>
      </c>
      <c r="AG53" s="48">
        <f>SUMPRODUCT(--('Input|Historical Data'!$AC$9:$AC$1180=$E53),--('Input|Historical Data'!$AM$9:$AM$1180="SCS"),--('Input|Historical Data'!$AL$9:$AL$1180=AG$5),'Input|Historical Data'!$AG$9:$AG$1180)</f>
        <v>131.06300000000002</v>
      </c>
      <c r="AH53" s="48">
        <f>SUMPRODUCT(--('Input|Historical Data'!$AC$9:$AC$1180=$E53),--('Input|Historical Data'!$AM$9:$AM$1180="SCS"),--('Input|Historical Data'!$AK$9:$AK$1180=AH$5),'Input|Historical Data'!$AG$9:$AG$1180)</f>
        <v>37.152000000000001</v>
      </c>
      <c r="AI53" s="49">
        <f t="shared" si="17"/>
        <v>0.32637378406671602</v>
      </c>
      <c r="AJ53" s="49">
        <f t="shared" si="18"/>
        <v>0.61196184292553257</v>
      </c>
      <c r="AK53" s="49">
        <f t="shared" si="19"/>
        <v>6.1664373007751391E-2</v>
      </c>
      <c r="AL53" s="49">
        <f t="shared" si="20"/>
        <v>1.7479798158015456E-2</v>
      </c>
      <c r="AM53" s="38"/>
      <c r="AN53" s="48"/>
      <c r="AO53" s="48"/>
      <c r="AP53" s="48"/>
      <c r="AQ53" s="48"/>
      <c r="AR53" s="48"/>
      <c r="AS53" s="49"/>
      <c r="AT53" s="49"/>
      <c r="AU53" s="49"/>
      <c r="AV53" s="49"/>
      <c r="AW53" s="38"/>
      <c r="AX53" s="49">
        <f t="shared" si="21"/>
        <v>0.44094858003979276</v>
      </c>
      <c r="AY53" s="49">
        <f t="shared" si="22"/>
        <v>0.42232393135934182</v>
      </c>
      <c r="AZ53" s="49">
        <f t="shared" si="23"/>
        <v>0.13672748860086542</v>
      </c>
      <c r="BA53" s="49">
        <f t="shared" si="24"/>
        <v>7.7172685406187255E-2</v>
      </c>
      <c r="BB53" s="44"/>
    </row>
    <row r="54" spans="3:54" s="7" customFormat="1" outlineLevel="1" x14ac:dyDescent="0.3">
      <c r="C54" s="38"/>
      <c r="D54" s="38"/>
      <c r="E54" s="38" t="s">
        <v>126</v>
      </c>
      <c r="F54" s="38" t="s">
        <v>308</v>
      </c>
      <c r="G54" s="38" t="str">
        <f>VLOOKUP(E54,Mapping!$E$11:$G$204,3,0)</f>
        <v>Augmentation</v>
      </c>
      <c r="H54" s="38" t="str">
        <f>VLOOKUP(E54,Mapping!$E$11:$K$204,7,0)</f>
        <v>SCS</v>
      </c>
      <c r="I54" s="38"/>
      <c r="J54" s="48">
        <f>SUMPRODUCT(--('Input|Historical Data'!$E$9:$E$1179=$E54),--('Input|Historical Data'!$O$9:$O$1179="SCS"),--('Input|Historical Data'!$M$9:$M$1179=J$5),'Input|Historical Data'!$I$9:$I$1179)</f>
        <v>6392.8829999999998</v>
      </c>
      <c r="K54" s="48">
        <f>SUMPRODUCT(--('Input|Historical Data'!$E$9:$E$1179=$E54),--('Input|Historical Data'!$O$9:$O$1179="SCS"),--('Input|Historical Data'!$N$9:$N$1179=K$5),'Input|Historical Data'!$I$9:$I$1179)</f>
        <v>3313.7020000000002</v>
      </c>
      <c r="L54" s="48">
        <f>SUMPRODUCT(--('Input|Historical Data'!$E$9:$E$1179=$E54),--('Input|Historical Data'!$O$9:$O$1179="SCS"),--('Input|Historical Data'!$N$9:$N$1179=L$5),'Input|Historical Data'!$I$9:$I$1179)</f>
        <v>2397.89</v>
      </c>
      <c r="M54" s="48">
        <f>SUMPRODUCT(--('Input|Historical Data'!$E$9:$E$1179=$E54),--('Input|Historical Data'!$O$9:$O$1179="SCS"),--('Input|Historical Data'!$N$9:$N$1179=M$5),'Input|Historical Data'!$I$9:$I$1179)</f>
        <v>681.29099999999994</v>
      </c>
      <c r="N54" s="48">
        <f>SUMPRODUCT(--('Input|Historical Data'!$E$9:$E$1179=$E54),--('Input|Historical Data'!$O$9:$O$1179="SCS"),--('Input|Historical Data'!$M$9:$M$1179=N$5),'Input|Historical Data'!$I$9:$I$1179)</f>
        <v>455.53500000000003</v>
      </c>
      <c r="O54" s="49">
        <f t="shared" si="7"/>
        <v>0.51834235039183418</v>
      </c>
      <c r="P54" s="49">
        <f t="shared" si="8"/>
        <v>0.37508742143411661</v>
      </c>
      <c r="Q54" s="49">
        <f t="shared" si="9"/>
        <v>0.10657022817404915</v>
      </c>
      <c r="R54" s="49">
        <f t="shared" si="10"/>
        <v>7.125658329739494E-2</v>
      </c>
      <c r="S54" s="38"/>
      <c r="T54" s="48">
        <f>SUMPRODUCT(--('Input|Historical Data'!$Q$9:$Q$1179=$E54),--('Input|Historical Data'!$AA$9:$AA$1179="SCS"),--('Input|Historical Data'!$Y$9:$Y$1179=T$5),'Input|Historical Data'!$U$9:$U$1179)</f>
        <v>1578.3430000000001</v>
      </c>
      <c r="U54" s="48">
        <f>SUMPRODUCT(--('Input|Historical Data'!$Q$9:$Q$1179=$E54),--('Input|Historical Data'!$AA$9:$AA$1179="SCS"),--('Input|Historical Data'!$Z$9:$Z$1179=U$5),'Input|Historical Data'!$U$9:$U$1179)</f>
        <v>968.48199999999997</v>
      </c>
      <c r="V54" s="48">
        <f>SUMPRODUCT(--('Input|Historical Data'!$Q$9:$Q$1179=$E54),--('Input|Historical Data'!$AA$9:$AA$1179="SCS"),--('Input|Historical Data'!$Z$9:$Z$1179=V$5),'Input|Historical Data'!$U$9:$U$1179)</f>
        <v>363.202</v>
      </c>
      <c r="W54" s="48">
        <f>SUMPRODUCT(--('Input|Historical Data'!$Q$9:$Q$1179=$E54),--('Input|Historical Data'!$AA$9:$AA$1179="SCS"),--('Input|Historical Data'!$Z$9:$Z$1179=W$5),'Input|Historical Data'!$U$9:$U$1179)</f>
        <v>246.65899999999999</v>
      </c>
      <c r="X54" s="48">
        <f>SUMPRODUCT(--('Input|Historical Data'!$Q$9:$Q$1179=$E54),--('Input|Historical Data'!$AA$9:$AA$1179="SCS"),--('Input|Historical Data'!$Y$9:$Y$1179=X$5),'Input|Historical Data'!$U$9:$U$1179)</f>
        <v>147.58699999999999</v>
      </c>
      <c r="Y54" s="49">
        <f t="shared" si="11"/>
        <v>0.61360680156341174</v>
      </c>
      <c r="Z54" s="49">
        <f t="shared" si="1"/>
        <v>0.23011601407298668</v>
      </c>
      <c r="AA54" s="49">
        <f t="shared" si="2"/>
        <v>0.15627718436360158</v>
      </c>
      <c r="AB54" s="49">
        <f t="shared" si="12"/>
        <v>9.3507558243043479E-2</v>
      </c>
      <c r="AC54" s="38"/>
      <c r="AD54" s="48">
        <f>SUMPRODUCT(--('Input|Historical Data'!$AC$9:$AC$1180=$E54),--('Input|Historical Data'!$AM$9:$AM$1180="SCS"),--('Input|Historical Data'!$AK$9:$AK$1180=AD$5),'Input|Historical Data'!$AG$9:$AG$1180)</f>
        <v>4402.3780000000006</v>
      </c>
      <c r="AE54" s="48">
        <f>SUMPRODUCT(--('Input|Historical Data'!$AC$9:$AC$1180=$E54),--('Input|Historical Data'!$AM$9:$AM$1180="SCS"),--('Input|Historical Data'!$AL$9:$AL$1180=AE$5),'Input|Historical Data'!$AG$9:$AG$1180)</f>
        <v>1560.6</v>
      </c>
      <c r="AF54" s="48">
        <f>SUMPRODUCT(--('Input|Historical Data'!$AC$9:$AC$1180=$E54),--('Input|Historical Data'!$AM$9:$AM$1180="SCS"),--('Input|Historical Data'!$AL$9:$AL$1180=AF$5),'Input|Historical Data'!$AG$9:$AG$1180)</f>
        <v>2616.3710000000001</v>
      </c>
      <c r="AG54" s="48">
        <f>SUMPRODUCT(--('Input|Historical Data'!$AC$9:$AC$1180=$E54),--('Input|Historical Data'!$AM$9:$AM$1180="SCS"),--('Input|Historical Data'!$AL$9:$AL$1180=AG$5),'Input|Historical Data'!$AG$9:$AG$1180)</f>
        <v>225.40700000000001</v>
      </c>
      <c r="AH54" s="48">
        <f>SUMPRODUCT(--('Input|Historical Data'!$AC$9:$AC$1180=$E54),--('Input|Historical Data'!$AM$9:$AM$1180="SCS"),--('Input|Historical Data'!$AK$9:$AK$1180=AH$5),'Input|Historical Data'!$AG$9:$AG$1180)</f>
        <v>426.84300000000002</v>
      </c>
      <c r="AI54" s="49">
        <f t="shared" si="17"/>
        <v>0.35449023232443921</v>
      </c>
      <c r="AJ54" s="49">
        <f t="shared" si="18"/>
        <v>0.59430857595599473</v>
      </c>
      <c r="AK54" s="49">
        <f t="shared" si="19"/>
        <v>5.1201191719566115E-2</v>
      </c>
      <c r="AL54" s="49">
        <f t="shared" si="20"/>
        <v>9.6957371675035625E-2</v>
      </c>
      <c r="AM54" s="38"/>
      <c r="AN54" s="48"/>
      <c r="AO54" s="48"/>
      <c r="AP54" s="48"/>
      <c r="AQ54" s="48"/>
      <c r="AR54" s="48"/>
      <c r="AS54" s="49"/>
      <c r="AT54" s="49"/>
      <c r="AU54" s="49"/>
      <c r="AV54" s="49"/>
      <c r="AW54" s="38"/>
      <c r="AX54" s="49">
        <f t="shared" si="21"/>
        <v>0.42287242625094862</v>
      </c>
      <c r="AY54" s="49">
        <f t="shared" si="22"/>
        <v>0.49819628770511115</v>
      </c>
      <c r="AZ54" s="49">
        <f t="shared" si="23"/>
        <v>7.8931286043940188E-2</v>
      </c>
      <c r="BA54" s="49">
        <f t="shared" si="24"/>
        <v>9.6046948185678618E-2</v>
      </c>
      <c r="BB54" s="44"/>
    </row>
    <row r="55" spans="3:54" s="7" customFormat="1" outlineLevel="1" x14ac:dyDescent="0.3">
      <c r="C55" s="38"/>
      <c r="D55" s="38"/>
      <c r="E55" s="38" t="s">
        <v>127</v>
      </c>
      <c r="F55" s="38" t="s">
        <v>17</v>
      </c>
      <c r="G55" s="38" t="str">
        <f>VLOOKUP(E55,Mapping!$E$11:$G$204,3,0)</f>
        <v>Non-network general assets - Other</v>
      </c>
      <c r="H55" s="38" t="s">
        <v>31</v>
      </c>
      <c r="I55" s="38"/>
      <c r="J55" s="48">
        <f>SUMPRODUCT(--('Input|Historical Data'!$E$9:$E$1179=$E55),--('Input|Historical Data'!$O$9:$O$1179="SCS"),--('Input|Historical Data'!$M$9:$M$1179=J$5),'Input|Historical Data'!$I$9:$I$1179)</f>
        <v>5515.067</v>
      </c>
      <c r="K55" s="48">
        <f>SUMPRODUCT(--('Input|Historical Data'!$E$9:$E$1179=$E55),--('Input|Historical Data'!$O$9:$O$1179="SCS"),--('Input|Historical Data'!$N$9:$N$1179=K$5),'Input|Historical Data'!$I$9:$I$1179)</f>
        <v>-20.645</v>
      </c>
      <c r="L55" s="48">
        <f>SUMPRODUCT(--('Input|Historical Data'!$E$9:$E$1179=$E55),--('Input|Historical Data'!$O$9:$O$1179="SCS"),--('Input|Historical Data'!$N$9:$N$1179=L$5),'Input|Historical Data'!$I$9:$I$1179)</f>
        <v>3794.5030000000002</v>
      </c>
      <c r="M55" s="48">
        <f>SUMPRODUCT(--('Input|Historical Data'!$E$9:$E$1179=$E55),--('Input|Historical Data'!$O$9:$O$1179="SCS"),--('Input|Historical Data'!$N$9:$N$1179=M$5),'Input|Historical Data'!$I$9:$I$1179)</f>
        <v>1741.2089999999998</v>
      </c>
      <c r="N55" s="48">
        <f>SUMPRODUCT(--('Input|Historical Data'!$E$9:$E$1179=$E55),--('Input|Historical Data'!$O$9:$O$1179="SCS"),--('Input|Historical Data'!$M$9:$M$1179=N$5),'Input|Historical Data'!$I$9:$I$1179)</f>
        <v>0.42599999999999999</v>
      </c>
      <c r="O55" s="49">
        <f t="shared" si="7"/>
        <v>-3.7433815400610727E-3</v>
      </c>
      <c r="P55" s="49">
        <f t="shared" si="8"/>
        <v>0.68802482363314899</v>
      </c>
      <c r="Q55" s="49">
        <f t="shared" si="9"/>
        <v>0.31571855790691206</v>
      </c>
      <c r="R55" s="49">
        <f t="shared" si="10"/>
        <v>7.7242941926181492E-5</v>
      </c>
      <c r="S55" s="38"/>
      <c r="T55" s="48">
        <f>SUMPRODUCT(--('Input|Historical Data'!$Q$9:$Q$1179=$E55),--('Input|Historical Data'!$AA$9:$AA$1179="SCS"),--('Input|Historical Data'!$Y$9:$Y$1179=T$5),'Input|Historical Data'!$U$9:$U$1179)</f>
        <v>4135.1460000000006</v>
      </c>
      <c r="U55" s="48">
        <f>SUMPRODUCT(--('Input|Historical Data'!$Q$9:$Q$1179=$E55),--('Input|Historical Data'!$AA$9:$AA$1179="SCS"),--('Input|Historical Data'!$Z$9:$Z$1179=U$5),'Input|Historical Data'!$U$9:$U$1179)</f>
        <v>75.052999999999997</v>
      </c>
      <c r="V55" s="48">
        <f>SUMPRODUCT(--('Input|Historical Data'!$Q$9:$Q$1179=$E55),--('Input|Historical Data'!$AA$9:$AA$1179="SCS"),--('Input|Historical Data'!$Z$9:$Z$1179=V$5),'Input|Historical Data'!$U$9:$U$1179)</f>
        <v>3876.2840000000001</v>
      </c>
      <c r="W55" s="48">
        <f>SUMPRODUCT(--('Input|Historical Data'!$Q$9:$Q$1179=$E55),--('Input|Historical Data'!$AA$9:$AA$1179="SCS"),--('Input|Historical Data'!$Z$9:$Z$1179=W$5),'Input|Historical Data'!$U$9:$U$1179)</f>
        <v>183.80899999999997</v>
      </c>
      <c r="X55" s="48">
        <f>SUMPRODUCT(--('Input|Historical Data'!$Q$9:$Q$1179=$E55),--('Input|Historical Data'!$AA$9:$AA$1179="SCS"),--('Input|Historical Data'!$Y$9:$Y$1179=X$5),'Input|Historical Data'!$U$9:$U$1179)</f>
        <v>11.162000000000001</v>
      </c>
      <c r="Y55" s="49">
        <f t="shared" si="11"/>
        <v>1.8150024207125939E-2</v>
      </c>
      <c r="Z55" s="49">
        <f t="shared" si="1"/>
        <v>0.93739955010052856</v>
      </c>
      <c r="AA55" s="49">
        <f t="shared" si="2"/>
        <v>4.4450425692345565E-2</v>
      </c>
      <c r="AB55" s="49">
        <f t="shared" si="12"/>
        <v>2.6993000972637964E-3</v>
      </c>
      <c r="AC55" s="38"/>
      <c r="AD55" s="48">
        <f>SUMPRODUCT(--('Input|Historical Data'!$AC$9:$AC$1180=$E55),--('Input|Historical Data'!$AM$9:$AM$1180="SCS"),--('Input|Historical Data'!$AK$9:$AK$1180=AD$5),'Input|Historical Data'!$AG$9:$AG$1180)</f>
        <v>924.29099999999994</v>
      </c>
      <c r="AE55" s="48">
        <f>SUMPRODUCT(--('Input|Historical Data'!$AC$9:$AC$1180=$E55),--('Input|Historical Data'!$AM$9:$AM$1180="SCS"),--('Input|Historical Data'!$AL$9:$AL$1180=AE$5),'Input|Historical Data'!$AG$9:$AG$1180)</f>
        <v>403.24099999999999</v>
      </c>
      <c r="AF55" s="48">
        <f>SUMPRODUCT(--('Input|Historical Data'!$AC$9:$AC$1180=$E55),--('Input|Historical Data'!$AM$9:$AM$1180="SCS"),--('Input|Historical Data'!$AL$9:$AL$1180=AF$5),'Input|Historical Data'!$AG$9:$AG$1180)</f>
        <v>418.57500000000005</v>
      </c>
      <c r="AG55" s="48">
        <f>SUMPRODUCT(--('Input|Historical Data'!$AC$9:$AC$1180=$E55),--('Input|Historical Data'!$AM$9:$AM$1180="SCS"),--('Input|Historical Data'!$AL$9:$AL$1180=AG$5),'Input|Historical Data'!$AG$9:$AG$1180)</f>
        <v>102.47500000000001</v>
      </c>
      <c r="AH55" s="48">
        <f>SUMPRODUCT(--('Input|Historical Data'!$AC$9:$AC$1180=$E55),--('Input|Historical Data'!$AM$9:$AM$1180="SCS"),--('Input|Historical Data'!$AK$9:$AK$1180=AH$5),'Input|Historical Data'!$AG$9:$AG$1180)</f>
        <v>73.126999999999995</v>
      </c>
      <c r="AI55" s="49">
        <f t="shared" si="17"/>
        <v>0.4362706117445696</v>
      </c>
      <c r="AJ55" s="49">
        <f t="shared" si="18"/>
        <v>0.45286062506288605</v>
      </c>
      <c r="AK55" s="49">
        <f t="shared" si="19"/>
        <v>0.11086876319254434</v>
      </c>
      <c r="AL55" s="49">
        <f t="shared" si="20"/>
        <v>7.9116858218894262E-2</v>
      </c>
      <c r="AM55" s="38"/>
      <c r="AN55" s="48"/>
      <c r="AO55" s="48"/>
      <c r="AP55" s="48"/>
      <c r="AQ55" s="48"/>
      <c r="AR55" s="48"/>
      <c r="AS55" s="49"/>
      <c r="AT55" s="49"/>
      <c r="AU55" s="49"/>
      <c r="AV55" s="49"/>
      <c r="AW55" s="38"/>
      <c r="AX55" s="49">
        <f t="shared" si="21"/>
        <v>9.4535024351523694E-2</v>
      </c>
      <c r="AY55" s="49">
        <f t="shared" si="22"/>
        <v>0.84888081420917005</v>
      </c>
      <c r="AZ55" s="49">
        <f t="shared" si="23"/>
        <v>5.6584161439306391E-2</v>
      </c>
      <c r="BA55" s="97">
        <v>0</v>
      </c>
      <c r="BB55" s="44"/>
    </row>
    <row r="56" spans="3:54" s="7" customFormat="1" outlineLevel="1" x14ac:dyDescent="0.3">
      <c r="C56" s="38"/>
      <c r="D56" s="38"/>
      <c r="E56" s="38" t="s">
        <v>128</v>
      </c>
      <c r="F56" s="38" t="s">
        <v>309</v>
      </c>
      <c r="G56" s="38" t="str">
        <f>VLOOKUP(E56,Mapping!$E$11:$G$204,3,0)</f>
        <v>Non-network general assets - Other</v>
      </c>
      <c r="H56" s="38" t="s">
        <v>31</v>
      </c>
      <c r="I56" s="38"/>
      <c r="J56" s="48">
        <f>SUMPRODUCT(--('Input|Historical Data'!$E$9:$E$1179=$E56),--('Input|Historical Data'!$O$9:$O$1179="SCS"),--('Input|Historical Data'!$M$9:$M$1179=J$5),'Input|Historical Data'!$I$9:$I$1179)</f>
        <v>174.18</v>
      </c>
      <c r="K56" s="48">
        <f>SUMPRODUCT(--('Input|Historical Data'!$E$9:$E$1179=$E56),--('Input|Historical Data'!$O$9:$O$1179="SCS"),--('Input|Historical Data'!$N$9:$N$1179=K$5),'Input|Historical Data'!$I$9:$I$1179)</f>
        <v>0</v>
      </c>
      <c r="L56" s="48">
        <f>SUMPRODUCT(--('Input|Historical Data'!$E$9:$E$1179=$E56),--('Input|Historical Data'!$O$9:$O$1179="SCS"),--('Input|Historical Data'!$N$9:$N$1179=L$5),'Input|Historical Data'!$I$9:$I$1179)</f>
        <v>174.18</v>
      </c>
      <c r="M56" s="48">
        <f>SUMPRODUCT(--('Input|Historical Data'!$E$9:$E$1179=$E56),--('Input|Historical Data'!$O$9:$O$1179="SCS"),--('Input|Historical Data'!$N$9:$N$1179=M$5),'Input|Historical Data'!$I$9:$I$1179)</f>
        <v>0</v>
      </c>
      <c r="N56" s="48">
        <f>SUMPRODUCT(--('Input|Historical Data'!$E$9:$E$1179=$E56),--('Input|Historical Data'!$O$9:$O$1179="SCS"),--('Input|Historical Data'!$M$9:$M$1179=N$5),'Input|Historical Data'!$I$9:$I$1179)</f>
        <v>0</v>
      </c>
      <c r="O56" s="49">
        <f t="shared" si="7"/>
        <v>0</v>
      </c>
      <c r="P56" s="49">
        <f t="shared" si="8"/>
        <v>1</v>
      </c>
      <c r="Q56" s="49">
        <f t="shared" si="9"/>
        <v>0</v>
      </c>
      <c r="R56" s="49">
        <f t="shared" si="10"/>
        <v>0</v>
      </c>
      <c r="S56" s="38"/>
      <c r="T56" s="48">
        <f>SUMPRODUCT(--('Input|Historical Data'!$Q$9:$Q$1179=$E56),--('Input|Historical Data'!$AA$9:$AA$1179="SCS"),--('Input|Historical Data'!$Y$9:$Y$1179=T$5),'Input|Historical Data'!$U$9:$U$1179)</f>
        <v>120.998</v>
      </c>
      <c r="U56" s="48">
        <f>SUMPRODUCT(--('Input|Historical Data'!$Q$9:$Q$1179=$E56),--('Input|Historical Data'!$AA$9:$AA$1179="SCS"),--('Input|Historical Data'!$Z$9:$Z$1179=U$5),'Input|Historical Data'!$U$9:$U$1179)</f>
        <v>0</v>
      </c>
      <c r="V56" s="48">
        <f>SUMPRODUCT(--('Input|Historical Data'!$Q$9:$Q$1179=$E56),--('Input|Historical Data'!$AA$9:$AA$1179="SCS"),--('Input|Historical Data'!$Z$9:$Z$1179=V$5),'Input|Historical Data'!$U$9:$U$1179)</f>
        <v>91.798000000000002</v>
      </c>
      <c r="W56" s="48">
        <f>SUMPRODUCT(--('Input|Historical Data'!$Q$9:$Q$1179=$E56),--('Input|Historical Data'!$AA$9:$AA$1179="SCS"),--('Input|Historical Data'!$Z$9:$Z$1179=W$5),'Input|Historical Data'!$U$9:$U$1179)</f>
        <v>29.2</v>
      </c>
      <c r="X56" s="48">
        <f>SUMPRODUCT(--('Input|Historical Data'!$Q$9:$Q$1179=$E56),--('Input|Historical Data'!$AA$9:$AA$1179="SCS"),--('Input|Historical Data'!$Y$9:$Y$1179=X$5),'Input|Historical Data'!$U$9:$U$1179)</f>
        <v>0</v>
      </c>
      <c r="Y56" s="49">
        <f t="shared" si="11"/>
        <v>0</v>
      </c>
      <c r="Z56" s="49">
        <f t="shared" si="1"/>
        <v>0.75867369708590227</v>
      </c>
      <c r="AA56" s="49">
        <f t="shared" si="2"/>
        <v>0.24132630291409773</v>
      </c>
      <c r="AB56" s="49">
        <f t="shared" si="12"/>
        <v>0</v>
      </c>
      <c r="AC56" s="38"/>
      <c r="AD56" s="48">
        <f>SUMPRODUCT(--('Input|Historical Data'!$AC$9:$AC$1180=$E56),--('Input|Historical Data'!$AM$9:$AM$1180="SCS"),--('Input|Historical Data'!$AK$9:$AK$1180=AD$5),'Input|Historical Data'!$AG$9:$AG$1180)</f>
        <v>132.83500000000001</v>
      </c>
      <c r="AE56" s="48">
        <f>SUMPRODUCT(--('Input|Historical Data'!$AC$9:$AC$1180=$E56),--('Input|Historical Data'!$AM$9:$AM$1180="SCS"),--('Input|Historical Data'!$AL$9:$AL$1180=AE$5),'Input|Historical Data'!$AG$9:$AG$1180)</f>
        <v>0</v>
      </c>
      <c r="AF56" s="48">
        <f>SUMPRODUCT(--('Input|Historical Data'!$AC$9:$AC$1180=$E56),--('Input|Historical Data'!$AM$9:$AM$1180="SCS"),--('Input|Historical Data'!$AL$9:$AL$1180=AF$5),'Input|Historical Data'!$AG$9:$AG$1180)</f>
        <v>132.83500000000001</v>
      </c>
      <c r="AG56" s="48">
        <f>SUMPRODUCT(--('Input|Historical Data'!$AC$9:$AC$1180=$E56),--('Input|Historical Data'!$AM$9:$AM$1180="SCS"),--('Input|Historical Data'!$AL$9:$AL$1180=AG$5),'Input|Historical Data'!$AG$9:$AG$1180)</f>
        <v>0</v>
      </c>
      <c r="AH56" s="48">
        <f>SUMPRODUCT(--('Input|Historical Data'!$AC$9:$AC$1180=$E56),--('Input|Historical Data'!$AM$9:$AM$1180="SCS"),--('Input|Historical Data'!$AK$9:$AK$1180=AH$5),'Input|Historical Data'!$AG$9:$AG$1180)</f>
        <v>0</v>
      </c>
      <c r="AI56" s="49">
        <f t="shared" si="17"/>
        <v>0</v>
      </c>
      <c r="AJ56" s="49">
        <f t="shared" si="18"/>
        <v>1</v>
      </c>
      <c r="AK56" s="49">
        <f t="shared" si="19"/>
        <v>0</v>
      </c>
      <c r="AL56" s="49">
        <f t="shared" si="20"/>
        <v>0</v>
      </c>
      <c r="AM56" s="38"/>
      <c r="AN56" s="48"/>
      <c r="AO56" s="48"/>
      <c r="AP56" s="48"/>
      <c r="AQ56" s="48"/>
      <c r="AR56" s="48"/>
      <c r="AS56" s="49"/>
      <c r="AT56" s="49"/>
      <c r="AU56" s="49"/>
      <c r="AV56" s="49"/>
      <c r="AW56" s="38"/>
      <c r="AX56" s="49">
        <f t="shared" si="21"/>
        <v>0</v>
      </c>
      <c r="AY56" s="49">
        <f t="shared" si="22"/>
        <v>0.88496373599965328</v>
      </c>
      <c r="AZ56" s="49">
        <f t="shared" si="23"/>
        <v>0.11503626400034667</v>
      </c>
      <c r="BA56" s="97">
        <v>0</v>
      </c>
      <c r="BB56" s="44"/>
    </row>
    <row r="57" spans="3:54" s="7" customFormat="1" outlineLevel="1" x14ac:dyDescent="0.3">
      <c r="C57" s="38"/>
      <c r="D57" s="38"/>
      <c r="E57" s="38" t="s">
        <v>129</v>
      </c>
      <c r="F57" s="38" t="s">
        <v>310</v>
      </c>
      <c r="G57" s="38" t="str">
        <f>VLOOKUP(E57,Mapping!$E$11:$G$204,3,0)</f>
        <v>Non-network general assets - Other</v>
      </c>
      <c r="H57" s="38" t="s">
        <v>31</v>
      </c>
      <c r="I57" s="38"/>
      <c r="J57" s="48">
        <f>SUMPRODUCT(--('Input|Historical Data'!$E$9:$E$1179=$E57),--('Input|Historical Data'!$O$9:$O$1179="SCS"),--('Input|Historical Data'!$M$9:$M$1179=J$5),'Input|Historical Data'!$I$9:$I$1179)</f>
        <v>0</v>
      </c>
      <c r="K57" s="48">
        <f>SUMPRODUCT(--('Input|Historical Data'!$E$9:$E$1179=$E57),--('Input|Historical Data'!$O$9:$O$1179="SCS"),--('Input|Historical Data'!$N$9:$N$1179=K$5),'Input|Historical Data'!$I$9:$I$1179)</f>
        <v>0</v>
      </c>
      <c r="L57" s="48">
        <f>SUMPRODUCT(--('Input|Historical Data'!$E$9:$E$1179=$E57),--('Input|Historical Data'!$O$9:$O$1179="SCS"),--('Input|Historical Data'!$N$9:$N$1179=L$5),'Input|Historical Data'!$I$9:$I$1179)</f>
        <v>0</v>
      </c>
      <c r="M57" s="48">
        <f>SUMPRODUCT(--('Input|Historical Data'!$E$9:$E$1179=$E57),--('Input|Historical Data'!$O$9:$O$1179="SCS"),--('Input|Historical Data'!$N$9:$N$1179=M$5),'Input|Historical Data'!$I$9:$I$1179)</f>
        <v>0</v>
      </c>
      <c r="N57" s="48">
        <f>SUMPRODUCT(--('Input|Historical Data'!$E$9:$E$1179=$E57),--('Input|Historical Data'!$O$9:$O$1179="SCS"),--('Input|Historical Data'!$M$9:$M$1179=N$5),'Input|Historical Data'!$I$9:$I$1179)</f>
        <v>0</v>
      </c>
      <c r="O57" s="49">
        <f t="shared" si="7"/>
        <v>0</v>
      </c>
      <c r="P57" s="49">
        <f t="shared" si="8"/>
        <v>0</v>
      </c>
      <c r="Q57" s="49">
        <f t="shared" si="9"/>
        <v>0</v>
      </c>
      <c r="R57" s="49">
        <f t="shared" si="10"/>
        <v>0</v>
      </c>
      <c r="S57" s="38"/>
      <c r="T57" s="48">
        <f>SUMPRODUCT(--('Input|Historical Data'!$Q$9:$Q$1179=$E57),--('Input|Historical Data'!$AA$9:$AA$1179="SCS"),--('Input|Historical Data'!$Y$9:$Y$1179=T$5),'Input|Historical Data'!$U$9:$U$1179)</f>
        <v>0</v>
      </c>
      <c r="U57" s="48">
        <f>SUMPRODUCT(--('Input|Historical Data'!$Q$9:$Q$1179=$E57),--('Input|Historical Data'!$AA$9:$AA$1179="SCS"),--('Input|Historical Data'!$Z$9:$Z$1179=U$5),'Input|Historical Data'!$U$9:$U$1179)</f>
        <v>0</v>
      </c>
      <c r="V57" s="48">
        <f>SUMPRODUCT(--('Input|Historical Data'!$Q$9:$Q$1179=$E57),--('Input|Historical Data'!$AA$9:$AA$1179="SCS"),--('Input|Historical Data'!$Z$9:$Z$1179=V$5),'Input|Historical Data'!$U$9:$U$1179)</f>
        <v>0</v>
      </c>
      <c r="W57" s="48">
        <f>SUMPRODUCT(--('Input|Historical Data'!$Q$9:$Q$1179=$E57),--('Input|Historical Data'!$AA$9:$AA$1179="SCS"),--('Input|Historical Data'!$Z$9:$Z$1179=W$5),'Input|Historical Data'!$U$9:$U$1179)</f>
        <v>0</v>
      </c>
      <c r="X57" s="48">
        <f>SUMPRODUCT(--('Input|Historical Data'!$Q$9:$Q$1179=$E57),--('Input|Historical Data'!$AA$9:$AA$1179="SCS"),--('Input|Historical Data'!$Y$9:$Y$1179=X$5),'Input|Historical Data'!$U$9:$U$1179)</f>
        <v>0</v>
      </c>
      <c r="Y57" s="49">
        <f t="shared" si="11"/>
        <v>0</v>
      </c>
      <c r="Z57" s="49">
        <f t="shared" si="1"/>
        <v>0</v>
      </c>
      <c r="AA57" s="49">
        <f t="shared" si="2"/>
        <v>0</v>
      </c>
      <c r="AB57" s="49">
        <f t="shared" si="12"/>
        <v>0</v>
      </c>
      <c r="AC57" s="38"/>
      <c r="AD57" s="48">
        <f>SUMPRODUCT(--('Input|Historical Data'!$AC$9:$AC$1180=$E57),--('Input|Historical Data'!$AM$9:$AM$1180="SCS"),--('Input|Historical Data'!$AK$9:$AK$1180=AD$5),'Input|Historical Data'!$AG$9:$AG$1180)</f>
        <v>2044.335</v>
      </c>
      <c r="AE57" s="48">
        <f>SUMPRODUCT(--('Input|Historical Data'!$AC$9:$AC$1180=$E57),--('Input|Historical Data'!$AM$9:$AM$1180="SCS"),--('Input|Historical Data'!$AL$9:$AL$1180=AE$5),'Input|Historical Data'!$AG$9:$AG$1180)</f>
        <v>0</v>
      </c>
      <c r="AF57" s="48">
        <f>SUMPRODUCT(--('Input|Historical Data'!$AC$9:$AC$1180=$E57),--('Input|Historical Data'!$AM$9:$AM$1180="SCS"),--('Input|Historical Data'!$AL$9:$AL$1180=AF$5),'Input|Historical Data'!$AG$9:$AG$1180)</f>
        <v>2044.335</v>
      </c>
      <c r="AG57" s="48">
        <f>SUMPRODUCT(--('Input|Historical Data'!$AC$9:$AC$1180=$E57),--('Input|Historical Data'!$AM$9:$AM$1180="SCS"),--('Input|Historical Data'!$AL$9:$AL$1180=AG$5),'Input|Historical Data'!$AG$9:$AG$1180)</f>
        <v>0</v>
      </c>
      <c r="AH57" s="48">
        <f>SUMPRODUCT(--('Input|Historical Data'!$AC$9:$AC$1180=$E57),--('Input|Historical Data'!$AM$9:$AM$1180="SCS"),--('Input|Historical Data'!$AK$9:$AK$1180=AH$5),'Input|Historical Data'!$AG$9:$AG$1180)</f>
        <v>0</v>
      </c>
      <c r="AI57" s="49">
        <f t="shared" si="17"/>
        <v>0</v>
      </c>
      <c r="AJ57" s="49">
        <f t="shared" si="18"/>
        <v>1</v>
      </c>
      <c r="AK57" s="49">
        <f t="shared" si="19"/>
        <v>0</v>
      </c>
      <c r="AL57" s="49">
        <f t="shared" si="20"/>
        <v>0</v>
      </c>
      <c r="AM57" s="38"/>
      <c r="AN57" s="48"/>
      <c r="AO57" s="48"/>
      <c r="AP57" s="48"/>
      <c r="AQ57" s="48"/>
      <c r="AR57" s="48"/>
      <c r="AS57" s="49"/>
      <c r="AT57" s="49"/>
      <c r="AU57" s="49"/>
      <c r="AV57" s="49"/>
      <c r="AW57" s="38"/>
      <c r="AX57" s="49">
        <f t="shared" si="21"/>
        <v>0</v>
      </c>
      <c r="AY57" s="49">
        <f t="shared" si="22"/>
        <v>1</v>
      </c>
      <c r="AZ57" s="49">
        <f t="shared" si="23"/>
        <v>0</v>
      </c>
      <c r="BA57" s="97">
        <v>0</v>
      </c>
      <c r="BB57" s="44"/>
    </row>
    <row r="58" spans="3:54" s="7" customFormat="1" outlineLevel="1" x14ac:dyDescent="0.3">
      <c r="C58" s="38"/>
      <c r="D58" s="38"/>
      <c r="E58" s="38" t="s">
        <v>130</v>
      </c>
      <c r="F58" s="38" t="s">
        <v>311</v>
      </c>
      <c r="G58" s="38" t="str">
        <f>VLOOKUP(E58,Mapping!$E$11:$G$204,3,0)</f>
        <v>Non-network general assets - Other</v>
      </c>
      <c r="H58" s="38" t="s">
        <v>31</v>
      </c>
      <c r="I58" s="38"/>
      <c r="J58" s="48">
        <f>SUMPRODUCT(--('Input|Historical Data'!$E$9:$E$1179=$E58),--('Input|Historical Data'!$O$9:$O$1179="SCS"),--('Input|Historical Data'!$M$9:$M$1179=J$5),'Input|Historical Data'!$I$9:$I$1179)</f>
        <v>930.40700000000004</v>
      </c>
      <c r="K58" s="48">
        <f>SUMPRODUCT(--('Input|Historical Data'!$E$9:$E$1179=$E58),--('Input|Historical Data'!$O$9:$O$1179="SCS"),--('Input|Historical Data'!$N$9:$N$1179=K$5),'Input|Historical Data'!$I$9:$I$1179)</f>
        <v>0</v>
      </c>
      <c r="L58" s="48">
        <f>SUMPRODUCT(--('Input|Historical Data'!$E$9:$E$1179=$E58),--('Input|Historical Data'!$O$9:$O$1179="SCS"),--('Input|Historical Data'!$N$9:$N$1179=L$5),'Input|Historical Data'!$I$9:$I$1179)</f>
        <v>930.40700000000004</v>
      </c>
      <c r="M58" s="48">
        <f>SUMPRODUCT(--('Input|Historical Data'!$E$9:$E$1179=$E58),--('Input|Historical Data'!$O$9:$O$1179="SCS"),--('Input|Historical Data'!$N$9:$N$1179=M$5),'Input|Historical Data'!$I$9:$I$1179)</f>
        <v>0</v>
      </c>
      <c r="N58" s="48">
        <f>SUMPRODUCT(--('Input|Historical Data'!$E$9:$E$1179=$E58),--('Input|Historical Data'!$O$9:$O$1179="SCS"),--('Input|Historical Data'!$M$9:$M$1179=N$5),'Input|Historical Data'!$I$9:$I$1179)</f>
        <v>0</v>
      </c>
      <c r="O58" s="49">
        <f t="shared" si="7"/>
        <v>0</v>
      </c>
      <c r="P58" s="49">
        <f t="shared" si="8"/>
        <v>1</v>
      </c>
      <c r="Q58" s="49">
        <f t="shared" si="9"/>
        <v>0</v>
      </c>
      <c r="R58" s="49">
        <f t="shared" si="10"/>
        <v>0</v>
      </c>
      <c r="S58" s="38"/>
      <c r="T58" s="48">
        <f>SUMPRODUCT(--('Input|Historical Data'!$Q$9:$Q$1179=$E58),--('Input|Historical Data'!$AA$9:$AA$1179="SCS"),--('Input|Historical Data'!$Y$9:$Y$1179=T$5),'Input|Historical Data'!$U$9:$U$1179)</f>
        <v>1206.154</v>
      </c>
      <c r="U58" s="48">
        <f>SUMPRODUCT(--('Input|Historical Data'!$Q$9:$Q$1179=$E58),--('Input|Historical Data'!$AA$9:$AA$1179="SCS"),--('Input|Historical Data'!$Z$9:$Z$1179=U$5),'Input|Historical Data'!$U$9:$U$1179)</f>
        <v>0</v>
      </c>
      <c r="V58" s="48">
        <f>SUMPRODUCT(--('Input|Historical Data'!$Q$9:$Q$1179=$E58),--('Input|Historical Data'!$AA$9:$AA$1179="SCS"),--('Input|Historical Data'!$Z$9:$Z$1179=V$5),'Input|Historical Data'!$U$9:$U$1179)</f>
        <v>1206.154</v>
      </c>
      <c r="W58" s="48">
        <f>SUMPRODUCT(--('Input|Historical Data'!$Q$9:$Q$1179=$E58),--('Input|Historical Data'!$AA$9:$AA$1179="SCS"),--('Input|Historical Data'!$Z$9:$Z$1179=W$5),'Input|Historical Data'!$U$9:$U$1179)</f>
        <v>0</v>
      </c>
      <c r="X58" s="48">
        <f>SUMPRODUCT(--('Input|Historical Data'!$Q$9:$Q$1179=$E58),--('Input|Historical Data'!$AA$9:$AA$1179="SCS"),--('Input|Historical Data'!$Y$9:$Y$1179=X$5),'Input|Historical Data'!$U$9:$U$1179)</f>
        <v>0</v>
      </c>
      <c r="Y58" s="49">
        <f t="shared" si="11"/>
        <v>0</v>
      </c>
      <c r="Z58" s="49">
        <f t="shared" si="1"/>
        <v>1</v>
      </c>
      <c r="AA58" s="49">
        <f t="shared" si="2"/>
        <v>0</v>
      </c>
      <c r="AB58" s="49">
        <f t="shared" si="12"/>
        <v>0</v>
      </c>
      <c r="AC58" s="38"/>
      <c r="AD58" s="48">
        <f>SUMPRODUCT(--('Input|Historical Data'!$AC$9:$AC$1180=$E58),--('Input|Historical Data'!$AM$9:$AM$1180="SCS"),--('Input|Historical Data'!$AK$9:$AK$1180=AD$5),'Input|Historical Data'!$AG$9:$AG$1180)</f>
        <v>1343.979</v>
      </c>
      <c r="AE58" s="48">
        <f>SUMPRODUCT(--('Input|Historical Data'!$AC$9:$AC$1180=$E58),--('Input|Historical Data'!$AM$9:$AM$1180="SCS"),--('Input|Historical Data'!$AL$9:$AL$1180=AE$5),'Input|Historical Data'!$AG$9:$AG$1180)</f>
        <v>0</v>
      </c>
      <c r="AF58" s="48">
        <f>SUMPRODUCT(--('Input|Historical Data'!$AC$9:$AC$1180=$E58),--('Input|Historical Data'!$AM$9:$AM$1180="SCS"),--('Input|Historical Data'!$AL$9:$AL$1180=AF$5),'Input|Historical Data'!$AG$9:$AG$1180)</f>
        <v>1343.979</v>
      </c>
      <c r="AG58" s="48">
        <f>SUMPRODUCT(--('Input|Historical Data'!$AC$9:$AC$1180=$E58),--('Input|Historical Data'!$AM$9:$AM$1180="SCS"),--('Input|Historical Data'!$AL$9:$AL$1180=AG$5),'Input|Historical Data'!$AG$9:$AG$1180)</f>
        <v>0</v>
      </c>
      <c r="AH58" s="48">
        <f>SUMPRODUCT(--('Input|Historical Data'!$AC$9:$AC$1180=$E58),--('Input|Historical Data'!$AM$9:$AM$1180="SCS"),--('Input|Historical Data'!$AK$9:$AK$1180=AH$5),'Input|Historical Data'!$AG$9:$AG$1180)</f>
        <v>0</v>
      </c>
      <c r="AI58" s="49">
        <f t="shared" si="17"/>
        <v>0</v>
      </c>
      <c r="AJ58" s="49">
        <f t="shared" si="18"/>
        <v>1</v>
      </c>
      <c r="AK58" s="49">
        <f t="shared" si="19"/>
        <v>0</v>
      </c>
      <c r="AL58" s="49">
        <f t="shared" si="20"/>
        <v>0</v>
      </c>
      <c r="AM58" s="38"/>
      <c r="AN58" s="48"/>
      <c r="AO58" s="48"/>
      <c r="AP58" s="48"/>
      <c r="AQ58" s="48"/>
      <c r="AR58" s="48"/>
      <c r="AS58" s="49"/>
      <c r="AT58" s="49"/>
      <c r="AU58" s="49"/>
      <c r="AV58" s="49"/>
      <c r="AW58" s="38"/>
      <c r="AX58" s="49">
        <f t="shared" si="21"/>
        <v>0</v>
      </c>
      <c r="AY58" s="49">
        <f t="shared" si="22"/>
        <v>1</v>
      </c>
      <c r="AZ58" s="49">
        <f t="shared" si="23"/>
        <v>0</v>
      </c>
      <c r="BA58" s="97">
        <v>0</v>
      </c>
      <c r="BB58" s="44"/>
    </row>
    <row r="59" spans="3:54" s="7" customFormat="1" outlineLevel="1" x14ac:dyDescent="0.3">
      <c r="C59" s="38"/>
      <c r="D59" s="38"/>
      <c r="E59" s="38" t="s">
        <v>131</v>
      </c>
      <c r="F59" s="38" t="s">
        <v>312</v>
      </c>
      <c r="G59" s="38" t="str">
        <f>VLOOKUP(E59,Mapping!$E$11:$G$204,3,0)</f>
        <v>Non-network general assets - Other</v>
      </c>
      <c r="H59" s="38" t="s">
        <v>31</v>
      </c>
      <c r="I59" s="38"/>
      <c r="J59" s="48">
        <f>SUMPRODUCT(--('Input|Historical Data'!$E$9:$E$1179=$E59),--('Input|Historical Data'!$O$9:$O$1179="SCS"),--('Input|Historical Data'!$M$9:$M$1179=J$5),'Input|Historical Data'!$I$9:$I$1179)</f>
        <v>258.94600000000003</v>
      </c>
      <c r="K59" s="48">
        <f>SUMPRODUCT(--('Input|Historical Data'!$E$9:$E$1179=$E59),--('Input|Historical Data'!$O$9:$O$1179="SCS"),--('Input|Historical Data'!$N$9:$N$1179=K$5),'Input|Historical Data'!$I$9:$I$1179)</f>
        <v>0</v>
      </c>
      <c r="L59" s="48">
        <f>SUMPRODUCT(--('Input|Historical Data'!$E$9:$E$1179=$E59),--('Input|Historical Data'!$O$9:$O$1179="SCS"),--('Input|Historical Data'!$N$9:$N$1179=L$5),'Input|Historical Data'!$I$9:$I$1179)</f>
        <v>258.94600000000003</v>
      </c>
      <c r="M59" s="48">
        <f>SUMPRODUCT(--('Input|Historical Data'!$E$9:$E$1179=$E59),--('Input|Historical Data'!$O$9:$O$1179="SCS"),--('Input|Historical Data'!$N$9:$N$1179=M$5),'Input|Historical Data'!$I$9:$I$1179)</f>
        <v>0</v>
      </c>
      <c r="N59" s="48">
        <f>SUMPRODUCT(--('Input|Historical Data'!$E$9:$E$1179=$E59),--('Input|Historical Data'!$O$9:$O$1179="SCS"),--('Input|Historical Data'!$M$9:$M$1179=N$5),'Input|Historical Data'!$I$9:$I$1179)</f>
        <v>0</v>
      </c>
      <c r="O59" s="49">
        <f t="shared" si="7"/>
        <v>0</v>
      </c>
      <c r="P59" s="49">
        <f t="shared" si="8"/>
        <v>1</v>
      </c>
      <c r="Q59" s="49">
        <f t="shared" si="9"/>
        <v>0</v>
      </c>
      <c r="R59" s="49">
        <f t="shared" si="10"/>
        <v>0</v>
      </c>
      <c r="S59" s="38"/>
      <c r="T59" s="48">
        <f>SUMPRODUCT(--('Input|Historical Data'!$Q$9:$Q$1179=$E59),--('Input|Historical Data'!$AA$9:$AA$1179="SCS"),--('Input|Historical Data'!$Y$9:$Y$1179=T$5),'Input|Historical Data'!$U$9:$U$1179)</f>
        <v>182.381</v>
      </c>
      <c r="U59" s="48">
        <f>SUMPRODUCT(--('Input|Historical Data'!$Q$9:$Q$1179=$E59),--('Input|Historical Data'!$AA$9:$AA$1179="SCS"),--('Input|Historical Data'!$Z$9:$Z$1179=U$5),'Input|Historical Data'!$U$9:$U$1179)</f>
        <v>0</v>
      </c>
      <c r="V59" s="48">
        <f>SUMPRODUCT(--('Input|Historical Data'!$Q$9:$Q$1179=$E59),--('Input|Historical Data'!$AA$9:$AA$1179="SCS"),--('Input|Historical Data'!$Z$9:$Z$1179=V$5),'Input|Historical Data'!$U$9:$U$1179)</f>
        <v>182.381</v>
      </c>
      <c r="W59" s="48">
        <f>SUMPRODUCT(--('Input|Historical Data'!$Q$9:$Q$1179=$E59),--('Input|Historical Data'!$AA$9:$AA$1179="SCS"),--('Input|Historical Data'!$Z$9:$Z$1179=W$5),'Input|Historical Data'!$U$9:$U$1179)</f>
        <v>0</v>
      </c>
      <c r="X59" s="48">
        <f>SUMPRODUCT(--('Input|Historical Data'!$Q$9:$Q$1179=$E59),--('Input|Historical Data'!$AA$9:$AA$1179="SCS"),--('Input|Historical Data'!$Y$9:$Y$1179=X$5),'Input|Historical Data'!$U$9:$U$1179)</f>
        <v>0</v>
      </c>
      <c r="Y59" s="49">
        <f t="shared" si="11"/>
        <v>0</v>
      </c>
      <c r="Z59" s="49">
        <f t="shared" si="1"/>
        <v>1</v>
      </c>
      <c r="AA59" s="49">
        <f t="shared" si="2"/>
        <v>0</v>
      </c>
      <c r="AB59" s="49">
        <f t="shared" si="12"/>
        <v>0</v>
      </c>
      <c r="AC59" s="38"/>
      <c r="AD59" s="48">
        <f>SUMPRODUCT(--('Input|Historical Data'!$AC$9:$AC$1180=$E59),--('Input|Historical Data'!$AM$9:$AM$1180="SCS"),--('Input|Historical Data'!$AK$9:$AK$1180=AD$5),'Input|Historical Data'!$AG$9:$AG$1180)</f>
        <v>93.087999999999994</v>
      </c>
      <c r="AE59" s="48">
        <f>SUMPRODUCT(--('Input|Historical Data'!$AC$9:$AC$1180=$E59),--('Input|Historical Data'!$AM$9:$AM$1180="SCS"),--('Input|Historical Data'!$AL$9:$AL$1180=AE$5),'Input|Historical Data'!$AG$9:$AG$1180)</f>
        <v>0</v>
      </c>
      <c r="AF59" s="48">
        <f>SUMPRODUCT(--('Input|Historical Data'!$AC$9:$AC$1180=$E59),--('Input|Historical Data'!$AM$9:$AM$1180="SCS"),--('Input|Historical Data'!$AL$9:$AL$1180=AF$5),'Input|Historical Data'!$AG$9:$AG$1180)</f>
        <v>93.087999999999994</v>
      </c>
      <c r="AG59" s="48">
        <f>SUMPRODUCT(--('Input|Historical Data'!$AC$9:$AC$1180=$E59),--('Input|Historical Data'!$AM$9:$AM$1180="SCS"),--('Input|Historical Data'!$AL$9:$AL$1180=AG$5),'Input|Historical Data'!$AG$9:$AG$1180)</f>
        <v>0</v>
      </c>
      <c r="AH59" s="48">
        <f>SUMPRODUCT(--('Input|Historical Data'!$AC$9:$AC$1180=$E59),--('Input|Historical Data'!$AM$9:$AM$1180="SCS"),--('Input|Historical Data'!$AK$9:$AK$1180=AH$5),'Input|Historical Data'!$AG$9:$AG$1180)</f>
        <v>0</v>
      </c>
      <c r="AI59" s="49">
        <f t="shared" si="17"/>
        <v>0</v>
      </c>
      <c r="AJ59" s="49">
        <f t="shared" si="18"/>
        <v>1</v>
      </c>
      <c r="AK59" s="49">
        <f t="shared" si="19"/>
        <v>0</v>
      </c>
      <c r="AL59" s="49">
        <f t="shared" si="20"/>
        <v>0</v>
      </c>
      <c r="AM59" s="38"/>
      <c r="AN59" s="48"/>
      <c r="AO59" s="48"/>
      <c r="AP59" s="48"/>
      <c r="AQ59" s="48"/>
      <c r="AR59" s="48"/>
      <c r="AS59" s="49"/>
      <c r="AT59" s="49"/>
      <c r="AU59" s="49"/>
      <c r="AV59" s="49"/>
      <c r="AW59" s="38"/>
      <c r="AX59" s="49">
        <f t="shared" si="21"/>
        <v>0</v>
      </c>
      <c r="AY59" s="49">
        <f t="shared" si="22"/>
        <v>1</v>
      </c>
      <c r="AZ59" s="49">
        <f t="shared" si="23"/>
        <v>0</v>
      </c>
      <c r="BA59" s="97">
        <v>0</v>
      </c>
      <c r="BB59" s="44"/>
    </row>
    <row r="60" spans="3:54" s="7" customFormat="1" outlineLevel="1" x14ac:dyDescent="0.3">
      <c r="C60" s="38"/>
      <c r="D60" s="38"/>
      <c r="E60" s="38" t="s">
        <v>601</v>
      </c>
      <c r="F60" s="38" t="s">
        <v>313</v>
      </c>
      <c r="G60" s="38" t="str">
        <f>VLOOKUP(E60,Mapping!$E$11:$G$204,3,0)</f>
        <v>Non-network general assets - Other</v>
      </c>
      <c r="H60" s="38" t="str">
        <f>VLOOKUP(E60,Mapping!$E$11:$K$204,7,0)</f>
        <v>Land</v>
      </c>
      <c r="I60" s="38"/>
      <c r="J60" s="48">
        <f>SUMPRODUCT(--('Input|Historical Data'!$E$9:$E$1179=$E60),--('Input|Historical Data'!$O$9:$O$1179="SCS"),--('Input|Historical Data'!$M$9:$M$1179=J$5),'Input|Historical Data'!$I$9:$I$1179)</f>
        <v>0</v>
      </c>
      <c r="K60" s="48">
        <f>SUMPRODUCT(--('Input|Historical Data'!$E$9:$E$1179=$E60),--('Input|Historical Data'!$O$9:$O$1179="SCS"),--('Input|Historical Data'!$N$9:$N$1179=K$5),'Input|Historical Data'!$I$9:$I$1179)</f>
        <v>0</v>
      </c>
      <c r="L60" s="48">
        <f>SUMPRODUCT(--('Input|Historical Data'!$E$9:$E$1179=$E60),--('Input|Historical Data'!$O$9:$O$1179="SCS"),--('Input|Historical Data'!$N$9:$N$1179=L$5),'Input|Historical Data'!$I$9:$I$1179)</f>
        <v>0</v>
      </c>
      <c r="M60" s="48">
        <f>SUMPRODUCT(--('Input|Historical Data'!$E$9:$E$1179=$E60),--('Input|Historical Data'!$O$9:$O$1179="SCS"),--('Input|Historical Data'!$N$9:$N$1179=M$5),'Input|Historical Data'!$I$9:$I$1179)</f>
        <v>0</v>
      </c>
      <c r="N60" s="48">
        <f>SUMPRODUCT(--('Input|Historical Data'!$E$9:$E$1179=$E60),--('Input|Historical Data'!$O$9:$O$1179="SCS"),--('Input|Historical Data'!$M$9:$M$1179=N$5),'Input|Historical Data'!$I$9:$I$1179)</f>
        <v>0</v>
      </c>
      <c r="O60" s="49">
        <f t="shared" si="7"/>
        <v>0</v>
      </c>
      <c r="P60" s="49">
        <f t="shared" si="8"/>
        <v>0</v>
      </c>
      <c r="Q60" s="49">
        <f t="shared" si="9"/>
        <v>0</v>
      </c>
      <c r="R60" s="49">
        <f t="shared" si="10"/>
        <v>0</v>
      </c>
      <c r="S60" s="38"/>
      <c r="T60" s="48">
        <f>SUMPRODUCT(--('Input|Historical Data'!$Q$9:$Q$1179=$E60),--('Input|Historical Data'!$AA$9:$AA$1179="SCS"),--('Input|Historical Data'!$Y$9:$Y$1179=T$5),'Input|Historical Data'!$U$9:$U$1179)</f>
        <v>0</v>
      </c>
      <c r="U60" s="48">
        <f>SUMPRODUCT(--('Input|Historical Data'!$Q$9:$Q$1179=$E60),--('Input|Historical Data'!$AA$9:$AA$1179="SCS"),--('Input|Historical Data'!$Z$9:$Z$1179=U$5),'Input|Historical Data'!$U$9:$U$1179)</f>
        <v>0</v>
      </c>
      <c r="V60" s="48">
        <f>SUMPRODUCT(--('Input|Historical Data'!$Q$9:$Q$1179=$E60),--('Input|Historical Data'!$AA$9:$AA$1179="SCS"),--('Input|Historical Data'!$Z$9:$Z$1179=V$5),'Input|Historical Data'!$U$9:$U$1179)</f>
        <v>0</v>
      </c>
      <c r="W60" s="48">
        <f>SUMPRODUCT(--('Input|Historical Data'!$Q$9:$Q$1179=$E60),--('Input|Historical Data'!$AA$9:$AA$1179="SCS"),--('Input|Historical Data'!$Z$9:$Z$1179=W$5),'Input|Historical Data'!$U$9:$U$1179)</f>
        <v>0</v>
      </c>
      <c r="X60" s="48">
        <f>SUMPRODUCT(--('Input|Historical Data'!$Q$9:$Q$1179=$E60),--('Input|Historical Data'!$AA$9:$AA$1179="SCS"),--('Input|Historical Data'!$Y$9:$Y$1179=X$5),'Input|Historical Data'!$U$9:$U$1179)</f>
        <v>0</v>
      </c>
      <c r="Y60" s="49">
        <f t="shared" si="11"/>
        <v>0</v>
      </c>
      <c r="Z60" s="49">
        <f t="shared" si="1"/>
        <v>0</v>
      </c>
      <c r="AA60" s="49">
        <f t="shared" si="2"/>
        <v>0</v>
      </c>
      <c r="AB60" s="49">
        <f t="shared" si="12"/>
        <v>0</v>
      </c>
      <c r="AC60" s="38"/>
      <c r="AD60" s="48">
        <f>SUMPRODUCT(--('Input|Historical Data'!$AC$9:$AC$1180=$E60),--('Input|Historical Data'!$AM$9:$AM$1180="SCS"),--('Input|Historical Data'!$AK$9:$AK$1180=AD$5),'Input|Historical Data'!$AG$9:$AG$1180)</f>
        <v>0</v>
      </c>
      <c r="AE60" s="48">
        <f>SUMPRODUCT(--('Input|Historical Data'!$AC$9:$AC$1180=$E60),--('Input|Historical Data'!$AM$9:$AM$1180="SCS"),--('Input|Historical Data'!$AL$9:$AL$1180=AE$5),'Input|Historical Data'!$AG$9:$AG$1180)</f>
        <v>0</v>
      </c>
      <c r="AF60" s="48">
        <f>SUMPRODUCT(--('Input|Historical Data'!$AC$9:$AC$1180=$E60),--('Input|Historical Data'!$AM$9:$AM$1180="SCS"),--('Input|Historical Data'!$AL$9:$AL$1180=AF$5),'Input|Historical Data'!$AG$9:$AG$1180)</f>
        <v>0</v>
      </c>
      <c r="AG60" s="48">
        <f>SUMPRODUCT(--('Input|Historical Data'!$AC$9:$AC$1180=$E60),--('Input|Historical Data'!$AM$9:$AM$1180="SCS"),--('Input|Historical Data'!$AL$9:$AL$1180=AG$5),'Input|Historical Data'!$AG$9:$AG$1180)</f>
        <v>0</v>
      </c>
      <c r="AH60" s="48">
        <f>SUMPRODUCT(--('Input|Historical Data'!$AC$9:$AC$1180=$E60),--('Input|Historical Data'!$AM$9:$AM$1180="SCS"),--('Input|Historical Data'!$AK$9:$AK$1180=AH$5),'Input|Historical Data'!$AG$9:$AG$1180)</f>
        <v>0</v>
      </c>
      <c r="AI60" s="49">
        <f t="shared" si="17"/>
        <v>0</v>
      </c>
      <c r="AJ60" s="49">
        <f t="shared" si="18"/>
        <v>0</v>
      </c>
      <c r="AK60" s="49">
        <f t="shared" si="19"/>
        <v>0</v>
      </c>
      <c r="AL60" s="49">
        <f t="shared" si="20"/>
        <v>0</v>
      </c>
      <c r="AM60" s="38"/>
      <c r="AN60" s="48"/>
      <c r="AO60" s="48"/>
      <c r="AP60" s="48"/>
      <c r="AQ60" s="48"/>
      <c r="AR60" s="48"/>
      <c r="AS60" s="49"/>
      <c r="AT60" s="49"/>
      <c r="AU60" s="49"/>
      <c r="AV60" s="49"/>
      <c r="AW60" s="38"/>
      <c r="AX60" s="49">
        <f t="shared" si="21"/>
        <v>0</v>
      </c>
      <c r="AY60" s="49">
        <f t="shared" si="22"/>
        <v>0</v>
      </c>
      <c r="AZ60" s="49">
        <f t="shared" si="23"/>
        <v>0</v>
      </c>
      <c r="BA60" s="49">
        <f t="shared" si="24"/>
        <v>0</v>
      </c>
      <c r="BB60" s="44"/>
    </row>
    <row r="61" spans="3:54" s="7" customFormat="1" outlineLevel="1" x14ac:dyDescent="0.3">
      <c r="C61" s="38"/>
      <c r="D61" s="38"/>
      <c r="E61" s="38" t="s">
        <v>132</v>
      </c>
      <c r="F61" s="38" t="s">
        <v>314</v>
      </c>
      <c r="G61" s="38" t="str">
        <f>VLOOKUP(E61,Mapping!$E$11:$G$204,3,0)</f>
        <v>ACS</v>
      </c>
      <c r="H61" s="38" t="str">
        <f>VLOOKUP(E61,Mapping!$E$11:$K$204,7,0)</f>
        <v>ACS</v>
      </c>
      <c r="I61" s="38"/>
      <c r="J61" s="48">
        <f>SUMPRODUCT(--('Input|Historical Data'!$E$9:$E$1179=$E61),--('Input|Historical Data'!$O$9:$O$1179="SCS"),--('Input|Historical Data'!$M$9:$M$1179=J$5),'Input|Historical Data'!$I$9:$I$1179)</f>
        <v>0</v>
      </c>
      <c r="K61" s="48">
        <f>SUMPRODUCT(--('Input|Historical Data'!$E$9:$E$1179=$E61),--('Input|Historical Data'!$O$9:$O$1179="SCS"),--('Input|Historical Data'!$N$9:$N$1179=K$5),'Input|Historical Data'!$I$9:$I$1179)</f>
        <v>0</v>
      </c>
      <c r="L61" s="48">
        <f>SUMPRODUCT(--('Input|Historical Data'!$E$9:$E$1179=$E61),--('Input|Historical Data'!$O$9:$O$1179="SCS"),--('Input|Historical Data'!$N$9:$N$1179=L$5),'Input|Historical Data'!$I$9:$I$1179)</f>
        <v>0</v>
      </c>
      <c r="M61" s="48">
        <f>SUMPRODUCT(--('Input|Historical Data'!$E$9:$E$1179=$E61),--('Input|Historical Data'!$O$9:$O$1179="SCS"),--('Input|Historical Data'!$N$9:$N$1179=M$5),'Input|Historical Data'!$I$9:$I$1179)</f>
        <v>0</v>
      </c>
      <c r="N61" s="48">
        <f>SUMPRODUCT(--('Input|Historical Data'!$E$9:$E$1179=$E61),--('Input|Historical Data'!$O$9:$O$1179="SCS"),--('Input|Historical Data'!$M$9:$M$1179=N$5),'Input|Historical Data'!$I$9:$I$1179)</f>
        <v>0</v>
      </c>
      <c r="O61" s="49">
        <f t="shared" si="7"/>
        <v>0</v>
      </c>
      <c r="P61" s="49">
        <f t="shared" si="8"/>
        <v>0</v>
      </c>
      <c r="Q61" s="49">
        <f t="shared" si="9"/>
        <v>0</v>
      </c>
      <c r="R61" s="49">
        <f t="shared" si="10"/>
        <v>0</v>
      </c>
      <c r="S61" s="38"/>
      <c r="T61" s="48">
        <f>SUMPRODUCT(--('Input|Historical Data'!$Q$9:$Q$1179=$E61),--('Input|Historical Data'!$AA$9:$AA$1179="SCS"),--('Input|Historical Data'!$Y$9:$Y$1179=T$5),'Input|Historical Data'!$U$9:$U$1179)</f>
        <v>0</v>
      </c>
      <c r="U61" s="48">
        <f>SUMPRODUCT(--('Input|Historical Data'!$Q$9:$Q$1179=$E61),--('Input|Historical Data'!$AA$9:$AA$1179="SCS"),--('Input|Historical Data'!$Z$9:$Z$1179=U$5),'Input|Historical Data'!$U$9:$U$1179)</f>
        <v>0</v>
      </c>
      <c r="V61" s="48">
        <f>SUMPRODUCT(--('Input|Historical Data'!$Q$9:$Q$1179=$E61),--('Input|Historical Data'!$AA$9:$AA$1179="SCS"),--('Input|Historical Data'!$Z$9:$Z$1179=V$5),'Input|Historical Data'!$U$9:$U$1179)</f>
        <v>0</v>
      </c>
      <c r="W61" s="48">
        <f>SUMPRODUCT(--('Input|Historical Data'!$Q$9:$Q$1179=$E61),--('Input|Historical Data'!$AA$9:$AA$1179="SCS"),--('Input|Historical Data'!$Z$9:$Z$1179=W$5),'Input|Historical Data'!$U$9:$U$1179)</f>
        <v>0</v>
      </c>
      <c r="X61" s="48">
        <f>SUMPRODUCT(--('Input|Historical Data'!$Q$9:$Q$1179=$E61),--('Input|Historical Data'!$AA$9:$AA$1179="SCS"),--('Input|Historical Data'!$Y$9:$Y$1179=X$5),'Input|Historical Data'!$U$9:$U$1179)</f>
        <v>0</v>
      </c>
      <c r="Y61" s="49">
        <f t="shared" si="11"/>
        <v>0</v>
      </c>
      <c r="Z61" s="49">
        <f t="shared" si="1"/>
        <v>0</v>
      </c>
      <c r="AA61" s="49">
        <f t="shared" si="2"/>
        <v>0</v>
      </c>
      <c r="AB61" s="49">
        <f t="shared" si="12"/>
        <v>0</v>
      </c>
      <c r="AC61" s="38"/>
      <c r="AD61" s="48">
        <f>SUMPRODUCT(--('Input|Historical Data'!$AC$9:$AC$1180=$E61),--('Input|Historical Data'!$AM$9:$AM$1180="SCS"),--('Input|Historical Data'!$AK$9:$AK$1180=AD$5),'Input|Historical Data'!$AG$9:$AG$1180)</f>
        <v>0</v>
      </c>
      <c r="AE61" s="48">
        <f>SUMPRODUCT(--('Input|Historical Data'!$AC$9:$AC$1180=$E61),--('Input|Historical Data'!$AM$9:$AM$1180="SCS"),--('Input|Historical Data'!$AL$9:$AL$1180=AE$5),'Input|Historical Data'!$AG$9:$AG$1180)</f>
        <v>0</v>
      </c>
      <c r="AF61" s="48">
        <f>SUMPRODUCT(--('Input|Historical Data'!$AC$9:$AC$1180=$E61),--('Input|Historical Data'!$AM$9:$AM$1180="SCS"),--('Input|Historical Data'!$AL$9:$AL$1180=AF$5),'Input|Historical Data'!$AG$9:$AG$1180)</f>
        <v>0</v>
      </c>
      <c r="AG61" s="48">
        <f>SUMPRODUCT(--('Input|Historical Data'!$AC$9:$AC$1180=$E61),--('Input|Historical Data'!$AM$9:$AM$1180="SCS"),--('Input|Historical Data'!$AL$9:$AL$1180=AG$5),'Input|Historical Data'!$AG$9:$AG$1180)</f>
        <v>0</v>
      </c>
      <c r="AH61" s="48">
        <f>SUMPRODUCT(--('Input|Historical Data'!$AC$9:$AC$1180=$E61),--('Input|Historical Data'!$AM$9:$AM$1180="SCS"),--('Input|Historical Data'!$AK$9:$AK$1180=AH$5),'Input|Historical Data'!$AG$9:$AG$1180)</f>
        <v>0</v>
      </c>
      <c r="AI61" s="49">
        <f t="shared" si="17"/>
        <v>0</v>
      </c>
      <c r="AJ61" s="49">
        <f t="shared" si="18"/>
        <v>0</v>
      </c>
      <c r="AK61" s="49">
        <f t="shared" si="19"/>
        <v>0</v>
      </c>
      <c r="AL61" s="49">
        <f t="shared" si="20"/>
        <v>0</v>
      </c>
      <c r="AM61" s="38"/>
      <c r="AN61" s="48"/>
      <c r="AO61" s="48"/>
      <c r="AP61" s="48"/>
      <c r="AQ61" s="48"/>
      <c r="AR61" s="48"/>
      <c r="AS61" s="49"/>
      <c r="AT61" s="49"/>
      <c r="AU61" s="49"/>
      <c r="AV61" s="49"/>
      <c r="AW61" s="38"/>
      <c r="AX61" s="49">
        <f t="shared" si="21"/>
        <v>0</v>
      </c>
      <c r="AY61" s="49">
        <f t="shared" si="22"/>
        <v>0</v>
      </c>
      <c r="AZ61" s="49">
        <f t="shared" si="23"/>
        <v>0</v>
      </c>
      <c r="BA61" s="49">
        <f t="shared" si="24"/>
        <v>0</v>
      </c>
      <c r="BB61" s="44"/>
    </row>
    <row r="62" spans="3:54" s="7" customFormat="1" outlineLevel="1" x14ac:dyDescent="0.3">
      <c r="C62" s="38"/>
      <c r="D62" s="38"/>
      <c r="E62" s="38" t="s">
        <v>133</v>
      </c>
      <c r="F62" s="38" t="s">
        <v>315</v>
      </c>
      <c r="G62" s="38" t="str">
        <f>VLOOKUP(E62,Mapping!$E$11:$G$204,3,0)</f>
        <v>ACS</v>
      </c>
      <c r="H62" s="38" t="str">
        <f>VLOOKUP(E62,Mapping!$E$11:$K$204,7,0)</f>
        <v>ACS</v>
      </c>
      <c r="I62" s="38"/>
      <c r="J62" s="48">
        <f>SUMPRODUCT(--('Input|Historical Data'!$E$9:$E$1179=$E62),--('Input|Historical Data'!$O$9:$O$1179="SCS"),--('Input|Historical Data'!$M$9:$M$1179=J$5),'Input|Historical Data'!$I$9:$I$1179)</f>
        <v>0</v>
      </c>
      <c r="K62" s="48">
        <f>SUMPRODUCT(--('Input|Historical Data'!$E$9:$E$1179=$E62),--('Input|Historical Data'!$O$9:$O$1179="SCS"),--('Input|Historical Data'!$N$9:$N$1179=K$5),'Input|Historical Data'!$I$9:$I$1179)</f>
        <v>0</v>
      </c>
      <c r="L62" s="48">
        <f>SUMPRODUCT(--('Input|Historical Data'!$E$9:$E$1179=$E62),--('Input|Historical Data'!$O$9:$O$1179="SCS"),--('Input|Historical Data'!$N$9:$N$1179=L$5),'Input|Historical Data'!$I$9:$I$1179)</f>
        <v>0</v>
      </c>
      <c r="M62" s="48">
        <f>SUMPRODUCT(--('Input|Historical Data'!$E$9:$E$1179=$E62),--('Input|Historical Data'!$O$9:$O$1179="SCS"),--('Input|Historical Data'!$N$9:$N$1179=M$5),'Input|Historical Data'!$I$9:$I$1179)</f>
        <v>0</v>
      </c>
      <c r="N62" s="48">
        <f>SUMPRODUCT(--('Input|Historical Data'!$E$9:$E$1179=$E62),--('Input|Historical Data'!$O$9:$O$1179="SCS"),--('Input|Historical Data'!$M$9:$M$1179=N$5),'Input|Historical Data'!$I$9:$I$1179)</f>
        <v>0</v>
      </c>
      <c r="O62" s="49">
        <f t="shared" si="7"/>
        <v>0</v>
      </c>
      <c r="P62" s="49">
        <f t="shared" si="8"/>
        <v>0</v>
      </c>
      <c r="Q62" s="49">
        <f t="shared" si="9"/>
        <v>0</v>
      </c>
      <c r="R62" s="49">
        <f t="shared" si="10"/>
        <v>0</v>
      </c>
      <c r="S62" s="38"/>
      <c r="T62" s="48">
        <f>SUMPRODUCT(--('Input|Historical Data'!$Q$9:$Q$1179=$E62),--('Input|Historical Data'!$AA$9:$AA$1179="SCS"),--('Input|Historical Data'!$Y$9:$Y$1179=T$5),'Input|Historical Data'!$U$9:$U$1179)</f>
        <v>0</v>
      </c>
      <c r="U62" s="48">
        <f>SUMPRODUCT(--('Input|Historical Data'!$Q$9:$Q$1179=$E62),--('Input|Historical Data'!$AA$9:$AA$1179="SCS"),--('Input|Historical Data'!$Z$9:$Z$1179=U$5),'Input|Historical Data'!$U$9:$U$1179)</f>
        <v>0</v>
      </c>
      <c r="V62" s="48">
        <f>SUMPRODUCT(--('Input|Historical Data'!$Q$9:$Q$1179=$E62),--('Input|Historical Data'!$AA$9:$AA$1179="SCS"),--('Input|Historical Data'!$Z$9:$Z$1179=V$5),'Input|Historical Data'!$U$9:$U$1179)</f>
        <v>0</v>
      </c>
      <c r="W62" s="48">
        <f>SUMPRODUCT(--('Input|Historical Data'!$Q$9:$Q$1179=$E62),--('Input|Historical Data'!$AA$9:$AA$1179="SCS"),--('Input|Historical Data'!$Z$9:$Z$1179=W$5),'Input|Historical Data'!$U$9:$U$1179)</f>
        <v>0</v>
      </c>
      <c r="X62" s="48">
        <f>SUMPRODUCT(--('Input|Historical Data'!$Q$9:$Q$1179=$E62),--('Input|Historical Data'!$AA$9:$AA$1179="SCS"),--('Input|Historical Data'!$Y$9:$Y$1179=X$5),'Input|Historical Data'!$U$9:$U$1179)</f>
        <v>0</v>
      </c>
      <c r="Y62" s="49">
        <f t="shared" si="11"/>
        <v>0</v>
      </c>
      <c r="Z62" s="49">
        <f t="shared" si="1"/>
        <v>0</v>
      </c>
      <c r="AA62" s="49">
        <f t="shared" si="2"/>
        <v>0</v>
      </c>
      <c r="AB62" s="49">
        <f t="shared" si="12"/>
        <v>0</v>
      </c>
      <c r="AC62" s="38"/>
      <c r="AD62" s="48">
        <f>SUMPRODUCT(--('Input|Historical Data'!$AC$9:$AC$1180=$E62),--('Input|Historical Data'!$AM$9:$AM$1180="SCS"),--('Input|Historical Data'!$AK$9:$AK$1180=AD$5),'Input|Historical Data'!$AG$9:$AG$1180)</f>
        <v>0</v>
      </c>
      <c r="AE62" s="48">
        <f>SUMPRODUCT(--('Input|Historical Data'!$AC$9:$AC$1180=$E62),--('Input|Historical Data'!$AM$9:$AM$1180="SCS"),--('Input|Historical Data'!$AL$9:$AL$1180=AE$5),'Input|Historical Data'!$AG$9:$AG$1180)</f>
        <v>0</v>
      </c>
      <c r="AF62" s="48">
        <f>SUMPRODUCT(--('Input|Historical Data'!$AC$9:$AC$1180=$E62),--('Input|Historical Data'!$AM$9:$AM$1180="SCS"),--('Input|Historical Data'!$AL$9:$AL$1180=AF$5),'Input|Historical Data'!$AG$9:$AG$1180)</f>
        <v>0</v>
      </c>
      <c r="AG62" s="48">
        <f>SUMPRODUCT(--('Input|Historical Data'!$AC$9:$AC$1180=$E62),--('Input|Historical Data'!$AM$9:$AM$1180="SCS"),--('Input|Historical Data'!$AL$9:$AL$1180=AG$5),'Input|Historical Data'!$AG$9:$AG$1180)</f>
        <v>0</v>
      </c>
      <c r="AH62" s="48">
        <f>SUMPRODUCT(--('Input|Historical Data'!$AC$9:$AC$1180=$E62),--('Input|Historical Data'!$AM$9:$AM$1180="SCS"),--('Input|Historical Data'!$AK$9:$AK$1180=AH$5),'Input|Historical Data'!$AG$9:$AG$1180)</f>
        <v>0</v>
      </c>
      <c r="AI62" s="49">
        <f t="shared" si="17"/>
        <v>0</v>
      </c>
      <c r="AJ62" s="49">
        <f t="shared" si="18"/>
        <v>0</v>
      </c>
      <c r="AK62" s="49">
        <f t="shared" si="19"/>
        <v>0</v>
      </c>
      <c r="AL62" s="49">
        <f t="shared" si="20"/>
        <v>0</v>
      </c>
      <c r="AM62" s="38"/>
      <c r="AN62" s="48"/>
      <c r="AO62" s="48"/>
      <c r="AP62" s="48"/>
      <c r="AQ62" s="48"/>
      <c r="AR62" s="48"/>
      <c r="AS62" s="49"/>
      <c r="AT62" s="49"/>
      <c r="AU62" s="49"/>
      <c r="AV62" s="49"/>
      <c r="AW62" s="38"/>
      <c r="AX62" s="49">
        <f t="shared" si="21"/>
        <v>0</v>
      </c>
      <c r="AY62" s="49">
        <f t="shared" si="22"/>
        <v>0</v>
      </c>
      <c r="AZ62" s="49">
        <f t="shared" si="23"/>
        <v>0</v>
      </c>
      <c r="BA62" s="49">
        <f t="shared" si="24"/>
        <v>0</v>
      </c>
      <c r="BB62" s="44"/>
    </row>
    <row r="63" spans="3:54" s="7" customFormat="1" outlineLevel="1" x14ac:dyDescent="0.3">
      <c r="C63" s="38"/>
      <c r="D63" s="38"/>
      <c r="E63" s="38" t="s">
        <v>134</v>
      </c>
      <c r="F63" s="38" t="s">
        <v>316</v>
      </c>
      <c r="G63" s="38" t="str">
        <f>VLOOKUP(E63,Mapping!$E$11:$G$204,3,0)</f>
        <v>ACS</v>
      </c>
      <c r="H63" s="38" t="str">
        <f>VLOOKUP(E63,Mapping!$E$11:$K$204,7,0)</f>
        <v>ACS</v>
      </c>
      <c r="I63" s="38"/>
      <c r="J63" s="48">
        <f>SUMPRODUCT(--('Input|Historical Data'!$E$9:$E$1179=$E63),--('Input|Historical Data'!$O$9:$O$1179="SCS"),--('Input|Historical Data'!$M$9:$M$1179=J$5),'Input|Historical Data'!$I$9:$I$1179)</f>
        <v>0</v>
      </c>
      <c r="K63" s="48">
        <f>SUMPRODUCT(--('Input|Historical Data'!$E$9:$E$1179=$E63),--('Input|Historical Data'!$O$9:$O$1179="SCS"),--('Input|Historical Data'!$N$9:$N$1179=K$5),'Input|Historical Data'!$I$9:$I$1179)</f>
        <v>0</v>
      </c>
      <c r="L63" s="48">
        <f>SUMPRODUCT(--('Input|Historical Data'!$E$9:$E$1179=$E63),--('Input|Historical Data'!$O$9:$O$1179="SCS"),--('Input|Historical Data'!$N$9:$N$1179=L$5),'Input|Historical Data'!$I$9:$I$1179)</f>
        <v>0</v>
      </c>
      <c r="M63" s="48">
        <f>SUMPRODUCT(--('Input|Historical Data'!$E$9:$E$1179=$E63),--('Input|Historical Data'!$O$9:$O$1179="SCS"),--('Input|Historical Data'!$N$9:$N$1179=M$5),'Input|Historical Data'!$I$9:$I$1179)</f>
        <v>0</v>
      </c>
      <c r="N63" s="48">
        <f>SUMPRODUCT(--('Input|Historical Data'!$E$9:$E$1179=$E63),--('Input|Historical Data'!$O$9:$O$1179="SCS"),--('Input|Historical Data'!$M$9:$M$1179=N$5),'Input|Historical Data'!$I$9:$I$1179)</f>
        <v>0</v>
      </c>
      <c r="O63" s="49">
        <f t="shared" si="7"/>
        <v>0</v>
      </c>
      <c r="P63" s="49">
        <f t="shared" si="8"/>
        <v>0</v>
      </c>
      <c r="Q63" s="49">
        <f t="shared" si="9"/>
        <v>0</v>
      </c>
      <c r="R63" s="49">
        <f t="shared" si="10"/>
        <v>0</v>
      </c>
      <c r="S63" s="38"/>
      <c r="T63" s="48">
        <f>SUMPRODUCT(--('Input|Historical Data'!$Q$9:$Q$1179=$E63),--('Input|Historical Data'!$AA$9:$AA$1179="SCS"),--('Input|Historical Data'!$Y$9:$Y$1179=T$5),'Input|Historical Data'!$U$9:$U$1179)</f>
        <v>0</v>
      </c>
      <c r="U63" s="48">
        <f>SUMPRODUCT(--('Input|Historical Data'!$Q$9:$Q$1179=$E63),--('Input|Historical Data'!$AA$9:$AA$1179="SCS"),--('Input|Historical Data'!$Z$9:$Z$1179=U$5),'Input|Historical Data'!$U$9:$U$1179)</f>
        <v>0</v>
      </c>
      <c r="V63" s="48">
        <f>SUMPRODUCT(--('Input|Historical Data'!$Q$9:$Q$1179=$E63),--('Input|Historical Data'!$AA$9:$AA$1179="SCS"),--('Input|Historical Data'!$Z$9:$Z$1179=V$5),'Input|Historical Data'!$U$9:$U$1179)</f>
        <v>0</v>
      </c>
      <c r="W63" s="48">
        <f>SUMPRODUCT(--('Input|Historical Data'!$Q$9:$Q$1179=$E63),--('Input|Historical Data'!$AA$9:$AA$1179="SCS"),--('Input|Historical Data'!$Z$9:$Z$1179=W$5),'Input|Historical Data'!$U$9:$U$1179)</f>
        <v>0</v>
      </c>
      <c r="X63" s="48">
        <f>SUMPRODUCT(--('Input|Historical Data'!$Q$9:$Q$1179=$E63),--('Input|Historical Data'!$AA$9:$AA$1179="SCS"),--('Input|Historical Data'!$Y$9:$Y$1179=X$5),'Input|Historical Data'!$U$9:$U$1179)</f>
        <v>0</v>
      </c>
      <c r="Y63" s="49">
        <f t="shared" si="11"/>
        <v>0</v>
      </c>
      <c r="Z63" s="49">
        <f t="shared" si="1"/>
        <v>0</v>
      </c>
      <c r="AA63" s="49">
        <f t="shared" si="2"/>
        <v>0</v>
      </c>
      <c r="AB63" s="49">
        <f t="shared" si="12"/>
        <v>0</v>
      </c>
      <c r="AC63" s="38"/>
      <c r="AD63" s="48">
        <f>SUMPRODUCT(--('Input|Historical Data'!$AC$9:$AC$1180=$E63),--('Input|Historical Data'!$AM$9:$AM$1180="SCS"),--('Input|Historical Data'!$AK$9:$AK$1180=AD$5),'Input|Historical Data'!$AG$9:$AG$1180)</f>
        <v>0</v>
      </c>
      <c r="AE63" s="48">
        <f>SUMPRODUCT(--('Input|Historical Data'!$AC$9:$AC$1180=$E63),--('Input|Historical Data'!$AM$9:$AM$1180="SCS"),--('Input|Historical Data'!$AL$9:$AL$1180=AE$5),'Input|Historical Data'!$AG$9:$AG$1180)</f>
        <v>0</v>
      </c>
      <c r="AF63" s="48">
        <f>SUMPRODUCT(--('Input|Historical Data'!$AC$9:$AC$1180=$E63),--('Input|Historical Data'!$AM$9:$AM$1180="SCS"),--('Input|Historical Data'!$AL$9:$AL$1180=AF$5),'Input|Historical Data'!$AG$9:$AG$1180)</f>
        <v>0</v>
      </c>
      <c r="AG63" s="48">
        <f>SUMPRODUCT(--('Input|Historical Data'!$AC$9:$AC$1180=$E63),--('Input|Historical Data'!$AM$9:$AM$1180="SCS"),--('Input|Historical Data'!$AL$9:$AL$1180=AG$5),'Input|Historical Data'!$AG$9:$AG$1180)</f>
        <v>0</v>
      </c>
      <c r="AH63" s="48">
        <f>SUMPRODUCT(--('Input|Historical Data'!$AC$9:$AC$1180=$E63),--('Input|Historical Data'!$AM$9:$AM$1180="SCS"),--('Input|Historical Data'!$AK$9:$AK$1180=AH$5),'Input|Historical Data'!$AG$9:$AG$1180)</f>
        <v>0</v>
      </c>
      <c r="AI63" s="49">
        <f t="shared" si="17"/>
        <v>0</v>
      </c>
      <c r="AJ63" s="49">
        <f t="shared" si="18"/>
        <v>0</v>
      </c>
      <c r="AK63" s="49">
        <f t="shared" si="19"/>
        <v>0</v>
      </c>
      <c r="AL63" s="49">
        <f t="shared" si="20"/>
        <v>0</v>
      </c>
      <c r="AM63" s="38"/>
      <c r="AN63" s="48"/>
      <c r="AO63" s="48"/>
      <c r="AP63" s="48"/>
      <c r="AQ63" s="48"/>
      <c r="AR63" s="48"/>
      <c r="AS63" s="49"/>
      <c r="AT63" s="49"/>
      <c r="AU63" s="49"/>
      <c r="AV63" s="49"/>
      <c r="AW63" s="38"/>
      <c r="AX63" s="49">
        <f t="shared" si="21"/>
        <v>0</v>
      </c>
      <c r="AY63" s="49">
        <f t="shared" si="22"/>
        <v>0</v>
      </c>
      <c r="AZ63" s="49">
        <f t="shared" si="23"/>
        <v>0</v>
      </c>
      <c r="BA63" s="49">
        <f t="shared" si="24"/>
        <v>0</v>
      </c>
      <c r="BB63" s="44"/>
    </row>
    <row r="64" spans="3:54" s="7" customFormat="1" outlineLevel="1" x14ac:dyDescent="0.3">
      <c r="C64" s="38"/>
      <c r="D64" s="38"/>
      <c r="E64" s="38" t="s">
        <v>135</v>
      </c>
      <c r="F64" s="38" t="s">
        <v>317</v>
      </c>
      <c r="G64" s="38" t="str">
        <f>VLOOKUP(E64,Mapping!$E$11:$G$204,3,0)</f>
        <v>ACS</v>
      </c>
      <c r="H64" s="38" t="str">
        <f>VLOOKUP(E64,Mapping!$E$11:$K$204,7,0)</f>
        <v>ACS</v>
      </c>
      <c r="I64" s="38"/>
      <c r="J64" s="48">
        <f>SUMPRODUCT(--('Input|Historical Data'!$E$9:$E$1179=$E64),--('Input|Historical Data'!$O$9:$O$1179="SCS"),--('Input|Historical Data'!$M$9:$M$1179=J$5),'Input|Historical Data'!$I$9:$I$1179)</f>
        <v>0</v>
      </c>
      <c r="K64" s="48">
        <f>SUMPRODUCT(--('Input|Historical Data'!$E$9:$E$1179=$E64),--('Input|Historical Data'!$O$9:$O$1179="SCS"),--('Input|Historical Data'!$N$9:$N$1179=K$5),'Input|Historical Data'!$I$9:$I$1179)</f>
        <v>0</v>
      </c>
      <c r="L64" s="48">
        <f>SUMPRODUCT(--('Input|Historical Data'!$E$9:$E$1179=$E64),--('Input|Historical Data'!$O$9:$O$1179="SCS"),--('Input|Historical Data'!$N$9:$N$1179=L$5),'Input|Historical Data'!$I$9:$I$1179)</f>
        <v>0</v>
      </c>
      <c r="M64" s="48">
        <f>SUMPRODUCT(--('Input|Historical Data'!$E$9:$E$1179=$E64),--('Input|Historical Data'!$O$9:$O$1179="SCS"),--('Input|Historical Data'!$N$9:$N$1179=M$5),'Input|Historical Data'!$I$9:$I$1179)</f>
        <v>0</v>
      </c>
      <c r="N64" s="48">
        <f>SUMPRODUCT(--('Input|Historical Data'!$E$9:$E$1179=$E64),--('Input|Historical Data'!$O$9:$O$1179="SCS"),--('Input|Historical Data'!$M$9:$M$1179=N$5),'Input|Historical Data'!$I$9:$I$1179)</f>
        <v>0</v>
      </c>
      <c r="O64" s="49">
        <f t="shared" si="7"/>
        <v>0</v>
      </c>
      <c r="P64" s="49">
        <f t="shared" si="8"/>
        <v>0</v>
      </c>
      <c r="Q64" s="49">
        <f t="shared" si="9"/>
        <v>0</v>
      </c>
      <c r="R64" s="49">
        <f t="shared" si="10"/>
        <v>0</v>
      </c>
      <c r="S64" s="38"/>
      <c r="T64" s="48">
        <f>SUMPRODUCT(--('Input|Historical Data'!$Q$9:$Q$1179=$E64),--('Input|Historical Data'!$AA$9:$AA$1179="SCS"),--('Input|Historical Data'!$Y$9:$Y$1179=T$5),'Input|Historical Data'!$U$9:$U$1179)</f>
        <v>0</v>
      </c>
      <c r="U64" s="48">
        <f>SUMPRODUCT(--('Input|Historical Data'!$Q$9:$Q$1179=$E64),--('Input|Historical Data'!$AA$9:$AA$1179="SCS"),--('Input|Historical Data'!$Z$9:$Z$1179=U$5),'Input|Historical Data'!$U$9:$U$1179)</f>
        <v>0</v>
      </c>
      <c r="V64" s="48">
        <f>SUMPRODUCT(--('Input|Historical Data'!$Q$9:$Q$1179=$E64),--('Input|Historical Data'!$AA$9:$AA$1179="SCS"),--('Input|Historical Data'!$Z$9:$Z$1179=V$5),'Input|Historical Data'!$U$9:$U$1179)</f>
        <v>0</v>
      </c>
      <c r="W64" s="48">
        <f>SUMPRODUCT(--('Input|Historical Data'!$Q$9:$Q$1179=$E64),--('Input|Historical Data'!$AA$9:$AA$1179="SCS"),--('Input|Historical Data'!$Z$9:$Z$1179=W$5),'Input|Historical Data'!$U$9:$U$1179)</f>
        <v>0</v>
      </c>
      <c r="X64" s="48">
        <f>SUMPRODUCT(--('Input|Historical Data'!$Q$9:$Q$1179=$E64),--('Input|Historical Data'!$AA$9:$AA$1179="SCS"),--('Input|Historical Data'!$Y$9:$Y$1179=X$5),'Input|Historical Data'!$U$9:$U$1179)</f>
        <v>0</v>
      </c>
      <c r="Y64" s="49">
        <f t="shared" si="11"/>
        <v>0</v>
      </c>
      <c r="Z64" s="49">
        <f t="shared" si="1"/>
        <v>0</v>
      </c>
      <c r="AA64" s="49">
        <f t="shared" si="2"/>
        <v>0</v>
      </c>
      <c r="AB64" s="49">
        <f t="shared" si="12"/>
        <v>0</v>
      </c>
      <c r="AC64" s="38"/>
      <c r="AD64" s="48">
        <f>SUMPRODUCT(--('Input|Historical Data'!$AC$9:$AC$1180=$E64),--('Input|Historical Data'!$AM$9:$AM$1180="SCS"),--('Input|Historical Data'!$AK$9:$AK$1180=AD$5),'Input|Historical Data'!$AG$9:$AG$1180)</f>
        <v>0</v>
      </c>
      <c r="AE64" s="48">
        <f>SUMPRODUCT(--('Input|Historical Data'!$AC$9:$AC$1180=$E64),--('Input|Historical Data'!$AM$9:$AM$1180="SCS"),--('Input|Historical Data'!$AL$9:$AL$1180=AE$5),'Input|Historical Data'!$AG$9:$AG$1180)</f>
        <v>0</v>
      </c>
      <c r="AF64" s="48">
        <f>SUMPRODUCT(--('Input|Historical Data'!$AC$9:$AC$1180=$E64),--('Input|Historical Data'!$AM$9:$AM$1180="SCS"),--('Input|Historical Data'!$AL$9:$AL$1180=AF$5),'Input|Historical Data'!$AG$9:$AG$1180)</f>
        <v>0</v>
      </c>
      <c r="AG64" s="48">
        <f>SUMPRODUCT(--('Input|Historical Data'!$AC$9:$AC$1180=$E64),--('Input|Historical Data'!$AM$9:$AM$1180="SCS"),--('Input|Historical Data'!$AL$9:$AL$1180=AG$5),'Input|Historical Data'!$AG$9:$AG$1180)</f>
        <v>0</v>
      </c>
      <c r="AH64" s="48">
        <f>SUMPRODUCT(--('Input|Historical Data'!$AC$9:$AC$1180=$E64),--('Input|Historical Data'!$AM$9:$AM$1180="SCS"),--('Input|Historical Data'!$AK$9:$AK$1180=AH$5),'Input|Historical Data'!$AG$9:$AG$1180)</f>
        <v>0</v>
      </c>
      <c r="AI64" s="49">
        <f t="shared" si="17"/>
        <v>0</v>
      </c>
      <c r="AJ64" s="49">
        <f t="shared" si="18"/>
        <v>0</v>
      </c>
      <c r="AK64" s="49">
        <f t="shared" si="19"/>
        <v>0</v>
      </c>
      <c r="AL64" s="49">
        <f t="shared" si="20"/>
        <v>0</v>
      </c>
      <c r="AM64" s="38"/>
      <c r="AN64" s="48"/>
      <c r="AO64" s="48"/>
      <c r="AP64" s="48"/>
      <c r="AQ64" s="48"/>
      <c r="AR64" s="48"/>
      <c r="AS64" s="49"/>
      <c r="AT64" s="49"/>
      <c r="AU64" s="49"/>
      <c r="AV64" s="49"/>
      <c r="AW64" s="38"/>
      <c r="AX64" s="49">
        <f t="shared" si="21"/>
        <v>0</v>
      </c>
      <c r="AY64" s="49">
        <f t="shared" si="22"/>
        <v>0</v>
      </c>
      <c r="AZ64" s="49">
        <f t="shared" si="23"/>
        <v>0</v>
      </c>
      <c r="BA64" s="49">
        <f t="shared" si="24"/>
        <v>0</v>
      </c>
      <c r="BB64" s="44"/>
    </row>
    <row r="65" spans="3:54" s="7" customFormat="1" outlineLevel="1" x14ac:dyDescent="0.3">
      <c r="C65" s="38"/>
      <c r="D65" s="38"/>
      <c r="E65" s="38" t="s">
        <v>136</v>
      </c>
      <c r="F65" s="38" t="s">
        <v>318</v>
      </c>
      <c r="G65" s="38" t="str">
        <f>VLOOKUP(E65,Mapping!$E$11:$G$204,3,0)</f>
        <v>ACS</v>
      </c>
      <c r="H65" s="38" t="str">
        <f>VLOOKUP(E65,Mapping!$E$11:$K$204,7,0)</f>
        <v>ACS</v>
      </c>
      <c r="I65" s="38"/>
      <c r="J65" s="48">
        <f>SUMPRODUCT(--('Input|Historical Data'!$E$9:$E$1179=$E65),--('Input|Historical Data'!$O$9:$O$1179="SCS"),--('Input|Historical Data'!$M$9:$M$1179=J$5),'Input|Historical Data'!$I$9:$I$1179)</f>
        <v>0</v>
      </c>
      <c r="K65" s="48">
        <f>SUMPRODUCT(--('Input|Historical Data'!$E$9:$E$1179=$E65),--('Input|Historical Data'!$O$9:$O$1179="SCS"),--('Input|Historical Data'!$N$9:$N$1179=K$5),'Input|Historical Data'!$I$9:$I$1179)</f>
        <v>0</v>
      </c>
      <c r="L65" s="48">
        <f>SUMPRODUCT(--('Input|Historical Data'!$E$9:$E$1179=$E65),--('Input|Historical Data'!$O$9:$O$1179="SCS"),--('Input|Historical Data'!$N$9:$N$1179=L$5),'Input|Historical Data'!$I$9:$I$1179)</f>
        <v>0</v>
      </c>
      <c r="M65" s="48">
        <f>SUMPRODUCT(--('Input|Historical Data'!$E$9:$E$1179=$E65),--('Input|Historical Data'!$O$9:$O$1179="SCS"),--('Input|Historical Data'!$N$9:$N$1179=M$5),'Input|Historical Data'!$I$9:$I$1179)</f>
        <v>0</v>
      </c>
      <c r="N65" s="48">
        <f>SUMPRODUCT(--('Input|Historical Data'!$E$9:$E$1179=$E65),--('Input|Historical Data'!$O$9:$O$1179="SCS"),--('Input|Historical Data'!$M$9:$M$1179=N$5),'Input|Historical Data'!$I$9:$I$1179)</f>
        <v>0</v>
      </c>
      <c r="O65" s="49">
        <f t="shared" si="7"/>
        <v>0</v>
      </c>
      <c r="P65" s="49">
        <f t="shared" si="8"/>
        <v>0</v>
      </c>
      <c r="Q65" s="49">
        <f t="shared" si="9"/>
        <v>0</v>
      </c>
      <c r="R65" s="49">
        <f t="shared" si="10"/>
        <v>0</v>
      </c>
      <c r="S65" s="38"/>
      <c r="T65" s="48">
        <f>SUMPRODUCT(--('Input|Historical Data'!$Q$9:$Q$1179=$E65),--('Input|Historical Data'!$AA$9:$AA$1179="SCS"),--('Input|Historical Data'!$Y$9:$Y$1179=T$5),'Input|Historical Data'!$U$9:$U$1179)</f>
        <v>0</v>
      </c>
      <c r="U65" s="48">
        <f>SUMPRODUCT(--('Input|Historical Data'!$Q$9:$Q$1179=$E65),--('Input|Historical Data'!$AA$9:$AA$1179="SCS"),--('Input|Historical Data'!$Z$9:$Z$1179=U$5),'Input|Historical Data'!$U$9:$U$1179)</f>
        <v>0</v>
      </c>
      <c r="V65" s="48">
        <f>SUMPRODUCT(--('Input|Historical Data'!$Q$9:$Q$1179=$E65),--('Input|Historical Data'!$AA$9:$AA$1179="SCS"),--('Input|Historical Data'!$Z$9:$Z$1179=V$5),'Input|Historical Data'!$U$9:$U$1179)</f>
        <v>0</v>
      </c>
      <c r="W65" s="48">
        <f>SUMPRODUCT(--('Input|Historical Data'!$Q$9:$Q$1179=$E65),--('Input|Historical Data'!$AA$9:$AA$1179="SCS"),--('Input|Historical Data'!$Z$9:$Z$1179=W$5),'Input|Historical Data'!$U$9:$U$1179)</f>
        <v>0</v>
      </c>
      <c r="X65" s="48">
        <f>SUMPRODUCT(--('Input|Historical Data'!$Q$9:$Q$1179=$E65),--('Input|Historical Data'!$AA$9:$AA$1179="SCS"),--('Input|Historical Data'!$Y$9:$Y$1179=X$5),'Input|Historical Data'!$U$9:$U$1179)</f>
        <v>0</v>
      </c>
      <c r="Y65" s="49">
        <f t="shared" si="11"/>
        <v>0</v>
      </c>
      <c r="Z65" s="49">
        <f t="shared" si="1"/>
        <v>0</v>
      </c>
      <c r="AA65" s="49">
        <f t="shared" si="2"/>
        <v>0</v>
      </c>
      <c r="AB65" s="49">
        <f t="shared" si="12"/>
        <v>0</v>
      </c>
      <c r="AC65" s="38"/>
      <c r="AD65" s="48">
        <f>SUMPRODUCT(--('Input|Historical Data'!$AC$9:$AC$1180=$E65),--('Input|Historical Data'!$AM$9:$AM$1180="SCS"),--('Input|Historical Data'!$AK$9:$AK$1180=AD$5),'Input|Historical Data'!$AG$9:$AG$1180)</f>
        <v>0</v>
      </c>
      <c r="AE65" s="48">
        <f>SUMPRODUCT(--('Input|Historical Data'!$AC$9:$AC$1180=$E65),--('Input|Historical Data'!$AM$9:$AM$1180="SCS"),--('Input|Historical Data'!$AL$9:$AL$1180=AE$5),'Input|Historical Data'!$AG$9:$AG$1180)</f>
        <v>0</v>
      </c>
      <c r="AF65" s="48">
        <f>SUMPRODUCT(--('Input|Historical Data'!$AC$9:$AC$1180=$E65),--('Input|Historical Data'!$AM$9:$AM$1180="SCS"),--('Input|Historical Data'!$AL$9:$AL$1180=AF$5),'Input|Historical Data'!$AG$9:$AG$1180)</f>
        <v>0</v>
      </c>
      <c r="AG65" s="48">
        <f>SUMPRODUCT(--('Input|Historical Data'!$AC$9:$AC$1180=$E65),--('Input|Historical Data'!$AM$9:$AM$1180="SCS"),--('Input|Historical Data'!$AL$9:$AL$1180=AG$5),'Input|Historical Data'!$AG$9:$AG$1180)</f>
        <v>0</v>
      </c>
      <c r="AH65" s="48">
        <f>SUMPRODUCT(--('Input|Historical Data'!$AC$9:$AC$1180=$E65),--('Input|Historical Data'!$AM$9:$AM$1180="SCS"),--('Input|Historical Data'!$AK$9:$AK$1180=AH$5),'Input|Historical Data'!$AG$9:$AG$1180)</f>
        <v>0</v>
      </c>
      <c r="AI65" s="49">
        <f t="shared" si="17"/>
        <v>0</v>
      </c>
      <c r="AJ65" s="49">
        <f t="shared" si="18"/>
        <v>0</v>
      </c>
      <c r="AK65" s="49">
        <f t="shared" si="19"/>
        <v>0</v>
      </c>
      <c r="AL65" s="49">
        <f t="shared" si="20"/>
        <v>0</v>
      </c>
      <c r="AM65" s="38"/>
      <c r="AN65" s="48"/>
      <c r="AO65" s="48"/>
      <c r="AP65" s="48"/>
      <c r="AQ65" s="48"/>
      <c r="AR65" s="48"/>
      <c r="AS65" s="49"/>
      <c r="AT65" s="49"/>
      <c r="AU65" s="49"/>
      <c r="AV65" s="49"/>
      <c r="AW65" s="38"/>
      <c r="AX65" s="49">
        <f t="shared" si="21"/>
        <v>0</v>
      </c>
      <c r="AY65" s="49">
        <f t="shared" si="22"/>
        <v>0</v>
      </c>
      <c r="AZ65" s="49">
        <f t="shared" si="23"/>
        <v>0</v>
      </c>
      <c r="BA65" s="49">
        <f t="shared" si="24"/>
        <v>0</v>
      </c>
      <c r="BB65" s="44"/>
    </row>
    <row r="66" spans="3:54" s="7" customFormat="1" outlineLevel="1" x14ac:dyDescent="0.3">
      <c r="C66" s="38"/>
      <c r="D66" s="38"/>
      <c r="E66" s="38" t="s">
        <v>137</v>
      </c>
      <c r="F66" s="38" t="s">
        <v>319</v>
      </c>
      <c r="G66" s="38" t="str">
        <f>VLOOKUP(E66,Mapping!$E$11:$G$204,3,0)</f>
        <v>ACS</v>
      </c>
      <c r="H66" s="38" t="str">
        <f>VLOOKUP(E66,Mapping!$E$11:$K$204,7,0)</f>
        <v>ACS</v>
      </c>
      <c r="I66" s="38"/>
      <c r="J66" s="48">
        <f>SUMPRODUCT(--('Input|Historical Data'!$E$9:$E$1179=$E66),--('Input|Historical Data'!$O$9:$O$1179="SCS"),--('Input|Historical Data'!$M$9:$M$1179=J$5),'Input|Historical Data'!$I$9:$I$1179)</f>
        <v>0</v>
      </c>
      <c r="K66" s="48">
        <f>SUMPRODUCT(--('Input|Historical Data'!$E$9:$E$1179=$E66),--('Input|Historical Data'!$O$9:$O$1179="SCS"),--('Input|Historical Data'!$N$9:$N$1179=K$5),'Input|Historical Data'!$I$9:$I$1179)</f>
        <v>0</v>
      </c>
      <c r="L66" s="48">
        <f>SUMPRODUCT(--('Input|Historical Data'!$E$9:$E$1179=$E66),--('Input|Historical Data'!$O$9:$O$1179="SCS"),--('Input|Historical Data'!$N$9:$N$1179=L$5),'Input|Historical Data'!$I$9:$I$1179)</f>
        <v>0</v>
      </c>
      <c r="M66" s="48">
        <f>SUMPRODUCT(--('Input|Historical Data'!$E$9:$E$1179=$E66),--('Input|Historical Data'!$O$9:$O$1179="SCS"),--('Input|Historical Data'!$N$9:$N$1179=M$5),'Input|Historical Data'!$I$9:$I$1179)</f>
        <v>0</v>
      </c>
      <c r="N66" s="48">
        <f>SUMPRODUCT(--('Input|Historical Data'!$E$9:$E$1179=$E66),--('Input|Historical Data'!$O$9:$O$1179="SCS"),--('Input|Historical Data'!$M$9:$M$1179=N$5),'Input|Historical Data'!$I$9:$I$1179)</f>
        <v>0</v>
      </c>
      <c r="O66" s="49">
        <f t="shared" si="7"/>
        <v>0</v>
      </c>
      <c r="P66" s="49">
        <f t="shared" si="8"/>
        <v>0</v>
      </c>
      <c r="Q66" s="49">
        <f t="shared" si="9"/>
        <v>0</v>
      </c>
      <c r="R66" s="49">
        <f t="shared" si="10"/>
        <v>0</v>
      </c>
      <c r="S66" s="38"/>
      <c r="T66" s="48">
        <f>SUMPRODUCT(--('Input|Historical Data'!$Q$9:$Q$1179=$E66),--('Input|Historical Data'!$AA$9:$AA$1179="SCS"),--('Input|Historical Data'!$Y$9:$Y$1179=T$5),'Input|Historical Data'!$U$9:$U$1179)</f>
        <v>0</v>
      </c>
      <c r="U66" s="48">
        <f>SUMPRODUCT(--('Input|Historical Data'!$Q$9:$Q$1179=$E66),--('Input|Historical Data'!$AA$9:$AA$1179="SCS"),--('Input|Historical Data'!$Z$9:$Z$1179=U$5),'Input|Historical Data'!$U$9:$U$1179)</f>
        <v>0</v>
      </c>
      <c r="V66" s="48">
        <f>SUMPRODUCT(--('Input|Historical Data'!$Q$9:$Q$1179=$E66),--('Input|Historical Data'!$AA$9:$AA$1179="SCS"),--('Input|Historical Data'!$Z$9:$Z$1179=V$5),'Input|Historical Data'!$U$9:$U$1179)</f>
        <v>0</v>
      </c>
      <c r="W66" s="48">
        <f>SUMPRODUCT(--('Input|Historical Data'!$Q$9:$Q$1179=$E66),--('Input|Historical Data'!$AA$9:$AA$1179="SCS"),--('Input|Historical Data'!$Z$9:$Z$1179=W$5),'Input|Historical Data'!$U$9:$U$1179)</f>
        <v>0</v>
      </c>
      <c r="X66" s="48">
        <f>SUMPRODUCT(--('Input|Historical Data'!$Q$9:$Q$1179=$E66),--('Input|Historical Data'!$AA$9:$AA$1179="SCS"),--('Input|Historical Data'!$Y$9:$Y$1179=X$5),'Input|Historical Data'!$U$9:$U$1179)</f>
        <v>0</v>
      </c>
      <c r="Y66" s="49">
        <f t="shared" si="11"/>
        <v>0</v>
      </c>
      <c r="Z66" s="49">
        <f t="shared" si="1"/>
        <v>0</v>
      </c>
      <c r="AA66" s="49">
        <f t="shared" si="2"/>
        <v>0</v>
      </c>
      <c r="AB66" s="49">
        <f t="shared" si="12"/>
        <v>0</v>
      </c>
      <c r="AC66" s="38"/>
      <c r="AD66" s="48">
        <f>SUMPRODUCT(--('Input|Historical Data'!$AC$9:$AC$1180=$E66),--('Input|Historical Data'!$AM$9:$AM$1180="SCS"),--('Input|Historical Data'!$AK$9:$AK$1180=AD$5),'Input|Historical Data'!$AG$9:$AG$1180)</f>
        <v>0</v>
      </c>
      <c r="AE66" s="48">
        <f>SUMPRODUCT(--('Input|Historical Data'!$AC$9:$AC$1180=$E66),--('Input|Historical Data'!$AM$9:$AM$1180="SCS"),--('Input|Historical Data'!$AL$9:$AL$1180=AE$5),'Input|Historical Data'!$AG$9:$AG$1180)</f>
        <v>0</v>
      </c>
      <c r="AF66" s="48">
        <f>SUMPRODUCT(--('Input|Historical Data'!$AC$9:$AC$1180=$E66),--('Input|Historical Data'!$AM$9:$AM$1180="SCS"),--('Input|Historical Data'!$AL$9:$AL$1180=AF$5),'Input|Historical Data'!$AG$9:$AG$1180)</f>
        <v>0</v>
      </c>
      <c r="AG66" s="48">
        <f>SUMPRODUCT(--('Input|Historical Data'!$AC$9:$AC$1180=$E66),--('Input|Historical Data'!$AM$9:$AM$1180="SCS"),--('Input|Historical Data'!$AL$9:$AL$1180=AG$5),'Input|Historical Data'!$AG$9:$AG$1180)</f>
        <v>0</v>
      </c>
      <c r="AH66" s="48">
        <f>SUMPRODUCT(--('Input|Historical Data'!$AC$9:$AC$1180=$E66),--('Input|Historical Data'!$AM$9:$AM$1180="SCS"),--('Input|Historical Data'!$AK$9:$AK$1180=AH$5),'Input|Historical Data'!$AG$9:$AG$1180)</f>
        <v>0</v>
      </c>
      <c r="AI66" s="49">
        <f t="shared" si="17"/>
        <v>0</v>
      </c>
      <c r="AJ66" s="49">
        <f t="shared" si="18"/>
        <v>0</v>
      </c>
      <c r="AK66" s="49">
        <f t="shared" si="19"/>
        <v>0</v>
      </c>
      <c r="AL66" s="49">
        <f t="shared" si="20"/>
        <v>0</v>
      </c>
      <c r="AM66" s="38"/>
      <c r="AN66" s="48"/>
      <c r="AO66" s="48"/>
      <c r="AP66" s="48"/>
      <c r="AQ66" s="48"/>
      <c r="AR66" s="48"/>
      <c r="AS66" s="49"/>
      <c r="AT66" s="49"/>
      <c r="AU66" s="49"/>
      <c r="AV66" s="49"/>
      <c r="AW66" s="38"/>
      <c r="AX66" s="49">
        <f t="shared" si="21"/>
        <v>0</v>
      </c>
      <c r="AY66" s="49">
        <f t="shared" si="22"/>
        <v>0</v>
      </c>
      <c r="AZ66" s="49">
        <f t="shared" si="23"/>
        <v>0</v>
      </c>
      <c r="BA66" s="49">
        <f t="shared" si="24"/>
        <v>0</v>
      </c>
      <c r="BB66" s="44"/>
    </row>
    <row r="67" spans="3:54" s="7" customFormat="1" outlineLevel="1" x14ac:dyDescent="0.3">
      <c r="C67" s="38"/>
      <c r="D67" s="38"/>
      <c r="E67" s="38" t="s">
        <v>138</v>
      </c>
      <c r="F67" s="38" t="s">
        <v>320</v>
      </c>
      <c r="G67" s="38" t="str">
        <f>VLOOKUP(E67,Mapping!$E$11:$G$204,3,0)</f>
        <v>ACS</v>
      </c>
      <c r="H67" s="38" t="str">
        <f>VLOOKUP(E67,Mapping!$E$11:$K$204,7,0)</f>
        <v>ACS</v>
      </c>
      <c r="I67" s="38"/>
      <c r="J67" s="48">
        <f>SUMPRODUCT(--('Input|Historical Data'!$E$9:$E$1179=$E67),--('Input|Historical Data'!$O$9:$O$1179="SCS"),--('Input|Historical Data'!$M$9:$M$1179=J$5),'Input|Historical Data'!$I$9:$I$1179)</f>
        <v>0</v>
      </c>
      <c r="K67" s="48">
        <f>SUMPRODUCT(--('Input|Historical Data'!$E$9:$E$1179=$E67),--('Input|Historical Data'!$O$9:$O$1179="SCS"),--('Input|Historical Data'!$N$9:$N$1179=K$5),'Input|Historical Data'!$I$9:$I$1179)</f>
        <v>0</v>
      </c>
      <c r="L67" s="48">
        <f>SUMPRODUCT(--('Input|Historical Data'!$E$9:$E$1179=$E67),--('Input|Historical Data'!$O$9:$O$1179="SCS"),--('Input|Historical Data'!$N$9:$N$1179=L$5),'Input|Historical Data'!$I$9:$I$1179)</f>
        <v>0</v>
      </c>
      <c r="M67" s="48">
        <f>SUMPRODUCT(--('Input|Historical Data'!$E$9:$E$1179=$E67),--('Input|Historical Data'!$O$9:$O$1179="SCS"),--('Input|Historical Data'!$N$9:$N$1179=M$5),'Input|Historical Data'!$I$9:$I$1179)</f>
        <v>0</v>
      </c>
      <c r="N67" s="48">
        <f>SUMPRODUCT(--('Input|Historical Data'!$E$9:$E$1179=$E67),--('Input|Historical Data'!$O$9:$O$1179="SCS"),--('Input|Historical Data'!$M$9:$M$1179=N$5),'Input|Historical Data'!$I$9:$I$1179)</f>
        <v>0</v>
      </c>
      <c r="O67" s="49">
        <f t="shared" si="7"/>
        <v>0</v>
      </c>
      <c r="P67" s="49">
        <f t="shared" si="8"/>
        <v>0</v>
      </c>
      <c r="Q67" s="49">
        <f t="shared" si="9"/>
        <v>0</v>
      </c>
      <c r="R67" s="49">
        <f t="shared" si="10"/>
        <v>0</v>
      </c>
      <c r="S67" s="38"/>
      <c r="T67" s="48">
        <f>SUMPRODUCT(--('Input|Historical Data'!$Q$9:$Q$1179=$E67),--('Input|Historical Data'!$AA$9:$AA$1179="SCS"),--('Input|Historical Data'!$Y$9:$Y$1179=T$5),'Input|Historical Data'!$U$9:$U$1179)</f>
        <v>0</v>
      </c>
      <c r="U67" s="48">
        <f>SUMPRODUCT(--('Input|Historical Data'!$Q$9:$Q$1179=$E67),--('Input|Historical Data'!$AA$9:$AA$1179="SCS"),--('Input|Historical Data'!$Z$9:$Z$1179=U$5),'Input|Historical Data'!$U$9:$U$1179)</f>
        <v>0</v>
      </c>
      <c r="V67" s="48">
        <f>SUMPRODUCT(--('Input|Historical Data'!$Q$9:$Q$1179=$E67),--('Input|Historical Data'!$AA$9:$AA$1179="SCS"),--('Input|Historical Data'!$Z$9:$Z$1179=V$5),'Input|Historical Data'!$U$9:$U$1179)</f>
        <v>0</v>
      </c>
      <c r="W67" s="48">
        <f>SUMPRODUCT(--('Input|Historical Data'!$Q$9:$Q$1179=$E67),--('Input|Historical Data'!$AA$9:$AA$1179="SCS"),--('Input|Historical Data'!$Z$9:$Z$1179=W$5),'Input|Historical Data'!$U$9:$U$1179)</f>
        <v>0</v>
      </c>
      <c r="X67" s="48">
        <f>SUMPRODUCT(--('Input|Historical Data'!$Q$9:$Q$1179=$E67),--('Input|Historical Data'!$AA$9:$AA$1179="SCS"),--('Input|Historical Data'!$Y$9:$Y$1179=X$5),'Input|Historical Data'!$U$9:$U$1179)</f>
        <v>0</v>
      </c>
      <c r="Y67" s="49">
        <f t="shared" si="11"/>
        <v>0</v>
      </c>
      <c r="Z67" s="49">
        <f t="shared" si="1"/>
        <v>0</v>
      </c>
      <c r="AA67" s="49">
        <f t="shared" si="2"/>
        <v>0</v>
      </c>
      <c r="AB67" s="49">
        <f t="shared" si="12"/>
        <v>0</v>
      </c>
      <c r="AC67" s="38"/>
      <c r="AD67" s="48">
        <f>SUMPRODUCT(--('Input|Historical Data'!$AC$9:$AC$1180=$E67),--('Input|Historical Data'!$AM$9:$AM$1180="SCS"),--('Input|Historical Data'!$AK$9:$AK$1180=AD$5),'Input|Historical Data'!$AG$9:$AG$1180)</f>
        <v>0</v>
      </c>
      <c r="AE67" s="48">
        <f>SUMPRODUCT(--('Input|Historical Data'!$AC$9:$AC$1180=$E67),--('Input|Historical Data'!$AM$9:$AM$1180="SCS"),--('Input|Historical Data'!$AL$9:$AL$1180=AE$5),'Input|Historical Data'!$AG$9:$AG$1180)</f>
        <v>0</v>
      </c>
      <c r="AF67" s="48">
        <f>SUMPRODUCT(--('Input|Historical Data'!$AC$9:$AC$1180=$E67),--('Input|Historical Data'!$AM$9:$AM$1180="SCS"),--('Input|Historical Data'!$AL$9:$AL$1180=AF$5),'Input|Historical Data'!$AG$9:$AG$1180)</f>
        <v>0</v>
      </c>
      <c r="AG67" s="48">
        <f>SUMPRODUCT(--('Input|Historical Data'!$AC$9:$AC$1180=$E67),--('Input|Historical Data'!$AM$9:$AM$1180="SCS"),--('Input|Historical Data'!$AL$9:$AL$1180=AG$5),'Input|Historical Data'!$AG$9:$AG$1180)</f>
        <v>0</v>
      </c>
      <c r="AH67" s="48">
        <f>SUMPRODUCT(--('Input|Historical Data'!$AC$9:$AC$1180=$E67),--('Input|Historical Data'!$AM$9:$AM$1180="SCS"),--('Input|Historical Data'!$AK$9:$AK$1180=AH$5),'Input|Historical Data'!$AG$9:$AG$1180)</f>
        <v>0</v>
      </c>
      <c r="AI67" s="49">
        <f t="shared" si="17"/>
        <v>0</v>
      </c>
      <c r="AJ67" s="49">
        <f t="shared" si="18"/>
        <v>0</v>
      </c>
      <c r="AK67" s="49">
        <f t="shared" si="19"/>
        <v>0</v>
      </c>
      <c r="AL67" s="49">
        <f t="shared" si="20"/>
        <v>0</v>
      </c>
      <c r="AM67" s="38"/>
      <c r="AN67" s="48"/>
      <c r="AO67" s="48"/>
      <c r="AP67" s="48"/>
      <c r="AQ67" s="48"/>
      <c r="AR67" s="48"/>
      <c r="AS67" s="49"/>
      <c r="AT67" s="49"/>
      <c r="AU67" s="49"/>
      <c r="AV67" s="49"/>
      <c r="AW67" s="38"/>
      <c r="AX67" s="49">
        <f t="shared" si="21"/>
        <v>0</v>
      </c>
      <c r="AY67" s="49">
        <f t="shared" si="22"/>
        <v>0</v>
      </c>
      <c r="AZ67" s="49">
        <f t="shared" si="23"/>
        <v>0</v>
      </c>
      <c r="BA67" s="49">
        <f t="shared" si="24"/>
        <v>0</v>
      </c>
      <c r="BB67" s="44"/>
    </row>
    <row r="68" spans="3:54" s="7" customFormat="1" outlineLevel="1" x14ac:dyDescent="0.3">
      <c r="C68" s="38"/>
      <c r="D68" s="38"/>
      <c r="E68" s="38" t="s">
        <v>139</v>
      </c>
      <c r="F68" s="38" t="s">
        <v>321</v>
      </c>
      <c r="G68" s="38" t="str">
        <f>VLOOKUP(E68,Mapping!$E$11:$G$204,3,0)</f>
        <v>ACS</v>
      </c>
      <c r="H68" s="38" t="str">
        <f>VLOOKUP(E68,Mapping!$E$11:$K$204,7,0)</f>
        <v>ACS</v>
      </c>
      <c r="I68" s="38"/>
      <c r="J68" s="48">
        <f>SUMPRODUCT(--('Input|Historical Data'!$E$9:$E$1179=$E68),--('Input|Historical Data'!$O$9:$O$1179="SCS"),--('Input|Historical Data'!$M$9:$M$1179=J$5),'Input|Historical Data'!$I$9:$I$1179)</f>
        <v>0</v>
      </c>
      <c r="K68" s="48">
        <f>SUMPRODUCT(--('Input|Historical Data'!$E$9:$E$1179=$E68),--('Input|Historical Data'!$O$9:$O$1179="SCS"),--('Input|Historical Data'!$N$9:$N$1179=K$5),'Input|Historical Data'!$I$9:$I$1179)</f>
        <v>0</v>
      </c>
      <c r="L68" s="48">
        <f>SUMPRODUCT(--('Input|Historical Data'!$E$9:$E$1179=$E68),--('Input|Historical Data'!$O$9:$O$1179="SCS"),--('Input|Historical Data'!$N$9:$N$1179=L$5),'Input|Historical Data'!$I$9:$I$1179)</f>
        <v>0</v>
      </c>
      <c r="M68" s="48">
        <f>SUMPRODUCT(--('Input|Historical Data'!$E$9:$E$1179=$E68),--('Input|Historical Data'!$O$9:$O$1179="SCS"),--('Input|Historical Data'!$N$9:$N$1179=M$5),'Input|Historical Data'!$I$9:$I$1179)</f>
        <v>0</v>
      </c>
      <c r="N68" s="48">
        <f>SUMPRODUCT(--('Input|Historical Data'!$E$9:$E$1179=$E68),--('Input|Historical Data'!$O$9:$O$1179="SCS"),--('Input|Historical Data'!$M$9:$M$1179=N$5),'Input|Historical Data'!$I$9:$I$1179)</f>
        <v>0</v>
      </c>
      <c r="O68" s="49">
        <f t="shared" si="7"/>
        <v>0</v>
      </c>
      <c r="P68" s="49">
        <f t="shared" si="8"/>
        <v>0</v>
      </c>
      <c r="Q68" s="49">
        <f t="shared" si="9"/>
        <v>0</v>
      </c>
      <c r="R68" s="49">
        <f t="shared" si="10"/>
        <v>0</v>
      </c>
      <c r="S68" s="38"/>
      <c r="T68" s="48">
        <f>SUMPRODUCT(--('Input|Historical Data'!$Q$9:$Q$1179=$E68),--('Input|Historical Data'!$AA$9:$AA$1179="SCS"),--('Input|Historical Data'!$Y$9:$Y$1179=T$5),'Input|Historical Data'!$U$9:$U$1179)</f>
        <v>0</v>
      </c>
      <c r="U68" s="48">
        <f>SUMPRODUCT(--('Input|Historical Data'!$Q$9:$Q$1179=$E68),--('Input|Historical Data'!$AA$9:$AA$1179="SCS"),--('Input|Historical Data'!$Z$9:$Z$1179=U$5),'Input|Historical Data'!$U$9:$U$1179)</f>
        <v>0</v>
      </c>
      <c r="V68" s="48">
        <f>SUMPRODUCT(--('Input|Historical Data'!$Q$9:$Q$1179=$E68),--('Input|Historical Data'!$AA$9:$AA$1179="SCS"),--('Input|Historical Data'!$Z$9:$Z$1179=V$5),'Input|Historical Data'!$U$9:$U$1179)</f>
        <v>0</v>
      </c>
      <c r="W68" s="48">
        <f>SUMPRODUCT(--('Input|Historical Data'!$Q$9:$Q$1179=$E68),--('Input|Historical Data'!$AA$9:$AA$1179="SCS"),--('Input|Historical Data'!$Z$9:$Z$1179=W$5),'Input|Historical Data'!$U$9:$U$1179)</f>
        <v>0</v>
      </c>
      <c r="X68" s="48">
        <f>SUMPRODUCT(--('Input|Historical Data'!$Q$9:$Q$1179=$E68),--('Input|Historical Data'!$AA$9:$AA$1179="SCS"),--('Input|Historical Data'!$Y$9:$Y$1179=X$5),'Input|Historical Data'!$U$9:$U$1179)</f>
        <v>0</v>
      </c>
      <c r="Y68" s="49">
        <f t="shared" si="11"/>
        <v>0</v>
      </c>
      <c r="Z68" s="49">
        <f t="shared" si="1"/>
        <v>0</v>
      </c>
      <c r="AA68" s="49">
        <f t="shared" si="2"/>
        <v>0</v>
      </c>
      <c r="AB68" s="49">
        <f t="shared" si="12"/>
        <v>0</v>
      </c>
      <c r="AC68" s="38"/>
      <c r="AD68" s="48">
        <f>SUMPRODUCT(--('Input|Historical Data'!$AC$9:$AC$1180=$E68),--('Input|Historical Data'!$AM$9:$AM$1180="SCS"),--('Input|Historical Data'!$AK$9:$AK$1180=AD$5),'Input|Historical Data'!$AG$9:$AG$1180)</f>
        <v>0</v>
      </c>
      <c r="AE68" s="48">
        <f>SUMPRODUCT(--('Input|Historical Data'!$AC$9:$AC$1180=$E68),--('Input|Historical Data'!$AM$9:$AM$1180="SCS"),--('Input|Historical Data'!$AL$9:$AL$1180=AE$5),'Input|Historical Data'!$AG$9:$AG$1180)</f>
        <v>0</v>
      </c>
      <c r="AF68" s="48">
        <f>SUMPRODUCT(--('Input|Historical Data'!$AC$9:$AC$1180=$E68),--('Input|Historical Data'!$AM$9:$AM$1180="SCS"),--('Input|Historical Data'!$AL$9:$AL$1180=AF$5),'Input|Historical Data'!$AG$9:$AG$1180)</f>
        <v>0</v>
      </c>
      <c r="AG68" s="48">
        <f>SUMPRODUCT(--('Input|Historical Data'!$AC$9:$AC$1180=$E68),--('Input|Historical Data'!$AM$9:$AM$1180="SCS"),--('Input|Historical Data'!$AL$9:$AL$1180=AG$5),'Input|Historical Data'!$AG$9:$AG$1180)</f>
        <v>0</v>
      </c>
      <c r="AH68" s="48">
        <f>SUMPRODUCT(--('Input|Historical Data'!$AC$9:$AC$1180=$E68),--('Input|Historical Data'!$AM$9:$AM$1180="SCS"),--('Input|Historical Data'!$AK$9:$AK$1180=AH$5),'Input|Historical Data'!$AG$9:$AG$1180)</f>
        <v>0</v>
      </c>
      <c r="AI68" s="49">
        <f t="shared" si="17"/>
        <v>0</v>
      </c>
      <c r="AJ68" s="49">
        <f t="shared" si="18"/>
        <v>0</v>
      </c>
      <c r="AK68" s="49">
        <f t="shared" si="19"/>
        <v>0</v>
      </c>
      <c r="AL68" s="49">
        <f t="shared" si="20"/>
        <v>0</v>
      </c>
      <c r="AM68" s="38"/>
      <c r="AN68" s="48"/>
      <c r="AO68" s="48"/>
      <c r="AP68" s="48"/>
      <c r="AQ68" s="48"/>
      <c r="AR68" s="48"/>
      <c r="AS68" s="49"/>
      <c r="AT68" s="49"/>
      <c r="AU68" s="49"/>
      <c r="AV68" s="49"/>
      <c r="AW68" s="38"/>
      <c r="AX68" s="49">
        <f t="shared" si="21"/>
        <v>0</v>
      </c>
      <c r="AY68" s="49">
        <f t="shared" si="22"/>
        <v>0</v>
      </c>
      <c r="AZ68" s="49">
        <f t="shared" si="23"/>
        <v>0</v>
      </c>
      <c r="BA68" s="49">
        <f t="shared" si="24"/>
        <v>0</v>
      </c>
      <c r="BB68" s="44"/>
    </row>
    <row r="69" spans="3:54" s="7" customFormat="1" outlineLevel="1" x14ac:dyDescent="0.3">
      <c r="C69" s="38"/>
      <c r="D69" s="38"/>
      <c r="E69" s="38" t="s">
        <v>140</v>
      </c>
      <c r="F69" s="38" t="s">
        <v>322</v>
      </c>
      <c r="G69" s="38" t="str">
        <f>VLOOKUP(E69,Mapping!$E$11:$G$204,3,0)</f>
        <v>ACS</v>
      </c>
      <c r="H69" s="38" t="str">
        <f>VLOOKUP(E69,Mapping!$E$11:$K$204,7,0)</f>
        <v>ACS</v>
      </c>
      <c r="I69" s="38"/>
      <c r="J69" s="48">
        <f>SUMPRODUCT(--('Input|Historical Data'!$E$9:$E$1179=$E69),--('Input|Historical Data'!$O$9:$O$1179="SCS"),--('Input|Historical Data'!$M$9:$M$1179=J$5),'Input|Historical Data'!$I$9:$I$1179)</f>
        <v>0</v>
      </c>
      <c r="K69" s="48">
        <f>SUMPRODUCT(--('Input|Historical Data'!$E$9:$E$1179=$E69),--('Input|Historical Data'!$O$9:$O$1179="SCS"),--('Input|Historical Data'!$N$9:$N$1179=K$5),'Input|Historical Data'!$I$9:$I$1179)</f>
        <v>0</v>
      </c>
      <c r="L69" s="48">
        <f>SUMPRODUCT(--('Input|Historical Data'!$E$9:$E$1179=$E69),--('Input|Historical Data'!$O$9:$O$1179="SCS"),--('Input|Historical Data'!$N$9:$N$1179=L$5),'Input|Historical Data'!$I$9:$I$1179)</f>
        <v>0</v>
      </c>
      <c r="M69" s="48">
        <f>SUMPRODUCT(--('Input|Historical Data'!$E$9:$E$1179=$E69),--('Input|Historical Data'!$O$9:$O$1179="SCS"),--('Input|Historical Data'!$N$9:$N$1179=M$5),'Input|Historical Data'!$I$9:$I$1179)</f>
        <v>0</v>
      </c>
      <c r="N69" s="48">
        <f>SUMPRODUCT(--('Input|Historical Data'!$E$9:$E$1179=$E69),--('Input|Historical Data'!$O$9:$O$1179="SCS"),--('Input|Historical Data'!$M$9:$M$1179=N$5),'Input|Historical Data'!$I$9:$I$1179)</f>
        <v>0</v>
      </c>
      <c r="O69" s="49">
        <f t="shared" si="7"/>
        <v>0</v>
      </c>
      <c r="P69" s="49">
        <f t="shared" si="8"/>
        <v>0</v>
      </c>
      <c r="Q69" s="49">
        <f t="shared" si="9"/>
        <v>0</v>
      </c>
      <c r="R69" s="49">
        <f t="shared" si="10"/>
        <v>0</v>
      </c>
      <c r="S69" s="38"/>
      <c r="T69" s="48">
        <f>SUMPRODUCT(--('Input|Historical Data'!$Q$9:$Q$1179=$E69),--('Input|Historical Data'!$AA$9:$AA$1179="SCS"),--('Input|Historical Data'!$Y$9:$Y$1179=T$5),'Input|Historical Data'!$U$9:$U$1179)</f>
        <v>0</v>
      </c>
      <c r="U69" s="48">
        <f>SUMPRODUCT(--('Input|Historical Data'!$Q$9:$Q$1179=$E69),--('Input|Historical Data'!$AA$9:$AA$1179="SCS"),--('Input|Historical Data'!$Z$9:$Z$1179=U$5),'Input|Historical Data'!$U$9:$U$1179)</f>
        <v>0</v>
      </c>
      <c r="V69" s="48">
        <f>SUMPRODUCT(--('Input|Historical Data'!$Q$9:$Q$1179=$E69),--('Input|Historical Data'!$AA$9:$AA$1179="SCS"),--('Input|Historical Data'!$Z$9:$Z$1179=V$5),'Input|Historical Data'!$U$9:$U$1179)</f>
        <v>0</v>
      </c>
      <c r="W69" s="48">
        <f>SUMPRODUCT(--('Input|Historical Data'!$Q$9:$Q$1179=$E69),--('Input|Historical Data'!$AA$9:$AA$1179="SCS"),--('Input|Historical Data'!$Z$9:$Z$1179=W$5),'Input|Historical Data'!$U$9:$U$1179)</f>
        <v>0</v>
      </c>
      <c r="X69" s="48">
        <f>SUMPRODUCT(--('Input|Historical Data'!$Q$9:$Q$1179=$E69),--('Input|Historical Data'!$AA$9:$AA$1179="SCS"),--('Input|Historical Data'!$Y$9:$Y$1179=X$5),'Input|Historical Data'!$U$9:$U$1179)</f>
        <v>0</v>
      </c>
      <c r="Y69" s="49">
        <f t="shared" si="11"/>
        <v>0</v>
      </c>
      <c r="Z69" s="49">
        <f t="shared" si="1"/>
        <v>0</v>
      </c>
      <c r="AA69" s="49">
        <f t="shared" si="2"/>
        <v>0</v>
      </c>
      <c r="AB69" s="49">
        <f t="shared" si="12"/>
        <v>0</v>
      </c>
      <c r="AC69" s="38"/>
      <c r="AD69" s="48">
        <f>SUMPRODUCT(--('Input|Historical Data'!$AC$9:$AC$1180=$E69),--('Input|Historical Data'!$AM$9:$AM$1180="SCS"),--('Input|Historical Data'!$AK$9:$AK$1180=AD$5),'Input|Historical Data'!$AG$9:$AG$1180)</f>
        <v>0</v>
      </c>
      <c r="AE69" s="48">
        <f>SUMPRODUCT(--('Input|Historical Data'!$AC$9:$AC$1180=$E69),--('Input|Historical Data'!$AM$9:$AM$1180="SCS"),--('Input|Historical Data'!$AL$9:$AL$1180=AE$5),'Input|Historical Data'!$AG$9:$AG$1180)</f>
        <v>0</v>
      </c>
      <c r="AF69" s="48">
        <f>SUMPRODUCT(--('Input|Historical Data'!$AC$9:$AC$1180=$E69),--('Input|Historical Data'!$AM$9:$AM$1180="SCS"),--('Input|Historical Data'!$AL$9:$AL$1180=AF$5),'Input|Historical Data'!$AG$9:$AG$1180)</f>
        <v>0</v>
      </c>
      <c r="AG69" s="48">
        <f>SUMPRODUCT(--('Input|Historical Data'!$AC$9:$AC$1180=$E69),--('Input|Historical Data'!$AM$9:$AM$1180="SCS"),--('Input|Historical Data'!$AL$9:$AL$1180=AG$5),'Input|Historical Data'!$AG$9:$AG$1180)</f>
        <v>0</v>
      </c>
      <c r="AH69" s="48">
        <f>SUMPRODUCT(--('Input|Historical Data'!$AC$9:$AC$1180=$E69),--('Input|Historical Data'!$AM$9:$AM$1180="SCS"),--('Input|Historical Data'!$AK$9:$AK$1180=AH$5),'Input|Historical Data'!$AG$9:$AG$1180)</f>
        <v>0</v>
      </c>
      <c r="AI69" s="49">
        <f t="shared" si="17"/>
        <v>0</v>
      </c>
      <c r="AJ69" s="49">
        <f t="shared" si="18"/>
        <v>0</v>
      </c>
      <c r="AK69" s="49">
        <f t="shared" si="19"/>
        <v>0</v>
      </c>
      <c r="AL69" s="49">
        <f t="shared" si="20"/>
        <v>0</v>
      </c>
      <c r="AM69" s="38"/>
      <c r="AN69" s="48"/>
      <c r="AO69" s="48"/>
      <c r="AP69" s="48"/>
      <c r="AQ69" s="48"/>
      <c r="AR69" s="48"/>
      <c r="AS69" s="49"/>
      <c r="AT69" s="49"/>
      <c r="AU69" s="49"/>
      <c r="AV69" s="49"/>
      <c r="AW69" s="38"/>
      <c r="AX69" s="49">
        <f t="shared" si="21"/>
        <v>0</v>
      </c>
      <c r="AY69" s="49">
        <f t="shared" si="22"/>
        <v>0</v>
      </c>
      <c r="AZ69" s="49">
        <f t="shared" si="23"/>
        <v>0</v>
      </c>
      <c r="BA69" s="49">
        <f t="shared" si="24"/>
        <v>0</v>
      </c>
      <c r="BB69" s="44"/>
    </row>
    <row r="70" spans="3:54" s="7" customFormat="1" outlineLevel="1" x14ac:dyDescent="0.3">
      <c r="C70" s="38"/>
      <c r="D70" s="38"/>
      <c r="E70" s="38" t="s">
        <v>141</v>
      </c>
      <c r="F70" s="38" t="s">
        <v>323</v>
      </c>
      <c r="G70" s="38" t="str">
        <f>VLOOKUP(E70,Mapping!$E$11:$G$204,3,0)</f>
        <v>ACS</v>
      </c>
      <c r="H70" s="38" t="str">
        <f>VLOOKUP(E70,Mapping!$E$11:$K$204,7,0)</f>
        <v>ACS</v>
      </c>
      <c r="I70" s="38"/>
      <c r="J70" s="48">
        <f>SUMPRODUCT(--('Input|Historical Data'!$E$9:$E$1179=$E70),--('Input|Historical Data'!$O$9:$O$1179="SCS"),--('Input|Historical Data'!$M$9:$M$1179=J$5),'Input|Historical Data'!$I$9:$I$1179)</f>
        <v>0</v>
      </c>
      <c r="K70" s="48">
        <f>SUMPRODUCT(--('Input|Historical Data'!$E$9:$E$1179=$E70),--('Input|Historical Data'!$O$9:$O$1179="SCS"),--('Input|Historical Data'!$N$9:$N$1179=K$5),'Input|Historical Data'!$I$9:$I$1179)</f>
        <v>0</v>
      </c>
      <c r="L70" s="48">
        <f>SUMPRODUCT(--('Input|Historical Data'!$E$9:$E$1179=$E70),--('Input|Historical Data'!$O$9:$O$1179="SCS"),--('Input|Historical Data'!$N$9:$N$1179=L$5),'Input|Historical Data'!$I$9:$I$1179)</f>
        <v>0</v>
      </c>
      <c r="M70" s="48">
        <f>SUMPRODUCT(--('Input|Historical Data'!$E$9:$E$1179=$E70),--('Input|Historical Data'!$O$9:$O$1179="SCS"),--('Input|Historical Data'!$N$9:$N$1179=M$5),'Input|Historical Data'!$I$9:$I$1179)</f>
        <v>0</v>
      </c>
      <c r="N70" s="48">
        <f>SUMPRODUCT(--('Input|Historical Data'!$E$9:$E$1179=$E70),--('Input|Historical Data'!$O$9:$O$1179="SCS"),--('Input|Historical Data'!$M$9:$M$1179=N$5),'Input|Historical Data'!$I$9:$I$1179)</f>
        <v>0</v>
      </c>
      <c r="O70" s="49">
        <f t="shared" si="7"/>
        <v>0</v>
      </c>
      <c r="P70" s="49">
        <f t="shared" si="8"/>
        <v>0</v>
      </c>
      <c r="Q70" s="49">
        <f t="shared" si="9"/>
        <v>0</v>
      </c>
      <c r="R70" s="49">
        <f t="shared" si="10"/>
        <v>0</v>
      </c>
      <c r="S70" s="38"/>
      <c r="T70" s="48">
        <f>SUMPRODUCT(--('Input|Historical Data'!$Q$9:$Q$1179=$E70),--('Input|Historical Data'!$AA$9:$AA$1179="SCS"),--('Input|Historical Data'!$Y$9:$Y$1179=T$5),'Input|Historical Data'!$U$9:$U$1179)</f>
        <v>0</v>
      </c>
      <c r="U70" s="48">
        <f>SUMPRODUCT(--('Input|Historical Data'!$Q$9:$Q$1179=$E70),--('Input|Historical Data'!$AA$9:$AA$1179="SCS"),--('Input|Historical Data'!$Z$9:$Z$1179=U$5),'Input|Historical Data'!$U$9:$U$1179)</f>
        <v>0</v>
      </c>
      <c r="V70" s="48">
        <f>SUMPRODUCT(--('Input|Historical Data'!$Q$9:$Q$1179=$E70),--('Input|Historical Data'!$AA$9:$AA$1179="SCS"),--('Input|Historical Data'!$Z$9:$Z$1179=V$5),'Input|Historical Data'!$U$9:$U$1179)</f>
        <v>0</v>
      </c>
      <c r="W70" s="48">
        <f>SUMPRODUCT(--('Input|Historical Data'!$Q$9:$Q$1179=$E70),--('Input|Historical Data'!$AA$9:$AA$1179="SCS"),--('Input|Historical Data'!$Z$9:$Z$1179=W$5),'Input|Historical Data'!$U$9:$U$1179)</f>
        <v>0</v>
      </c>
      <c r="X70" s="48">
        <f>SUMPRODUCT(--('Input|Historical Data'!$Q$9:$Q$1179=$E70),--('Input|Historical Data'!$AA$9:$AA$1179="SCS"),--('Input|Historical Data'!$Y$9:$Y$1179=X$5),'Input|Historical Data'!$U$9:$U$1179)</f>
        <v>0</v>
      </c>
      <c r="Y70" s="49">
        <f t="shared" ref="Y70:Y133" si="73">IFERROR(U70/SUM($U70:$W70),0)</f>
        <v>0</v>
      </c>
      <c r="Z70" s="49">
        <f t="shared" ref="Z70:Z133" si="74">IFERROR(V70/SUM($U70:$W70),0)</f>
        <v>0</v>
      </c>
      <c r="AA70" s="49">
        <f t="shared" ref="AA70:AA133" si="75">IFERROR(W70/SUM($U70:$W70),0)</f>
        <v>0</v>
      </c>
      <c r="AB70" s="49">
        <f t="shared" ref="AB70:AB133" si="76">IFERROR(X70/T70,0)</f>
        <v>0</v>
      </c>
      <c r="AC70" s="38"/>
      <c r="AD70" s="48">
        <f>SUMPRODUCT(--('Input|Historical Data'!$AC$9:$AC$1180=$E70),--('Input|Historical Data'!$AM$9:$AM$1180="SCS"),--('Input|Historical Data'!$AK$9:$AK$1180=AD$5),'Input|Historical Data'!$AG$9:$AG$1180)</f>
        <v>0</v>
      </c>
      <c r="AE70" s="48">
        <f>SUMPRODUCT(--('Input|Historical Data'!$AC$9:$AC$1180=$E70),--('Input|Historical Data'!$AM$9:$AM$1180="SCS"),--('Input|Historical Data'!$AL$9:$AL$1180=AE$5),'Input|Historical Data'!$AG$9:$AG$1180)</f>
        <v>0</v>
      </c>
      <c r="AF70" s="48">
        <f>SUMPRODUCT(--('Input|Historical Data'!$AC$9:$AC$1180=$E70),--('Input|Historical Data'!$AM$9:$AM$1180="SCS"),--('Input|Historical Data'!$AL$9:$AL$1180=AF$5),'Input|Historical Data'!$AG$9:$AG$1180)</f>
        <v>0</v>
      </c>
      <c r="AG70" s="48">
        <f>SUMPRODUCT(--('Input|Historical Data'!$AC$9:$AC$1180=$E70),--('Input|Historical Data'!$AM$9:$AM$1180="SCS"),--('Input|Historical Data'!$AL$9:$AL$1180=AG$5),'Input|Historical Data'!$AG$9:$AG$1180)</f>
        <v>0</v>
      </c>
      <c r="AH70" s="48">
        <f>SUMPRODUCT(--('Input|Historical Data'!$AC$9:$AC$1180=$E70),--('Input|Historical Data'!$AM$9:$AM$1180="SCS"),--('Input|Historical Data'!$AK$9:$AK$1180=AH$5),'Input|Historical Data'!$AG$9:$AG$1180)</f>
        <v>0</v>
      </c>
      <c r="AI70" s="49">
        <f t="shared" si="17"/>
        <v>0</v>
      </c>
      <c r="AJ70" s="49">
        <f t="shared" si="18"/>
        <v>0</v>
      </c>
      <c r="AK70" s="49">
        <f t="shared" si="19"/>
        <v>0</v>
      </c>
      <c r="AL70" s="49">
        <f t="shared" si="20"/>
        <v>0</v>
      </c>
      <c r="AM70" s="38"/>
      <c r="AN70" s="48"/>
      <c r="AO70" s="48"/>
      <c r="AP70" s="48"/>
      <c r="AQ70" s="48"/>
      <c r="AR70" s="48"/>
      <c r="AS70" s="49"/>
      <c r="AT70" s="49"/>
      <c r="AU70" s="49"/>
      <c r="AV70" s="49"/>
      <c r="AW70" s="38"/>
      <c r="AX70" s="49">
        <f t="shared" si="21"/>
        <v>0</v>
      </c>
      <c r="AY70" s="49">
        <f t="shared" si="22"/>
        <v>0</v>
      </c>
      <c r="AZ70" s="49">
        <f t="shared" si="23"/>
        <v>0</v>
      </c>
      <c r="BA70" s="49">
        <f t="shared" si="24"/>
        <v>0</v>
      </c>
      <c r="BB70" s="44"/>
    </row>
    <row r="71" spans="3:54" s="7" customFormat="1" outlineLevel="1" x14ac:dyDescent="0.3">
      <c r="C71" s="38"/>
      <c r="D71" s="38"/>
      <c r="E71" s="38" t="s">
        <v>142</v>
      </c>
      <c r="F71" s="38" t="s">
        <v>324</v>
      </c>
      <c r="G71" s="38" t="str">
        <f>VLOOKUP(E71,Mapping!$E$11:$G$204,3,0)</f>
        <v>ACS</v>
      </c>
      <c r="H71" s="38" t="str">
        <f>VLOOKUP(E71,Mapping!$E$11:$K$204,7,0)</f>
        <v>ACS</v>
      </c>
      <c r="I71" s="38"/>
      <c r="J71" s="48">
        <f>SUMPRODUCT(--('Input|Historical Data'!$E$9:$E$1179=$E71),--('Input|Historical Data'!$O$9:$O$1179="SCS"),--('Input|Historical Data'!$M$9:$M$1179=J$5),'Input|Historical Data'!$I$9:$I$1179)</f>
        <v>0</v>
      </c>
      <c r="K71" s="48">
        <f>SUMPRODUCT(--('Input|Historical Data'!$E$9:$E$1179=$E71),--('Input|Historical Data'!$O$9:$O$1179="SCS"),--('Input|Historical Data'!$N$9:$N$1179=K$5),'Input|Historical Data'!$I$9:$I$1179)</f>
        <v>0</v>
      </c>
      <c r="L71" s="48">
        <f>SUMPRODUCT(--('Input|Historical Data'!$E$9:$E$1179=$E71),--('Input|Historical Data'!$O$9:$O$1179="SCS"),--('Input|Historical Data'!$N$9:$N$1179=L$5),'Input|Historical Data'!$I$9:$I$1179)</f>
        <v>0</v>
      </c>
      <c r="M71" s="48">
        <f>SUMPRODUCT(--('Input|Historical Data'!$E$9:$E$1179=$E71),--('Input|Historical Data'!$O$9:$O$1179="SCS"),--('Input|Historical Data'!$N$9:$N$1179=M$5),'Input|Historical Data'!$I$9:$I$1179)</f>
        <v>0</v>
      </c>
      <c r="N71" s="48">
        <f>SUMPRODUCT(--('Input|Historical Data'!$E$9:$E$1179=$E71),--('Input|Historical Data'!$O$9:$O$1179="SCS"),--('Input|Historical Data'!$M$9:$M$1179=N$5),'Input|Historical Data'!$I$9:$I$1179)</f>
        <v>0</v>
      </c>
      <c r="O71" s="49">
        <f t="shared" si="7"/>
        <v>0</v>
      </c>
      <c r="P71" s="49">
        <f t="shared" si="8"/>
        <v>0</v>
      </c>
      <c r="Q71" s="49">
        <f t="shared" si="9"/>
        <v>0</v>
      </c>
      <c r="R71" s="49">
        <f t="shared" si="10"/>
        <v>0</v>
      </c>
      <c r="S71" s="38"/>
      <c r="T71" s="48">
        <f>SUMPRODUCT(--('Input|Historical Data'!$Q$9:$Q$1179=$E71),--('Input|Historical Data'!$AA$9:$AA$1179="SCS"),--('Input|Historical Data'!$Y$9:$Y$1179=T$5),'Input|Historical Data'!$U$9:$U$1179)</f>
        <v>0</v>
      </c>
      <c r="U71" s="48">
        <f>SUMPRODUCT(--('Input|Historical Data'!$Q$9:$Q$1179=$E71),--('Input|Historical Data'!$AA$9:$AA$1179="SCS"),--('Input|Historical Data'!$Z$9:$Z$1179=U$5),'Input|Historical Data'!$U$9:$U$1179)</f>
        <v>0</v>
      </c>
      <c r="V71" s="48">
        <f>SUMPRODUCT(--('Input|Historical Data'!$Q$9:$Q$1179=$E71),--('Input|Historical Data'!$AA$9:$AA$1179="SCS"),--('Input|Historical Data'!$Z$9:$Z$1179=V$5),'Input|Historical Data'!$U$9:$U$1179)</f>
        <v>0</v>
      </c>
      <c r="W71" s="48">
        <f>SUMPRODUCT(--('Input|Historical Data'!$Q$9:$Q$1179=$E71),--('Input|Historical Data'!$AA$9:$AA$1179="SCS"),--('Input|Historical Data'!$Z$9:$Z$1179=W$5),'Input|Historical Data'!$U$9:$U$1179)</f>
        <v>0</v>
      </c>
      <c r="X71" s="48">
        <f>SUMPRODUCT(--('Input|Historical Data'!$Q$9:$Q$1179=$E71),--('Input|Historical Data'!$AA$9:$AA$1179="SCS"),--('Input|Historical Data'!$Y$9:$Y$1179=X$5),'Input|Historical Data'!$U$9:$U$1179)</f>
        <v>0</v>
      </c>
      <c r="Y71" s="49">
        <f t="shared" si="73"/>
        <v>0</v>
      </c>
      <c r="Z71" s="49">
        <f t="shared" si="74"/>
        <v>0</v>
      </c>
      <c r="AA71" s="49">
        <f t="shared" si="75"/>
        <v>0</v>
      </c>
      <c r="AB71" s="49">
        <f t="shared" si="76"/>
        <v>0</v>
      </c>
      <c r="AC71" s="38"/>
      <c r="AD71" s="48">
        <f>SUMPRODUCT(--('Input|Historical Data'!$AC$9:$AC$1180=$E71),--('Input|Historical Data'!$AM$9:$AM$1180="SCS"),--('Input|Historical Data'!$AK$9:$AK$1180=AD$5),'Input|Historical Data'!$AG$9:$AG$1180)</f>
        <v>0</v>
      </c>
      <c r="AE71" s="48">
        <f>SUMPRODUCT(--('Input|Historical Data'!$AC$9:$AC$1180=$E71),--('Input|Historical Data'!$AM$9:$AM$1180="SCS"),--('Input|Historical Data'!$AL$9:$AL$1180=AE$5),'Input|Historical Data'!$AG$9:$AG$1180)</f>
        <v>0</v>
      </c>
      <c r="AF71" s="48">
        <f>SUMPRODUCT(--('Input|Historical Data'!$AC$9:$AC$1180=$E71),--('Input|Historical Data'!$AM$9:$AM$1180="SCS"),--('Input|Historical Data'!$AL$9:$AL$1180=AF$5),'Input|Historical Data'!$AG$9:$AG$1180)</f>
        <v>0</v>
      </c>
      <c r="AG71" s="48">
        <f>SUMPRODUCT(--('Input|Historical Data'!$AC$9:$AC$1180=$E71),--('Input|Historical Data'!$AM$9:$AM$1180="SCS"),--('Input|Historical Data'!$AL$9:$AL$1180=AG$5),'Input|Historical Data'!$AG$9:$AG$1180)</f>
        <v>0</v>
      </c>
      <c r="AH71" s="48">
        <f>SUMPRODUCT(--('Input|Historical Data'!$AC$9:$AC$1180=$E71),--('Input|Historical Data'!$AM$9:$AM$1180="SCS"),--('Input|Historical Data'!$AK$9:$AK$1180=AH$5),'Input|Historical Data'!$AG$9:$AG$1180)</f>
        <v>0</v>
      </c>
      <c r="AI71" s="49">
        <f t="shared" si="17"/>
        <v>0</v>
      </c>
      <c r="AJ71" s="49">
        <f t="shared" si="18"/>
        <v>0</v>
      </c>
      <c r="AK71" s="49">
        <f t="shared" si="19"/>
        <v>0</v>
      </c>
      <c r="AL71" s="49">
        <f t="shared" si="20"/>
        <v>0</v>
      </c>
      <c r="AM71" s="38"/>
      <c r="AN71" s="48"/>
      <c r="AO71" s="48"/>
      <c r="AP71" s="48"/>
      <c r="AQ71" s="48"/>
      <c r="AR71" s="48"/>
      <c r="AS71" s="49"/>
      <c r="AT71" s="49"/>
      <c r="AU71" s="49"/>
      <c r="AV71" s="49"/>
      <c r="AW71" s="38"/>
      <c r="AX71" s="49">
        <f t="shared" si="21"/>
        <v>0</v>
      </c>
      <c r="AY71" s="49">
        <f t="shared" si="22"/>
        <v>0</v>
      </c>
      <c r="AZ71" s="49">
        <f t="shared" si="23"/>
        <v>0</v>
      </c>
      <c r="BA71" s="49">
        <f t="shared" si="24"/>
        <v>0</v>
      </c>
      <c r="BB71" s="44"/>
    </row>
    <row r="72" spans="3:54" s="7" customFormat="1" outlineLevel="1" x14ac:dyDescent="0.3">
      <c r="C72" s="38"/>
      <c r="D72" s="38"/>
      <c r="E72" s="38" t="s">
        <v>143</v>
      </c>
      <c r="F72" s="38" t="s">
        <v>325</v>
      </c>
      <c r="G72" s="38" t="str">
        <f>VLOOKUP(E72,Mapping!$E$11:$G$204,3,0)</f>
        <v>ACS</v>
      </c>
      <c r="H72" s="38" t="str">
        <f>VLOOKUP(E72,Mapping!$E$11:$K$204,7,0)</f>
        <v>ACS</v>
      </c>
      <c r="I72" s="38"/>
      <c r="J72" s="48">
        <f>SUMPRODUCT(--('Input|Historical Data'!$E$9:$E$1179=$E72),--('Input|Historical Data'!$O$9:$O$1179="SCS"),--('Input|Historical Data'!$M$9:$M$1179=J$5),'Input|Historical Data'!$I$9:$I$1179)</f>
        <v>0</v>
      </c>
      <c r="K72" s="48">
        <f>SUMPRODUCT(--('Input|Historical Data'!$E$9:$E$1179=$E72),--('Input|Historical Data'!$O$9:$O$1179="SCS"),--('Input|Historical Data'!$N$9:$N$1179=K$5),'Input|Historical Data'!$I$9:$I$1179)</f>
        <v>0</v>
      </c>
      <c r="L72" s="48">
        <f>SUMPRODUCT(--('Input|Historical Data'!$E$9:$E$1179=$E72),--('Input|Historical Data'!$O$9:$O$1179="SCS"),--('Input|Historical Data'!$N$9:$N$1179=L$5),'Input|Historical Data'!$I$9:$I$1179)</f>
        <v>0</v>
      </c>
      <c r="M72" s="48">
        <f>SUMPRODUCT(--('Input|Historical Data'!$E$9:$E$1179=$E72),--('Input|Historical Data'!$O$9:$O$1179="SCS"),--('Input|Historical Data'!$N$9:$N$1179=M$5),'Input|Historical Data'!$I$9:$I$1179)</f>
        <v>0</v>
      </c>
      <c r="N72" s="48">
        <f>SUMPRODUCT(--('Input|Historical Data'!$E$9:$E$1179=$E72),--('Input|Historical Data'!$O$9:$O$1179="SCS"),--('Input|Historical Data'!$M$9:$M$1179=N$5),'Input|Historical Data'!$I$9:$I$1179)</f>
        <v>0</v>
      </c>
      <c r="O72" s="49">
        <f t="shared" si="7"/>
        <v>0</v>
      </c>
      <c r="P72" s="49">
        <f t="shared" si="8"/>
        <v>0</v>
      </c>
      <c r="Q72" s="49">
        <f t="shared" si="9"/>
        <v>0</v>
      </c>
      <c r="R72" s="49">
        <f t="shared" si="10"/>
        <v>0</v>
      </c>
      <c r="S72" s="38"/>
      <c r="T72" s="48">
        <f>SUMPRODUCT(--('Input|Historical Data'!$Q$9:$Q$1179=$E72),--('Input|Historical Data'!$AA$9:$AA$1179="SCS"),--('Input|Historical Data'!$Y$9:$Y$1179=T$5),'Input|Historical Data'!$U$9:$U$1179)</f>
        <v>0</v>
      </c>
      <c r="U72" s="48">
        <f>SUMPRODUCT(--('Input|Historical Data'!$Q$9:$Q$1179=$E72),--('Input|Historical Data'!$AA$9:$AA$1179="SCS"),--('Input|Historical Data'!$Z$9:$Z$1179=U$5),'Input|Historical Data'!$U$9:$U$1179)</f>
        <v>0</v>
      </c>
      <c r="V72" s="48">
        <f>SUMPRODUCT(--('Input|Historical Data'!$Q$9:$Q$1179=$E72),--('Input|Historical Data'!$AA$9:$AA$1179="SCS"),--('Input|Historical Data'!$Z$9:$Z$1179=V$5),'Input|Historical Data'!$U$9:$U$1179)</f>
        <v>0</v>
      </c>
      <c r="W72" s="48">
        <f>SUMPRODUCT(--('Input|Historical Data'!$Q$9:$Q$1179=$E72),--('Input|Historical Data'!$AA$9:$AA$1179="SCS"),--('Input|Historical Data'!$Z$9:$Z$1179=W$5),'Input|Historical Data'!$U$9:$U$1179)</f>
        <v>0</v>
      </c>
      <c r="X72" s="48">
        <f>SUMPRODUCT(--('Input|Historical Data'!$Q$9:$Q$1179=$E72),--('Input|Historical Data'!$AA$9:$AA$1179="SCS"),--('Input|Historical Data'!$Y$9:$Y$1179=X$5),'Input|Historical Data'!$U$9:$U$1179)</f>
        <v>0</v>
      </c>
      <c r="Y72" s="49">
        <f t="shared" si="73"/>
        <v>0</v>
      </c>
      <c r="Z72" s="49">
        <f t="shared" si="74"/>
        <v>0</v>
      </c>
      <c r="AA72" s="49">
        <f t="shared" si="75"/>
        <v>0</v>
      </c>
      <c r="AB72" s="49">
        <f t="shared" si="76"/>
        <v>0</v>
      </c>
      <c r="AC72" s="38"/>
      <c r="AD72" s="48">
        <f>SUMPRODUCT(--('Input|Historical Data'!$AC$9:$AC$1180=$E72),--('Input|Historical Data'!$AM$9:$AM$1180="SCS"),--('Input|Historical Data'!$AK$9:$AK$1180=AD$5),'Input|Historical Data'!$AG$9:$AG$1180)</f>
        <v>0</v>
      </c>
      <c r="AE72" s="48">
        <f>SUMPRODUCT(--('Input|Historical Data'!$AC$9:$AC$1180=$E72),--('Input|Historical Data'!$AM$9:$AM$1180="SCS"),--('Input|Historical Data'!$AL$9:$AL$1180=AE$5),'Input|Historical Data'!$AG$9:$AG$1180)</f>
        <v>0</v>
      </c>
      <c r="AF72" s="48">
        <f>SUMPRODUCT(--('Input|Historical Data'!$AC$9:$AC$1180=$E72),--('Input|Historical Data'!$AM$9:$AM$1180="SCS"),--('Input|Historical Data'!$AL$9:$AL$1180=AF$5),'Input|Historical Data'!$AG$9:$AG$1180)</f>
        <v>0</v>
      </c>
      <c r="AG72" s="48">
        <f>SUMPRODUCT(--('Input|Historical Data'!$AC$9:$AC$1180=$E72),--('Input|Historical Data'!$AM$9:$AM$1180="SCS"),--('Input|Historical Data'!$AL$9:$AL$1180=AG$5),'Input|Historical Data'!$AG$9:$AG$1180)</f>
        <v>0</v>
      </c>
      <c r="AH72" s="48">
        <f>SUMPRODUCT(--('Input|Historical Data'!$AC$9:$AC$1180=$E72),--('Input|Historical Data'!$AM$9:$AM$1180="SCS"),--('Input|Historical Data'!$AK$9:$AK$1180=AH$5),'Input|Historical Data'!$AG$9:$AG$1180)</f>
        <v>0</v>
      </c>
      <c r="AI72" s="49">
        <f t="shared" si="17"/>
        <v>0</v>
      </c>
      <c r="AJ72" s="49">
        <f t="shared" si="18"/>
        <v>0</v>
      </c>
      <c r="AK72" s="49">
        <f t="shared" si="19"/>
        <v>0</v>
      </c>
      <c r="AL72" s="49">
        <f t="shared" si="20"/>
        <v>0</v>
      </c>
      <c r="AM72" s="38"/>
      <c r="AN72" s="48"/>
      <c r="AO72" s="48"/>
      <c r="AP72" s="48"/>
      <c r="AQ72" s="48"/>
      <c r="AR72" s="48"/>
      <c r="AS72" s="49"/>
      <c r="AT72" s="49"/>
      <c r="AU72" s="49"/>
      <c r="AV72" s="49"/>
      <c r="AW72" s="38"/>
      <c r="AX72" s="49">
        <f t="shared" si="21"/>
        <v>0</v>
      </c>
      <c r="AY72" s="49">
        <f t="shared" si="22"/>
        <v>0</v>
      </c>
      <c r="AZ72" s="49">
        <f t="shared" si="23"/>
        <v>0</v>
      </c>
      <c r="BA72" s="49">
        <f t="shared" si="24"/>
        <v>0</v>
      </c>
      <c r="BB72" s="44"/>
    </row>
    <row r="73" spans="3:54" s="7" customFormat="1" outlineLevel="1" x14ac:dyDescent="0.3">
      <c r="C73" s="38"/>
      <c r="D73" s="38"/>
      <c r="E73" s="38" t="s">
        <v>144</v>
      </c>
      <c r="F73" s="38" t="s">
        <v>326</v>
      </c>
      <c r="G73" s="38" t="str">
        <f>VLOOKUP(E73,Mapping!$E$11:$G$204,3,0)</f>
        <v>Augmentation</v>
      </c>
      <c r="H73" s="38" t="str">
        <f>VLOOKUP(E73,Mapping!$E$11:$K$204,7,0)</f>
        <v>SCS</v>
      </c>
      <c r="I73" s="38"/>
      <c r="J73" s="48">
        <f>SUMPRODUCT(--('Input|Historical Data'!$E$9:$E$1179=$E73),--('Input|Historical Data'!$O$9:$O$1179="SCS"),--('Input|Historical Data'!$M$9:$M$1179=J$5),'Input|Historical Data'!$I$9:$I$1179)</f>
        <v>0</v>
      </c>
      <c r="K73" s="48">
        <f>SUMPRODUCT(--('Input|Historical Data'!$E$9:$E$1179=$E73),--('Input|Historical Data'!$O$9:$O$1179="SCS"),--('Input|Historical Data'!$N$9:$N$1179=K$5),'Input|Historical Data'!$I$9:$I$1179)</f>
        <v>0</v>
      </c>
      <c r="L73" s="48">
        <f>SUMPRODUCT(--('Input|Historical Data'!$E$9:$E$1179=$E73),--('Input|Historical Data'!$O$9:$O$1179="SCS"),--('Input|Historical Data'!$N$9:$N$1179=L$5),'Input|Historical Data'!$I$9:$I$1179)</f>
        <v>0</v>
      </c>
      <c r="M73" s="48">
        <f>SUMPRODUCT(--('Input|Historical Data'!$E$9:$E$1179=$E73),--('Input|Historical Data'!$O$9:$O$1179="SCS"),--('Input|Historical Data'!$N$9:$N$1179=M$5),'Input|Historical Data'!$I$9:$I$1179)</f>
        <v>0</v>
      </c>
      <c r="N73" s="48">
        <f>SUMPRODUCT(--('Input|Historical Data'!$E$9:$E$1179=$E73),--('Input|Historical Data'!$O$9:$O$1179="SCS"),--('Input|Historical Data'!$M$9:$M$1179=N$5),'Input|Historical Data'!$I$9:$I$1179)</f>
        <v>0</v>
      </c>
      <c r="O73" s="49">
        <f t="shared" si="7"/>
        <v>0</v>
      </c>
      <c r="P73" s="49">
        <f t="shared" si="8"/>
        <v>0</v>
      </c>
      <c r="Q73" s="49">
        <f t="shared" si="9"/>
        <v>0</v>
      </c>
      <c r="R73" s="49">
        <f t="shared" si="10"/>
        <v>0</v>
      </c>
      <c r="S73" s="38"/>
      <c r="T73" s="48">
        <f>SUMPRODUCT(--('Input|Historical Data'!$Q$9:$Q$1179=$E73),--('Input|Historical Data'!$AA$9:$AA$1179="SCS"),--('Input|Historical Data'!$Y$9:$Y$1179=T$5),'Input|Historical Data'!$U$9:$U$1179)</f>
        <v>0</v>
      </c>
      <c r="U73" s="48">
        <f>SUMPRODUCT(--('Input|Historical Data'!$Q$9:$Q$1179=$E73),--('Input|Historical Data'!$AA$9:$AA$1179="SCS"),--('Input|Historical Data'!$Z$9:$Z$1179=U$5),'Input|Historical Data'!$U$9:$U$1179)</f>
        <v>0</v>
      </c>
      <c r="V73" s="48">
        <f>SUMPRODUCT(--('Input|Historical Data'!$Q$9:$Q$1179=$E73),--('Input|Historical Data'!$AA$9:$AA$1179="SCS"),--('Input|Historical Data'!$Z$9:$Z$1179=V$5),'Input|Historical Data'!$U$9:$U$1179)</f>
        <v>0</v>
      </c>
      <c r="W73" s="48">
        <f>SUMPRODUCT(--('Input|Historical Data'!$Q$9:$Q$1179=$E73),--('Input|Historical Data'!$AA$9:$AA$1179="SCS"),--('Input|Historical Data'!$Z$9:$Z$1179=W$5),'Input|Historical Data'!$U$9:$U$1179)</f>
        <v>0</v>
      </c>
      <c r="X73" s="48">
        <f>SUMPRODUCT(--('Input|Historical Data'!$Q$9:$Q$1179=$E73),--('Input|Historical Data'!$AA$9:$AA$1179="SCS"),--('Input|Historical Data'!$Y$9:$Y$1179=X$5),'Input|Historical Data'!$U$9:$U$1179)</f>
        <v>0</v>
      </c>
      <c r="Y73" s="49">
        <f t="shared" si="73"/>
        <v>0</v>
      </c>
      <c r="Z73" s="49">
        <f t="shared" si="74"/>
        <v>0</v>
      </c>
      <c r="AA73" s="49">
        <f t="shared" si="75"/>
        <v>0</v>
      </c>
      <c r="AB73" s="49">
        <f t="shared" si="76"/>
        <v>0</v>
      </c>
      <c r="AC73" s="38"/>
      <c r="AD73" s="48">
        <f>SUMPRODUCT(--('Input|Historical Data'!$AC$9:$AC$1180=$E73),--('Input|Historical Data'!$AM$9:$AM$1180="SCS"),--('Input|Historical Data'!$AK$9:$AK$1180=AD$5),'Input|Historical Data'!$AG$9:$AG$1180)</f>
        <v>0</v>
      </c>
      <c r="AE73" s="48">
        <f>SUMPRODUCT(--('Input|Historical Data'!$AC$9:$AC$1180=$E73),--('Input|Historical Data'!$AM$9:$AM$1180="SCS"),--('Input|Historical Data'!$AL$9:$AL$1180=AE$5),'Input|Historical Data'!$AG$9:$AG$1180)</f>
        <v>0</v>
      </c>
      <c r="AF73" s="48">
        <f>SUMPRODUCT(--('Input|Historical Data'!$AC$9:$AC$1180=$E73),--('Input|Historical Data'!$AM$9:$AM$1180="SCS"),--('Input|Historical Data'!$AL$9:$AL$1180=AF$5),'Input|Historical Data'!$AG$9:$AG$1180)</f>
        <v>0</v>
      </c>
      <c r="AG73" s="48">
        <f>SUMPRODUCT(--('Input|Historical Data'!$AC$9:$AC$1180=$E73),--('Input|Historical Data'!$AM$9:$AM$1180="SCS"),--('Input|Historical Data'!$AL$9:$AL$1180=AG$5),'Input|Historical Data'!$AG$9:$AG$1180)</f>
        <v>0</v>
      </c>
      <c r="AH73" s="48">
        <f>SUMPRODUCT(--('Input|Historical Data'!$AC$9:$AC$1180=$E73),--('Input|Historical Data'!$AM$9:$AM$1180="SCS"),--('Input|Historical Data'!$AK$9:$AK$1180=AH$5),'Input|Historical Data'!$AG$9:$AG$1180)</f>
        <v>0</v>
      </c>
      <c r="AI73" s="49">
        <f t="shared" si="17"/>
        <v>0</v>
      </c>
      <c r="AJ73" s="49">
        <f t="shared" si="18"/>
        <v>0</v>
      </c>
      <c r="AK73" s="49">
        <f t="shared" si="19"/>
        <v>0</v>
      </c>
      <c r="AL73" s="49">
        <f t="shared" si="20"/>
        <v>0</v>
      </c>
      <c r="AM73" s="38"/>
      <c r="AN73" s="48"/>
      <c r="AO73" s="48"/>
      <c r="AP73" s="48"/>
      <c r="AQ73" s="48"/>
      <c r="AR73" s="48"/>
      <c r="AS73" s="49"/>
      <c r="AT73" s="49"/>
      <c r="AU73" s="49"/>
      <c r="AV73" s="49"/>
      <c r="AW73" s="38"/>
      <c r="AX73" s="49">
        <f t="shared" si="21"/>
        <v>0</v>
      </c>
      <c r="AY73" s="49">
        <f t="shared" si="22"/>
        <v>0</v>
      </c>
      <c r="AZ73" s="49">
        <f t="shared" si="23"/>
        <v>0</v>
      </c>
      <c r="BA73" s="49">
        <f t="shared" si="24"/>
        <v>0</v>
      </c>
      <c r="BB73" s="44"/>
    </row>
    <row r="74" spans="3:54" s="7" customFormat="1" outlineLevel="1" x14ac:dyDescent="0.3">
      <c r="C74" s="38"/>
      <c r="D74" s="38"/>
      <c r="E74" s="38" t="s">
        <v>145</v>
      </c>
      <c r="F74" s="38" t="s">
        <v>327</v>
      </c>
      <c r="G74" s="38" t="str">
        <f>VLOOKUP(E74,Mapping!$E$11:$G$204,3,0)</f>
        <v>Augmentation</v>
      </c>
      <c r="H74" s="38" t="str">
        <f>VLOOKUP(E74,Mapping!$E$11:$K$204,7,0)</f>
        <v>SCS</v>
      </c>
      <c r="I74" s="38"/>
      <c r="J74" s="48">
        <f>SUMPRODUCT(--('Input|Historical Data'!$E$9:$E$1179=$E74),--('Input|Historical Data'!$O$9:$O$1179="SCS"),--('Input|Historical Data'!$M$9:$M$1179=J$5),'Input|Historical Data'!$I$9:$I$1179)</f>
        <v>11648.766999999998</v>
      </c>
      <c r="K74" s="48">
        <f>SUMPRODUCT(--('Input|Historical Data'!$E$9:$E$1179=$E74),--('Input|Historical Data'!$O$9:$O$1179="SCS"),--('Input|Historical Data'!$N$9:$N$1179=K$5),'Input|Historical Data'!$I$9:$I$1179)</f>
        <v>6361.82</v>
      </c>
      <c r="L74" s="48">
        <f>SUMPRODUCT(--('Input|Historical Data'!$E$9:$E$1179=$E74),--('Input|Historical Data'!$O$9:$O$1179="SCS"),--('Input|Historical Data'!$N$9:$N$1179=L$5),'Input|Historical Data'!$I$9:$I$1179)</f>
        <v>2923.7269999999999</v>
      </c>
      <c r="M74" s="48">
        <f>SUMPRODUCT(--('Input|Historical Data'!$E$9:$E$1179=$E74),--('Input|Historical Data'!$O$9:$O$1179="SCS"),--('Input|Historical Data'!$N$9:$N$1179=M$5),'Input|Historical Data'!$I$9:$I$1179)</f>
        <v>2363.2199999999998</v>
      </c>
      <c r="N74" s="48">
        <f>SUMPRODUCT(--('Input|Historical Data'!$E$9:$E$1179=$E74),--('Input|Historical Data'!$O$9:$O$1179="SCS"),--('Input|Historical Data'!$M$9:$M$1179=N$5),'Input|Historical Data'!$I$9:$I$1179)</f>
        <v>1090.289</v>
      </c>
      <c r="O74" s="49">
        <f t="shared" ref="O74:O137" si="77">IFERROR(K74/SUM($K74:$M74),0)</f>
        <v>0.54613677138533212</v>
      </c>
      <c r="P74" s="49">
        <f t="shared" ref="P74:P137" si="78">IFERROR(L74/SUM($K74:$M74),0)</f>
        <v>0.25099025502012362</v>
      </c>
      <c r="Q74" s="49">
        <f t="shared" ref="Q74:Q137" si="79">IFERROR(M74/SUM($K74:$M74),0)</f>
        <v>0.2028729735945444</v>
      </c>
      <c r="R74" s="49">
        <f t="shared" ref="R74:R137" si="80">IFERROR(N74/J74,0)</f>
        <v>9.3596944638003332E-2</v>
      </c>
      <c r="S74" s="38"/>
      <c r="T74" s="48">
        <f>SUMPRODUCT(--('Input|Historical Data'!$Q$9:$Q$1179=$E74),--('Input|Historical Data'!$AA$9:$AA$1179="SCS"),--('Input|Historical Data'!$Y$9:$Y$1179=T$5),'Input|Historical Data'!$U$9:$U$1179)</f>
        <v>4551.2269999999999</v>
      </c>
      <c r="U74" s="48">
        <f>SUMPRODUCT(--('Input|Historical Data'!$Q$9:$Q$1179=$E74),--('Input|Historical Data'!$AA$9:$AA$1179="SCS"),--('Input|Historical Data'!$Z$9:$Z$1179=U$5),'Input|Historical Data'!$U$9:$U$1179)</f>
        <v>2364.3650000000002</v>
      </c>
      <c r="V74" s="48">
        <f>SUMPRODUCT(--('Input|Historical Data'!$Q$9:$Q$1179=$E74),--('Input|Historical Data'!$AA$9:$AA$1179="SCS"),--('Input|Historical Data'!$Z$9:$Z$1179=V$5),'Input|Historical Data'!$U$9:$U$1179)</f>
        <v>1076.9580000000001</v>
      </c>
      <c r="W74" s="48">
        <f>SUMPRODUCT(--('Input|Historical Data'!$Q$9:$Q$1179=$E74),--('Input|Historical Data'!$AA$9:$AA$1179="SCS"),--('Input|Historical Data'!$Z$9:$Z$1179=W$5),'Input|Historical Data'!$U$9:$U$1179)</f>
        <v>1109.904</v>
      </c>
      <c r="X74" s="48">
        <f>SUMPRODUCT(--('Input|Historical Data'!$Q$9:$Q$1179=$E74),--('Input|Historical Data'!$AA$9:$AA$1179="SCS"),--('Input|Historical Data'!$Y$9:$Y$1179=X$5),'Input|Historical Data'!$U$9:$U$1179)</f>
        <v>604.89</v>
      </c>
      <c r="Y74" s="49">
        <f t="shared" si="73"/>
        <v>0.51950056545190992</v>
      </c>
      <c r="Z74" s="49">
        <f t="shared" si="74"/>
        <v>0.2366302537755203</v>
      </c>
      <c r="AA74" s="49">
        <f t="shared" si="75"/>
        <v>0.24386918077256964</v>
      </c>
      <c r="AB74" s="49">
        <f t="shared" si="76"/>
        <v>0.13290701606401967</v>
      </c>
      <c r="AC74" s="38"/>
      <c r="AD74" s="48">
        <f>SUMPRODUCT(--('Input|Historical Data'!$AC$9:$AC$1180=$E74),--('Input|Historical Data'!$AM$9:$AM$1180="SCS"),--('Input|Historical Data'!$AK$9:$AK$1180=AD$5),'Input|Historical Data'!$AG$9:$AG$1180)</f>
        <v>4876.7469999999994</v>
      </c>
      <c r="AE74" s="48">
        <f>SUMPRODUCT(--('Input|Historical Data'!$AC$9:$AC$1180=$E74),--('Input|Historical Data'!$AM$9:$AM$1180="SCS"),--('Input|Historical Data'!$AL$9:$AL$1180=AE$5),'Input|Historical Data'!$AG$9:$AG$1180)</f>
        <v>2432.0279999999998</v>
      </c>
      <c r="AF74" s="48">
        <f>SUMPRODUCT(--('Input|Historical Data'!$AC$9:$AC$1180=$E74),--('Input|Historical Data'!$AM$9:$AM$1180="SCS"),--('Input|Historical Data'!$AL$9:$AL$1180=AF$5),'Input|Historical Data'!$AG$9:$AG$1180)</f>
        <v>1718.1669999999999</v>
      </c>
      <c r="AG74" s="48">
        <f>SUMPRODUCT(--('Input|Historical Data'!$AC$9:$AC$1180=$E74),--('Input|Historical Data'!$AM$9:$AM$1180="SCS"),--('Input|Historical Data'!$AL$9:$AL$1180=AG$5),'Input|Historical Data'!$AG$9:$AG$1180)</f>
        <v>726.55199999999991</v>
      </c>
      <c r="AH74" s="48">
        <f>SUMPRODUCT(--('Input|Historical Data'!$AC$9:$AC$1180=$E74),--('Input|Historical Data'!$AM$9:$AM$1180="SCS"),--('Input|Historical Data'!$AK$9:$AK$1180=AH$5),'Input|Historical Data'!$AG$9:$AG$1180)</f>
        <v>460.54599999999999</v>
      </c>
      <c r="AI74" s="49">
        <f t="shared" si="17"/>
        <v>0.49869882526200354</v>
      </c>
      <c r="AJ74" s="49">
        <f t="shared" si="18"/>
        <v>0.35231825641149728</v>
      </c>
      <c r="AK74" s="49">
        <f t="shared" si="19"/>
        <v>0.14898291832649921</v>
      </c>
      <c r="AL74" s="49">
        <f t="shared" si="20"/>
        <v>9.443713196522191E-2</v>
      </c>
      <c r="AM74" s="38"/>
      <c r="AN74" s="48"/>
      <c r="AO74" s="48"/>
      <c r="AP74" s="48"/>
      <c r="AQ74" s="48"/>
      <c r="AR74" s="48"/>
      <c r="AS74" s="49"/>
      <c r="AT74" s="49"/>
      <c r="AU74" s="49"/>
      <c r="AV74" s="49"/>
      <c r="AW74" s="38"/>
      <c r="AX74" s="49">
        <f t="shared" si="21"/>
        <v>0.5087405841382252</v>
      </c>
      <c r="AY74" s="49">
        <f t="shared" si="22"/>
        <v>0.29647143702347928</v>
      </c>
      <c r="AZ74" s="49">
        <f t="shared" si="23"/>
        <v>0.19478797883829546</v>
      </c>
      <c r="BA74" s="49">
        <f t="shared" si="24"/>
        <v>0.11300794847334115</v>
      </c>
      <c r="BB74" s="44"/>
    </row>
    <row r="75" spans="3:54" s="7" customFormat="1" outlineLevel="1" x14ac:dyDescent="0.3">
      <c r="C75" s="38"/>
      <c r="D75" s="38"/>
      <c r="E75" s="38" t="s">
        <v>146</v>
      </c>
      <c r="F75" s="38" t="s">
        <v>328</v>
      </c>
      <c r="G75" s="38" t="str">
        <f>VLOOKUP(E75,Mapping!$E$11:$G$204,3,0)</f>
        <v>VBRC</v>
      </c>
      <c r="H75" s="38" t="str">
        <f>VLOOKUP(E75,Mapping!$E$11:$K$204,7,0)</f>
        <v>SCS</v>
      </c>
      <c r="I75" s="38"/>
      <c r="J75" s="48">
        <f>SUMPRODUCT(--('Input|Historical Data'!$E$9:$E$1179=$E75),--('Input|Historical Data'!$O$9:$O$1179="SCS"),--('Input|Historical Data'!$M$9:$M$1179=J$5),'Input|Historical Data'!$I$9:$I$1179)</f>
        <v>10.547000000000001</v>
      </c>
      <c r="K75" s="48">
        <f>SUMPRODUCT(--('Input|Historical Data'!$E$9:$E$1179=$E75),--('Input|Historical Data'!$O$9:$O$1179="SCS"),--('Input|Historical Data'!$N$9:$N$1179=K$5),'Input|Historical Data'!$I$9:$I$1179)</f>
        <v>5.492</v>
      </c>
      <c r="L75" s="48">
        <f>SUMPRODUCT(--('Input|Historical Data'!$E$9:$E$1179=$E75),--('Input|Historical Data'!$O$9:$O$1179="SCS"),--('Input|Historical Data'!$N$9:$N$1179=L$5),'Input|Historical Data'!$I$9:$I$1179)</f>
        <v>0.69200000000000006</v>
      </c>
      <c r="M75" s="48">
        <f>SUMPRODUCT(--('Input|Historical Data'!$E$9:$E$1179=$E75),--('Input|Historical Data'!$O$9:$O$1179="SCS"),--('Input|Historical Data'!$N$9:$N$1179=M$5),'Input|Historical Data'!$I$9:$I$1179)</f>
        <v>4.3629999999999995</v>
      </c>
      <c r="N75" s="48">
        <f>SUMPRODUCT(--('Input|Historical Data'!$E$9:$E$1179=$E75),--('Input|Historical Data'!$O$9:$O$1179="SCS"),--('Input|Historical Data'!$M$9:$M$1179=N$5),'Input|Historical Data'!$I$9:$I$1179)</f>
        <v>1.073</v>
      </c>
      <c r="O75" s="49">
        <f t="shared" si="77"/>
        <v>0.5207167915046933</v>
      </c>
      <c r="P75" s="49">
        <f t="shared" si="78"/>
        <v>6.5611074239120132E-2</v>
      </c>
      <c r="Q75" s="49">
        <f t="shared" si="79"/>
        <v>0.41367213425618654</v>
      </c>
      <c r="R75" s="49">
        <f t="shared" si="80"/>
        <v>0.10173509054707498</v>
      </c>
      <c r="S75" s="38"/>
      <c r="T75" s="48">
        <f>SUMPRODUCT(--('Input|Historical Data'!$Q$9:$Q$1179=$E75),--('Input|Historical Data'!$AA$9:$AA$1179="SCS"),--('Input|Historical Data'!$Y$9:$Y$1179=T$5),'Input|Historical Data'!$U$9:$U$1179)</f>
        <v>3.101</v>
      </c>
      <c r="U75" s="48">
        <f>SUMPRODUCT(--('Input|Historical Data'!$Q$9:$Q$1179=$E75),--('Input|Historical Data'!$AA$9:$AA$1179="SCS"),--('Input|Historical Data'!$Z$9:$Z$1179=U$5),'Input|Historical Data'!$U$9:$U$1179)</f>
        <v>0.60499999999999998</v>
      </c>
      <c r="V75" s="48">
        <f>SUMPRODUCT(--('Input|Historical Data'!$Q$9:$Q$1179=$E75),--('Input|Historical Data'!$AA$9:$AA$1179="SCS"),--('Input|Historical Data'!$Z$9:$Z$1179=V$5),'Input|Historical Data'!$U$9:$U$1179)</f>
        <v>1.863</v>
      </c>
      <c r="W75" s="48">
        <f>SUMPRODUCT(--('Input|Historical Data'!$Q$9:$Q$1179=$E75),--('Input|Historical Data'!$AA$9:$AA$1179="SCS"),--('Input|Historical Data'!$Z$9:$Z$1179=W$5),'Input|Historical Data'!$U$9:$U$1179)</f>
        <v>0.63300000000000001</v>
      </c>
      <c r="X75" s="48">
        <f>SUMPRODUCT(--('Input|Historical Data'!$Q$9:$Q$1179=$E75),--('Input|Historical Data'!$AA$9:$AA$1179="SCS"),--('Input|Historical Data'!$Y$9:$Y$1179=X$5),'Input|Historical Data'!$U$9:$U$1179)</f>
        <v>0.72</v>
      </c>
      <c r="Y75" s="49">
        <f t="shared" si="73"/>
        <v>0.19509835536923573</v>
      </c>
      <c r="Z75" s="49">
        <f t="shared" si="74"/>
        <v>0.60077394388906802</v>
      </c>
      <c r="AA75" s="49">
        <f t="shared" si="75"/>
        <v>0.20412770074169623</v>
      </c>
      <c r="AB75" s="49">
        <f t="shared" si="76"/>
        <v>0.23218316672041275</v>
      </c>
      <c r="AC75" s="38"/>
      <c r="AD75" s="48">
        <f>SUMPRODUCT(--('Input|Historical Data'!$AC$9:$AC$1180=$E75),--('Input|Historical Data'!$AM$9:$AM$1180="SCS"),--('Input|Historical Data'!$AK$9:$AK$1180=AD$5),'Input|Historical Data'!$AG$9:$AG$1180)</f>
        <v>1.1480000000000001</v>
      </c>
      <c r="AE75" s="48">
        <f>SUMPRODUCT(--('Input|Historical Data'!$AC$9:$AC$1180=$E75),--('Input|Historical Data'!$AM$9:$AM$1180="SCS"),--('Input|Historical Data'!$AL$9:$AL$1180=AE$5),'Input|Historical Data'!$AG$9:$AG$1180)</f>
        <v>0.629</v>
      </c>
      <c r="AF75" s="48">
        <f>SUMPRODUCT(--('Input|Historical Data'!$AC$9:$AC$1180=$E75),--('Input|Historical Data'!$AM$9:$AM$1180="SCS"),--('Input|Historical Data'!$AL$9:$AL$1180=AF$5),'Input|Historical Data'!$AG$9:$AG$1180)</f>
        <v>0.312</v>
      </c>
      <c r="AG75" s="48">
        <f>SUMPRODUCT(--('Input|Historical Data'!$AC$9:$AC$1180=$E75),--('Input|Historical Data'!$AM$9:$AM$1180="SCS"),--('Input|Historical Data'!$AL$9:$AL$1180=AG$5),'Input|Historical Data'!$AG$9:$AG$1180)</f>
        <v>0.20700000000000002</v>
      </c>
      <c r="AH75" s="48">
        <f>SUMPRODUCT(--('Input|Historical Data'!$AC$9:$AC$1180=$E75),--('Input|Historical Data'!$AM$9:$AM$1180="SCS"),--('Input|Historical Data'!$AK$9:$AK$1180=AH$5),'Input|Historical Data'!$AG$9:$AG$1180)</f>
        <v>0.16600000000000001</v>
      </c>
      <c r="AI75" s="49">
        <f t="shared" si="17"/>
        <v>0.54790940766550522</v>
      </c>
      <c r="AJ75" s="49">
        <f t="shared" si="18"/>
        <v>0.27177700348432055</v>
      </c>
      <c r="AK75" s="49">
        <f t="shared" si="19"/>
        <v>0.18031358885017421</v>
      </c>
      <c r="AL75" s="49">
        <f t="shared" si="20"/>
        <v>0.14459930313588848</v>
      </c>
      <c r="AM75" s="38"/>
      <c r="AN75" s="48"/>
      <c r="AO75" s="48"/>
      <c r="AP75" s="48"/>
      <c r="AQ75" s="48"/>
      <c r="AR75" s="48"/>
      <c r="AS75" s="49"/>
      <c r="AT75" s="49"/>
      <c r="AU75" s="49"/>
      <c r="AV75" s="49"/>
      <c r="AW75" s="38"/>
      <c r="AX75" s="49">
        <f t="shared" si="21"/>
        <v>0.29042127559425751</v>
      </c>
      <c r="AY75" s="49">
        <f t="shared" si="22"/>
        <v>0.51188514944692864</v>
      </c>
      <c r="AZ75" s="49">
        <f t="shared" si="23"/>
        <v>0.19769357495881387</v>
      </c>
      <c r="BA75" s="49">
        <f t="shared" si="24"/>
        <v>0.20851965168274886</v>
      </c>
      <c r="BB75" s="44"/>
    </row>
    <row r="76" spans="3:54" s="7" customFormat="1" outlineLevel="1" x14ac:dyDescent="0.3">
      <c r="C76" s="38"/>
      <c r="D76" s="38"/>
      <c r="E76" s="38" t="s">
        <v>147</v>
      </c>
      <c r="F76" s="38" t="s">
        <v>329</v>
      </c>
      <c r="G76" s="38" t="str">
        <f>VLOOKUP(E76,Mapping!$E$11:$G$204,3,0)</f>
        <v>Augmentation</v>
      </c>
      <c r="H76" s="38" t="str">
        <f>VLOOKUP(E76,Mapping!$E$11:$K$204,7,0)</f>
        <v>SCS</v>
      </c>
      <c r="I76" s="38"/>
      <c r="J76" s="48">
        <f>SUMPRODUCT(--('Input|Historical Data'!$E$9:$E$1179=$E76),--('Input|Historical Data'!$O$9:$O$1179="SCS"),--('Input|Historical Data'!$M$9:$M$1179=J$5),'Input|Historical Data'!$I$9:$I$1179)</f>
        <v>176.95500000000001</v>
      </c>
      <c r="K76" s="48">
        <f>SUMPRODUCT(--('Input|Historical Data'!$E$9:$E$1179=$E76),--('Input|Historical Data'!$O$9:$O$1179="SCS"),--('Input|Historical Data'!$N$9:$N$1179=K$5),'Input|Historical Data'!$I$9:$I$1179)</f>
        <v>118.94500000000001</v>
      </c>
      <c r="L76" s="48">
        <f>SUMPRODUCT(--('Input|Historical Data'!$E$9:$E$1179=$E76),--('Input|Historical Data'!$O$9:$O$1179="SCS"),--('Input|Historical Data'!$N$9:$N$1179=L$5),'Input|Historical Data'!$I$9:$I$1179)</f>
        <v>38.186</v>
      </c>
      <c r="M76" s="48">
        <f>SUMPRODUCT(--('Input|Historical Data'!$E$9:$E$1179=$E76),--('Input|Historical Data'!$O$9:$O$1179="SCS"),--('Input|Historical Data'!$N$9:$N$1179=M$5),'Input|Historical Data'!$I$9:$I$1179)</f>
        <v>19.823999999999998</v>
      </c>
      <c r="N76" s="48">
        <f>SUMPRODUCT(--('Input|Historical Data'!$E$9:$E$1179=$E76),--('Input|Historical Data'!$O$9:$O$1179="SCS"),--('Input|Historical Data'!$M$9:$M$1179=N$5),'Input|Historical Data'!$I$9:$I$1179)</f>
        <v>18.36</v>
      </c>
      <c r="O76" s="49">
        <f t="shared" si="77"/>
        <v>0.67217654205871558</v>
      </c>
      <c r="P76" s="49">
        <f t="shared" si="78"/>
        <v>0.21579497612387333</v>
      </c>
      <c r="Q76" s="49">
        <f t="shared" si="79"/>
        <v>0.11202848181741121</v>
      </c>
      <c r="R76" s="49">
        <f t="shared" si="80"/>
        <v>0.10375519199796557</v>
      </c>
      <c r="S76" s="38"/>
      <c r="T76" s="48">
        <f>SUMPRODUCT(--('Input|Historical Data'!$Q$9:$Q$1179=$E76),--('Input|Historical Data'!$AA$9:$AA$1179="SCS"),--('Input|Historical Data'!$Y$9:$Y$1179=T$5),'Input|Historical Data'!$U$9:$U$1179)</f>
        <v>169.28</v>
      </c>
      <c r="U76" s="48">
        <f>SUMPRODUCT(--('Input|Historical Data'!$Q$9:$Q$1179=$E76),--('Input|Historical Data'!$AA$9:$AA$1179="SCS"),--('Input|Historical Data'!$Z$9:$Z$1179=U$5),'Input|Historical Data'!$U$9:$U$1179)</f>
        <v>80.149000000000001</v>
      </c>
      <c r="V76" s="48">
        <f>SUMPRODUCT(--('Input|Historical Data'!$Q$9:$Q$1179=$E76),--('Input|Historical Data'!$AA$9:$AA$1179="SCS"),--('Input|Historical Data'!$Z$9:$Z$1179=V$5),'Input|Historical Data'!$U$9:$U$1179)</f>
        <v>49.314999999999998</v>
      </c>
      <c r="W76" s="48">
        <f>SUMPRODUCT(--('Input|Historical Data'!$Q$9:$Q$1179=$E76),--('Input|Historical Data'!$AA$9:$AA$1179="SCS"),--('Input|Historical Data'!$Z$9:$Z$1179=W$5),'Input|Historical Data'!$U$9:$U$1179)</f>
        <v>39.816000000000003</v>
      </c>
      <c r="X76" s="48">
        <f>SUMPRODUCT(--('Input|Historical Data'!$Q$9:$Q$1179=$E76),--('Input|Historical Data'!$AA$9:$AA$1179="SCS"),--('Input|Historical Data'!$Y$9:$Y$1179=X$5),'Input|Historical Data'!$U$9:$U$1179)</f>
        <v>26.047999999999998</v>
      </c>
      <c r="Y76" s="49">
        <f t="shared" si="73"/>
        <v>0.47346999054820416</v>
      </c>
      <c r="Z76" s="49">
        <f t="shared" si="74"/>
        <v>0.29132206994328919</v>
      </c>
      <c r="AA76" s="49">
        <f t="shared" si="75"/>
        <v>0.23520793950850663</v>
      </c>
      <c r="AB76" s="49">
        <f t="shared" si="76"/>
        <v>0.15387523629489602</v>
      </c>
      <c r="AC76" s="38"/>
      <c r="AD76" s="48">
        <f>SUMPRODUCT(--('Input|Historical Data'!$AC$9:$AC$1180=$E76),--('Input|Historical Data'!$AM$9:$AM$1180="SCS"),--('Input|Historical Data'!$AK$9:$AK$1180=AD$5),'Input|Historical Data'!$AG$9:$AG$1180)</f>
        <v>1901.22</v>
      </c>
      <c r="AE76" s="48">
        <f>SUMPRODUCT(--('Input|Historical Data'!$AC$9:$AC$1180=$E76),--('Input|Historical Data'!$AM$9:$AM$1180="SCS"),--('Input|Historical Data'!$AL$9:$AL$1180=AE$5),'Input|Historical Data'!$AG$9:$AG$1180)</f>
        <v>1182.0700000000002</v>
      </c>
      <c r="AF76" s="48">
        <f>SUMPRODUCT(--('Input|Historical Data'!$AC$9:$AC$1180=$E76),--('Input|Historical Data'!$AM$9:$AM$1180="SCS"),--('Input|Historical Data'!$AL$9:$AL$1180=AF$5),'Input|Historical Data'!$AG$9:$AG$1180)</f>
        <v>520.16999999999996</v>
      </c>
      <c r="AG76" s="48">
        <f>SUMPRODUCT(--('Input|Historical Data'!$AC$9:$AC$1180=$E76),--('Input|Historical Data'!$AM$9:$AM$1180="SCS"),--('Input|Historical Data'!$AL$9:$AL$1180=AG$5),'Input|Historical Data'!$AG$9:$AG$1180)</f>
        <v>198.98000000000002</v>
      </c>
      <c r="AH76" s="48">
        <f>SUMPRODUCT(--('Input|Historical Data'!$AC$9:$AC$1180=$E76),--('Input|Historical Data'!$AM$9:$AM$1180="SCS"),--('Input|Historical Data'!$AK$9:$AK$1180=AH$5),'Input|Historical Data'!$AG$9:$AG$1180)</f>
        <v>220.261</v>
      </c>
      <c r="AI76" s="49">
        <f t="shared" si="17"/>
        <v>0.62174288088700935</v>
      </c>
      <c r="AJ76" s="49">
        <f t="shared" si="18"/>
        <v>0.27359800549121083</v>
      </c>
      <c r="AK76" s="49">
        <f t="shared" si="19"/>
        <v>0.1046591136217797</v>
      </c>
      <c r="AL76" s="49">
        <f t="shared" si="20"/>
        <v>0.11585245263567603</v>
      </c>
      <c r="AM76" s="38"/>
      <c r="AN76" s="48"/>
      <c r="AO76" s="48"/>
      <c r="AP76" s="48"/>
      <c r="AQ76" s="48"/>
      <c r="AR76" s="48"/>
      <c r="AS76" s="49"/>
      <c r="AT76" s="49"/>
      <c r="AU76" s="49"/>
      <c r="AV76" s="49"/>
      <c r="AW76" s="38"/>
      <c r="AX76" s="49">
        <f t="shared" si="21"/>
        <v>0.60962038155035014</v>
      </c>
      <c r="AY76" s="49">
        <f t="shared" si="22"/>
        <v>0.27504709007486111</v>
      </c>
      <c r="AZ76" s="49">
        <f t="shared" si="23"/>
        <v>0.1153325283747887</v>
      </c>
      <c r="BA76" s="49">
        <f t="shared" si="24"/>
        <v>0.11896112050229413</v>
      </c>
      <c r="BB76" s="44"/>
    </row>
    <row r="77" spans="3:54" s="7" customFormat="1" outlineLevel="1" x14ac:dyDescent="0.3">
      <c r="C77" s="38"/>
      <c r="D77" s="38"/>
      <c r="E77" s="38" t="s">
        <v>148</v>
      </c>
      <c r="F77" s="38" t="s">
        <v>330</v>
      </c>
      <c r="G77" s="38" t="str">
        <f>VLOOKUP(E77,Mapping!$E$11:$G$204,3,0)</f>
        <v>VBRC</v>
      </c>
      <c r="H77" s="38" t="str">
        <f>VLOOKUP(E77,Mapping!$E$11:$K$204,7,0)</f>
        <v>SCS</v>
      </c>
      <c r="I77" s="38"/>
      <c r="J77" s="48">
        <f>SUMPRODUCT(--('Input|Historical Data'!$E$9:$E$1179=$E77),--('Input|Historical Data'!$O$9:$O$1179="SCS"),--('Input|Historical Data'!$M$9:$M$1179=J$5),'Input|Historical Data'!$I$9:$I$1179)</f>
        <v>0</v>
      </c>
      <c r="K77" s="48">
        <f>SUMPRODUCT(--('Input|Historical Data'!$E$9:$E$1179=$E77),--('Input|Historical Data'!$O$9:$O$1179="SCS"),--('Input|Historical Data'!$N$9:$N$1179=K$5),'Input|Historical Data'!$I$9:$I$1179)</f>
        <v>0</v>
      </c>
      <c r="L77" s="48">
        <f>SUMPRODUCT(--('Input|Historical Data'!$E$9:$E$1179=$E77),--('Input|Historical Data'!$O$9:$O$1179="SCS"),--('Input|Historical Data'!$N$9:$N$1179=L$5),'Input|Historical Data'!$I$9:$I$1179)</f>
        <v>0</v>
      </c>
      <c r="M77" s="48">
        <f>SUMPRODUCT(--('Input|Historical Data'!$E$9:$E$1179=$E77),--('Input|Historical Data'!$O$9:$O$1179="SCS"),--('Input|Historical Data'!$N$9:$N$1179=M$5),'Input|Historical Data'!$I$9:$I$1179)</f>
        <v>0</v>
      </c>
      <c r="N77" s="48">
        <f>SUMPRODUCT(--('Input|Historical Data'!$E$9:$E$1179=$E77),--('Input|Historical Data'!$O$9:$O$1179="SCS"),--('Input|Historical Data'!$M$9:$M$1179=N$5),'Input|Historical Data'!$I$9:$I$1179)</f>
        <v>0</v>
      </c>
      <c r="O77" s="49">
        <f t="shared" si="77"/>
        <v>0</v>
      </c>
      <c r="P77" s="49">
        <f t="shared" si="78"/>
        <v>0</v>
      </c>
      <c r="Q77" s="49">
        <f t="shared" si="79"/>
        <v>0</v>
      </c>
      <c r="R77" s="49">
        <f t="shared" si="80"/>
        <v>0</v>
      </c>
      <c r="S77" s="38"/>
      <c r="T77" s="48">
        <f>SUMPRODUCT(--('Input|Historical Data'!$Q$9:$Q$1179=$E77),--('Input|Historical Data'!$AA$9:$AA$1179="SCS"),--('Input|Historical Data'!$Y$9:$Y$1179=T$5),'Input|Historical Data'!$U$9:$U$1179)</f>
        <v>0</v>
      </c>
      <c r="U77" s="48">
        <f>SUMPRODUCT(--('Input|Historical Data'!$Q$9:$Q$1179=$E77),--('Input|Historical Data'!$AA$9:$AA$1179="SCS"),--('Input|Historical Data'!$Z$9:$Z$1179=U$5),'Input|Historical Data'!$U$9:$U$1179)</f>
        <v>0</v>
      </c>
      <c r="V77" s="48">
        <f>SUMPRODUCT(--('Input|Historical Data'!$Q$9:$Q$1179=$E77),--('Input|Historical Data'!$AA$9:$AA$1179="SCS"),--('Input|Historical Data'!$Z$9:$Z$1179=V$5),'Input|Historical Data'!$U$9:$U$1179)</f>
        <v>0</v>
      </c>
      <c r="W77" s="48">
        <f>SUMPRODUCT(--('Input|Historical Data'!$Q$9:$Q$1179=$E77),--('Input|Historical Data'!$AA$9:$AA$1179="SCS"),--('Input|Historical Data'!$Z$9:$Z$1179=W$5),'Input|Historical Data'!$U$9:$U$1179)</f>
        <v>0</v>
      </c>
      <c r="X77" s="48">
        <f>SUMPRODUCT(--('Input|Historical Data'!$Q$9:$Q$1179=$E77),--('Input|Historical Data'!$AA$9:$AA$1179="SCS"),--('Input|Historical Data'!$Y$9:$Y$1179=X$5),'Input|Historical Data'!$U$9:$U$1179)</f>
        <v>0</v>
      </c>
      <c r="Y77" s="49">
        <f t="shared" si="73"/>
        <v>0</v>
      </c>
      <c r="Z77" s="49">
        <f t="shared" si="74"/>
        <v>0</v>
      </c>
      <c r="AA77" s="49">
        <f t="shared" si="75"/>
        <v>0</v>
      </c>
      <c r="AB77" s="49">
        <f t="shared" si="76"/>
        <v>0</v>
      </c>
      <c r="AC77" s="38"/>
      <c r="AD77" s="48">
        <f>SUMPRODUCT(--('Input|Historical Data'!$AC$9:$AC$1180=$E77),--('Input|Historical Data'!$AM$9:$AM$1180="SCS"),--('Input|Historical Data'!$AK$9:$AK$1180=AD$5),'Input|Historical Data'!$AG$9:$AG$1180)</f>
        <v>0</v>
      </c>
      <c r="AE77" s="48">
        <f>SUMPRODUCT(--('Input|Historical Data'!$AC$9:$AC$1180=$E77),--('Input|Historical Data'!$AM$9:$AM$1180="SCS"),--('Input|Historical Data'!$AL$9:$AL$1180=AE$5),'Input|Historical Data'!$AG$9:$AG$1180)</f>
        <v>0</v>
      </c>
      <c r="AF77" s="48">
        <f>SUMPRODUCT(--('Input|Historical Data'!$AC$9:$AC$1180=$E77),--('Input|Historical Data'!$AM$9:$AM$1180="SCS"),--('Input|Historical Data'!$AL$9:$AL$1180=AF$5),'Input|Historical Data'!$AG$9:$AG$1180)</f>
        <v>0</v>
      </c>
      <c r="AG77" s="48">
        <f>SUMPRODUCT(--('Input|Historical Data'!$AC$9:$AC$1180=$E77),--('Input|Historical Data'!$AM$9:$AM$1180="SCS"),--('Input|Historical Data'!$AL$9:$AL$1180=AG$5),'Input|Historical Data'!$AG$9:$AG$1180)</f>
        <v>0</v>
      </c>
      <c r="AH77" s="48">
        <f>SUMPRODUCT(--('Input|Historical Data'!$AC$9:$AC$1180=$E77),--('Input|Historical Data'!$AM$9:$AM$1180="SCS"),--('Input|Historical Data'!$AK$9:$AK$1180=AH$5),'Input|Historical Data'!$AG$9:$AG$1180)</f>
        <v>0</v>
      </c>
      <c r="AI77" s="49">
        <f t="shared" si="17"/>
        <v>0</v>
      </c>
      <c r="AJ77" s="49">
        <f t="shared" si="18"/>
        <v>0</v>
      </c>
      <c r="AK77" s="49">
        <f t="shared" si="19"/>
        <v>0</v>
      </c>
      <c r="AL77" s="49">
        <f t="shared" si="20"/>
        <v>0</v>
      </c>
      <c r="AM77" s="38"/>
      <c r="AN77" s="48"/>
      <c r="AO77" s="48"/>
      <c r="AP77" s="48"/>
      <c r="AQ77" s="48"/>
      <c r="AR77" s="48"/>
      <c r="AS77" s="49"/>
      <c r="AT77" s="49"/>
      <c r="AU77" s="49"/>
      <c r="AV77" s="49"/>
      <c r="AW77" s="38"/>
      <c r="AX77" s="49">
        <f t="shared" si="21"/>
        <v>0</v>
      </c>
      <c r="AY77" s="49">
        <f t="shared" si="22"/>
        <v>0</v>
      </c>
      <c r="AZ77" s="49">
        <f t="shared" si="23"/>
        <v>0</v>
      </c>
      <c r="BA77" s="49">
        <f t="shared" si="24"/>
        <v>0</v>
      </c>
      <c r="BB77" s="44"/>
    </row>
    <row r="78" spans="3:54" s="7" customFormat="1" outlineLevel="1" x14ac:dyDescent="0.3">
      <c r="C78" s="38"/>
      <c r="D78" s="38"/>
      <c r="E78" s="38" t="s">
        <v>149</v>
      </c>
      <c r="F78" s="38" t="s">
        <v>331</v>
      </c>
      <c r="G78" s="38" t="str">
        <f>VLOOKUP(E78,Mapping!$E$11:$G$204,3,0)</f>
        <v>VBRC</v>
      </c>
      <c r="H78" s="38" t="str">
        <f>VLOOKUP(E78,Mapping!$E$11:$K$204,7,0)</f>
        <v>SCS</v>
      </c>
      <c r="I78" s="38"/>
      <c r="J78" s="48">
        <f>SUMPRODUCT(--('Input|Historical Data'!$E$9:$E$1179=$E78),--('Input|Historical Data'!$O$9:$O$1179="SCS"),--('Input|Historical Data'!$M$9:$M$1179=J$5),'Input|Historical Data'!$I$9:$I$1179)</f>
        <v>165.095</v>
      </c>
      <c r="K78" s="48">
        <f>SUMPRODUCT(--('Input|Historical Data'!$E$9:$E$1179=$E78),--('Input|Historical Data'!$O$9:$O$1179="SCS"),--('Input|Historical Data'!$N$9:$N$1179=K$5),'Input|Historical Data'!$I$9:$I$1179)</f>
        <v>106.19300000000001</v>
      </c>
      <c r="L78" s="48">
        <f>SUMPRODUCT(--('Input|Historical Data'!$E$9:$E$1179=$E78),--('Input|Historical Data'!$O$9:$O$1179="SCS"),--('Input|Historical Data'!$N$9:$N$1179=L$5),'Input|Historical Data'!$I$9:$I$1179)</f>
        <v>25.97</v>
      </c>
      <c r="M78" s="48">
        <f>SUMPRODUCT(--('Input|Historical Data'!$E$9:$E$1179=$E78),--('Input|Historical Data'!$O$9:$O$1179="SCS"),--('Input|Historical Data'!$N$9:$N$1179=M$5),'Input|Historical Data'!$I$9:$I$1179)</f>
        <v>32.932000000000002</v>
      </c>
      <c r="N78" s="48">
        <f>SUMPRODUCT(--('Input|Historical Data'!$E$9:$E$1179=$E78),--('Input|Historical Data'!$O$9:$O$1179="SCS"),--('Input|Historical Data'!$M$9:$M$1179=N$5),'Input|Historical Data'!$I$9:$I$1179)</f>
        <v>15.756</v>
      </c>
      <c r="O78" s="49">
        <f t="shared" si="77"/>
        <v>0.64322359853417721</v>
      </c>
      <c r="P78" s="49">
        <f t="shared" si="78"/>
        <v>0.15730337078651682</v>
      </c>
      <c r="Q78" s="49">
        <f t="shared" si="79"/>
        <v>0.19947303067930583</v>
      </c>
      <c r="R78" s="49">
        <f t="shared" si="80"/>
        <v>9.5435961113298412E-2</v>
      </c>
      <c r="S78" s="38"/>
      <c r="T78" s="48">
        <f>SUMPRODUCT(--('Input|Historical Data'!$Q$9:$Q$1179=$E78),--('Input|Historical Data'!$AA$9:$AA$1179="SCS"),--('Input|Historical Data'!$Y$9:$Y$1179=T$5),'Input|Historical Data'!$U$9:$U$1179)</f>
        <v>184.26</v>
      </c>
      <c r="U78" s="48">
        <f>SUMPRODUCT(--('Input|Historical Data'!$Q$9:$Q$1179=$E78),--('Input|Historical Data'!$AA$9:$AA$1179="SCS"),--('Input|Historical Data'!$Z$9:$Z$1179=U$5),'Input|Historical Data'!$U$9:$U$1179)</f>
        <v>124.684</v>
      </c>
      <c r="V78" s="48">
        <f>SUMPRODUCT(--('Input|Historical Data'!$Q$9:$Q$1179=$E78),--('Input|Historical Data'!$AA$9:$AA$1179="SCS"),--('Input|Historical Data'!$Z$9:$Z$1179=V$5),'Input|Historical Data'!$U$9:$U$1179)</f>
        <v>22.811</v>
      </c>
      <c r="W78" s="48">
        <f>SUMPRODUCT(--('Input|Historical Data'!$Q$9:$Q$1179=$E78),--('Input|Historical Data'!$AA$9:$AA$1179="SCS"),--('Input|Historical Data'!$Z$9:$Z$1179=W$5),'Input|Historical Data'!$U$9:$U$1179)</f>
        <v>36.765000000000001</v>
      </c>
      <c r="X78" s="48">
        <f>SUMPRODUCT(--('Input|Historical Data'!$Q$9:$Q$1179=$E78),--('Input|Historical Data'!$AA$9:$AA$1179="SCS"),--('Input|Historical Data'!$Y$9:$Y$1179=X$5),'Input|Historical Data'!$U$9:$U$1179)</f>
        <v>24.332999999999998</v>
      </c>
      <c r="Y78" s="49">
        <f t="shared" si="73"/>
        <v>0.67667426462607183</v>
      </c>
      <c r="Z78" s="49">
        <f t="shared" si="74"/>
        <v>0.12379789427982199</v>
      </c>
      <c r="AA78" s="49">
        <f t="shared" si="75"/>
        <v>0.19952784109410618</v>
      </c>
      <c r="AB78" s="49">
        <f t="shared" si="76"/>
        <v>0.13205796157603386</v>
      </c>
      <c r="AC78" s="38"/>
      <c r="AD78" s="48">
        <f>SUMPRODUCT(--('Input|Historical Data'!$AC$9:$AC$1180=$E78),--('Input|Historical Data'!$AM$9:$AM$1180="SCS"),--('Input|Historical Data'!$AK$9:$AK$1180=AD$5),'Input|Historical Data'!$AG$9:$AG$1180)</f>
        <v>200.68200000000002</v>
      </c>
      <c r="AE78" s="48">
        <f>SUMPRODUCT(--('Input|Historical Data'!$AC$9:$AC$1180=$E78),--('Input|Historical Data'!$AM$9:$AM$1180="SCS"),--('Input|Historical Data'!$AL$9:$AL$1180=AE$5),'Input|Historical Data'!$AG$9:$AG$1180)</f>
        <v>130.66200000000001</v>
      </c>
      <c r="AF78" s="48">
        <f>SUMPRODUCT(--('Input|Historical Data'!$AC$9:$AC$1180=$E78),--('Input|Historical Data'!$AM$9:$AM$1180="SCS"),--('Input|Historical Data'!$AL$9:$AL$1180=AF$5),'Input|Historical Data'!$AG$9:$AG$1180)</f>
        <v>32.725999999999999</v>
      </c>
      <c r="AG78" s="48">
        <f>SUMPRODUCT(--('Input|Historical Data'!$AC$9:$AC$1180=$E78),--('Input|Historical Data'!$AM$9:$AM$1180="SCS"),--('Input|Historical Data'!$AL$9:$AL$1180=AG$5),'Input|Historical Data'!$AG$9:$AG$1180)</f>
        <v>37.293999999999997</v>
      </c>
      <c r="AH78" s="48">
        <f>SUMPRODUCT(--('Input|Historical Data'!$AC$9:$AC$1180=$E78),--('Input|Historical Data'!$AM$9:$AM$1180="SCS"),--('Input|Historical Data'!$AK$9:$AK$1180=AH$5),'Input|Historical Data'!$AG$9:$AG$1180)</f>
        <v>20.32</v>
      </c>
      <c r="AI78" s="49">
        <f t="shared" si="17"/>
        <v>0.65108978383711547</v>
      </c>
      <c r="AJ78" s="49">
        <f t="shared" si="18"/>
        <v>0.16307391793982517</v>
      </c>
      <c r="AK78" s="49">
        <f t="shared" si="19"/>
        <v>0.18583629822305933</v>
      </c>
      <c r="AL78" s="49">
        <f t="shared" si="20"/>
        <v>0.10125472140002591</v>
      </c>
      <c r="AM78" s="38"/>
      <c r="AN78" s="48"/>
      <c r="AO78" s="48"/>
      <c r="AP78" s="48"/>
      <c r="AQ78" s="48"/>
      <c r="AR78" s="48"/>
      <c r="AS78" s="49"/>
      <c r="AT78" s="49"/>
      <c r="AU78" s="49"/>
      <c r="AV78" s="49"/>
      <c r="AW78" s="38"/>
      <c r="AX78" s="49">
        <f t="shared" si="21"/>
        <v>0.66333629481844014</v>
      </c>
      <c r="AY78" s="49">
        <f t="shared" si="22"/>
        <v>0.14427368278857594</v>
      </c>
      <c r="AZ78" s="49">
        <f t="shared" si="23"/>
        <v>0.19239002239298386</v>
      </c>
      <c r="BA78" s="49">
        <f t="shared" si="24"/>
        <v>0.11599929340004468</v>
      </c>
      <c r="BB78" s="44"/>
    </row>
    <row r="79" spans="3:54" s="7" customFormat="1" outlineLevel="1" x14ac:dyDescent="0.3">
      <c r="C79" s="38"/>
      <c r="D79" s="38"/>
      <c r="E79" s="38" t="s">
        <v>150</v>
      </c>
      <c r="F79" s="38" t="s">
        <v>332</v>
      </c>
      <c r="G79" s="38" t="str">
        <f>VLOOKUP(E79,Mapping!$E$11:$G$204,3,0)</f>
        <v>Replacement</v>
      </c>
      <c r="H79" s="38" t="str">
        <f>VLOOKUP(E79,Mapping!$E$11:$K$204,7,0)</f>
        <v>SCS</v>
      </c>
      <c r="I79" s="38"/>
      <c r="J79" s="48">
        <f>SUMPRODUCT(--('Input|Historical Data'!$E$9:$E$1179=$E79),--('Input|Historical Data'!$O$9:$O$1179="SCS"),--('Input|Historical Data'!$M$9:$M$1179=J$5),'Input|Historical Data'!$I$9:$I$1179)</f>
        <v>0</v>
      </c>
      <c r="K79" s="48">
        <f>SUMPRODUCT(--('Input|Historical Data'!$E$9:$E$1179=$E79),--('Input|Historical Data'!$O$9:$O$1179="SCS"),--('Input|Historical Data'!$N$9:$N$1179=K$5),'Input|Historical Data'!$I$9:$I$1179)</f>
        <v>0</v>
      </c>
      <c r="L79" s="48">
        <f>SUMPRODUCT(--('Input|Historical Data'!$E$9:$E$1179=$E79),--('Input|Historical Data'!$O$9:$O$1179="SCS"),--('Input|Historical Data'!$N$9:$N$1179=L$5),'Input|Historical Data'!$I$9:$I$1179)</f>
        <v>0</v>
      </c>
      <c r="M79" s="48">
        <f>SUMPRODUCT(--('Input|Historical Data'!$E$9:$E$1179=$E79),--('Input|Historical Data'!$O$9:$O$1179="SCS"),--('Input|Historical Data'!$N$9:$N$1179=M$5),'Input|Historical Data'!$I$9:$I$1179)</f>
        <v>0</v>
      </c>
      <c r="N79" s="48">
        <f>SUMPRODUCT(--('Input|Historical Data'!$E$9:$E$1179=$E79),--('Input|Historical Data'!$O$9:$O$1179="SCS"),--('Input|Historical Data'!$M$9:$M$1179=N$5),'Input|Historical Data'!$I$9:$I$1179)</f>
        <v>0</v>
      </c>
      <c r="O79" s="49">
        <f t="shared" si="77"/>
        <v>0</v>
      </c>
      <c r="P79" s="49">
        <f t="shared" si="78"/>
        <v>0</v>
      </c>
      <c r="Q79" s="49">
        <f t="shared" si="79"/>
        <v>0</v>
      </c>
      <c r="R79" s="49">
        <f t="shared" si="80"/>
        <v>0</v>
      </c>
      <c r="S79" s="38"/>
      <c r="T79" s="48">
        <f>SUMPRODUCT(--('Input|Historical Data'!$Q$9:$Q$1179=$E79),--('Input|Historical Data'!$AA$9:$AA$1179="SCS"),--('Input|Historical Data'!$Y$9:$Y$1179=T$5),'Input|Historical Data'!$U$9:$U$1179)</f>
        <v>0</v>
      </c>
      <c r="U79" s="48">
        <f>SUMPRODUCT(--('Input|Historical Data'!$Q$9:$Q$1179=$E79),--('Input|Historical Data'!$AA$9:$AA$1179="SCS"),--('Input|Historical Data'!$Z$9:$Z$1179=U$5),'Input|Historical Data'!$U$9:$U$1179)</f>
        <v>0</v>
      </c>
      <c r="V79" s="48">
        <f>SUMPRODUCT(--('Input|Historical Data'!$Q$9:$Q$1179=$E79),--('Input|Historical Data'!$AA$9:$AA$1179="SCS"),--('Input|Historical Data'!$Z$9:$Z$1179=V$5),'Input|Historical Data'!$U$9:$U$1179)</f>
        <v>0</v>
      </c>
      <c r="W79" s="48">
        <f>SUMPRODUCT(--('Input|Historical Data'!$Q$9:$Q$1179=$E79),--('Input|Historical Data'!$AA$9:$AA$1179="SCS"),--('Input|Historical Data'!$Z$9:$Z$1179=W$5),'Input|Historical Data'!$U$9:$U$1179)</f>
        <v>0</v>
      </c>
      <c r="X79" s="48">
        <f>SUMPRODUCT(--('Input|Historical Data'!$Q$9:$Q$1179=$E79),--('Input|Historical Data'!$AA$9:$AA$1179="SCS"),--('Input|Historical Data'!$Y$9:$Y$1179=X$5),'Input|Historical Data'!$U$9:$U$1179)</f>
        <v>0</v>
      </c>
      <c r="Y79" s="49">
        <f t="shared" si="73"/>
        <v>0</v>
      </c>
      <c r="Z79" s="49">
        <f t="shared" si="74"/>
        <v>0</v>
      </c>
      <c r="AA79" s="49">
        <f t="shared" si="75"/>
        <v>0</v>
      </c>
      <c r="AB79" s="49">
        <f t="shared" si="76"/>
        <v>0</v>
      </c>
      <c r="AC79" s="38"/>
      <c r="AD79" s="48">
        <f>SUMPRODUCT(--('Input|Historical Data'!$AC$9:$AC$1180=$E79),--('Input|Historical Data'!$AM$9:$AM$1180="SCS"),--('Input|Historical Data'!$AK$9:$AK$1180=AD$5),'Input|Historical Data'!$AG$9:$AG$1180)</f>
        <v>0</v>
      </c>
      <c r="AE79" s="48">
        <f>SUMPRODUCT(--('Input|Historical Data'!$AC$9:$AC$1180=$E79),--('Input|Historical Data'!$AM$9:$AM$1180="SCS"),--('Input|Historical Data'!$AL$9:$AL$1180=AE$5),'Input|Historical Data'!$AG$9:$AG$1180)</f>
        <v>0</v>
      </c>
      <c r="AF79" s="48">
        <f>SUMPRODUCT(--('Input|Historical Data'!$AC$9:$AC$1180=$E79),--('Input|Historical Data'!$AM$9:$AM$1180="SCS"),--('Input|Historical Data'!$AL$9:$AL$1180=AF$5),'Input|Historical Data'!$AG$9:$AG$1180)</f>
        <v>0</v>
      </c>
      <c r="AG79" s="48">
        <f>SUMPRODUCT(--('Input|Historical Data'!$AC$9:$AC$1180=$E79),--('Input|Historical Data'!$AM$9:$AM$1180="SCS"),--('Input|Historical Data'!$AL$9:$AL$1180=AG$5),'Input|Historical Data'!$AG$9:$AG$1180)</f>
        <v>0</v>
      </c>
      <c r="AH79" s="48">
        <f>SUMPRODUCT(--('Input|Historical Data'!$AC$9:$AC$1180=$E79),--('Input|Historical Data'!$AM$9:$AM$1180="SCS"),--('Input|Historical Data'!$AK$9:$AK$1180=AH$5),'Input|Historical Data'!$AG$9:$AG$1180)</f>
        <v>0</v>
      </c>
      <c r="AI79" s="49">
        <f t="shared" ref="AI79:AI142" si="81">IFERROR(AE79/SUM($AE79:$AG79),0)</f>
        <v>0</v>
      </c>
      <c r="AJ79" s="49">
        <f t="shared" ref="AJ79:AJ142" si="82">IFERROR(AF79/SUM($AE79:$AG79),0)</f>
        <v>0</v>
      </c>
      <c r="AK79" s="49">
        <f t="shared" ref="AK79:AK142" si="83">IFERROR(AG79/SUM($AE79:$AG79),0)</f>
        <v>0</v>
      </c>
      <c r="AL79" s="49">
        <f t="shared" ref="AL79:AL142" si="84">IFERROR(AH79/AD79,0)</f>
        <v>0</v>
      </c>
      <c r="AM79" s="38"/>
      <c r="AN79" s="48"/>
      <c r="AO79" s="48"/>
      <c r="AP79" s="48"/>
      <c r="AQ79" s="48"/>
      <c r="AR79" s="48"/>
      <c r="AS79" s="49"/>
      <c r="AT79" s="49"/>
      <c r="AU79" s="49"/>
      <c r="AV79" s="49"/>
      <c r="AW79" s="38"/>
      <c r="AX79" s="49">
        <f t="shared" ref="AX79:AX142" si="85">IFERROR(SUM(U79,AE79)/SUM($U79:$W79,$AE79:$AG79),0)</f>
        <v>0</v>
      </c>
      <c r="AY79" s="49">
        <f t="shared" ref="AY79:AY142" si="86">IFERROR(SUM(V79,AF79)/SUM($U79:$W79,$AE79:$AG79),0)</f>
        <v>0</v>
      </c>
      <c r="AZ79" s="49">
        <f t="shared" ref="AZ79:AZ142" si="87">IFERROR(SUM(W79,AG79)/SUM($U79:$W79,$AE79:$AG79),0)</f>
        <v>0</v>
      </c>
      <c r="BA79" s="49">
        <f t="shared" ref="BA79:BA142" si="88">IFERROR(SUM(X79,AH79)/SUM(T79,AD79),0)</f>
        <v>0</v>
      </c>
      <c r="BB79" s="44"/>
    </row>
    <row r="80" spans="3:54" s="7" customFormat="1" outlineLevel="1" x14ac:dyDescent="0.3">
      <c r="C80" s="38"/>
      <c r="D80" s="38"/>
      <c r="E80" s="38" t="s">
        <v>151</v>
      </c>
      <c r="F80" s="38" t="s">
        <v>333</v>
      </c>
      <c r="G80" s="38" t="str">
        <f>VLOOKUP(E80,Mapping!$E$11:$G$204,3,0)</f>
        <v>Replacement</v>
      </c>
      <c r="H80" s="38" t="str">
        <f>VLOOKUP(E80,Mapping!$E$11:$K$204,7,0)</f>
        <v>SCS</v>
      </c>
      <c r="I80" s="38"/>
      <c r="J80" s="48">
        <f>SUMPRODUCT(--('Input|Historical Data'!$E$9:$E$1179=$E80),--('Input|Historical Data'!$O$9:$O$1179="SCS"),--('Input|Historical Data'!$M$9:$M$1179=J$5),'Input|Historical Data'!$I$9:$I$1179)</f>
        <v>29.701999999999998</v>
      </c>
      <c r="K80" s="48">
        <f>SUMPRODUCT(--('Input|Historical Data'!$E$9:$E$1179=$E80),--('Input|Historical Data'!$O$9:$O$1179="SCS"),--('Input|Historical Data'!$N$9:$N$1179=K$5),'Input|Historical Data'!$I$9:$I$1179)</f>
        <v>14.279</v>
      </c>
      <c r="L80" s="48">
        <f>SUMPRODUCT(--('Input|Historical Data'!$E$9:$E$1179=$E80),--('Input|Historical Data'!$O$9:$O$1179="SCS"),--('Input|Historical Data'!$N$9:$N$1179=L$5),'Input|Historical Data'!$I$9:$I$1179)</f>
        <v>7.4969999999999999</v>
      </c>
      <c r="M80" s="48">
        <f>SUMPRODUCT(--('Input|Historical Data'!$E$9:$E$1179=$E80),--('Input|Historical Data'!$O$9:$O$1179="SCS"),--('Input|Historical Data'!$N$9:$N$1179=M$5),'Input|Historical Data'!$I$9:$I$1179)</f>
        <v>7.9260000000000002</v>
      </c>
      <c r="N80" s="48">
        <f>SUMPRODUCT(--('Input|Historical Data'!$E$9:$E$1179=$E80),--('Input|Historical Data'!$O$9:$O$1179="SCS"),--('Input|Historical Data'!$M$9:$M$1179=N$5),'Input|Historical Data'!$I$9:$I$1179)</f>
        <v>2.8780000000000001</v>
      </c>
      <c r="O80" s="49">
        <f t="shared" si="77"/>
        <v>0.48074203757322742</v>
      </c>
      <c r="P80" s="49">
        <f t="shared" si="78"/>
        <v>0.25240724530334657</v>
      </c>
      <c r="Q80" s="49">
        <f t="shared" si="79"/>
        <v>0.26685071712342606</v>
      </c>
      <c r="R80" s="49">
        <f t="shared" si="80"/>
        <v>9.689583193050974E-2</v>
      </c>
      <c r="S80" s="38"/>
      <c r="T80" s="48">
        <f>SUMPRODUCT(--('Input|Historical Data'!$Q$9:$Q$1179=$E80),--('Input|Historical Data'!$AA$9:$AA$1179="SCS"),--('Input|Historical Data'!$Y$9:$Y$1179=T$5),'Input|Historical Data'!$U$9:$U$1179)</f>
        <v>59.872000000000007</v>
      </c>
      <c r="U80" s="48">
        <f>SUMPRODUCT(--('Input|Historical Data'!$Q$9:$Q$1179=$E80),--('Input|Historical Data'!$AA$9:$AA$1179="SCS"),--('Input|Historical Data'!$Z$9:$Z$1179=U$5),'Input|Historical Data'!$U$9:$U$1179)</f>
        <v>33.792000000000002</v>
      </c>
      <c r="V80" s="48">
        <f>SUMPRODUCT(--('Input|Historical Data'!$Q$9:$Q$1179=$E80),--('Input|Historical Data'!$AA$9:$AA$1179="SCS"),--('Input|Historical Data'!$Z$9:$Z$1179=V$5),'Input|Historical Data'!$U$9:$U$1179)</f>
        <v>14.584</v>
      </c>
      <c r="W80" s="48">
        <f>SUMPRODUCT(--('Input|Historical Data'!$Q$9:$Q$1179=$E80),--('Input|Historical Data'!$AA$9:$AA$1179="SCS"),--('Input|Historical Data'!$Z$9:$Z$1179=W$5),'Input|Historical Data'!$U$9:$U$1179)</f>
        <v>11.495999999999999</v>
      </c>
      <c r="X80" s="48">
        <f>SUMPRODUCT(--('Input|Historical Data'!$Q$9:$Q$1179=$E80),--('Input|Historical Data'!$AA$9:$AA$1179="SCS"),--('Input|Historical Data'!$Y$9:$Y$1179=X$5),'Input|Historical Data'!$U$9:$U$1179)</f>
        <v>8.0190000000000001</v>
      </c>
      <c r="Y80" s="49">
        <f t="shared" si="73"/>
        <v>0.56440406199893112</v>
      </c>
      <c r="Z80" s="49">
        <f t="shared" si="74"/>
        <v>0.24358631747728487</v>
      </c>
      <c r="AA80" s="49">
        <f t="shared" si="75"/>
        <v>0.19200962052378406</v>
      </c>
      <c r="AB80" s="49">
        <f t="shared" si="76"/>
        <v>0.13393572955638694</v>
      </c>
      <c r="AC80" s="38"/>
      <c r="AD80" s="48">
        <f>SUMPRODUCT(--('Input|Historical Data'!$AC$9:$AC$1180=$E80),--('Input|Historical Data'!$AM$9:$AM$1180="SCS"),--('Input|Historical Data'!$AK$9:$AK$1180=AD$5),'Input|Historical Data'!$AG$9:$AG$1180)</f>
        <v>19.177000000000003</v>
      </c>
      <c r="AE80" s="48">
        <f>SUMPRODUCT(--('Input|Historical Data'!$AC$9:$AC$1180=$E80),--('Input|Historical Data'!$AM$9:$AM$1180="SCS"),--('Input|Historical Data'!$AL$9:$AL$1180=AE$5),'Input|Historical Data'!$AG$9:$AG$1180)</f>
        <v>8.9290000000000003</v>
      </c>
      <c r="AF80" s="48">
        <f>SUMPRODUCT(--('Input|Historical Data'!$AC$9:$AC$1180=$E80),--('Input|Historical Data'!$AM$9:$AM$1180="SCS"),--('Input|Historical Data'!$AL$9:$AL$1180=AF$5),'Input|Historical Data'!$AG$9:$AG$1180)</f>
        <v>5.8089999999999993</v>
      </c>
      <c r="AG80" s="48">
        <f>SUMPRODUCT(--('Input|Historical Data'!$AC$9:$AC$1180=$E80),--('Input|Historical Data'!$AM$9:$AM$1180="SCS"),--('Input|Historical Data'!$AL$9:$AL$1180=AG$5),'Input|Historical Data'!$AG$9:$AG$1180)</f>
        <v>4.4390000000000001</v>
      </c>
      <c r="AH80" s="48">
        <f>SUMPRODUCT(--('Input|Historical Data'!$AC$9:$AC$1180=$E80),--('Input|Historical Data'!$AM$9:$AM$1180="SCS"),--('Input|Historical Data'!$AK$9:$AK$1180=AH$5),'Input|Historical Data'!$AG$9:$AG$1180)</f>
        <v>1.4690000000000001</v>
      </c>
      <c r="AI80" s="49">
        <f t="shared" si="81"/>
        <v>0.46560984512697506</v>
      </c>
      <c r="AJ80" s="49">
        <f t="shared" si="82"/>
        <v>0.30291495020076131</v>
      </c>
      <c r="AK80" s="49">
        <f t="shared" si="83"/>
        <v>0.23147520467226365</v>
      </c>
      <c r="AL80" s="49">
        <f t="shared" si="84"/>
        <v>7.6602179694425607E-2</v>
      </c>
      <c r="AM80" s="38"/>
      <c r="AN80" s="48"/>
      <c r="AO80" s="48"/>
      <c r="AP80" s="48"/>
      <c r="AQ80" s="48"/>
      <c r="AR80" s="48"/>
      <c r="AS80" s="49"/>
      <c r="AT80" s="49"/>
      <c r="AU80" s="49"/>
      <c r="AV80" s="49"/>
      <c r="AW80" s="38"/>
      <c r="AX80" s="49">
        <f t="shared" si="85"/>
        <v>0.5404369441738669</v>
      </c>
      <c r="AY80" s="49">
        <f t="shared" si="86"/>
        <v>0.25797922807372642</v>
      </c>
      <c r="AZ80" s="49">
        <f t="shared" si="87"/>
        <v>0.20158382775240671</v>
      </c>
      <c r="BA80" s="49">
        <f t="shared" si="88"/>
        <v>0.12002681880858707</v>
      </c>
      <c r="BB80" s="44"/>
    </row>
    <row r="81" spans="3:54" s="7" customFormat="1" outlineLevel="1" x14ac:dyDescent="0.3">
      <c r="C81" s="38"/>
      <c r="D81" s="38"/>
      <c r="E81" s="38" t="s">
        <v>152</v>
      </c>
      <c r="F81" s="38" t="s">
        <v>334</v>
      </c>
      <c r="G81" s="38" t="str">
        <f>VLOOKUP(E81,Mapping!$E$11:$G$204,3,0)</f>
        <v>Augmentation</v>
      </c>
      <c r="H81" s="38" t="str">
        <f>VLOOKUP(E81,Mapping!$E$11:$K$204,7,0)</f>
        <v>SCS</v>
      </c>
      <c r="I81" s="38"/>
      <c r="J81" s="48">
        <f>SUMPRODUCT(--('Input|Historical Data'!$E$9:$E$1179=$E81),--('Input|Historical Data'!$O$9:$O$1179="SCS"),--('Input|Historical Data'!$M$9:$M$1179=J$5),'Input|Historical Data'!$I$9:$I$1179)</f>
        <v>1058.0619999999999</v>
      </c>
      <c r="K81" s="48">
        <f>SUMPRODUCT(--('Input|Historical Data'!$E$9:$E$1179=$E81),--('Input|Historical Data'!$O$9:$O$1179="SCS"),--('Input|Historical Data'!$N$9:$N$1179=K$5),'Input|Historical Data'!$I$9:$I$1179)</f>
        <v>517.45799999999997</v>
      </c>
      <c r="L81" s="48">
        <f>SUMPRODUCT(--('Input|Historical Data'!$E$9:$E$1179=$E81),--('Input|Historical Data'!$O$9:$O$1179="SCS"),--('Input|Historical Data'!$N$9:$N$1179=L$5),'Input|Historical Data'!$I$9:$I$1179)</f>
        <v>345.70400000000001</v>
      </c>
      <c r="M81" s="48">
        <f>SUMPRODUCT(--('Input|Historical Data'!$E$9:$E$1179=$E81),--('Input|Historical Data'!$O$9:$O$1179="SCS"),--('Input|Historical Data'!$N$9:$N$1179=M$5),'Input|Historical Data'!$I$9:$I$1179)</f>
        <v>194.9</v>
      </c>
      <c r="N81" s="48">
        <f>SUMPRODUCT(--('Input|Historical Data'!$E$9:$E$1179=$E81),--('Input|Historical Data'!$O$9:$O$1179="SCS"),--('Input|Historical Data'!$M$9:$M$1179=N$5),'Input|Historical Data'!$I$9:$I$1179)</f>
        <v>105.205</v>
      </c>
      <c r="O81" s="49">
        <f t="shared" si="77"/>
        <v>0.48906207764762361</v>
      </c>
      <c r="P81" s="49">
        <f t="shared" si="78"/>
        <v>0.32673321601191607</v>
      </c>
      <c r="Q81" s="49">
        <f t="shared" si="79"/>
        <v>0.18420470634046018</v>
      </c>
      <c r="R81" s="49">
        <f t="shared" si="80"/>
        <v>9.943179133169891E-2</v>
      </c>
      <c r="S81" s="38"/>
      <c r="T81" s="48">
        <f>SUMPRODUCT(--('Input|Historical Data'!$Q$9:$Q$1179=$E81),--('Input|Historical Data'!$AA$9:$AA$1179="SCS"),--('Input|Historical Data'!$Y$9:$Y$1179=T$5),'Input|Historical Data'!$U$9:$U$1179)</f>
        <v>1183.0410000000002</v>
      </c>
      <c r="U81" s="48">
        <f>SUMPRODUCT(--('Input|Historical Data'!$Q$9:$Q$1179=$E81),--('Input|Historical Data'!$AA$9:$AA$1179="SCS"),--('Input|Historical Data'!$Z$9:$Z$1179=U$5),'Input|Historical Data'!$U$9:$U$1179)</f>
        <v>707.01400000000001</v>
      </c>
      <c r="V81" s="48">
        <f>SUMPRODUCT(--('Input|Historical Data'!$Q$9:$Q$1179=$E81),--('Input|Historical Data'!$AA$9:$AA$1179="SCS"),--('Input|Historical Data'!$Z$9:$Z$1179=V$5),'Input|Historical Data'!$U$9:$U$1179)</f>
        <v>262.339</v>
      </c>
      <c r="W81" s="48">
        <f>SUMPRODUCT(--('Input|Historical Data'!$Q$9:$Q$1179=$E81),--('Input|Historical Data'!$AA$9:$AA$1179="SCS"),--('Input|Historical Data'!$Z$9:$Z$1179=W$5),'Input|Historical Data'!$U$9:$U$1179)</f>
        <v>213.68800000000002</v>
      </c>
      <c r="X81" s="48">
        <f>SUMPRODUCT(--('Input|Historical Data'!$Q$9:$Q$1179=$E81),--('Input|Historical Data'!$AA$9:$AA$1179="SCS"),--('Input|Historical Data'!$Y$9:$Y$1179=X$5),'Input|Historical Data'!$U$9:$U$1179)</f>
        <v>158.672</v>
      </c>
      <c r="Y81" s="49">
        <f t="shared" si="73"/>
        <v>0.59762425816180498</v>
      </c>
      <c r="Z81" s="49">
        <f t="shared" si="74"/>
        <v>0.22174971112581893</v>
      </c>
      <c r="AA81" s="49">
        <f t="shared" si="75"/>
        <v>0.18062603071237598</v>
      </c>
      <c r="AB81" s="49">
        <f t="shared" si="76"/>
        <v>0.1341221479221768</v>
      </c>
      <c r="AC81" s="38"/>
      <c r="AD81" s="48">
        <f>SUMPRODUCT(--('Input|Historical Data'!$AC$9:$AC$1180=$E81),--('Input|Historical Data'!$AM$9:$AM$1180="SCS"),--('Input|Historical Data'!$AK$9:$AK$1180=AD$5),'Input|Historical Data'!$AG$9:$AG$1180)</f>
        <v>306.916</v>
      </c>
      <c r="AE81" s="48">
        <f>SUMPRODUCT(--('Input|Historical Data'!$AC$9:$AC$1180=$E81),--('Input|Historical Data'!$AM$9:$AM$1180="SCS"),--('Input|Historical Data'!$AL$9:$AL$1180=AE$5),'Input|Historical Data'!$AG$9:$AG$1180)</f>
        <v>140.99799999999999</v>
      </c>
      <c r="AF81" s="48">
        <f>SUMPRODUCT(--('Input|Historical Data'!$AC$9:$AC$1180=$E81),--('Input|Historical Data'!$AM$9:$AM$1180="SCS"),--('Input|Historical Data'!$AL$9:$AL$1180=AF$5),'Input|Historical Data'!$AG$9:$AG$1180)</f>
        <v>110.517</v>
      </c>
      <c r="AG81" s="48">
        <f>SUMPRODUCT(--('Input|Historical Data'!$AC$9:$AC$1180=$E81),--('Input|Historical Data'!$AM$9:$AM$1180="SCS"),--('Input|Historical Data'!$AL$9:$AL$1180=AG$5),'Input|Historical Data'!$AG$9:$AG$1180)</f>
        <v>55.401000000000003</v>
      </c>
      <c r="AH81" s="48">
        <f>SUMPRODUCT(--('Input|Historical Data'!$AC$9:$AC$1180=$E81),--('Input|Historical Data'!$AM$9:$AM$1180="SCS"),--('Input|Historical Data'!$AK$9:$AK$1180=AH$5),'Input|Historical Data'!$AG$9:$AG$1180)</f>
        <v>30.693000000000001</v>
      </c>
      <c r="AI81" s="49">
        <f t="shared" si="81"/>
        <v>0.45940257269089912</v>
      </c>
      <c r="AJ81" s="49">
        <f t="shared" si="82"/>
        <v>0.36008875392615569</v>
      </c>
      <c r="AK81" s="49">
        <f t="shared" si="83"/>
        <v>0.18050867338294518</v>
      </c>
      <c r="AL81" s="49">
        <f t="shared" si="84"/>
        <v>0.10000456150868642</v>
      </c>
      <c r="AM81" s="38"/>
      <c r="AN81" s="48"/>
      <c r="AO81" s="48"/>
      <c r="AP81" s="48"/>
      <c r="AQ81" s="48"/>
      <c r="AR81" s="48"/>
      <c r="AS81" s="49"/>
      <c r="AT81" s="49"/>
      <c r="AU81" s="49"/>
      <c r="AV81" s="49"/>
      <c r="AW81" s="38"/>
      <c r="AX81" s="49">
        <f t="shared" si="85"/>
        <v>0.56915199566161956</v>
      </c>
      <c r="AY81" s="49">
        <f t="shared" si="86"/>
        <v>0.2502461480431985</v>
      </c>
      <c r="AZ81" s="49">
        <f t="shared" si="87"/>
        <v>0.18060185629518163</v>
      </c>
      <c r="BA81" s="49">
        <f t="shared" si="88"/>
        <v>0.12709427184811373</v>
      </c>
      <c r="BB81" s="44"/>
    </row>
    <row r="82" spans="3:54" s="7" customFormat="1" outlineLevel="1" x14ac:dyDescent="0.3">
      <c r="C82" s="38"/>
      <c r="D82" s="38"/>
      <c r="E82" s="38" t="s">
        <v>153</v>
      </c>
      <c r="F82" s="38" t="s">
        <v>335</v>
      </c>
      <c r="G82" s="38" t="str">
        <f>VLOOKUP(E82,Mapping!$E$11:$G$204,3,0)</f>
        <v>Augmentation</v>
      </c>
      <c r="H82" s="38" t="str">
        <f>VLOOKUP(E82,Mapping!$E$11:$K$204,7,0)</f>
        <v>SCS</v>
      </c>
      <c r="I82" s="38"/>
      <c r="J82" s="48">
        <f>SUMPRODUCT(--('Input|Historical Data'!$E$9:$E$1179=$E82),--('Input|Historical Data'!$O$9:$O$1179="SCS"),--('Input|Historical Data'!$M$9:$M$1179=J$5),'Input|Historical Data'!$I$9:$I$1179)</f>
        <v>4.8120000000000012</v>
      </c>
      <c r="K82" s="48">
        <f>SUMPRODUCT(--('Input|Historical Data'!$E$9:$E$1179=$E82),--('Input|Historical Data'!$O$9:$O$1179="SCS"),--('Input|Historical Data'!$N$9:$N$1179=K$5),'Input|Historical Data'!$I$9:$I$1179)</f>
        <v>3.101</v>
      </c>
      <c r="L82" s="48">
        <f>SUMPRODUCT(--('Input|Historical Data'!$E$9:$E$1179=$E82),--('Input|Historical Data'!$O$9:$O$1179="SCS"),--('Input|Historical Data'!$N$9:$N$1179=L$5),'Input|Historical Data'!$I$9:$I$1179)</f>
        <v>0.86299999999999999</v>
      </c>
      <c r="M82" s="48">
        <f>SUMPRODUCT(--('Input|Historical Data'!$E$9:$E$1179=$E82),--('Input|Historical Data'!$O$9:$O$1179="SCS"),--('Input|Historical Data'!$N$9:$N$1179=M$5),'Input|Historical Data'!$I$9:$I$1179)</f>
        <v>0.84800000000000009</v>
      </c>
      <c r="N82" s="48">
        <f>SUMPRODUCT(--('Input|Historical Data'!$E$9:$E$1179=$E82),--('Input|Historical Data'!$O$9:$O$1179="SCS"),--('Input|Historical Data'!$M$9:$M$1179=N$5),'Input|Historical Data'!$I$9:$I$1179)</f>
        <v>0.42299999999999999</v>
      </c>
      <c r="O82" s="49">
        <f t="shared" si="77"/>
        <v>0.64443059019118865</v>
      </c>
      <c r="P82" s="49">
        <f t="shared" si="78"/>
        <v>0.17934330839567747</v>
      </c>
      <c r="Q82" s="49">
        <f t="shared" si="79"/>
        <v>0.17622610141313383</v>
      </c>
      <c r="R82" s="49">
        <f t="shared" si="80"/>
        <v>8.7905236907730652E-2</v>
      </c>
      <c r="S82" s="38"/>
      <c r="T82" s="48">
        <f>SUMPRODUCT(--('Input|Historical Data'!$Q$9:$Q$1179=$E82),--('Input|Historical Data'!$AA$9:$AA$1179="SCS"),--('Input|Historical Data'!$Y$9:$Y$1179=T$5),'Input|Historical Data'!$U$9:$U$1179)</f>
        <v>12.962</v>
      </c>
      <c r="U82" s="48">
        <f>SUMPRODUCT(--('Input|Historical Data'!$Q$9:$Q$1179=$E82),--('Input|Historical Data'!$AA$9:$AA$1179="SCS"),--('Input|Historical Data'!$Z$9:$Z$1179=U$5),'Input|Historical Data'!$U$9:$U$1179)</f>
        <v>5.3380000000000001</v>
      </c>
      <c r="V82" s="48">
        <f>SUMPRODUCT(--('Input|Historical Data'!$Q$9:$Q$1179=$E82),--('Input|Historical Data'!$AA$9:$AA$1179="SCS"),--('Input|Historical Data'!$Z$9:$Z$1179=V$5),'Input|Historical Data'!$U$9:$U$1179)</f>
        <v>5.32</v>
      </c>
      <c r="W82" s="48">
        <f>SUMPRODUCT(--('Input|Historical Data'!$Q$9:$Q$1179=$E82),--('Input|Historical Data'!$AA$9:$AA$1179="SCS"),--('Input|Historical Data'!$Z$9:$Z$1179=W$5),'Input|Historical Data'!$U$9:$U$1179)</f>
        <v>2.3039999999999998</v>
      </c>
      <c r="X82" s="48">
        <f>SUMPRODUCT(--('Input|Historical Data'!$Q$9:$Q$1179=$E82),--('Input|Historical Data'!$AA$9:$AA$1179="SCS"),--('Input|Historical Data'!$Y$9:$Y$1179=X$5),'Input|Historical Data'!$U$9:$U$1179)</f>
        <v>2.4590000000000001</v>
      </c>
      <c r="Y82" s="49">
        <f t="shared" si="73"/>
        <v>0.4118191637093041</v>
      </c>
      <c r="Z82" s="49">
        <f t="shared" si="74"/>
        <v>0.41043048912204905</v>
      </c>
      <c r="AA82" s="49">
        <f t="shared" si="75"/>
        <v>0.17775034716864677</v>
      </c>
      <c r="AB82" s="49">
        <f t="shared" si="76"/>
        <v>0.18970837833667645</v>
      </c>
      <c r="AC82" s="38"/>
      <c r="AD82" s="48">
        <f>SUMPRODUCT(--('Input|Historical Data'!$AC$9:$AC$1180=$E82),--('Input|Historical Data'!$AM$9:$AM$1180="SCS"),--('Input|Historical Data'!$AK$9:$AK$1180=AD$5),'Input|Historical Data'!$AG$9:$AG$1180)</f>
        <v>4.8830000000000009</v>
      </c>
      <c r="AE82" s="48">
        <f>SUMPRODUCT(--('Input|Historical Data'!$AC$9:$AC$1180=$E82),--('Input|Historical Data'!$AM$9:$AM$1180="SCS"),--('Input|Historical Data'!$AL$9:$AL$1180=AE$5),'Input|Historical Data'!$AG$9:$AG$1180)</f>
        <v>3.101</v>
      </c>
      <c r="AF82" s="48">
        <f>SUMPRODUCT(--('Input|Historical Data'!$AC$9:$AC$1180=$E82),--('Input|Historical Data'!$AM$9:$AM$1180="SCS"),--('Input|Historical Data'!$AL$9:$AL$1180=AF$5),'Input|Historical Data'!$AG$9:$AG$1180)</f>
        <v>0.91800000000000004</v>
      </c>
      <c r="AG82" s="48">
        <f>SUMPRODUCT(--('Input|Historical Data'!$AC$9:$AC$1180=$E82),--('Input|Historical Data'!$AM$9:$AM$1180="SCS"),--('Input|Historical Data'!$AL$9:$AL$1180=AG$5),'Input|Historical Data'!$AG$9:$AG$1180)</f>
        <v>0.8640000000000001</v>
      </c>
      <c r="AH82" s="48">
        <f>SUMPRODUCT(--('Input|Historical Data'!$AC$9:$AC$1180=$E82),--('Input|Historical Data'!$AM$9:$AM$1180="SCS"),--('Input|Historical Data'!$AK$9:$AK$1180=AH$5),'Input|Historical Data'!$AG$9:$AG$1180)</f>
        <v>0.29099999999999998</v>
      </c>
      <c r="AI82" s="49">
        <f t="shared" si="81"/>
        <v>0.63506041368011468</v>
      </c>
      <c r="AJ82" s="49">
        <f t="shared" si="82"/>
        <v>0.18799918083145609</v>
      </c>
      <c r="AK82" s="49">
        <f t="shared" si="83"/>
        <v>0.17694040548842926</v>
      </c>
      <c r="AL82" s="49">
        <f t="shared" si="84"/>
        <v>5.9594511570755668E-2</v>
      </c>
      <c r="AM82" s="38"/>
      <c r="AN82" s="48"/>
      <c r="AO82" s="48"/>
      <c r="AP82" s="48"/>
      <c r="AQ82" s="48"/>
      <c r="AR82" s="48"/>
      <c r="AS82" s="49"/>
      <c r="AT82" s="49"/>
      <c r="AU82" s="49"/>
      <c r="AV82" s="49"/>
      <c r="AW82" s="38"/>
      <c r="AX82" s="49">
        <f t="shared" si="85"/>
        <v>0.47290557579153819</v>
      </c>
      <c r="AY82" s="49">
        <f t="shared" si="86"/>
        <v>0.3495657046791818</v>
      </c>
      <c r="AZ82" s="49">
        <f t="shared" si="87"/>
        <v>0.1775287195292799</v>
      </c>
      <c r="BA82" s="49">
        <f t="shared" si="88"/>
        <v>0.15410479125805548</v>
      </c>
      <c r="BB82" s="44"/>
    </row>
    <row r="83" spans="3:54" s="7" customFormat="1" outlineLevel="1" x14ac:dyDescent="0.3">
      <c r="C83" s="38"/>
      <c r="D83" s="38"/>
      <c r="E83" s="38" t="s">
        <v>154</v>
      </c>
      <c r="F83" s="38" t="s">
        <v>336</v>
      </c>
      <c r="G83" s="38" t="str">
        <f>VLOOKUP(E83,Mapping!$E$11:$G$204,3,0)</f>
        <v>Augmentation</v>
      </c>
      <c r="H83" s="38" t="str">
        <f>VLOOKUP(E83,Mapping!$E$11:$K$204,7,0)</f>
        <v>SCADA (10-year asset)</v>
      </c>
      <c r="I83" s="38"/>
      <c r="J83" s="48">
        <f>SUMPRODUCT(--('Input|Historical Data'!$E$9:$E$1179=$E83),--('Input|Historical Data'!$O$9:$O$1179="SCS"),--('Input|Historical Data'!$M$9:$M$1179=J$5),'Input|Historical Data'!$I$9:$I$1179)</f>
        <v>0</v>
      </c>
      <c r="K83" s="48">
        <f>SUMPRODUCT(--('Input|Historical Data'!$E$9:$E$1179=$E83),--('Input|Historical Data'!$O$9:$O$1179="SCS"),--('Input|Historical Data'!$N$9:$N$1179=K$5),'Input|Historical Data'!$I$9:$I$1179)</f>
        <v>0</v>
      </c>
      <c r="L83" s="48">
        <f>SUMPRODUCT(--('Input|Historical Data'!$E$9:$E$1179=$E83),--('Input|Historical Data'!$O$9:$O$1179="SCS"),--('Input|Historical Data'!$N$9:$N$1179=L$5),'Input|Historical Data'!$I$9:$I$1179)</f>
        <v>0</v>
      </c>
      <c r="M83" s="48">
        <f>SUMPRODUCT(--('Input|Historical Data'!$E$9:$E$1179=$E83),--('Input|Historical Data'!$O$9:$O$1179="SCS"),--('Input|Historical Data'!$N$9:$N$1179=M$5),'Input|Historical Data'!$I$9:$I$1179)</f>
        <v>0</v>
      </c>
      <c r="N83" s="48">
        <f>SUMPRODUCT(--('Input|Historical Data'!$E$9:$E$1179=$E83),--('Input|Historical Data'!$O$9:$O$1179="SCS"),--('Input|Historical Data'!$M$9:$M$1179=N$5),'Input|Historical Data'!$I$9:$I$1179)</f>
        <v>0</v>
      </c>
      <c r="O83" s="49">
        <f t="shared" si="77"/>
        <v>0</v>
      </c>
      <c r="P83" s="49">
        <f t="shared" si="78"/>
        <v>0</v>
      </c>
      <c r="Q83" s="49">
        <f t="shared" si="79"/>
        <v>0</v>
      </c>
      <c r="R83" s="49">
        <f t="shared" si="80"/>
        <v>0</v>
      </c>
      <c r="S83" s="38"/>
      <c r="T83" s="48">
        <f>SUMPRODUCT(--('Input|Historical Data'!$Q$9:$Q$1179=$E83),--('Input|Historical Data'!$AA$9:$AA$1179="SCS"),--('Input|Historical Data'!$Y$9:$Y$1179=T$5),'Input|Historical Data'!$U$9:$U$1179)</f>
        <v>0</v>
      </c>
      <c r="U83" s="48">
        <f>SUMPRODUCT(--('Input|Historical Data'!$Q$9:$Q$1179=$E83),--('Input|Historical Data'!$AA$9:$AA$1179="SCS"),--('Input|Historical Data'!$Z$9:$Z$1179=U$5),'Input|Historical Data'!$U$9:$U$1179)</f>
        <v>0</v>
      </c>
      <c r="V83" s="48">
        <f>SUMPRODUCT(--('Input|Historical Data'!$Q$9:$Q$1179=$E83),--('Input|Historical Data'!$AA$9:$AA$1179="SCS"),--('Input|Historical Data'!$Z$9:$Z$1179=V$5),'Input|Historical Data'!$U$9:$U$1179)</f>
        <v>0</v>
      </c>
      <c r="W83" s="48">
        <f>SUMPRODUCT(--('Input|Historical Data'!$Q$9:$Q$1179=$E83),--('Input|Historical Data'!$AA$9:$AA$1179="SCS"),--('Input|Historical Data'!$Z$9:$Z$1179=W$5),'Input|Historical Data'!$U$9:$U$1179)</f>
        <v>0</v>
      </c>
      <c r="X83" s="48">
        <f>SUMPRODUCT(--('Input|Historical Data'!$Q$9:$Q$1179=$E83),--('Input|Historical Data'!$AA$9:$AA$1179="SCS"),--('Input|Historical Data'!$Y$9:$Y$1179=X$5),'Input|Historical Data'!$U$9:$U$1179)</f>
        <v>0</v>
      </c>
      <c r="Y83" s="49">
        <f t="shared" si="73"/>
        <v>0</v>
      </c>
      <c r="Z83" s="49">
        <f t="shared" si="74"/>
        <v>0</v>
      </c>
      <c r="AA83" s="49">
        <f t="shared" si="75"/>
        <v>0</v>
      </c>
      <c r="AB83" s="49">
        <f t="shared" si="76"/>
        <v>0</v>
      </c>
      <c r="AC83" s="38"/>
      <c r="AD83" s="48">
        <f>SUMPRODUCT(--('Input|Historical Data'!$AC$9:$AC$1180=$E83),--('Input|Historical Data'!$AM$9:$AM$1180="SCS"),--('Input|Historical Data'!$AK$9:$AK$1180=AD$5),'Input|Historical Data'!$AG$9:$AG$1180)</f>
        <v>0</v>
      </c>
      <c r="AE83" s="48">
        <f>SUMPRODUCT(--('Input|Historical Data'!$AC$9:$AC$1180=$E83),--('Input|Historical Data'!$AM$9:$AM$1180="SCS"),--('Input|Historical Data'!$AL$9:$AL$1180=AE$5),'Input|Historical Data'!$AG$9:$AG$1180)</f>
        <v>0</v>
      </c>
      <c r="AF83" s="48">
        <f>SUMPRODUCT(--('Input|Historical Data'!$AC$9:$AC$1180=$E83),--('Input|Historical Data'!$AM$9:$AM$1180="SCS"),--('Input|Historical Data'!$AL$9:$AL$1180=AF$5),'Input|Historical Data'!$AG$9:$AG$1180)</f>
        <v>0</v>
      </c>
      <c r="AG83" s="48">
        <f>SUMPRODUCT(--('Input|Historical Data'!$AC$9:$AC$1180=$E83),--('Input|Historical Data'!$AM$9:$AM$1180="SCS"),--('Input|Historical Data'!$AL$9:$AL$1180=AG$5),'Input|Historical Data'!$AG$9:$AG$1180)</f>
        <v>0</v>
      </c>
      <c r="AH83" s="48">
        <f>SUMPRODUCT(--('Input|Historical Data'!$AC$9:$AC$1180=$E83),--('Input|Historical Data'!$AM$9:$AM$1180="SCS"),--('Input|Historical Data'!$AK$9:$AK$1180=AH$5),'Input|Historical Data'!$AG$9:$AG$1180)</f>
        <v>0</v>
      </c>
      <c r="AI83" s="49">
        <f t="shared" si="81"/>
        <v>0</v>
      </c>
      <c r="AJ83" s="49">
        <f t="shared" si="82"/>
        <v>0</v>
      </c>
      <c r="AK83" s="49">
        <f t="shared" si="83"/>
        <v>0</v>
      </c>
      <c r="AL83" s="49">
        <f t="shared" si="84"/>
        <v>0</v>
      </c>
      <c r="AM83" s="38"/>
      <c r="AN83" s="48"/>
      <c r="AO83" s="48"/>
      <c r="AP83" s="48"/>
      <c r="AQ83" s="48"/>
      <c r="AR83" s="48"/>
      <c r="AS83" s="49"/>
      <c r="AT83" s="49"/>
      <c r="AU83" s="49"/>
      <c r="AV83" s="49"/>
      <c r="AW83" s="38"/>
      <c r="AX83" s="49">
        <f t="shared" si="85"/>
        <v>0</v>
      </c>
      <c r="AY83" s="49">
        <f t="shared" si="86"/>
        <v>0</v>
      </c>
      <c r="AZ83" s="49">
        <f t="shared" si="87"/>
        <v>0</v>
      </c>
      <c r="BA83" s="49">
        <f t="shared" si="88"/>
        <v>0</v>
      </c>
      <c r="BB83" s="44"/>
    </row>
    <row r="84" spans="3:54" s="7" customFormat="1" outlineLevel="1" x14ac:dyDescent="0.3">
      <c r="C84" s="38"/>
      <c r="D84" s="38"/>
      <c r="E84" s="38" t="s">
        <v>155</v>
      </c>
      <c r="F84" s="38" t="s">
        <v>337</v>
      </c>
      <c r="G84" s="38" t="str">
        <f>VLOOKUP(E84,Mapping!$E$11:$G$204,3,0)</f>
        <v>Replacement</v>
      </c>
      <c r="H84" s="38" t="str">
        <f>VLOOKUP(E84,Mapping!$E$11:$K$204,7,0)</f>
        <v>SCS</v>
      </c>
      <c r="I84" s="38"/>
      <c r="J84" s="48">
        <f>SUMPRODUCT(--('Input|Historical Data'!$E$9:$E$1179=$E84),--('Input|Historical Data'!$O$9:$O$1179="SCS"),--('Input|Historical Data'!$M$9:$M$1179=J$5),'Input|Historical Data'!$I$9:$I$1179)</f>
        <v>595.41100000000006</v>
      </c>
      <c r="K84" s="48">
        <f>SUMPRODUCT(--('Input|Historical Data'!$E$9:$E$1179=$E84),--('Input|Historical Data'!$O$9:$O$1179="SCS"),--('Input|Historical Data'!$N$9:$N$1179=K$5),'Input|Historical Data'!$I$9:$I$1179)</f>
        <v>305.66999999999996</v>
      </c>
      <c r="L84" s="48">
        <f>SUMPRODUCT(--('Input|Historical Data'!$E$9:$E$1179=$E84),--('Input|Historical Data'!$O$9:$O$1179="SCS"),--('Input|Historical Data'!$N$9:$N$1179=L$5),'Input|Historical Data'!$I$9:$I$1179)</f>
        <v>180.322</v>
      </c>
      <c r="M84" s="48">
        <f>SUMPRODUCT(--('Input|Historical Data'!$E$9:$E$1179=$E84),--('Input|Historical Data'!$O$9:$O$1179="SCS"),--('Input|Historical Data'!$N$9:$N$1179=M$5),'Input|Historical Data'!$I$9:$I$1179)</f>
        <v>109.41900000000001</v>
      </c>
      <c r="N84" s="48">
        <f>SUMPRODUCT(--('Input|Historical Data'!$E$9:$E$1179=$E84),--('Input|Historical Data'!$O$9:$O$1179="SCS"),--('Input|Historical Data'!$M$9:$M$1179=N$5),'Input|Historical Data'!$I$9:$I$1179)</f>
        <v>59.271999999999998</v>
      </c>
      <c r="O84" s="49">
        <f t="shared" si="77"/>
        <v>0.51337647440171574</v>
      </c>
      <c r="P84" s="49">
        <f t="shared" si="78"/>
        <v>0.30285298726425952</v>
      </c>
      <c r="Q84" s="49">
        <f t="shared" si="79"/>
        <v>0.18377053833402476</v>
      </c>
      <c r="R84" s="49">
        <f t="shared" si="80"/>
        <v>9.9548043284386739E-2</v>
      </c>
      <c r="S84" s="38"/>
      <c r="T84" s="48">
        <f>SUMPRODUCT(--('Input|Historical Data'!$Q$9:$Q$1179=$E84),--('Input|Historical Data'!$AA$9:$AA$1179="SCS"),--('Input|Historical Data'!$Y$9:$Y$1179=T$5),'Input|Historical Data'!$U$9:$U$1179)</f>
        <v>806.64</v>
      </c>
      <c r="U84" s="48">
        <f>SUMPRODUCT(--('Input|Historical Data'!$Q$9:$Q$1179=$E84),--('Input|Historical Data'!$AA$9:$AA$1179="SCS"),--('Input|Historical Data'!$Z$9:$Z$1179=U$5),'Input|Historical Data'!$U$9:$U$1179)</f>
        <v>423.42600000000004</v>
      </c>
      <c r="V84" s="48">
        <f>SUMPRODUCT(--('Input|Historical Data'!$Q$9:$Q$1179=$E84),--('Input|Historical Data'!$AA$9:$AA$1179="SCS"),--('Input|Historical Data'!$Z$9:$Z$1179=V$5),'Input|Historical Data'!$U$9:$U$1179)</f>
        <v>266.08999999999997</v>
      </c>
      <c r="W84" s="48">
        <f>SUMPRODUCT(--('Input|Historical Data'!$Q$9:$Q$1179=$E84),--('Input|Historical Data'!$AA$9:$AA$1179="SCS"),--('Input|Historical Data'!$Z$9:$Z$1179=W$5),'Input|Historical Data'!$U$9:$U$1179)</f>
        <v>117.124</v>
      </c>
      <c r="X84" s="48">
        <f>SUMPRODUCT(--('Input|Historical Data'!$Q$9:$Q$1179=$E84),--('Input|Historical Data'!$AA$9:$AA$1179="SCS"),--('Input|Historical Data'!$Y$9:$Y$1179=X$5),'Input|Historical Data'!$U$9:$U$1179)</f>
        <v>108.758</v>
      </c>
      <c r="Y84" s="49">
        <f t="shared" si="73"/>
        <v>0.52492561737578103</v>
      </c>
      <c r="Z84" s="49">
        <f t="shared" si="74"/>
        <v>0.3298745413071506</v>
      </c>
      <c r="AA84" s="49">
        <f t="shared" si="75"/>
        <v>0.14519984131706831</v>
      </c>
      <c r="AB84" s="49">
        <f t="shared" si="76"/>
        <v>0.13482842408013487</v>
      </c>
      <c r="AC84" s="38"/>
      <c r="AD84" s="48">
        <f>SUMPRODUCT(--('Input|Historical Data'!$AC$9:$AC$1180=$E84),--('Input|Historical Data'!$AM$9:$AM$1180="SCS"),--('Input|Historical Data'!$AK$9:$AK$1180=AD$5),'Input|Historical Data'!$AG$9:$AG$1180)</f>
        <v>1091.259</v>
      </c>
      <c r="AE84" s="48">
        <f>SUMPRODUCT(--('Input|Historical Data'!$AC$9:$AC$1180=$E84),--('Input|Historical Data'!$AM$9:$AM$1180="SCS"),--('Input|Historical Data'!$AL$9:$AL$1180=AE$5),'Input|Historical Data'!$AG$9:$AG$1180)</f>
        <v>566.75199999999995</v>
      </c>
      <c r="AF84" s="48">
        <f>SUMPRODUCT(--('Input|Historical Data'!$AC$9:$AC$1180=$E84),--('Input|Historical Data'!$AM$9:$AM$1180="SCS"),--('Input|Historical Data'!$AL$9:$AL$1180=AF$5),'Input|Historical Data'!$AG$9:$AG$1180)</f>
        <v>301.36199999999997</v>
      </c>
      <c r="AG84" s="48">
        <f>SUMPRODUCT(--('Input|Historical Data'!$AC$9:$AC$1180=$E84),--('Input|Historical Data'!$AM$9:$AM$1180="SCS"),--('Input|Historical Data'!$AL$9:$AL$1180=AG$5),'Input|Historical Data'!$AG$9:$AG$1180)</f>
        <v>223.14499999999998</v>
      </c>
      <c r="AH84" s="48">
        <f>SUMPRODUCT(--('Input|Historical Data'!$AC$9:$AC$1180=$E84),--('Input|Historical Data'!$AM$9:$AM$1180="SCS"),--('Input|Historical Data'!$AK$9:$AK$1180=AH$5),'Input|Historical Data'!$AG$9:$AG$1180)</f>
        <v>106.84699999999999</v>
      </c>
      <c r="AI84" s="49">
        <f t="shared" si="81"/>
        <v>0.51935608320297921</v>
      </c>
      <c r="AJ84" s="49">
        <f t="shared" si="82"/>
        <v>0.27615992170511305</v>
      </c>
      <c r="AK84" s="49">
        <f t="shared" si="83"/>
        <v>0.20448399509190759</v>
      </c>
      <c r="AL84" s="49">
        <f t="shared" si="84"/>
        <v>9.7911678162562688E-2</v>
      </c>
      <c r="AM84" s="38"/>
      <c r="AN84" s="48"/>
      <c r="AO84" s="48"/>
      <c r="AP84" s="48"/>
      <c r="AQ84" s="48"/>
      <c r="AR84" s="48"/>
      <c r="AS84" s="49"/>
      <c r="AT84" s="49"/>
      <c r="AU84" s="49"/>
      <c r="AV84" s="49"/>
      <c r="AW84" s="38"/>
      <c r="AX84" s="49">
        <f t="shared" si="85"/>
        <v>0.52172323184742708</v>
      </c>
      <c r="AY84" s="49">
        <f t="shared" si="86"/>
        <v>0.29898956688422307</v>
      </c>
      <c r="AZ84" s="49">
        <f t="shared" si="87"/>
        <v>0.17928720126834991</v>
      </c>
      <c r="BA84" s="49">
        <f t="shared" si="88"/>
        <v>0.11360193561406587</v>
      </c>
      <c r="BB84" s="44"/>
    </row>
    <row r="85" spans="3:54" s="7" customFormat="1" outlineLevel="1" x14ac:dyDescent="0.3">
      <c r="C85" s="38"/>
      <c r="D85" s="38"/>
      <c r="E85" s="38" t="s">
        <v>156</v>
      </c>
      <c r="F85" s="38" t="s">
        <v>338</v>
      </c>
      <c r="G85" s="38" t="str">
        <f>VLOOKUP(E85,Mapping!$E$11:$G$204,3,0)</f>
        <v>VBRC</v>
      </c>
      <c r="H85" s="38" t="str">
        <f>VLOOKUP(E85,Mapping!$E$11:$K$204,7,0)</f>
        <v>SCS</v>
      </c>
      <c r="I85" s="38"/>
      <c r="J85" s="48">
        <f>SUMPRODUCT(--('Input|Historical Data'!$E$9:$E$1179=$E85),--('Input|Historical Data'!$O$9:$O$1179="SCS"),--('Input|Historical Data'!$M$9:$M$1179=J$5),'Input|Historical Data'!$I$9:$I$1179)</f>
        <v>310.44100000000003</v>
      </c>
      <c r="K85" s="48">
        <f>SUMPRODUCT(--('Input|Historical Data'!$E$9:$E$1179=$E85),--('Input|Historical Data'!$O$9:$O$1179="SCS"),--('Input|Historical Data'!$N$9:$N$1179=K$5),'Input|Historical Data'!$I$9:$I$1179)</f>
        <v>185.291</v>
      </c>
      <c r="L85" s="48">
        <f>SUMPRODUCT(--('Input|Historical Data'!$E$9:$E$1179=$E85),--('Input|Historical Data'!$O$9:$O$1179="SCS"),--('Input|Historical Data'!$N$9:$N$1179=L$5),'Input|Historical Data'!$I$9:$I$1179)</f>
        <v>75.716999999999999</v>
      </c>
      <c r="M85" s="48">
        <f>SUMPRODUCT(--('Input|Historical Data'!$E$9:$E$1179=$E85),--('Input|Historical Data'!$O$9:$O$1179="SCS"),--('Input|Historical Data'!$N$9:$N$1179=M$5),'Input|Historical Data'!$I$9:$I$1179)</f>
        <v>49.433</v>
      </c>
      <c r="N85" s="48">
        <f>SUMPRODUCT(--('Input|Historical Data'!$E$9:$E$1179=$E85),--('Input|Historical Data'!$O$9:$O$1179="SCS"),--('Input|Historical Data'!$M$9:$M$1179=N$5),'Input|Historical Data'!$I$9:$I$1179)</f>
        <v>31.416</v>
      </c>
      <c r="O85" s="49">
        <f t="shared" si="77"/>
        <v>0.59686381631292262</v>
      </c>
      <c r="P85" s="49">
        <f t="shared" si="78"/>
        <v>0.24390141766068271</v>
      </c>
      <c r="Q85" s="49">
        <f t="shared" si="79"/>
        <v>0.15923476602639472</v>
      </c>
      <c r="R85" s="49">
        <f t="shared" si="80"/>
        <v>0.10119797320585876</v>
      </c>
      <c r="S85" s="38"/>
      <c r="T85" s="48">
        <f>SUMPRODUCT(--('Input|Historical Data'!$Q$9:$Q$1179=$E85),--('Input|Historical Data'!$AA$9:$AA$1179="SCS"),--('Input|Historical Data'!$Y$9:$Y$1179=T$5),'Input|Historical Data'!$U$9:$U$1179)</f>
        <v>240.50800000000001</v>
      </c>
      <c r="U85" s="48">
        <f>SUMPRODUCT(--('Input|Historical Data'!$Q$9:$Q$1179=$E85),--('Input|Historical Data'!$AA$9:$AA$1179="SCS"),--('Input|Historical Data'!$Z$9:$Z$1179=U$5),'Input|Historical Data'!$U$9:$U$1179)</f>
        <v>140.25299999999999</v>
      </c>
      <c r="V85" s="48">
        <f>SUMPRODUCT(--('Input|Historical Data'!$Q$9:$Q$1179=$E85),--('Input|Historical Data'!$AA$9:$AA$1179="SCS"),--('Input|Historical Data'!$Z$9:$Z$1179=V$5),'Input|Historical Data'!$U$9:$U$1179)</f>
        <v>56.521000000000001</v>
      </c>
      <c r="W85" s="48">
        <f>SUMPRODUCT(--('Input|Historical Data'!$Q$9:$Q$1179=$E85),--('Input|Historical Data'!$AA$9:$AA$1179="SCS"),--('Input|Historical Data'!$Z$9:$Z$1179=W$5),'Input|Historical Data'!$U$9:$U$1179)</f>
        <v>43.734000000000002</v>
      </c>
      <c r="X85" s="48">
        <f>SUMPRODUCT(--('Input|Historical Data'!$Q$9:$Q$1179=$E85),--('Input|Historical Data'!$AA$9:$AA$1179="SCS"),--('Input|Historical Data'!$Y$9:$Y$1179=X$5),'Input|Historical Data'!$U$9:$U$1179)</f>
        <v>28.957999999999998</v>
      </c>
      <c r="Y85" s="49">
        <f t="shared" si="73"/>
        <v>0.58315315914647325</v>
      </c>
      <c r="Z85" s="49">
        <f t="shared" si="74"/>
        <v>0.235006735742678</v>
      </c>
      <c r="AA85" s="49">
        <f t="shared" si="75"/>
        <v>0.18184010511084869</v>
      </c>
      <c r="AB85" s="49">
        <f t="shared" si="76"/>
        <v>0.12040347930214379</v>
      </c>
      <c r="AC85" s="38"/>
      <c r="AD85" s="48">
        <f>SUMPRODUCT(--('Input|Historical Data'!$AC$9:$AC$1180=$E85),--('Input|Historical Data'!$AM$9:$AM$1180="SCS"),--('Input|Historical Data'!$AK$9:$AK$1180=AD$5),'Input|Historical Data'!$AG$9:$AG$1180)</f>
        <v>286.49700000000001</v>
      </c>
      <c r="AE85" s="48">
        <f>SUMPRODUCT(--('Input|Historical Data'!$AC$9:$AC$1180=$E85),--('Input|Historical Data'!$AM$9:$AM$1180="SCS"),--('Input|Historical Data'!$AL$9:$AL$1180=AE$5),'Input|Historical Data'!$AG$9:$AG$1180)</f>
        <v>171.07999999999998</v>
      </c>
      <c r="AF85" s="48">
        <f>SUMPRODUCT(--('Input|Historical Data'!$AC$9:$AC$1180=$E85),--('Input|Historical Data'!$AM$9:$AM$1180="SCS"),--('Input|Historical Data'!$AL$9:$AL$1180=AF$5),'Input|Historical Data'!$AG$9:$AG$1180)</f>
        <v>58.139000000000003</v>
      </c>
      <c r="AG85" s="48">
        <f>SUMPRODUCT(--('Input|Historical Data'!$AC$9:$AC$1180=$E85),--('Input|Historical Data'!$AM$9:$AM$1180="SCS"),--('Input|Historical Data'!$AL$9:$AL$1180=AG$5),'Input|Historical Data'!$AG$9:$AG$1180)</f>
        <v>57.277999999999992</v>
      </c>
      <c r="AH85" s="48">
        <f>SUMPRODUCT(--('Input|Historical Data'!$AC$9:$AC$1180=$E85),--('Input|Historical Data'!$AM$9:$AM$1180="SCS"),--('Input|Historical Data'!$AK$9:$AK$1180=AH$5),'Input|Historical Data'!$AG$9:$AG$1180)</f>
        <v>26.361000000000001</v>
      </c>
      <c r="AI85" s="49">
        <f t="shared" si="81"/>
        <v>0.59714412367319736</v>
      </c>
      <c r="AJ85" s="49">
        <f t="shared" si="82"/>
        <v>0.20293057169883108</v>
      </c>
      <c r="AK85" s="49">
        <f t="shared" si="83"/>
        <v>0.19992530462797167</v>
      </c>
      <c r="AL85" s="49">
        <f t="shared" si="84"/>
        <v>9.2011434674708639E-2</v>
      </c>
      <c r="AM85" s="38"/>
      <c r="AN85" s="48"/>
      <c r="AO85" s="48"/>
      <c r="AP85" s="48"/>
      <c r="AQ85" s="48"/>
      <c r="AR85" s="48"/>
      <c r="AS85" s="49"/>
      <c r="AT85" s="49"/>
      <c r="AU85" s="49"/>
      <c r="AV85" s="49"/>
      <c r="AW85" s="38"/>
      <c r="AX85" s="49">
        <f t="shared" si="85"/>
        <v>0.59075910095729633</v>
      </c>
      <c r="AY85" s="49">
        <f t="shared" si="86"/>
        <v>0.21756909327235985</v>
      </c>
      <c r="AZ85" s="49">
        <f t="shared" si="87"/>
        <v>0.19167180577034373</v>
      </c>
      <c r="BA85" s="49">
        <f t="shared" si="88"/>
        <v>0.10496864356125654</v>
      </c>
      <c r="BB85" s="44"/>
    </row>
    <row r="86" spans="3:54" s="7" customFormat="1" outlineLevel="1" x14ac:dyDescent="0.3">
      <c r="C86" s="38"/>
      <c r="D86" s="38"/>
      <c r="E86" s="38" t="s">
        <v>157</v>
      </c>
      <c r="F86" s="38" t="s">
        <v>16</v>
      </c>
      <c r="G86" s="38" t="str">
        <f>VLOOKUP(E86,Mapping!$E$11:$G$204,3,0)</f>
        <v>Replacement</v>
      </c>
      <c r="H86" s="38" t="str">
        <f>VLOOKUP(E86,Mapping!$E$11:$K$204,7,0)</f>
        <v>SCS</v>
      </c>
      <c r="I86" s="38"/>
      <c r="J86" s="48">
        <f>SUMPRODUCT(--('Input|Historical Data'!$E$9:$E$1179=$E86),--('Input|Historical Data'!$O$9:$O$1179="SCS"),--('Input|Historical Data'!$M$9:$M$1179=J$5),'Input|Historical Data'!$I$9:$I$1179)</f>
        <v>161.59799999999998</v>
      </c>
      <c r="K86" s="48">
        <f>SUMPRODUCT(--('Input|Historical Data'!$E$9:$E$1179=$E86),--('Input|Historical Data'!$O$9:$O$1179="SCS"),--('Input|Historical Data'!$N$9:$N$1179=K$5),'Input|Historical Data'!$I$9:$I$1179)</f>
        <v>99.378999999999991</v>
      </c>
      <c r="L86" s="48">
        <f>SUMPRODUCT(--('Input|Historical Data'!$E$9:$E$1179=$E86),--('Input|Historical Data'!$O$9:$O$1179="SCS"),--('Input|Historical Data'!$N$9:$N$1179=L$5),'Input|Historical Data'!$I$9:$I$1179)</f>
        <v>29.396999999999998</v>
      </c>
      <c r="M86" s="48">
        <f>SUMPRODUCT(--('Input|Historical Data'!$E$9:$E$1179=$E86),--('Input|Historical Data'!$O$9:$O$1179="SCS"),--('Input|Historical Data'!$N$9:$N$1179=M$5),'Input|Historical Data'!$I$9:$I$1179)</f>
        <v>32.822000000000003</v>
      </c>
      <c r="N86" s="48">
        <f>SUMPRODUCT(--('Input|Historical Data'!$E$9:$E$1179=$E86),--('Input|Historical Data'!$O$9:$O$1179="SCS"),--('Input|Historical Data'!$M$9:$M$1179=N$5),'Input|Historical Data'!$I$9:$I$1179)</f>
        <v>15.538</v>
      </c>
      <c r="O86" s="49">
        <f t="shared" si="77"/>
        <v>0.61497667050334781</v>
      </c>
      <c r="P86" s="49">
        <f t="shared" si="78"/>
        <v>0.18191438012846695</v>
      </c>
      <c r="Q86" s="49">
        <f t="shared" si="79"/>
        <v>0.2031089493681853</v>
      </c>
      <c r="R86" s="49">
        <f t="shared" si="80"/>
        <v>9.6152180101238882E-2</v>
      </c>
      <c r="S86" s="38"/>
      <c r="T86" s="48">
        <f>SUMPRODUCT(--('Input|Historical Data'!$Q$9:$Q$1179=$E86),--('Input|Historical Data'!$AA$9:$AA$1179="SCS"),--('Input|Historical Data'!$Y$9:$Y$1179=T$5),'Input|Historical Data'!$U$9:$U$1179)</f>
        <v>280.42599999999999</v>
      </c>
      <c r="U86" s="48">
        <f>SUMPRODUCT(--('Input|Historical Data'!$Q$9:$Q$1179=$E86),--('Input|Historical Data'!$AA$9:$AA$1179="SCS"),--('Input|Historical Data'!$Z$9:$Z$1179=U$5),'Input|Historical Data'!$U$9:$U$1179)</f>
        <v>196.67400000000001</v>
      </c>
      <c r="V86" s="48">
        <f>SUMPRODUCT(--('Input|Historical Data'!$Q$9:$Q$1179=$E86),--('Input|Historical Data'!$AA$9:$AA$1179="SCS"),--('Input|Historical Data'!$Z$9:$Z$1179=V$5),'Input|Historical Data'!$U$9:$U$1179)</f>
        <v>29.305</v>
      </c>
      <c r="W86" s="48">
        <f>SUMPRODUCT(--('Input|Historical Data'!$Q$9:$Q$1179=$E86),--('Input|Historical Data'!$AA$9:$AA$1179="SCS"),--('Input|Historical Data'!$Z$9:$Z$1179=W$5),'Input|Historical Data'!$U$9:$U$1179)</f>
        <v>54.446999999999996</v>
      </c>
      <c r="X86" s="48">
        <f>SUMPRODUCT(--('Input|Historical Data'!$Q$9:$Q$1179=$E86),--('Input|Historical Data'!$AA$9:$AA$1179="SCS"),--('Input|Historical Data'!$Y$9:$Y$1179=X$5),'Input|Historical Data'!$U$9:$U$1179)</f>
        <v>31.516999999999999</v>
      </c>
      <c r="Y86" s="49">
        <f t="shared" si="73"/>
        <v>0.70134010398465196</v>
      </c>
      <c r="Z86" s="49">
        <f t="shared" si="74"/>
        <v>0.10450172237952259</v>
      </c>
      <c r="AA86" s="49">
        <f t="shared" si="75"/>
        <v>0.19415817363582549</v>
      </c>
      <c r="AB86" s="49">
        <f t="shared" si="76"/>
        <v>0.11238972135251368</v>
      </c>
      <c r="AC86" s="38"/>
      <c r="AD86" s="48">
        <f>SUMPRODUCT(--('Input|Historical Data'!$AC$9:$AC$1180=$E86),--('Input|Historical Data'!$AM$9:$AM$1180="SCS"),--('Input|Historical Data'!$AK$9:$AK$1180=AD$5),'Input|Historical Data'!$AG$9:$AG$1180)</f>
        <v>152.13999999999999</v>
      </c>
      <c r="AE86" s="48">
        <f>SUMPRODUCT(--('Input|Historical Data'!$AC$9:$AC$1180=$E86),--('Input|Historical Data'!$AM$9:$AM$1180="SCS"),--('Input|Historical Data'!$AL$9:$AL$1180=AE$5),'Input|Historical Data'!$AG$9:$AG$1180)</f>
        <v>52.262999999999998</v>
      </c>
      <c r="AF86" s="48">
        <f>SUMPRODUCT(--('Input|Historical Data'!$AC$9:$AC$1180=$E86),--('Input|Historical Data'!$AM$9:$AM$1180="SCS"),--('Input|Historical Data'!$AL$9:$AL$1180=AF$5),'Input|Historical Data'!$AG$9:$AG$1180)</f>
        <v>22.527000000000001</v>
      </c>
      <c r="AG86" s="48">
        <f>SUMPRODUCT(--('Input|Historical Data'!$AC$9:$AC$1180=$E86),--('Input|Historical Data'!$AM$9:$AM$1180="SCS"),--('Input|Historical Data'!$AL$9:$AL$1180=AG$5),'Input|Historical Data'!$AG$9:$AG$1180)</f>
        <v>77.349999999999994</v>
      </c>
      <c r="AH86" s="48">
        <f>SUMPRODUCT(--('Input|Historical Data'!$AC$9:$AC$1180=$E86),--('Input|Historical Data'!$AM$9:$AM$1180="SCS"),--('Input|Historical Data'!$AK$9:$AK$1180=AH$5),'Input|Historical Data'!$AG$9:$AG$1180)</f>
        <v>20.204999999999998</v>
      </c>
      <c r="AI86" s="49">
        <f t="shared" si="81"/>
        <v>0.34351912711975813</v>
      </c>
      <c r="AJ86" s="49">
        <f t="shared" si="82"/>
        <v>0.14806756934402526</v>
      </c>
      <c r="AK86" s="49">
        <f t="shared" si="83"/>
        <v>0.50841330353621661</v>
      </c>
      <c r="AL86" s="49">
        <f t="shared" si="84"/>
        <v>0.13280531089785724</v>
      </c>
      <c r="AM86" s="38"/>
      <c r="AN86" s="48"/>
      <c r="AO86" s="48"/>
      <c r="AP86" s="48"/>
      <c r="AQ86" s="48"/>
      <c r="AR86" s="48"/>
      <c r="AS86" s="49"/>
      <c r="AT86" s="49"/>
      <c r="AU86" s="49"/>
      <c r="AV86" s="49"/>
      <c r="AW86" s="38"/>
      <c r="AX86" s="49">
        <f t="shared" si="85"/>
        <v>0.57548905831711239</v>
      </c>
      <c r="AY86" s="49">
        <f t="shared" si="86"/>
        <v>0.11982448921089502</v>
      </c>
      <c r="AZ86" s="49">
        <f t="shared" si="87"/>
        <v>0.30468645247199277</v>
      </c>
      <c r="BA86" s="49">
        <f t="shared" si="88"/>
        <v>0.11957019275671227</v>
      </c>
      <c r="BB86" s="44"/>
    </row>
    <row r="87" spans="3:54" s="7" customFormat="1" outlineLevel="1" x14ac:dyDescent="0.3">
      <c r="C87" s="38"/>
      <c r="D87" s="38"/>
      <c r="E87" s="38" t="s">
        <v>158</v>
      </c>
      <c r="F87" s="38" t="s">
        <v>339</v>
      </c>
      <c r="G87" s="38" t="str">
        <f>VLOOKUP(E87,Mapping!$E$11:$G$204,3,0)</f>
        <v>Replacement</v>
      </c>
      <c r="H87" s="38" t="str">
        <f>VLOOKUP(E87,Mapping!$E$11:$K$204,7,0)</f>
        <v>SCS</v>
      </c>
      <c r="I87" s="38"/>
      <c r="J87" s="48">
        <f>SUMPRODUCT(--('Input|Historical Data'!$E$9:$E$1179=$E87),--('Input|Historical Data'!$O$9:$O$1179="SCS"),--('Input|Historical Data'!$M$9:$M$1179=J$5),'Input|Historical Data'!$I$9:$I$1179)</f>
        <v>0</v>
      </c>
      <c r="K87" s="48">
        <f>SUMPRODUCT(--('Input|Historical Data'!$E$9:$E$1179=$E87),--('Input|Historical Data'!$O$9:$O$1179="SCS"),--('Input|Historical Data'!$N$9:$N$1179=K$5),'Input|Historical Data'!$I$9:$I$1179)</f>
        <v>0</v>
      </c>
      <c r="L87" s="48">
        <f>SUMPRODUCT(--('Input|Historical Data'!$E$9:$E$1179=$E87),--('Input|Historical Data'!$O$9:$O$1179="SCS"),--('Input|Historical Data'!$N$9:$N$1179=L$5),'Input|Historical Data'!$I$9:$I$1179)</f>
        <v>0</v>
      </c>
      <c r="M87" s="48">
        <f>SUMPRODUCT(--('Input|Historical Data'!$E$9:$E$1179=$E87),--('Input|Historical Data'!$O$9:$O$1179="SCS"),--('Input|Historical Data'!$N$9:$N$1179=M$5),'Input|Historical Data'!$I$9:$I$1179)</f>
        <v>0</v>
      </c>
      <c r="N87" s="48">
        <f>SUMPRODUCT(--('Input|Historical Data'!$E$9:$E$1179=$E87),--('Input|Historical Data'!$O$9:$O$1179="SCS"),--('Input|Historical Data'!$M$9:$M$1179=N$5),'Input|Historical Data'!$I$9:$I$1179)</f>
        <v>0</v>
      </c>
      <c r="O87" s="49">
        <f t="shared" si="77"/>
        <v>0</v>
      </c>
      <c r="P87" s="49">
        <f t="shared" si="78"/>
        <v>0</v>
      </c>
      <c r="Q87" s="49">
        <f t="shared" si="79"/>
        <v>0</v>
      </c>
      <c r="R87" s="49">
        <f t="shared" si="80"/>
        <v>0</v>
      </c>
      <c r="S87" s="38"/>
      <c r="T87" s="48">
        <f>SUMPRODUCT(--('Input|Historical Data'!$Q$9:$Q$1179=$E87),--('Input|Historical Data'!$AA$9:$AA$1179="SCS"),--('Input|Historical Data'!$Y$9:$Y$1179=T$5),'Input|Historical Data'!$U$9:$U$1179)</f>
        <v>0</v>
      </c>
      <c r="U87" s="48">
        <f>SUMPRODUCT(--('Input|Historical Data'!$Q$9:$Q$1179=$E87),--('Input|Historical Data'!$AA$9:$AA$1179="SCS"),--('Input|Historical Data'!$Z$9:$Z$1179=U$5),'Input|Historical Data'!$U$9:$U$1179)</f>
        <v>0</v>
      </c>
      <c r="V87" s="48">
        <f>SUMPRODUCT(--('Input|Historical Data'!$Q$9:$Q$1179=$E87),--('Input|Historical Data'!$AA$9:$AA$1179="SCS"),--('Input|Historical Data'!$Z$9:$Z$1179=V$5),'Input|Historical Data'!$U$9:$U$1179)</f>
        <v>0</v>
      </c>
      <c r="W87" s="48">
        <f>SUMPRODUCT(--('Input|Historical Data'!$Q$9:$Q$1179=$E87),--('Input|Historical Data'!$AA$9:$AA$1179="SCS"),--('Input|Historical Data'!$Z$9:$Z$1179=W$5),'Input|Historical Data'!$U$9:$U$1179)</f>
        <v>0</v>
      </c>
      <c r="X87" s="48">
        <f>SUMPRODUCT(--('Input|Historical Data'!$Q$9:$Q$1179=$E87),--('Input|Historical Data'!$AA$9:$AA$1179="SCS"),--('Input|Historical Data'!$Y$9:$Y$1179=X$5),'Input|Historical Data'!$U$9:$U$1179)</f>
        <v>0</v>
      </c>
      <c r="Y87" s="49">
        <f t="shared" si="73"/>
        <v>0</v>
      </c>
      <c r="Z87" s="49">
        <f t="shared" si="74"/>
        <v>0</v>
      </c>
      <c r="AA87" s="49">
        <f t="shared" si="75"/>
        <v>0</v>
      </c>
      <c r="AB87" s="49">
        <f t="shared" si="76"/>
        <v>0</v>
      </c>
      <c r="AC87" s="38"/>
      <c r="AD87" s="48">
        <f>SUMPRODUCT(--('Input|Historical Data'!$AC$9:$AC$1180=$E87),--('Input|Historical Data'!$AM$9:$AM$1180="SCS"),--('Input|Historical Data'!$AK$9:$AK$1180=AD$5),'Input|Historical Data'!$AG$9:$AG$1180)</f>
        <v>0</v>
      </c>
      <c r="AE87" s="48">
        <f>SUMPRODUCT(--('Input|Historical Data'!$AC$9:$AC$1180=$E87),--('Input|Historical Data'!$AM$9:$AM$1180="SCS"),--('Input|Historical Data'!$AL$9:$AL$1180=AE$5),'Input|Historical Data'!$AG$9:$AG$1180)</f>
        <v>0</v>
      </c>
      <c r="AF87" s="48">
        <f>SUMPRODUCT(--('Input|Historical Data'!$AC$9:$AC$1180=$E87),--('Input|Historical Data'!$AM$9:$AM$1180="SCS"),--('Input|Historical Data'!$AL$9:$AL$1180=AF$5),'Input|Historical Data'!$AG$9:$AG$1180)</f>
        <v>0</v>
      </c>
      <c r="AG87" s="48">
        <f>SUMPRODUCT(--('Input|Historical Data'!$AC$9:$AC$1180=$E87),--('Input|Historical Data'!$AM$9:$AM$1180="SCS"),--('Input|Historical Data'!$AL$9:$AL$1180=AG$5),'Input|Historical Data'!$AG$9:$AG$1180)</f>
        <v>0</v>
      </c>
      <c r="AH87" s="48">
        <f>SUMPRODUCT(--('Input|Historical Data'!$AC$9:$AC$1180=$E87),--('Input|Historical Data'!$AM$9:$AM$1180="SCS"),--('Input|Historical Data'!$AK$9:$AK$1180=AH$5),'Input|Historical Data'!$AG$9:$AG$1180)</f>
        <v>0</v>
      </c>
      <c r="AI87" s="49">
        <f t="shared" si="81"/>
        <v>0</v>
      </c>
      <c r="AJ87" s="49">
        <f t="shared" si="82"/>
        <v>0</v>
      </c>
      <c r="AK87" s="49">
        <f t="shared" si="83"/>
        <v>0</v>
      </c>
      <c r="AL87" s="49">
        <f t="shared" si="84"/>
        <v>0</v>
      </c>
      <c r="AM87" s="38"/>
      <c r="AN87" s="48"/>
      <c r="AO87" s="48"/>
      <c r="AP87" s="48"/>
      <c r="AQ87" s="48"/>
      <c r="AR87" s="48"/>
      <c r="AS87" s="49"/>
      <c r="AT87" s="49"/>
      <c r="AU87" s="49"/>
      <c r="AV87" s="49"/>
      <c r="AW87" s="38"/>
      <c r="AX87" s="49">
        <f t="shared" si="85"/>
        <v>0</v>
      </c>
      <c r="AY87" s="49">
        <f t="shared" si="86"/>
        <v>0</v>
      </c>
      <c r="AZ87" s="49">
        <f t="shared" si="87"/>
        <v>0</v>
      </c>
      <c r="BA87" s="49">
        <f t="shared" si="88"/>
        <v>0</v>
      </c>
      <c r="BB87" s="44"/>
    </row>
    <row r="88" spans="3:54" s="7" customFormat="1" outlineLevel="1" x14ac:dyDescent="0.3">
      <c r="C88" s="38"/>
      <c r="D88" s="38"/>
      <c r="E88" s="38" t="s">
        <v>159</v>
      </c>
      <c r="F88" s="38" t="s">
        <v>340</v>
      </c>
      <c r="G88" s="38" t="str">
        <f>VLOOKUP(E88,Mapping!$E$11:$G$204,3,0)</f>
        <v>Replacement</v>
      </c>
      <c r="H88" s="38" t="str">
        <f>VLOOKUP(E88,Mapping!$E$11:$K$204,7,0)</f>
        <v>SCS</v>
      </c>
      <c r="I88" s="38"/>
      <c r="J88" s="48">
        <f>SUMPRODUCT(--('Input|Historical Data'!$E$9:$E$1179=$E88),--('Input|Historical Data'!$O$9:$O$1179="SCS"),--('Input|Historical Data'!$M$9:$M$1179=J$5),'Input|Historical Data'!$I$9:$I$1179)</f>
        <v>428.31300000000005</v>
      </c>
      <c r="K88" s="48">
        <f>SUMPRODUCT(--('Input|Historical Data'!$E$9:$E$1179=$E88),--('Input|Historical Data'!$O$9:$O$1179="SCS"),--('Input|Historical Data'!$N$9:$N$1179=K$5),'Input|Historical Data'!$I$9:$I$1179)</f>
        <v>266.00900000000001</v>
      </c>
      <c r="L88" s="48">
        <f>SUMPRODUCT(--('Input|Historical Data'!$E$9:$E$1179=$E88),--('Input|Historical Data'!$O$9:$O$1179="SCS"),--('Input|Historical Data'!$N$9:$N$1179=L$5),'Input|Historical Data'!$I$9:$I$1179)</f>
        <v>263.78899999999999</v>
      </c>
      <c r="M88" s="48">
        <f>SUMPRODUCT(--('Input|Historical Data'!$E$9:$E$1179=$E88),--('Input|Historical Data'!$O$9:$O$1179="SCS"),--('Input|Historical Data'!$N$9:$N$1179=M$5),'Input|Historical Data'!$I$9:$I$1179)</f>
        <v>-101.485</v>
      </c>
      <c r="N88" s="48">
        <f>SUMPRODUCT(--('Input|Historical Data'!$E$9:$E$1179=$E88),--('Input|Historical Data'!$O$9:$O$1179="SCS"),--('Input|Historical Data'!$M$9:$M$1179=N$5),'Input|Historical Data'!$I$9:$I$1179)</f>
        <v>26.245000000000001</v>
      </c>
      <c r="O88" s="49">
        <f t="shared" si="77"/>
        <v>0.6210621671534603</v>
      </c>
      <c r="P88" s="49">
        <f t="shared" si="78"/>
        <v>0.61587904172882912</v>
      </c>
      <c r="Q88" s="49">
        <f t="shared" si="79"/>
        <v>-0.23694120888228937</v>
      </c>
      <c r="R88" s="49">
        <f t="shared" si="80"/>
        <v>6.1275282328577464E-2</v>
      </c>
      <c r="S88" s="38"/>
      <c r="T88" s="48">
        <f>SUMPRODUCT(--('Input|Historical Data'!$Q$9:$Q$1179=$E88),--('Input|Historical Data'!$AA$9:$AA$1179="SCS"),--('Input|Historical Data'!$Y$9:$Y$1179=T$5),'Input|Historical Data'!$U$9:$U$1179)</f>
        <v>25.628</v>
      </c>
      <c r="U88" s="48">
        <f>SUMPRODUCT(--('Input|Historical Data'!$Q$9:$Q$1179=$E88),--('Input|Historical Data'!$AA$9:$AA$1179="SCS"),--('Input|Historical Data'!$Z$9:$Z$1179=U$5),'Input|Historical Data'!$U$9:$U$1179)</f>
        <v>23.838999999999999</v>
      </c>
      <c r="V88" s="48">
        <f>SUMPRODUCT(--('Input|Historical Data'!$Q$9:$Q$1179=$E88),--('Input|Historical Data'!$AA$9:$AA$1179="SCS"),--('Input|Historical Data'!$Z$9:$Z$1179=V$5),'Input|Historical Data'!$U$9:$U$1179)</f>
        <v>7.5890000000000004</v>
      </c>
      <c r="W88" s="48">
        <f>SUMPRODUCT(--('Input|Historical Data'!$Q$9:$Q$1179=$E88),--('Input|Historical Data'!$AA$9:$AA$1179="SCS"),--('Input|Historical Data'!$Z$9:$Z$1179=W$5),'Input|Historical Data'!$U$9:$U$1179)</f>
        <v>-5.799999999999998</v>
      </c>
      <c r="X88" s="48">
        <f>SUMPRODUCT(--('Input|Historical Data'!$Q$9:$Q$1179=$E88),--('Input|Historical Data'!$AA$9:$AA$1179="SCS"),--('Input|Historical Data'!$Y$9:$Y$1179=X$5),'Input|Historical Data'!$U$9:$U$1179)</f>
        <v>5.6539999999999999</v>
      </c>
      <c r="Y88" s="49">
        <f t="shared" si="73"/>
        <v>0.93019353831746521</v>
      </c>
      <c r="Z88" s="49">
        <f t="shared" si="74"/>
        <v>0.29612142968628063</v>
      </c>
      <c r="AA88" s="49">
        <f t="shared" si="75"/>
        <v>-0.22631496800374581</v>
      </c>
      <c r="AB88" s="49">
        <f t="shared" si="76"/>
        <v>0.22061807398158265</v>
      </c>
      <c r="AC88" s="38"/>
      <c r="AD88" s="48">
        <f>SUMPRODUCT(--('Input|Historical Data'!$AC$9:$AC$1180=$E88),--('Input|Historical Data'!$AM$9:$AM$1180="SCS"),--('Input|Historical Data'!$AK$9:$AK$1180=AD$5),'Input|Historical Data'!$AG$9:$AG$1180)</f>
        <v>-15.739000000000003</v>
      </c>
      <c r="AE88" s="48">
        <f>SUMPRODUCT(--('Input|Historical Data'!$AC$9:$AC$1180=$E88),--('Input|Historical Data'!$AM$9:$AM$1180="SCS"),--('Input|Historical Data'!$AL$9:$AL$1180=AE$5),'Input|Historical Data'!$AG$9:$AG$1180)</f>
        <v>-25.323</v>
      </c>
      <c r="AF88" s="48">
        <f>SUMPRODUCT(--('Input|Historical Data'!$AC$9:$AC$1180=$E88),--('Input|Historical Data'!$AM$9:$AM$1180="SCS"),--('Input|Historical Data'!$AL$9:$AL$1180=AF$5),'Input|Historical Data'!$AG$9:$AG$1180)</f>
        <v>-1.6020000000000001</v>
      </c>
      <c r="AG88" s="48">
        <f>SUMPRODUCT(--('Input|Historical Data'!$AC$9:$AC$1180=$E88),--('Input|Historical Data'!$AM$9:$AM$1180="SCS"),--('Input|Historical Data'!$AL$9:$AL$1180=AG$5),'Input|Historical Data'!$AG$9:$AG$1180)</f>
        <v>11.185999999999998</v>
      </c>
      <c r="AH88" s="48">
        <f>SUMPRODUCT(--('Input|Historical Data'!$AC$9:$AC$1180=$E88),--('Input|Historical Data'!$AM$9:$AM$1180="SCS"),--('Input|Historical Data'!$AK$9:$AK$1180=AH$5),'Input|Historical Data'!$AG$9:$AG$1180)</f>
        <v>-0.95399999999999996</v>
      </c>
      <c r="AI88" s="49">
        <f t="shared" si="81"/>
        <v>1.608933223203507</v>
      </c>
      <c r="AJ88" s="49">
        <f t="shared" si="82"/>
        <v>0.10178537391193848</v>
      </c>
      <c r="AK88" s="49">
        <f t="shared" si="83"/>
        <v>-0.71071859711544549</v>
      </c>
      <c r="AL88" s="49">
        <f t="shared" si="84"/>
        <v>6.0613761992502686E-2</v>
      </c>
      <c r="AM88" s="38"/>
      <c r="AN88" s="48"/>
      <c r="AO88" s="48"/>
      <c r="AP88" s="48"/>
      <c r="AQ88" s="48"/>
      <c r="AR88" s="48"/>
      <c r="AS88" s="49"/>
      <c r="AT88" s="49"/>
      <c r="AU88" s="49"/>
      <c r="AV88" s="49"/>
      <c r="AW88" s="38"/>
      <c r="AX88" s="49">
        <f t="shared" si="85"/>
        <v>-0.15006572959854406</v>
      </c>
      <c r="AY88" s="49">
        <f t="shared" si="86"/>
        <v>0.60542016381838426</v>
      </c>
      <c r="AZ88" s="49">
        <f t="shared" si="87"/>
        <v>0.54464556578015988</v>
      </c>
      <c r="BA88" s="49">
        <f t="shared" si="88"/>
        <v>0.47527555870158777</v>
      </c>
      <c r="BB88" s="44"/>
    </row>
    <row r="89" spans="3:54" s="7" customFormat="1" outlineLevel="1" x14ac:dyDescent="0.3">
      <c r="C89" s="38"/>
      <c r="D89" s="38"/>
      <c r="E89" s="38" t="s">
        <v>160</v>
      </c>
      <c r="F89" s="38" t="s">
        <v>341</v>
      </c>
      <c r="G89" s="38" t="str">
        <f>VLOOKUP(E89,Mapping!$E$11:$G$204,3,0)</f>
        <v>Augmentation</v>
      </c>
      <c r="H89" s="38" t="str">
        <f>VLOOKUP(E89,Mapping!$E$11:$K$204,7,0)</f>
        <v>SCS</v>
      </c>
      <c r="I89" s="38"/>
      <c r="J89" s="48">
        <f>SUMPRODUCT(--('Input|Historical Data'!$E$9:$E$1179=$E89),--('Input|Historical Data'!$O$9:$O$1179="SCS"),--('Input|Historical Data'!$M$9:$M$1179=J$5),'Input|Historical Data'!$I$9:$I$1179)</f>
        <v>225.77600000000001</v>
      </c>
      <c r="K89" s="48">
        <f>SUMPRODUCT(--('Input|Historical Data'!$E$9:$E$1179=$E89),--('Input|Historical Data'!$O$9:$O$1179="SCS"),--('Input|Historical Data'!$N$9:$N$1179=K$5),'Input|Historical Data'!$I$9:$I$1179)</f>
        <v>-21.966999999999985</v>
      </c>
      <c r="L89" s="48">
        <f>SUMPRODUCT(--('Input|Historical Data'!$E$9:$E$1179=$E89),--('Input|Historical Data'!$O$9:$O$1179="SCS"),--('Input|Historical Data'!$N$9:$N$1179=L$5),'Input|Historical Data'!$I$9:$I$1179)</f>
        <v>119.524</v>
      </c>
      <c r="M89" s="48">
        <f>SUMPRODUCT(--('Input|Historical Data'!$E$9:$E$1179=$E89),--('Input|Historical Data'!$O$9:$O$1179="SCS"),--('Input|Historical Data'!$N$9:$N$1179=M$5),'Input|Historical Data'!$I$9:$I$1179)</f>
        <v>128.21899999999999</v>
      </c>
      <c r="N89" s="48">
        <f>SUMPRODUCT(--('Input|Historical Data'!$E$9:$E$1179=$E89),--('Input|Historical Data'!$O$9:$O$1179="SCS"),--('Input|Historical Data'!$M$9:$M$1179=N$5),'Input|Historical Data'!$I$9:$I$1179)</f>
        <v>46.938000000000002</v>
      </c>
      <c r="O89" s="49">
        <f t="shared" si="77"/>
        <v>-9.7295549571256398E-2</v>
      </c>
      <c r="P89" s="49">
        <f t="shared" si="78"/>
        <v>0.52939196371624975</v>
      </c>
      <c r="Q89" s="49">
        <f t="shared" si="79"/>
        <v>0.56790358585500667</v>
      </c>
      <c r="R89" s="49">
        <f t="shared" si="80"/>
        <v>0.20789632201828362</v>
      </c>
      <c r="S89" s="38"/>
      <c r="T89" s="48">
        <f>SUMPRODUCT(--('Input|Historical Data'!$Q$9:$Q$1179=$E89),--('Input|Historical Data'!$AA$9:$AA$1179="SCS"),--('Input|Historical Data'!$Y$9:$Y$1179=T$5),'Input|Historical Data'!$U$9:$U$1179)</f>
        <v>622.39300000000003</v>
      </c>
      <c r="U89" s="48">
        <f>SUMPRODUCT(--('Input|Historical Data'!$Q$9:$Q$1179=$E89),--('Input|Historical Data'!$AA$9:$AA$1179="SCS"),--('Input|Historical Data'!$Z$9:$Z$1179=U$5),'Input|Historical Data'!$U$9:$U$1179)</f>
        <v>306.464</v>
      </c>
      <c r="V89" s="48">
        <f>SUMPRODUCT(--('Input|Historical Data'!$Q$9:$Q$1179=$E89),--('Input|Historical Data'!$AA$9:$AA$1179="SCS"),--('Input|Historical Data'!$Z$9:$Z$1179=V$5),'Input|Historical Data'!$U$9:$U$1179)</f>
        <v>235.28800000000001</v>
      </c>
      <c r="W89" s="48">
        <f>SUMPRODUCT(--('Input|Historical Data'!$Q$9:$Q$1179=$E89),--('Input|Historical Data'!$AA$9:$AA$1179="SCS"),--('Input|Historical Data'!$Z$9:$Z$1179=W$5),'Input|Historical Data'!$U$9:$U$1179)</f>
        <v>80.641000000000005</v>
      </c>
      <c r="X89" s="48">
        <f>SUMPRODUCT(--('Input|Historical Data'!$Q$9:$Q$1179=$E89),--('Input|Historical Data'!$AA$9:$AA$1179="SCS"),--('Input|Historical Data'!$Y$9:$Y$1179=X$5),'Input|Historical Data'!$U$9:$U$1179)</f>
        <v>79.683999999999997</v>
      </c>
      <c r="Y89" s="49">
        <f t="shared" si="73"/>
        <v>0.49239628337722313</v>
      </c>
      <c r="Z89" s="49">
        <f t="shared" si="74"/>
        <v>0.37803767073215805</v>
      </c>
      <c r="AA89" s="49">
        <f t="shared" si="75"/>
        <v>0.12956604589061899</v>
      </c>
      <c r="AB89" s="49">
        <f t="shared" si="76"/>
        <v>0.12802843219637752</v>
      </c>
      <c r="AC89" s="38"/>
      <c r="AD89" s="48">
        <f>SUMPRODUCT(--('Input|Historical Data'!$AC$9:$AC$1180=$E89),--('Input|Historical Data'!$AM$9:$AM$1180="SCS"),--('Input|Historical Data'!$AK$9:$AK$1180=AD$5),'Input|Historical Data'!$AG$9:$AG$1180)</f>
        <v>545.06499999999994</v>
      </c>
      <c r="AE89" s="48">
        <f>SUMPRODUCT(--('Input|Historical Data'!$AC$9:$AC$1180=$E89),--('Input|Historical Data'!$AM$9:$AM$1180="SCS"),--('Input|Historical Data'!$AL$9:$AL$1180=AE$5),'Input|Historical Data'!$AG$9:$AG$1180)</f>
        <v>269.67399999999998</v>
      </c>
      <c r="AF89" s="48">
        <f>SUMPRODUCT(--('Input|Historical Data'!$AC$9:$AC$1180=$E89),--('Input|Historical Data'!$AM$9:$AM$1180="SCS"),--('Input|Historical Data'!$AL$9:$AL$1180=AF$5),'Input|Historical Data'!$AG$9:$AG$1180)</f>
        <v>149.232</v>
      </c>
      <c r="AG89" s="48">
        <f>SUMPRODUCT(--('Input|Historical Data'!$AC$9:$AC$1180=$E89),--('Input|Historical Data'!$AM$9:$AM$1180="SCS"),--('Input|Historical Data'!$AL$9:$AL$1180=AG$5),'Input|Historical Data'!$AG$9:$AG$1180)</f>
        <v>126.15899999999999</v>
      </c>
      <c r="AH89" s="48">
        <f>SUMPRODUCT(--('Input|Historical Data'!$AC$9:$AC$1180=$E89),--('Input|Historical Data'!$AM$9:$AM$1180="SCS"),--('Input|Historical Data'!$AK$9:$AK$1180=AH$5),'Input|Historical Data'!$AG$9:$AG$1180)</f>
        <v>48.762999999999998</v>
      </c>
      <c r="AI89" s="49">
        <f t="shared" si="81"/>
        <v>0.49475567134195003</v>
      </c>
      <c r="AJ89" s="49">
        <f t="shared" si="82"/>
        <v>0.27378752992762334</v>
      </c>
      <c r="AK89" s="49">
        <f t="shared" si="83"/>
        <v>0.23145679873042665</v>
      </c>
      <c r="AL89" s="49">
        <f t="shared" si="84"/>
        <v>8.946272462917268E-2</v>
      </c>
      <c r="AM89" s="38"/>
      <c r="AN89" s="48"/>
      <c r="AO89" s="48"/>
      <c r="AP89" s="48"/>
      <c r="AQ89" s="48"/>
      <c r="AR89" s="48"/>
      <c r="AS89" s="49"/>
      <c r="AT89" s="49"/>
      <c r="AU89" s="49"/>
      <c r="AV89" s="49"/>
      <c r="AW89" s="38"/>
      <c r="AX89" s="49">
        <f t="shared" si="85"/>
        <v>0.49349783889441839</v>
      </c>
      <c r="AY89" s="49">
        <f t="shared" si="86"/>
        <v>0.32936516774050967</v>
      </c>
      <c r="AZ89" s="49">
        <f t="shared" si="87"/>
        <v>0.1771369933650718</v>
      </c>
      <c r="BA89" s="49">
        <f t="shared" si="88"/>
        <v>0.1100228016768055</v>
      </c>
      <c r="BB89" s="44"/>
    </row>
    <row r="90" spans="3:54" s="7" customFormat="1" outlineLevel="1" x14ac:dyDescent="0.3">
      <c r="C90" s="38"/>
      <c r="D90" s="38"/>
      <c r="E90" s="38" t="s">
        <v>161</v>
      </c>
      <c r="F90" s="38" t="s">
        <v>342</v>
      </c>
      <c r="G90" s="38" t="str">
        <f>VLOOKUP(E90,Mapping!$E$11:$G$204,3,0)</f>
        <v>Augmentation</v>
      </c>
      <c r="H90" s="38" t="str">
        <f>VLOOKUP(E90,Mapping!$E$11:$K$204,7,0)</f>
        <v>SCS</v>
      </c>
      <c r="I90" s="38"/>
      <c r="J90" s="48">
        <f>SUMPRODUCT(--('Input|Historical Data'!$E$9:$E$1179=$E90),--('Input|Historical Data'!$O$9:$O$1179="SCS"),--('Input|Historical Data'!$M$9:$M$1179=J$5),'Input|Historical Data'!$I$9:$I$1179)</f>
        <v>943.67899999999986</v>
      </c>
      <c r="K90" s="48">
        <f>SUMPRODUCT(--('Input|Historical Data'!$E$9:$E$1179=$E90),--('Input|Historical Data'!$O$9:$O$1179="SCS"),--('Input|Historical Data'!$N$9:$N$1179=K$5),'Input|Historical Data'!$I$9:$I$1179)</f>
        <v>467.33699999999999</v>
      </c>
      <c r="L90" s="48">
        <f>SUMPRODUCT(--('Input|Historical Data'!$E$9:$E$1179=$E90),--('Input|Historical Data'!$O$9:$O$1179="SCS"),--('Input|Historical Data'!$N$9:$N$1179=L$5),'Input|Historical Data'!$I$9:$I$1179)</f>
        <v>317.25400000000002</v>
      </c>
      <c r="M90" s="48">
        <f>SUMPRODUCT(--('Input|Historical Data'!$E$9:$E$1179=$E90),--('Input|Historical Data'!$O$9:$O$1179="SCS"),--('Input|Historical Data'!$N$9:$N$1179=M$5),'Input|Historical Data'!$I$9:$I$1179)</f>
        <v>159.08799999999999</v>
      </c>
      <c r="N90" s="48">
        <f>SUMPRODUCT(--('Input|Historical Data'!$E$9:$E$1179=$E90),--('Input|Historical Data'!$O$9:$O$1179="SCS"),--('Input|Historical Data'!$M$9:$M$1179=N$5),'Input|Historical Data'!$I$9:$I$1179)</f>
        <v>84.686000000000007</v>
      </c>
      <c r="O90" s="49">
        <f t="shared" si="77"/>
        <v>0.49522878012544519</v>
      </c>
      <c r="P90" s="49">
        <f t="shared" si="78"/>
        <v>0.33618847086774212</v>
      </c>
      <c r="Q90" s="49">
        <f t="shared" si="79"/>
        <v>0.16858274900681269</v>
      </c>
      <c r="R90" s="49">
        <f t="shared" si="80"/>
        <v>8.9740261254091722E-2</v>
      </c>
      <c r="S90" s="38"/>
      <c r="T90" s="48">
        <f>SUMPRODUCT(--('Input|Historical Data'!$Q$9:$Q$1179=$E90),--('Input|Historical Data'!$AA$9:$AA$1179="SCS"),--('Input|Historical Data'!$Y$9:$Y$1179=T$5),'Input|Historical Data'!$U$9:$U$1179)</f>
        <v>403.17099999999999</v>
      </c>
      <c r="U90" s="48">
        <f>SUMPRODUCT(--('Input|Historical Data'!$Q$9:$Q$1179=$E90),--('Input|Historical Data'!$AA$9:$AA$1179="SCS"),--('Input|Historical Data'!$Z$9:$Z$1179=U$5),'Input|Historical Data'!$U$9:$U$1179)</f>
        <v>178.34399999999999</v>
      </c>
      <c r="V90" s="48">
        <f>SUMPRODUCT(--('Input|Historical Data'!$Q$9:$Q$1179=$E90),--('Input|Historical Data'!$AA$9:$AA$1179="SCS"),--('Input|Historical Data'!$Z$9:$Z$1179=V$5),'Input|Historical Data'!$U$9:$U$1179)</f>
        <v>123.94499999999999</v>
      </c>
      <c r="W90" s="48">
        <f>SUMPRODUCT(--('Input|Historical Data'!$Q$9:$Q$1179=$E90),--('Input|Historical Data'!$AA$9:$AA$1179="SCS"),--('Input|Historical Data'!$Z$9:$Z$1179=W$5),'Input|Historical Data'!$U$9:$U$1179)</f>
        <v>100.88199999999999</v>
      </c>
      <c r="X90" s="48">
        <f>SUMPRODUCT(--('Input|Historical Data'!$Q$9:$Q$1179=$E90),--('Input|Historical Data'!$AA$9:$AA$1179="SCS"),--('Input|Historical Data'!$Y$9:$Y$1179=X$5),'Input|Historical Data'!$U$9:$U$1179)</f>
        <v>53.835000000000001</v>
      </c>
      <c r="Y90" s="49">
        <f t="shared" si="73"/>
        <v>0.44235324465301323</v>
      </c>
      <c r="Z90" s="49">
        <f t="shared" si="74"/>
        <v>0.30742538525836433</v>
      </c>
      <c r="AA90" s="49">
        <f t="shared" si="75"/>
        <v>0.25022137008862244</v>
      </c>
      <c r="AB90" s="49">
        <f t="shared" si="76"/>
        <v>0.1335289492547827</v>
      </c>
      <c r="AC90" s="38"/>
      <c r="AD90" s="48">
        <f>SUMPRODUCT(--('Input|Historical Data'!$AC$9:$AC$1180=$E90),--('Input|Historical Data'!$AM$9:$AM$1180="SCS"),--('Input|Historical Data'!$AK$9:$AK$1180=AD$5),'Input|Historical Data'!$AG$9:$AG$1180)</f>
        <v>2991.511</v>
      </c>
      <c r="AE90" s="48">
        <f>SUMPRODUCT(--('Input|Historical Data'!$AC$9:$AC$1180=$E90),--('Input|Historical Data'!$AM$9:$AM$1180="SCS"),--('Input|Historical Data'!$AL$9:$AL$1180=AE$5),'Input|Historical Data'!$AG$9:$AG$1180)</f>
        <v>858.98699999999997</v>
      </c>
      <c r="AF90" s="48">
        <f>SUMPRODUCT(--('Input|Historical Data'!$AC$9:$AC$1180=$E90),--('Input|Historical Data'!$AM$9:$AM$1180="SCS"),--('Input|Historical Data'!$AL$9:$AL$1180=AF$5),'Input|Historical Data'!$AG$9:$AG$1180)</f>
        <v>1929.2479999999998</v>
      </c>
      <c r="AG90" s="48">
        <f>SUMPRODUCT(--('Input|Historical Data'!$AC$9:$AC$1180=$E90),--('Input|Historical Data'!$AM$9:$AM$1180="SCS"),--('Input|Historical Data'!$AL$9:$AL$1180=AG$5),'Input|Historical Data'!$AG$9:$AG$1180)</f>
        <v>203.27599999999998</v>
      </c>
      <c r="AH90" s="48">
        <f>SUMPRODUCT(--('Input|Historical Data'!$AC$9:$AC$1180=$E90),--('Input|Historical Data'!$AM$9:$AM$1180="SCS"),--('Input|Historical Data'!$AK$9:$AK$1180=AH$5),'Input|Historical Data'!$AG$9:$AG$1180)</f>
        <v>69.721999999999994</v>
      </c>
      <c r="AI90" s="49">
        <f t="shared" si="81"/>
        <v>0.28714151477296929</v>
      </c>
      <c r="AJ90" s="49">
        <f t="shared" si="82"/>
        <v>0.64490754003578799</v>
      </c>
      <c r="AK90" s="49">
        <f t="shared" si="83"/>
        <v>6.7950945191242826E-2</v>
      </c>
      <c r="AL90" s="49">
        <f t="shared" si="84"/>
        <v>2.3306616622837086E-2</v>
      </c>
      <c r="AM90" s="38"/>
      <c r="AN90" s="48"/>
      <c r="AO90" s="48"/>
      <c r="AP90" s="48"/>
      <c r="AQ90" s="48"/>
      <c r="AR90" s="48"/>
      <c r="AS90" s="49"/>
      <c r="AT90" s="49"/>
      <c r="AU90" s="49"/>
      <c r="AV90" s="49"/>
      <c r="AW90" s="38"/>
      <c r="AX90" s="49">
        <f t="shared" si="85"/>
        <v>0.30557530867397886</v>
      </c>
      <c r="AY90" s="49">
        <f t="shared" si="86"/>
        <v>0.60482631362819839</v>
      </c>
      <c r="AZ90" s="49">
        <f t="shared" si="87"/>
        <v>8.959837769782264E-2</v>
      </c>
      <c r="BA90" s="49">
        <f t="shared" si="88"/>
        <v>3.6397223657473658E-2</v>
      </c>
      <c r="BB90" s="44"/>
    </row>
    <row r="91" spans="3:54" s="7" customFormat="1" outlineLevel="1" x14ac:dyDescent="0.3">
      <c r="C91" s="38"/>
      <c r="D91" s="38"/>
      <c r="E91" s="38" t="s">
        <v>162</v>
      </c>
      <c r="F91" s="38" t="s">
        <v>343</v>
      </c>
      <c r="G91" s="38" t="str">
        <f>VLOOKUP(E91,Mapping!$E$11:$G$204,3,0)</f>
        <v>Replacement</v>
      </c>
      <c r="H91" s="38" t="str">
        <f>VLOOKUP(E91,Mapping!$E$11:$K$204,7,0)</f>
        <v>SCADA (10-year asset)</v>
      </c>
      <c r="I91" s="38"/>
      <c r="J91" s="48">
        <f>SUMPRODUCT(--('Input|Historical Data'!$E$9:$E$1179=$E91),--('Input|Historical Data'!$O$9:$O$1179="SCS"),--('Input|Historical Data'!$M$9:$M$1179=J$5),'Input|Historical Data'!$I$9:$I$1179)</f>
        <v>4117.09</v>
      </c>
      <c r="K91" s="48">
        <f>SUMPRODUCT(--('Input|Historical Data'!$E$9:$E$1179=$E91),--('Input|Historical Data'!$O$9:$O$1179="SCS"),--('Input|Historical Data'!$N$9:$N$1179=K$5),'Input|Historical Data'!$I$9:$I$1179)</f>
        <v>1864.9769999999999</v>
      </c>
      <c r="L91" s="48">
        <f>SUMPRODUCT(--('Input|Historical Data'!$E$9:$E$1179=$E91),--('Input|Historical Data'!$O$9:$O$1179="SCS"),--('Input|Historical Data'!$N$9:$N$1179=L$5),'Input|Historical Data'!$I$9:$I$1179)</f>
        <v>1386.8709999999999</v>
      </c>
      <c r="M91" s="48">
        <f>SUMPRODUCT(--('Input|Historical Data'!$E$9:$E$1179=$E91),--('Input|Historical Data'!$O$9:$O$1179="SCS"),--('Input|Historical Data'!$N$9:$N$1179=M$5),'Input|Historical Data'!$I$9:$I$1179)</f>
        <v>865.24199999999996</v>
      </c>
      <c r="N91" s="48">
        <f>SUMPRODUCT(--('Input|Historical Data'!$E$9:$E$1179=$E91),--('Input|Historical Data'!$O$9:$O$1179="SCS"),--('Input|Historical Data'!$M$9:$M$1179=N$5),'Input|Historical Data'!$I$9:$I$1179)</f>
        <v>365.06200000000001</v>
      </c>
      <c r="O91" s="49">
        <f t="shared" si="77"/>
        <v>0.45298426801454422</v>
      </c>
      <c r="P91" s="49">
        <f t="shared" si="78"/>
        <v>0.33685710052488527</v>
      </c>
      <c r="Q91" s="49">
        <f t="shared" si="79"/>
        <v>0.21015863146057043</v>
      </c>
      <c r="R91" s="49">
        <f t="shared" si="80"/>
        <v>8.8669910057832105E-2</v>
      </c>
      <c r="S91" s="38"/>
      <c r="T91" s="48">
        <f>SUMPRODUCT(--('Input|Historical Data'!$Q$9:$Q$1179=$E91),--('Input|Historical Data'!$AA$9:$AA$1179="SCS"),--('Input|Historical Data'!$Y$9:$Y$1179=T$5),'Input|Historical Data'!$U$9:$U$1179)</f>
        <v>2573.2749999999996</v>
      </c>
      <c r="U91" s="48">
        <f>SUMPRODUCT(--('Input|Historical Data'!$Q$9:$Q$1179=$E91),--('Input|Historical Data'!$AA$9:$AA$1179="SCS"),--('Input|Historical Data'!$Z$9:$Z$1179=U$5),'Input|Historical Data'!$U$9:$U$1179)</f>
        <v>1698.9480000000001</v>
      </c>
      <c r="V91" s="48">
        <f>SUMPRODUCT(--('Input|Historical Data'!$Q$9:$Q$1179=$E91),--('Input|Historical Data'!$AA$9:$AA$1179="SCS"),--('Input|Historical Data'!$Z$9:$Z$1179=V$5),'Input|Historical Data'!$U$9:$U$1179)</f>
        <v>403.10899999999998</v>
      </c>
      <c r="W91" s="48">
        <f>SUMPRODUCT(--('Input|Historical Data'!$Q$9:$Q$1179=$E91),--('Input|Historical Data'!$AA$9:$AA$1179="SCS"),--('Input|Historical Data'!$Z$9:$Z$1179=W$5),'Input|Historical Data'!$U$9:$U$1179)</f>
        <v>471.21799999999996</v>
      </c>
      <c r="X91" s="48">
        <f>SUMPRODUCT(--('Input|Historical Data'!$Q$9:$Q$1179=$E91),--('Input|Historical Data'!$AA$9:$AA$1179="SCS"),--('Input|Historical Data'!$Y$9:$Y$1179=X$5),'Input|Historical Data'!$U$9:$U$1179)</f>
        <v>360.50700000000001</v>
      </c>
      <c r="Y91" s="49">
        <f t="shared" si="73"/>
        <v>0.66022791967434491</v>
      </c>
      <c r="Z91" s="49">
        <f t="shared" si="74"/>
        <v>0.15665212618161681</v>
      </c>
      <c r="AA91" s="49">
        <f t="shared" si="75"/>
        <v>0.18311995414403823</v>
      </c>
      <c r="AB91" s="49">
        <f t="shared" si="76"/>
        <v>0.14009656954658947</v>
      </c>
      <c r="AC91" s="38"/>
      <c r="AD91" s="48">
        <f>SUMPRODUCT(--('Input|Historical Data'!$AC$9:$AC$1180=$E91),--('Input|Historical Data'!$AM$9:$AM$1180="SCS"),--('Input|Historical Data'!$AK$9:$AK$1180=AD$5),'Input|Historical Data'!$AG$9:$AG$1180)</f>
        <v>6960.829999999999</v>
      </c>
      <c r="AE91" s="48">
        <f>SUMPRODUCT(--('Input|Historical Data'!$AC$9:$AC$1180=$E91),--('Input|Historical Data'!$AM$9:$AM$1180="SCS"),--('Input|Historical Data'!$AL$9:$AL$1180=AE$5),'Input|Historical Data'!$AG$9:$AG$1180)</f>
        <v>4211.4089999999997</v>
      </c>
      <c r="AF91" s="48">
        <f>SUMPRODUCT(--('Input|Historical Data'!$AC$9:$AC$1180=$E91),--('Input|Historical Data'!$AM$9:$AM$1180="SCS"),--('Input|Historical Data'!$AL$9:$AL$1180=AF$5),'Input|Historical Data'!$AG$9:$AG$1180)</f>
        <v>1800.9659999999999</v>
      </c>
      <c r="AG91" s="48">
        <f>SUMPRODUCT(--('Input|Historical Data'!$AC$9:$AC$1180=$E91),--('Input|Historical Data'!$AM$9:$AM$1180="SCS"),--('Input|Historical Data'!$AL$9:$AL$1180=AG$5),'Input|Historical Data'!$AG$9:$AG$1180)</f>
        <v>948.45500000000004</v>
      </c>
      <c r="AH91" s="48">
        <f>SUMPRODUCT(--('Input|Historical Data'!$AC$9:$AC$1180=$E91),--('Input|Historical Data'!$AM$9:$AM$1180="SCS"),--('Input|Historical Data'!$AK$9:$AK$1180=AH$5),'Input|Historical Data'!$AG$9:$AG$1180)</f>
        <v>641.18899999999996</v>
      </c>
      <c r="AI91" s="49">
        <f t="shared" si="81"/>
        <v>0.60501535018094099</v>
      </c>
      <c r="AJ91" s="49">
        <f t="shared" si="82"/>
        <v>0.25872862862618395</v>
      </c>
      <c r="AK91" s="49">
        <f t="shared" si="83"/>
        <v>0.136256021192875</v>
      </c>
      <c r="AL91" s="49">
        <f t="shared" si="84"/>
        <v>9.2113871477970302E-2</v>
      </c>
      <c r="AM91" s="38"/>
      <c r="AN91" s="48"/>
      <c r="AO91" s="48"/>
      <c r="AP91" s="48"/>
      <c r="AQ91" s="48"/>
      <c r="AR91" s="48"/>
      <c r="AS91" s="49"/>
      <c r="AT91" s="49"/>
      <c r="AU91" s="49"/>
      <c r="AV91" s="49"/>
      <c r="AW91" s="38"/>
      <c r="AX91" s="49">
        <f t="shared" si="85"/>
        <v>0.61991733885876021</v>
      </c>
      <c r="AY91" s="49">
        <f t="shared" si="86"/>
        <v>0.23117796583947836</v>
      </c>
      <c r="AZ91" s="49">
        <f t="shared" si="87"/>
        <v>0.14890469530176142</v>
      </c>
      <c r="BA91" s="49">
        <f t="shared" si="88"/>
        <v>0.10506450264602707</v>
      </c>
      <c r="BB91" s="44"/>
    </row>
    <row r="92" spans="3:54" s="7" customFormat="1" outlineLevel="1" x14ac:dyDescent="0.3">
      <c r="C92" s="38"/>
      <c r="D92" s="38"/>
      <c r="E92" s="38" t="s">
        <v>163</v>
      </c>
      <c r="F92" s="38" t="s">
        <v>344</v>
      </c>
      <c r="G92" s="38" t="str">
        <f>VLOOKUP(E92,Mapping!$E$11:$G$204,3,0)</f>
        <v>Replacement</v>
      </c>
      <c r="H92" s="38" t="str">
        <f>VLOOKUP(E92,Mapping!$E$11:$K$204,7,0)</f>
        <v>SCS</v>
      </c>
      <c r="I92" s="38"/>
      <c r="J92" s="48">
        <f>SUMPRODUCT(--('Input|Historical Data'!$E$9:$E$1179=$E92),--('Input|Historical Data'!$O$9:$O$1179="SCS"),--('Input|Historical Data'!$M$9:$M$1179=J$5),'Input|Historical Data'!$I$9:$I$1179)</f>
        <v>472.76399999999995</v>
      </c>
      <c r="K92" s="48">
        <f>SUMPRODUCT(--('Input|Historical Data'!$E$9:$E$1179=$E92),--('Input|Historical Data'!$O$9:$O$1179="SCS"),--('Input|Historical Data'!$N$9:$N$1179=K$5),'Input|Historical Data'!$I$9:$I$1179)</f>
        <v>125.33000000000001</v>
      </c>
      <c r="L92" s="48">
        <f>SUMPRODUCT(--('Input|Historical Data'!$E$9:$E$1179=$E92),--('Input|Historical Data'!$O$9:$O$1179="SCS"),--('Input|Historical Data'!$N$9:$N$1179=L$5),'Input|Historical Data'!$I$9:$I$1179)</f>
        <v>295.89600000000002</v>
      </c>
      <c r="M92" s="48">
        <f>SUMPRODUCT(--('Input|Historical Data'!$E$9:$E$1179=$E92),--('Input|Historical Data'!$O$9:$O$1179="SCS"),--('Input|Historical Data'!$N$9:$N$1179=M$5),'Input|Historical Data'!$I$9:$I$1179)</f>
        <v>51.538000000000004</v>
      </c>
      <c r="N92" s="48">
        <f>SUMPRODUCT(--('Input|Historical Data'!$E$9:$E$1179=$E92),--('Input|Historical Data'!$O$9:$O$1179="SCS"),--('Input|Historical Data'!$M$9:$M$1179=N$5),'Input|Historical Data'!$I$9:$I$1179)</f>
        <v>40.436999999999998</v>
      </c>
      <c r="O92" s="49">
        <f t="shared" si="77"/>
        <v>0.26510055757206558</v>
      </c>
      <c r="P92" s="49">
        <f t="shared" si="78"/>
        <v>0.62588521968677824</v>
      </c>
      <c r="Q92" s="49">
        <f t="shared" si="79"/>
        <v>0.10901422274115627</v>
      </c>
      <c r="R92" s="49">
        <f t="shared" si="80"/>
        <v>8.5533162423534786E-2</v>
      </c>
      <c r="S92" s="38"/>
      <c r="T92" s="48">
        <f>SUMPRODUCT(--('Input|Historical Data'!$Q$9:$Q$1179=$E92),--('Input|Historical Data'!$AA$9:$AA$1179="SCS"),--('Input|Historical Data'!$Y$9:$Y$1179=T$5),'Input|Historical Data'!$U$9:$U$1179)</f>
        <v>831.43599999999992</v>
      </c>
      <c r="U92" s="48">
        <f>SUMPRODUCT(--('Input|Historical Data'!$Q$9:$Q$1179=$E92),--('Input|Historical Data'!$AA$9:$AA$1179="SCS"),--('Input|Historical Data'!$Z$9:$Z$1179=U$5),'Input|Historical Data'!$U$9:$U$1179)</f>
        <v>226.042</v>
      </c>
      <c r="V92" s="48">
        <f>SUMPRODUCT(--('Input|Historical Data'!$Q$9:$Q$1179=$E92),--('Input|Historical Data'!$AA$9:$AA$1179="SCS"),--('Input|Historical Data'!$Z$9:$Z$1179=V$5),'Input|Historical Data'!$U$9:$U$1179)</f>
        <v>528.64599999999996</v>
      </c>
      <c r="W92" s="48">
        <f>SUMPRODUCT(--('Input|Historical Data'!$Q$9:$Q$1179=$E92),--('Input|Historical Data'!$AA$9:$AA$1179="SCS"),--('Input|Historical Data'!$Z$9:$Z$1179=W$5),'Input|Historical Data'!$U$9:$U$1179)</f>
        <v>76.748000000000005</v>
      </c>
      <c r="X92" s="48">
        <f>SUMPRODUCT(--('Input|Historical Data'!$Q$9:$Q$1179=$E92),--('Input|Historical Data'!$AA$9:$AA$1179="SCS"),--('Input|Historical Data'!$Y$9:$Y$1179=X$5),'Input|Historical Data'!$U$9:$U$1179)</f>
        <v>76.927999999999997</v>
      </c>
      <c r="Y92" s="49">
        <f t="shared" si="73"/>
        <v>0.27186939223223433</v>
      </c>
      <c r="Z92" s="49">
        <f t="shared" si="74"/>
        <v>0.6358228414454028</v>
      </c>
      <c r="AA92" s="49">
        <f t="shared" si="75"/>
        <v>9.2307766322362761E-2</v>
      </c>
      <c r="AB92" s="49">
        <f t="shared" si="76"/>
        <v>9.2524259233422668E-2</v>
      </c>
      <c r="AC92" s="38"/>
      <c r="AD92" s="48">
        <f>SUMPRODUCT(--('Input|Historical Data'!$AC$9:$AC$1180=$E92),--('Input|Historical Data'!$AM$9:$AM$1180="SCS"),--('Input|Historical Data'!$AK$9:$AK$1180=AD$5),'Input|Historical Data'!$AG$9:$AG$1180)</f>
        <v>669.03599999999994</v>
      </c>
      <c r="AE92" s="48">
        <f>SUMPRODUCT(--('Input|Historical Data'!$AC$9:$AC$1180=$E92),--('Input|Historical Data'!$AM$9:$AM$1180="SCS"),--('Input|Historical Data'!$AL$9:$AL$1180=AE$5),'Input|Historical Data'!$AG$9:$AG$1180)</f>
        <v>75.72</v>
      </c>
      <c r="AF92" s="48">
        <f>SUMPRODUCT(--('Input|Historical Data'!$AC$9:$AC$1180=$E92),--('Input|Historical Data'!$AM$9:$AM$1180="SCS"),--('Input|Historical Data'!$AL$9:$AL$1180=AF$5),'Input|Historical Data'!$AG$9:$AG$1180)</f>
        <v>509.23599999999999</v>
      </c>
      <c r="AG92" s="48">
        <f>SUMPRODUCT(--('Input|Historical Data'!$AC$9:$AC$1180=$E92),--('Input|Historical Data'!$AM$9:$AM$1180="SCS"),--('Input|Historical Data'!$AL$9:$AL$1180=AG$5),'Input|Historical Data'!$AG$9:$AG$1180)</f>
        <v>84.080000000000013</v>
      </c>
      <c r="AH92" s="48">
        <f>SUMPRODUCT(--('Input|Historical Data'!$AC$9:$AC$1180=$E92),--('Input|Historical Data'!$AM$9:$AM$1180="SCS"),--('Input|Historical Data'!$AK$9:$AK$1180=AH$5),'Input|Historical Data'!$AG$9:$AG$1180)</f>
        <v>24.4</v>
      </c>
      <c r="AI92" s="49">
        <f t="shared" si="81"/>
        <v>0.11317776621885817</v>
      </c>
      <c r="AJ92" s="49">
        <f t="shared" si="82"/>
        <v>0.76114887689152744</v>
      </c>
      <c r="AK92" s="49">
        <f t="shared" si="83"/>
        <v>0.12567335688961431</v>
      </c>
      <c r="AL92" s="49">
        <f t="shared" si="84"/>
        <v>3.6470384254360007E-2</v>
      </c>
      <c r="AM92" s="38"/>
      <c r="AN92" s="48"/>
      <c r="AO92" s="48"/>
      <c r="AP92" s="48"/>
      <c r="AQ92" s="48"/>
      <c r="AR92" s="48"/>
      <c r="AS92" s="49"/>
      <c r="AT92" s="49"/>
      <c r="AU92" s="49"/>
      <c r="AV92" s="49"/>
      <c r="AW92" s="38"/>
      <c r="AX92" s="49">
        <f t="shared" si="85"/>
        <v>0.20111138361795489</v>
      </c>
      <c r="AY92" s="49">
        <f t="shared" si="86"/>
        <v>0.69170367724289428</v>
      </c>
      <c r="AZ92" s="49">
        <f t="shared" si="87"/>
        <v>0.10718493913915091</v>
      </c>
      <c r="BA92" s="49">
        <f t="shared" si="88"/>
        <v>6.7530750323898089E-2</v>
      </c>
      <c r="BB92" s="44"/>
    </row>
    <row r="93" spans="3:54" s="7" customFormat="1" outlineLevel="1" x14ac:dyDescent="0.3">
      <c r="C93" s="38"/>
      <c r="D93" s="38"/>
      <c r="E93" s="38" t="s">
        <v>164</v>
      </c>
      <c r="F93" s="38" t="s">
        <v>345</v>
      </c>
      <c r="G93" s="38" t="str">
        <f>VLOOKUP(E93,Mapping!$E$11:$G$204,3,0)</f>
        <v>Replacement</v>
      </c>
      <c r="H93" s="38" t="str">
        <f>VLOOKUP(E93,Mapping!$E$11:$K$204,7,0)</f>
        <v>SCS</v>
      </c>
      <c r="I93" s="38"/>
      <c r="J93" s="48">
        <f>SUMPRODUCT(--('Input|Historical Data'!$E$9:$E$1179=$E93),--('Input|Historical Data'!$O$9:$O$1179="SCS"),--('Input|Historical Data'!$M$9:$M$1179=J$5),'Input|Historical Data'!$I$9:$I$1179)</f>
        <v>455.65599999999995</v>
      </c>
      <c r="K93" s="48">
        <f>SUMPRODUCT(--('Input|Historical Data'!$E$9:$E$1179=$E93),--('Input|Historical Data'!$O$9:$O$1179="SCS"),--('Input|Historical Data'!$N$9:$N$1179=K$5),'Input|Historical Data'!$I$9:$I$1179)</f>
        <v>183.90499999999997</v>
      </c>
      <c r="L93" s="48">
        <f>SUMPRODUCT(--('Input|Historical Data'!$E$9:$E$1179=$E93),--('Input|Historical Data'!$O$9:$O$1179="SCS"),--('Input|Historical Data'!$N$9:$N$1179=L$5),'Input|Historical Data'!$I$9:$I$1179)</f>
        <v>220.988</v>
      </c>
      <c r="M93" s="48">
        <f>SUMPRODUCT(--('Input|Historical Data'!$E$9:$E$1179=$E93),--('Input|Historical Data'!$O$9:$O$1179="SCS"),--('Input|Historical Data'!$N$9:$N$1179=M$5),'Input|Historical Data'!$I$9:$I$1179)</f>
        <v>50.763000000000005</v>
      </c>
      <c r="N93" s="48">
        <f>SUMPRODUCT(--('Input|Historical Data'!$E$9:$E$1179=$E93),--('Input|Historical Data'!$O$9:$O$1179="SCS"),--('Input|Historical Data'!$M$9:$M$1179=N$5),'Input|Historical Data'!$I$9:$I$1179)</f>
        <v>36.457000000000001</v>
      </c>
      <c r="O93" s="49">
        <f t="shared" si="77"/>
        <v>0.40360491247783414</v>
      </c>
      <c r="P93" s="49">
        <f t="shared" si="78"/>
        <v>0.48498867566760895</v>
      </c>
      <c r="Q93" s="49">
        <f t="shared" si="79"/>
        <v>0.11140641185455696</v>
      </c>
      <c r="R93" s="49">
        <f t="shared" si="80"/>
        <v>8.000991976403253E-2</v>
      </c>
      <c r="S93" s="38"/>
      <c r="T93" s="48">
        <f>SUMPRODUCT(--('Input|Historical Data'!$Q$9:$Q$1179=$E93),--('Input|Historical Data'!$AA$9:$AA$1179="SCS"),--('Input|Historical Data'!$Y$9:$Y$1179=T$5),'Input|Historical Data'!$U$9:$U$1179)</f>
        <v>346.79500000000007</v>
      </c>
      <c r="U93" s="48">
        <f>SUMPRODUCT(--('Input|Historical Data'!$Q$9:$Q$1179=$E93),--('Input|Historical Data'!$AA$9:$AA$1179="SCS"),--('Input|Historical Data'!$Z$9:$Z$1179=U$5),'Input|Historical Data'!$U$9:$U$1179)</f>
        <v>124.82900000000001</v>
      </c>
      <c r="V93" s="48">
        <f>SUMPRODUCT(--('Input|Historical Data'!$Q$9:$Q$1179=$E93),--('Input|Historical Data'!$AA$9:$AA$1179="SCS"),--('Input|Historical Data'!$Z$9:$Z$1179=V$5),'Input|Historical Data'!$U$9:$U$1179)</f>
        <v>179.33300000000003</v>
      </c>
      <c r="W93" s="48">
        <f>SUMPRODUCT(--('Input|Historical Data'!$Q$9:$Q$1179=$E93),--('Input|Historical Data'!$AA$9:$AA$1179="SCS"),--('Input|Historical Data'!$Z$9:$Z$1179=W$5),'Input|Historical Data'!$U$9:$U$1179)</f>
        <v>42.633000000000003</v>
      </c>
      <c r="X93" s="48">
        <f>SUMPRODUCT(--('Input|Historical Data'!$Q$9:$Q$1179=$E93),--('Input|Historical Data'!$AA$9:$AA$1179="SCS"),--('Input|Historical Data'!$Y$9:$Y$1179=X$5),'Input|Historical Data'!$U$9:$U$1179)</f>
        <v>37.118000000000002</v>
      </c>
      <c r="Y93" s="49">
        <f t="shared" si="73"/>
        <v>0.35995040297582148</v>
      </c>
      <c r="Z93" s="49">
        <f t="shared" si="74"/>
        <v>0.51711529866347561</v>
      </c>
      <c r="AA93" s="49">
        <f t="shared" si="75"/>
        <v>0.12293429836070301</v>
      </c>
      <c r="AB93" s="49">
        <f t="shared" si="76"/>
        <v>0.10703153159647628</v>
      </c>
      <c r="AC93" s="38"/>
      <c r="AD93" s="48">
        <f>SUMPRODUCT(--('Input|Historical Data'!$AC$9:$AC$1180=$E93),--('Input|Historical Data'!$AM$9:$AM$1180="SCS"),--('Input|Historical Data'!$AK$9:$AK$1180=AD$5),'Input|Historical Data'!$AG$9:$AG$1180)</f>
        <v>517.76099999999997</v>
      </c>
      <c r="AE93" s="48">
        <f>SUMPRODUCT(--('Input|Historical Data'!$AC$9:$AC$1180=$E93),--('Input|Historical Data'!$AM$9:$AM$1180="SCS"),--('Input|Historical Data'!$AL$9:$AL$1180=AE$5),'Input|Historical Data'!$AG$9:$AG$1180)</f>
        <v>89.155000000000001</v>
      </c>
      <c r="AF93" s="48">
        <f>SUMPRODUCT(--('Input|Historical Data'!$AC$9:$AC$1180=$E93),--('Input|Historical Data'!$AM$9:$AM$1180="SCS"),--('Input|Historical Data'!$AL$9:$AL$1180=AF$5),'Input|Historical Data'!$AG$9:$AG$1180)</f>
        <v>402.02100000000002</v>
      </c>
      <c r="AG93" s="48">
        <f>SUMPRODUCT(--('Input|Historical Data'!$AC$9:$AC$1180=$E93),--('Input|Historical Data'!$AM$9:$AM$1180="SCS"),--('Input|Historical Data'!$AL$9:$AL$1180=AG$5),'Input|Historical Data'!$AG$9:$AG$1180)</f>
        <v>26.585000000000001</v>
      </c>
      <c r="AH93" s="48">
        <f>SUMPRODUCT(--('Input|Historical Data'!$AC$9:$AC$1180=$E93),--('Input|Historical Data'!$AM$9:$AM$1180="SCS"),--('Input|Historical Data'!$AK$9:$AK$1180=AH$5),'Input|Historical Data'!$AG$9:$AG$1180)</f>
        <v>20.370999999999999</v>
      </c>
      <c r="AI93" s="49">
        <f t="shared" si="81"/>
        <v>0.17219334789603696</v>
      </c>
      <c r="AJ93" s="49">
        <f t="shared" si="82"/>
        <v>0.77646056771367478</v>
      </c>
      <c r="AK93" s="49">
        <f t="shared" si="83"/>
        <v>5.1346084390288177E-2</v>
      </c>
      <c r="AL93" s="49">
        <f t="shared" si="84"/>
        <v>3.934440794111569E-2</v>
      </c>
      <c r="AM93" s="38"/>
      <c r="AN93" s="48"/>
      <c r="AO93" s="48"/>
      <c r="AP93" s="48"/>
      <c r="AQ93" s="48"/>
      <c r="AR93" s="48"/>
      <c r="AS93" s="49"/>
      <c r="AT93" s="49"/>
      <c r="AU93" s="49"/>
      <c r="AV93" s="49"/>
      <c r="AW93" s="38"/>
      <c r="AX93" s="49">
        <f t="shared" si="85"/>
        <v>0.2475073910770384</v>
      </c>
      <c r="AY93" s="49">
        <f t="shared" si="86"/>
        <v>0.67243070431527863</v>
      </c>
      <c r="AZ93" s="49">
        <f t="shared" si="87"/>
        <v>8.0061904607683018E-2</v>
      </c>
      <c r="BA93" s="49">
        <f t="shared" si="88"/>
        <v>6.6495403420946703E-2</v>
      </c>
      <c r="BB93" s="44"/>
    </row>
    <row r="94" spans="3:54" s="7" customFormat="1" outlineLevel="1" x14ac:dyDescent="0.3">
      <c r="C94" s="38"/>
      <c r="D94" s="38"/>
      <c r="E94" s="38" t="s">
        <v>165</v>
      </c>
      <c r="F94" s="38" t="s">
        <v>346</v>
      </c>
      <c r="G94" s="38" t="str">
        <f>VLOOKUP(E94,Mapping!$E$11:$G$204,3,0)</f>
        <v>Replacement</v>
      </c>
      <c r="H94" s="38" t="str">
        <f>VLOOKUP(E94,Mapping!$E$11:$K$204,7,0)</f>
        <v>SCS</v>
      </c>
      <c r="I94" s="38"/>
      <c r="J94" s="48">
        <f>SUMPRODUCT(--('Input|Historical Data'!$E$9:$E$1179=$E94),--('Input|Historical Data'!$O$9:$O$1179="SCS"),--('Input|Historical Data'!$M$9:$M$1179=J$5),'Input|Historical Data'!$I$9:$I$1179)</f>
        <v>405.90699999999998</v>
      </c>
      <c r="K94" s="48">
        <f>SUMPRODUCT(--('Input|Historical Data'!$E$9:$E$1179=$E94),--('Input|Historical Data'!$O$9:$O$1179="SCS"),--('Input|Historical Data'!$N$9:$N$1179=K$5),'Input|Historical Data'!$I$9:$I$1179)</f>
        <v>141.988</v>
      </c>
      <c r="L94" s="48">
        <f>SUMPRODUCT(--('Input|Historical Data'!$E$9:$E$1179=$E94),--('Input|Historical Data'!$O$9:$O$1179="SCS"),--('Input|Historical Data'!$N$9:$N$1179=L$5),'Input|Historical Data'!$I$9:$I$1179)</f>
        <v>215.66499999999999</v>
      </c>
      <c r="M94" s="48">
        <f>SUMPRODUCT(--('Input|Historical Data'!$E$9:$E$1179=$E94),--('Input|Historical Data'!$O$9:$O$1179="SCS"),--('Input|Historical Data'!$N$9:$N$1179=M$5),'Input|Historical Data'!$I$9:$I$1179)</f>
        <v>48.254000000000005</v>
      </c>
      <c r="N94" s="48">
        <f>SUMPRODUCT(--('Input|Historical Data'!$E$9:$E$1179=$E94),--('Input|Historical Data'!$O$9:$O$1179="SCS"),--('Input|Historical Data'!$M$9:$M$1179=N$5),'Input|Historical Data'!$I$9:$I$1179)</f>
        <v>36.993000000000002</v>
      </c>
      <c r="O94" s="49">
        <f t="shared" si="77"/>
        <v>0.34980426550909444</v>
      </c>
      <c r="P94" s="49">
        <f t="shared" si="78"/>
        <v>0.53131628673563147</v>
      </c>
      <c r="Q94" s="49">
        <f t="shared" si="79"/>
        <v>0.118879447755274</v>
      </c>
      <c r="R94" s="49">
        <f t="shared" si="80"/>
        <v>9.1136639673619832E-2</v>
      </c>
      <c r="S94" s="38"/>
      <c r="T94" s="48">
        <f>SUMPRODUCT(--('Input|Historical Data'!$Q$9:$Q$1179=$E94),--('Input|Historical Data'!$AA$9:$AA$1179="SCS"),--('Input|Historical Data'!$Y$9:$Y$1179=T$5),'Input|Historical Data'!$U$9:$U$1179)</f>
        <v>461.13600000000002</v>
      </c>
      <c r="U94" s="48">
        <f>SUMPRODUCT(--('Input|Historical Data'!$Q$9:$Q$1179=$E94),--('Input|Historical Data'!$AA$9:$AA$1179="SCS"),--('Input|Historical Data'!$Z$9:$Z$1179=U$5),'Input|Historical Data'!$U$9:$U$1179)</f>
        <v>114.93700000000001</v>
      </c>
      <c r="V94" s="48">
        <f>SUMPRODUCT(--('Input|Historical Data'!$Q$9:$Q$1179=$E94),--('Input|Historical Data'!$AA$9:$AA$1179="SCS"),--('Input|Historical Data'!$Z$9:$Z$1179=V$5),'Input|Historical Data'!$U$9:$U$1179)</f>
        <v>308.61200000000002</v>
      </c>
      <c r="W94" s="48">
        <f>SUMPRODUCT(--('Input|Historical Data'!$Q$9:$Q$1179=$E94),--('Input|Historical Data'!$AA$9:$AA$1179="SCS"),--('Input|Historical Data'!$Z$9:$Z$1179=W$5),'Input|Historical Data'!$U$9:$U$1179)</f>
        <v>37.587000000000003</v>
      </c>
      <c r="X94" s="48">
        <f>SUMPRODUCT(--('Input|Historical Data'!$Q$9:$Q$1179=$E94),--('Input|Historical Data'!$AA$9:$AA$1179="SCS"),--('Input|Historical Data'!$Y$9:$Y$1179=X$5),'Input|Historical Data'!$U$9:$U$1179)</f>
        <v>47.75</v>
      </c>
      <c r="Y94" s="49">
        <f t="shared" si="73"/>
        <v>0.24924751049581903</v>
      </c>
      <c r="Z94" s="49">
        <f t="shared" si="74"/>
        <v>0.66924291315360329</v>
      </c>
      <c r="AA94" s="49">
        <f t="shared" si="75"/>
        <v>8.1509576350577706E-2</v>
      </c>
      <c r="AB94" s="49">
        <f t="shared" si="76"/>
        <v>0.10354862773671974</v>
      </c>
      <c r="AC94" s="38"/>
      <c r="AD94" s="48">
        <f>SUMPRODUCT(--('Input|Historical Data'!$AC$9:$AC$1180=$E94),--('Input|Historical Data'!$AM$9:$AM$1180="SCS"),--('Input|Historical Data'!$AK$9:$AK$1180=AD$5),'Input|Historical Data'!$AG$9:$AG$1180)</f>
        <v>376.8540000000001</v>
      </c>
      <c r="AE94" s="48">
        <f>SUMPRODUCT(--('Input|Historical Data'!$AC$9:$AC$1180=$E94),--('Input|Historical Data'!$AM$9:$AM$1180="SCS"),--('Input|Historical Data'!$AL$9:$AL$1180=AE$5),'Input|Historical Data'!$AG$9:$AG$1180)</f>
        <v>156.447</v>
      </c>
      <c r="AF94" s="48">
        <f>SUMPRODUCT(--('Input|Historical Data'!$AC$9:$AC$1180=$E94),--('Input|Historical Data'!$AM$9:$AM$1180="SCS"),--('Input|Historical Data'!$AL$9:$AL$1180=AF$5),'Input|Historical Data'!$AG$9:$AG$1180)</f>
        <v>176.01900000000001</v>
      </c>
      <c r="AG94" s="48">
        <f>SUMPRODUCT(--('Input|Historical Data'!$AC$9:$AC$1180=$E94),--('Input|Historical Data'!$AM$9:$AM$1180="SCS"),--('Input|Historical Data'!$AL$9:$AL$1180=AG$5),'Input|Historical Data'!$AG$9:$AG$1180)</f>
        <v>44.387999999999998</v>
      </c>
      <c r="AH94" s="48">
        <f>SUMPRODUCT(--('Input|Historical Data'!$AC$9:$AC$1180=$E94),--('Input|Historical Data'!$AM$9:$AM$1180="SCS"),--('Input|Historical Data'!$AK$9:$AK$1180=AH$5),'Input|Historical Data'!$AG$9:$AG$1180)</f>
        <v>52.171999999999997</v>
      </c>
      <c r="AI94" s="49">
        <f t="shared" si="81"/>
        <v>0.41513955006448122</v>
      </c>
      <c r="AJ94" s="49">
        <f t="shared" si="82"/>
        <v>0.4670747822764254</v>
      </c>
      <c r="AK94" s="49">
        <f t="shared" si="83"/>
        <v>0.11778566765909344</v>
      </c>
      <c r="AL94" s="49">
        <f t="shared" si="84"/>
        <v>0.13844088161463056</v>
      </c>
      <c r="AM94" s="38"/>
      <c r="AN94" s="48"/>
      <c r="AO94" s="48"/>
      <c r="AP94" s="48"/>
      <c r="AQ94" s="48"/>
      <c r="AR94" s="48"/>
      <c r="AS94" s="49"/>
      <c r="AT94" s="49"/>
      <c r="AU94" s="49"/>
      <c r="AV94" s="49"/>
      <c r="AW94" s="38"/>
      <c r="AX94" s="49">
        <f t="shared" si="85"/>
        <v>0.32385111994176541</v>
      </c>
      <c r="AY94" s="49">
        <f t="shared" si="86"/>
        <v>0.57832551701094281</v>
      </c>
      <c r="AZ94" s="49">
        <f t="shared" si="87"/>
        <v>9.7823363047291709E-2</v>
      </c>
      <c r="BA94" s="49">
        <f t="shared" si="88"/>
        <v>0.11924008639721236</v>
      </c>
      <c r="BB94" s="44"/>
    </row>
    <row r="95" spans="3:54" s="7" customFormat="1" outlineLevel="1" x14ac:dyDescent="0.3">
      <c r="C95" s="38"/>
      <c r="D95" s="38"/>
      <c r="E95" s="38" t="s">
        <v>166</v>
      </c>
      <c r="F95" s="38" t="s">
        <v>347</v>
      </c>
      <c r="G95" s="38" t="str">
        <f>VLOOKUP(E95,Mapping!$E$11:$G$204,3,0)</f>
        <v>Replacement</v>
      </c>
      <c r="H95" s="38" t="str">
        <f>VLOOKUP(E95,Mapping!$E$11:$K$204,7,0)</f>
        <v>SCS</v>
      </c>
      <c r="I95" s="38"/>
      <c r="J95" s="48">
        <f>SUMPRODUCT(--('Input|Historical Data'!$E$9:$E$1179=$E95),--('Input|Historical Data'!$O$9:$O$1179="SCS"),--('Input|Historical Data'!$M$9:$M$1179=J$5),'Input|Historical Data'!$I$9:$I$1179)</f>
        <v>1064.6100000000001</v>
      </c>
      <c r="K95" s="48">
        <f>SUMPRODUCT(--('Input|Historical Data'!$E$9:$E$1179=$E95),--('Input|Historical Data'!$O$9:$O$1179="SCS"),--('Input|Historical Data'!$N$9:$N$1179=K$5),'Input|Historical Data'!$I$9:$I$1179)</f>
        <v>376.07</v>
      </c>
      <c r="L95" s="48">
        <f>SUMPRODUCT(--('Input|Historical Data'!$E$9:$E$1179=$E95),--('Input|Historical Data'!$O$9:$O$1179="SCS"),--('Input|Historical Data'!$N$9:$N$1179=L$5),'Input|Historical Data'!$I$9:$I$1179)</f>
        <v>450.69299999999998</v>
      </c>
      <c r="M95" s="48">
        <f>SUMPRODUCT(--('Input|Historical Data'!$E$9:$E$1179=$E95),--('Input|Historical Data'!$O$9:$O$1179="SCS"),--('Input|Historical Data'!$N$9:$N$1179=M$5),'Input|Historical Data'!$I$9:$I$1179)</f>
        <v>237.84699999999998</v>
      </c>
      <c r="N95" s="48">
        <f>SUMPRODUCT(--('Input|Historical Data'!$E$9:$E$1179=$E95),--('Input|Historical Data'!$O$9:$O$1179="SCS"),--('Input|Historical Data'!$M$9:$M$1179=N$5),'Input|Historical Data'!$I$9:$I$1179)</f>
        <v>103.009</v>
      </c>
      <c r="O95" s="49">
        <f t="shared" si="77"/>
        <v>0.35324672884906211</v>
      </c>
      <c r="P95" s="49">
        <f t="shared" si="78"/>
        <v>0.42334094175331816</v>
      </c>
      <c r="Q95" s="49">
        <f t="shared" si="79"/>
        <v>0.22341232939761979</v>
      </c>
      <c r="R95" s="49">
        <f t="shared" si="80"/>
        <v>9.6757498050929439E-2</v>
      </c>
      <c r="S95" s="38"/>
      <c r="T95" s="48">
        <f>SUMPRODUCT(--('Input|Historical Data'!$Q$9:$Q$1179=$E95),--('Input|Historical Data'!$AA$9:$AA$1179="SCS"),--('Input|Historical Data'!$Y$9:$Y$1179=T$5),'Input|Historical Data'!$U$9:$U$1179)</f>
        <v>1266.1220000000001</v>
      </c>
      <c r="U95" s="48">
        <f>SUMPRODUCT(--('Input|Historical Data'!$Q$9:$Q$1179=$E95),--('Input|Historical Data'!$AA$9:$AA$1179="SCS"),--('Input|Historical Data'!$Z$9:$Z$1179=U$5),'Input|Historical Data'!$U$9:$U$1179)</f>
        <v>510.44200000000001</v>
      </c>
      <c r="V95" s="48">
        <f>SUMPRODUCT(--('Input|Historical Data'!$Q$9:$Q$1179=$E95),--('Input|Historical Data'!$AA$9:$AA$1179="SCS"),--('Input|Historical Data'!$Z$9:$Z$1179=V$5),'Input|Historical Data'!$U$9:$U$1179)</f>
        <v>518.89400000000001</v>
      </c>
      <c r="W95" s="48">
        <f>SUMPRODUCT(--('Input|Historical Data'!$Q$9:$Q$1179=$E95),--('Input|Historical Data'!$AA$9:$AA$1179="SCS"),--('Input|Historical Data'!$Z$9:$Z$1179=W$5),'Input|Historical Data'!$U$9:$U$1179)</f>
        <v>236.786</v>
      </c>
      <c r="X95" s="48">
        <f>SUMPRODUCT(--('Input|Historical Data'!$Q$9:$Q$1179=$E95),--('Input|Historical Data'!$AA$9:$AA$1179="SCS"),--('Input|Historical Data'!$Y$9:$Y$1179=X$5),'Input|Historical Data'!$U$9:$U$1179)</f>
        <v>174.56899999999999</v>
      </c>
      <c r="Y95" s="49">
        <f t="shared" si="73"/>
        <v>0.40315388248525813</v>
      </c>
      <c r="Z95" s="49">
        <f t="shared" si="74"/>
        <v>0.40982938453008477</v>
      </c>
      <c r="AA95" s="49">
        <f t="shared" si="75"/>
        <v>0.18701673298465707</v>
      </c>
      <c r="AB95" s="49">
        <f t="shared" si="76"/>
        <v>0.13787691865396856</v>
      </c>
      <c r="AC95" s="38"/>
      <c r="AD95" s="48">
        <f>SUMPRODUCT(--('Input|Historical Data'!$AC$9:$AC$1180=$E95),--('Input|Historical Data'!$AM$9:$AM$1180="SCS"),--('Input|Historical Data'!$AK$9:$AK$1180=AD$5),'Input|Historical Data'!$AG$9:$AG$1180)</f>
        <v>1170.088</v>
      </c>
      <c r="AE95" s="48">
        <f>SUMPRODUCT(--('Input|Historical Data'!$AC$9:$AC$1180=$E95),--('Input|Historical Data'!$AM$9:$AM$1180="SCS"),--('Input|Historical Data'!$AL$9:$AL$1180=AE$5),'Input|Historical Data'!$AG$9:$AG$1180)</f>
        <v>501.68899999999996</v>
      </c>
      <c r="AF95" s="48">
        <f>SUMPRODUCT(--('Input|Historical Data'!$AC$9:$AC$1180=$E95),--('Input|Historical Data'!$AM$9:$AM$1180="SCS"),--('Input|Historical Data'!$AL$9:$AL$1180=AF$5),'Input|Historical Data'!$AG$9:$AG$1180)</f>
        <v>429.04300000000001</v>
      </c>
      <c r="AG95" s="48">
        <f>SUMPRODUCT(--('Input|Historical Data'!$AC$9:$AC$1180=$E95),--('Input|Historical Data'!$AM$9:$AM$1180="SCS"),--('Input|Historical Data'!$AL$9:$AL$1180=AG$5),'Input|Historical Data'!$AG$9:$AG$1180)</f>
        <v>239.35599999999999</v>
      </c>
      <c r="AH95" s="48">
        <f>SUMPRODUCT(--('Input|Historical Data'!$AC$9:$AC$1180=$E95),--('Input|Historical Data'!$AM$9:$AM$1180="SCS"),--('Input|Historical Data'!$AK$9:$AK$1180=AH$5),'Input|Historical Data'!$AG$9:$AG$1180)</f>
        <v>145.57300000000001</v>
      </c>
      <c r="AI95" s="49">
        <f t="shared" si="81"/>
        <v>0.42876176834562868</v>
      </c>
      <c r="AJ95" s="49">
        <f t="shared" si="82"/>
        <v>0.36667583976589796</v>
      </c>
      <c r="AK95" s="49">
        <f t="shared" si="83"/>
        <v>0.20456239188847336</v>
      </c>
      <c r="AL95" s="49">
        <f t="shared" si="84"/>
        <v>0.12441201003685194</v>
      </c>
      <c r="AM95" s="38"/>
      <c r="AN95" s="48"/>
      <c r="AO95" s="48"/>
      <c r="AP95" s="48"/>
      <c r="AQ95" s="48"/>
      <c r="AR95" s="48"/>
      <c r="AS95" s="49"/>
      <c r="AT95" s="49"/>
      <c r="AU95" s="49"/>
      <c r="AV95" s="49"/>
      <c r="AW95" s="38"/>
      <c r="AX95" s="49">
        <f t="shared" si="85"/>
        <v>0.41545310133362884</v>
      </c>
      <c r="AY95" s="49">
        <f t="shared" si="86"/>
        <v>0.38910315613186053</v>
      </c>
      <c r="AZ95" s="49">
        <f t="shared" si="87"/>
        <v>0.19544374253451058</v>
      </c>
      <c r="BA95" s="49">
        <f t="shared" si="88"/>
        <v>0.13140985383033482</v>
      </c>
      <c r="BB95" s="44"/>
    </row>
    <row r="96" spans="3:54" s="7" customFormat="1" outlineLevel="1" x14ac:dyDescent="0.3">
      <c r="C96" s="38"/>
      <c r="D96" s="38"/>
      <c r="E96" s="38" t="s">
        <v>167</v>
      </c>
      <c r="F96" s="38" t="s">
        <v>348</v>
      </c>
      <c r="G96" s="38" t="str">
        <f>VLOOKUP(E96,Mapping!$E$11:$G$204,3,0)</f>
        <v>Replacement</v>
      </c>
      <c r="H96" s="38" t="str">
        <f>VLOOKUP(E96,Mapping!$E$11:$K$204,7,0)</f>
        <v>SCS</v>
      </c>
      <c r="I96" s="38"/>
      <c r="J96" s="48">
        <f>SUMPRODUCT(--('Input|Historical Data'!$E$9:$E$1179=$E96),--('Input|Historical Data'!$O$9:$O$1179="SCS"),--('Input|Historical Data'!$M$9:$M$1179=J$5),'Input|Historical Data'!$I$9:$I$1179)</f>
        <v>115.877</v>
      </c>
      <c r="K96" s="48">
        <f>SUMPRODUCT(--('Input|Historical Data'!$E$9:$E$1179=$E96),--('Input|Historical Data'!$O$9:$O$1179="SCS"),--('Input|Historical Data'!$N$9:$N$1179=K$5),'Input|Historical Data'!$I$9:$I$1179)</f>
        <v>66.052999999999997</v>
      </c>
      <c r="L96" s="48">
        <f>SUMPRODUCT(--('Input|Historical Data'!$E$9:$E$1179=$E96),--('Input|Historical Data'!$O$9:$O$1179="SCS"),--('Input|Historical Data'!$N$9:$N$1179=L$5),'Input|Historical Data'!$I$9:$I$1179)</f>
        <v>39.841999999999999</v>
      </c>
      <c r="M96" s="48">
        <f>SUMPRODUCT(--('Input|Historical Data'!$E$9:$E$1179=$E96),--('Input|Historical Data'!$O$9:$O$1179="SCS"),--('Input|Historical Data'!$N$9:$N$1179=M$5),'Input|Historical Data'!$I$9:$I$1179)</f>
        <v>9.9819999999999993</v>
      </c>
      <c r="N96" s="48">
        <f>SUMPRODUCT(--('Input|Historical Data'!$E$9:$E$1179=$E96),--('Input|Historical Data'!$O$9:$O$1179="SCS"),--('Input|Historical Data'!$M$9:$M$1179=N$5),'Input|Historical Data'!$I$9:$I$1179)</f>
        <v>9.8369999999999997</v>
      </c>
      <c r="O96" s="49">
        <f t="shared" si="77"/>
        <v>0.5700268388032137</v>
      </c>
      <c r="P96" s="49">
        <f t="shared" si="78"/>
        <v>0.34383009570492851</v>
      </c>
      <c r="Q96" s="49">
        <f t="shared" si="79"/>
        <v>8.614306549185774E-2</v>
      </c>
      <c r="R96" s="49">
        <f t="shared" si="80"/>
        <v>8.4891738653917512E-2</v>
      </c>
      <c r="S96" s="38"/>
      <c r="T96" s="48">
        <f>SUMPRODUCT(--('Input|Historical Data'!$Q$9:$Q$1179=$E96),--('Input|Historical Data'!$AA$9:$AA$1179="SCS"),--('Input|Historical Data'!$Y$9:$Y$1179=T$5),'Input|Historical Data'!$U$9:$U$1179)</f>
        <v>318.31200000000001</v>
      </c>
      <c r="U96" s="48">
        <f>SUMPRODUCT(--('Input|Historical Data'!$Q$9:$Q$1179=$E96),--('Input|Historical Data'!$AA$9:$AA$1179="SCS"),--('Input|Historical Data'!$Z$9:$Z$1179=U$5),'Input|Historical Data'!$U$9:$U$1179)</f>
        <v>151.66299999999998</v>
      </c>
      <c r="V96" s="48">
        <f>SUMPRODUCT(--('Input|Historical Data'!$Q$9:$Q$1179=$E96),--('Input|Historical Data'!$AA$9:$AA$1179="SCS"),--('Input|Historical Data'!$Z$9:$Z$1179=V$5),'Input|Historical Data'!$U$9:$U$1179)</f>
        <v>97.168000000000006</v>
      </c>
      <c r="W96" s="48">
        <f>SUMPRODUCT(--('Input|Historical Data'!$Q$9:$Q$1179=$E96),--('Input|Historical Data'!$AA$9:$AA$1179="SCS"),--('Input|Historical Data'!$Z$9:$Z$1179=W$5),'Input|Historical Data'!$U$9:$U$1179)</f>
        <v>69.480999999999995</v>
      </c>
      <c r="X96" s="48">
        <f>SUMPRODUCT(--('Input|Historical Data'!$Q$9:$Q$1179=$E96),--('Input|Historical Data'!$AA$9:$AA$1179="SCS"),--('Input|Historical Data'!$Y$9:$Y$1179=X$5),'Input|Historical Data'!$U$9:$U$1179)</f>
        <v>40.878</v>
      </c>
      <c r="Y96" s="49">
        <f t="shared" si="73"/>
        <v>0.47646020256854904</v>
      </c>
      <c r="Z96" s="49">
        <f t="shared" si="74"/>
        <v>0.30526024780718292</v>
      </c>
      <c r="AA96" s="49">
        <f t="shared" si="75"/>
        <v>0.21827954962426799</v>
      </c>
      <c r="AB96" s="49">
        <f t="shared" si="76"/>
        <v>0.12842117168061523</v>
      </c>
      <c r="AC96" s="38"/>
      <c r="AD96" s="48">
        <f>SUMPRODUCT(--('Input|Historical Data'!$AC$9:$AC$1180=$E96),--('Input|Historical Data'!$AM$9:$AM$1180="SCS"),--('Input|Historical Data'!$AK$9:$AK$1180=AD$5),'Input|Historical Data'!$AG$9:$AG$1180)</f>
        <v>351.63499999999999</v>
      </c>
      <c r="AE96" s="48">
        <f>SUMPRODUCT(--('Input|Historical Data'!$AC$9:$AC$1180=$E96),--('Input|Historical Data'!$AM$9:$AM$1180="SCS"),--('Input|Historical Data'!$AL$9:$AL$1180=AE$5),'Input|Historical Data'!$AG$9:$AG$1180)</f>
        <v>173.39599999999999</v>
      </c>
      <c r="AF96" s="48">
        <f>SUMPRODUCT(--('Input|Historical Data'!$AC$9:$AC$1180=$E96),--('Input|Historical Data'!$AM$9:$AM$1180="SCS"),--('Input|Historical Data'!$AL$9:$AL$1180=AF$5),'Input|Historical Data'!$AG$9:$AG$1180)</f>
        <v>100.955</v>
      </c>
      <c r="AG96" s="48">
        <f>SUMPRODUCT(--('Input|Historical Data'!$AC$9:$AC$1180=$E96),--('Input|Historical Data'!$AM$9:$AM$1180="SCS"),--('Input|Historical Data'!$AL$9:$AL$1180=AG$5),'Input|Historical Data'!$AG$9:$AG$1180)</f>
        <v>77.283999999999992</v>
      </c>
      <c r="AH96" s="48">
        <f>SUMPRODUCT(--('Input|Historical Data'!$AC$9:$AC$1180=$E96),--('Input|Historical Data'!$AM$9:$AM$1180="SCS"),--('Input|Historical Data'!$AK$9:$AK$1180=AH$5),'Input|Historical Data'!$AG$9:$AG$1180)</f>
        <v>24.789000000000001</v>
      </c>
      <c r="AI96" s="49">
        <f t="shared" si="81"/>
        <v>0.4931135979069205</v>
      </c>
      <c r="AJ96" s="49">
        <f t="shared" si="82"/>
        <v>0.28710168214199383</v>
      </c>
      <c r="AK96" s="49">
        <f t="shared" si="83"/>
        <v>0.21978471995108562</v>
      </c>
      <c r="AL96" s="49">
        <f t="shared" si="84"/>
        <v>7.0496395410013235E-2</v>
      </c>
      <c r="AM96" s="38"/>
      <c r="AN96" s="48"/>
      <c r="AO96" s="48"/>
      <c r="AP96" s="48"/>
      <c r="AQ96" s="48"/>
      <c r="AR96" s="48"/>
      <c r="AS96" s="49"/>
      <c r="AT96" s="49"/>
      <c r="AU96" s="49"/>
      <c r="AV96" s="49"/>
      <c r="AW96" s="38"/>
      <c r="AX96" s="49">
        <f t="shared" si="85"/>
        <v>0.48520106814419645</v>
      </c>
      <c r="AY96" s="49">
        <f t="shared" si="86"/>
        <v>0.29572936366608105</v>
      </c>
      <c r="AZ96" s="49">
        <f t="shared" si="87"/>
        <v>0.21906956818972245</v>
      </c>
      <c r="BA96" s="49">
        <f t="shared" si="88"/>
        <v>9.8018201439815392E-2</v>
      </c>
      <c r="BB96" s="44"/>
    </row>
    <row r="97" spans="3:54" s="7" customFormat="1" outlineLevel="1" x14ac:dyDescent="0.3">
      <c r="C97" s="38"/>
      <c r="D97" s="38"/>
      <c r="E97" s="38" t="s">
        <v>168</v>
      </c>
      <c r="F97" s="38" t="s">
        <v>349</v>
      </c>
      <c r="G97" s="38" t="str">
        <f>VLOOKUP(E97,Mapping!$E$11:$G$204,3,0)</f>
        <v>Replacement</v>
      </c>
      <c r="H97" s="38" t="str">
        <f>VLOOKUP(E97,Mapping!$E$11:$K$204,7,0)</f>
        <v>SCS</v>
      </c>
      <c r="I97" s="38"/>
      <c r="J97" s="48">
        <f>SUMPRODUCT(--('Input|Historical Data'!$E$9:$E$1179=$E97),--('Input|Historical Data'!$O$9:$O$1179="SCS"),--('Input|Historical Data'!$M$9:$M$1179=J$5),'Input|Historical Data'!$I$9:$I$1179)</f>
        <v>1645.085</v>
      </c>
      <c r="K97" s="48">
        <f>SUMPRODUCT(--('Input|Historical Data'!$E$9:$E$1179=$E97),--('Input|Historical Data'!$O$9:$O$1179="SCS"),--('Input|Historical Data'!$N$9:$N$1179=K$5),'Input|Historical Data'!$I$9:$I$1179)</f>
        <v>616.19499999999994</v>
      </c>
      <c r="L97" s="48">
        <f>SUMPRODUCT(--('Input|Historical Data'!$E$9:$E$1179=$E97),--('Input|Historical Data'!$O$9:$O$1179="SCS"),--('Input|Historical Data'!$N$9:$N$1179=L$5),'Input|Historical Data'!$I$9:$I$1179)</f>
        <v>695.10300000000007</v>
      </c>
      <c r="M97" s="48">
        <f>SUMPRODUCT(--('Input|Historical Data'!$E$9:$E$1179=$E97),--('Input|Historical Data'!$O$9:$O$1179="SCS"),--('Input|Historical Data'!$N$9:$N$1179=M$5),'Input|Historical Data'!$I$9:$I$1179)</f>
        <v>333.78700000000003</v>
      </c>
      <c r="N97" s="48">
        <f>SUMPRODUCT(--('Input|Historical Data'!$E$9:$E$1179=$E97),--('Input|Historical Data'!$O$9:$O$1179="SCS"),--('Input|Historical Data'!$M$9:$M$1179=N$5),'Input|Historical Data'!$I$9:$I$1179)</f>
        <v>158.364</v>
      </c>
      <c r="O97" s="49">
        <f t="shared" si="77"/>
        <v>0.37456727159994768</v>
      </c>
      <c r="P97" s="49">
        <f t="shared" si="78"/>
        <v>0.422533182175997</v>
      </c>
      <c r="Q97" s="49">
        <f t="shared" si="79"/>
        <v>0.20289954622405532</v>
      </c>
      <c r="R97" s="49">
        <f t="shared" si="80"/>
        <v>9.6264934638635696E-2</v>
      </c>
      <c r="S97" s="38"/>
      <c r="T97" s="48">
        <f>SUMPRODUCT(--('Input|Historical Data'!$Q$9:$Q$1179=$E97),--('Input|Historical Data'!$AA$9:$AA$1179="SCS"),--('Input|Historical Data'!$Y$9:$Y$1179=T$5),'Input|Historical Data'!$U$9:$U$1179)</f>
        <v>1595.1489999999999</v>
      </c>
      <c r="U97" s="48">
        <f>SUMPRODUCT(--('Input|Historical Data'!$Q$9:$Q$1179=$E97),--('Input|Historical Data'!$AA$9:$AA$1179="SCS"),--('Input|Historical Data'!$Z$9:$Z$1179=U$5),'Input|Historical Data'!$U$9:$U$1179)</f>
        <v>619.78099999999995</v>
      </c>
      <c r="V97" s="48">
        <f>SUMPRODUCT(--('Input|Historical Data'!$Q$9:$Q$1179=$E97),--('Input|Historical Data'!$AA$9:$AA$1179="SCS"),--('Input|Historical Data'!$Z$9:$Z$1179=V$5),'Input|Historical Data'!$U$9:$U$1179)</f>
        <v>672.83500000000004</v>
      </c>
      <c r="W97" s="48">
        <f>SUMPRODUCT(--('Input|Historical Data'!$Q$9:$Q$1179=$E97),--('Input|Historical Data'!$AA$9:$AA$1179="SCS"),--('Input|Historical Data'!$Z$9:$Z$1179=W$5),'Input|Historical Data'!$U$9:$U$1179)</f>
        <v>302.53300000000002</v>
      </c>
      <c r="X97" s="48">
        <f>SUMPRODUCT(--('Input|Historical Data'!$Q$9:$Q$1179=$E97),--('Input|Historical Data'!$AA$9:$AA$1179="SCS"),--('Input|Historical Data'!$Y$9:$Y$1179=X$5),'Input|Historical Data'!$U$9:$U$1179)</f>
        <v>209.15600000000001</v>
      </c>
      <c r="Y97" s="49">
        <f t="shared" si="73"/>
        <v>0.38854113314806327</v>
      </c>
      <c r="Z97" s="49">
        <f t="shared" si="74"/>
        <v>0.42180072206420849</v>
      </c>
      <c r="AA97" s="49">
        <f t="shared" si="75"/>
        <v>0.18965814478772833</v>
      </c>
      <c r="AB97" s="49">
        <f t="shared" si="76"/>
        <v>0.13112003956997123</v>
      </c>
      <c r="AC97" s="38"/>
      <c r="AD97" s="48">
        <f>SUMPRODUCT(--('Input|Historical Data'!$AC$9:$AC$1180=$E97),--('Input|Historical Data'!$AM$9:$AM$1180="SCS"),--('Input|Historical Data'!$AK$9:$AK$1180=AD$5),'Input|Historical Data'!$AG$9:$AG$1180)</f>
        <v>1592.0740000000001</v>
      </c>
      <c r="AE97" s="48">
        <f>SUMPRODUCT(--('Input|Historical Data'!$AC$9:$AC$1180=$E97),--('Input|Historical Data'!$AM$9:$AM$1180="SCS"),--('Input|Historical Data'!$AL$9:$AL$1180=AE$5),'Input|Historical Data'!$AG$9:$AG$1180)</f>
        <v>535.00400000000002</v>
      </c>
      <c r="AF97" s="48">
        <f>SUMPRODUCT(--('Input|Historical Data'!$AC$9:$AC$1180=$E97),--('Input|Historical Data'!$AM$9:$AM$1180="SCS"),--('Input|Historical Data'!$AL$9:$AL$1180=AF$5),'Input|Historical Data'!$AG$9:$AG$1180)</f>
        <v>766.81200000000013</v>
      </c>
      <c r="AG97" s="48">
        <f>SUMPRODUCT(--('Input|Historical Data'!$AC$9:$AC$1180=$E97),--('Input|Historical Data'!$AM$9:$AM$1180="SCS"),--('Input|Historical Data'!$AL$9:$AL$1180=AG$5),'Input|Historical Data'!$AG$9:$AG$1180)</f>
        <v>290.25799999999998</v>
      </c>
      <c r="AH97" s="48">
        <f>SUMPRODUCT(--('Input|Historical Data'!$AC$9:$AC$1180=$E97),--('Input|Historical Data'!$AM$9:$AM$1180="SCS"),--('Input|Historical Data'!$AK$9:$AK$1180=AH$5),'Input|Historical Data'!$AG$9:$AG$1180)</f>
        <v>154.79300000000001</v>
      </c>
      <c r="AI97" s="49">
        <f t="shared" si="81"/>
        <v>0.33604216889415939</v>
      </c>
      <c r="AJ97" s="49">
        <f t="shared" si="82"/>
        <v>0.48164344119682878</v>
      </c>
      <c r="AK97" s="49">
        <f t="shared" si="83"/>
        <v>0.18231438990901172</v>
      </c>
      <c r="AL97" s="49">
        <f t="shared" si="84"/>
        <v>9.7227264561823137E-2</v>
      </c>
      <c r="AM97" s="38"/>
      <c r="AN97" s="48"/>
      <c r="AO97" s="48"/>
      <c r="AP97" s="48"/>
      <c r="AQ97" s="48"/>
      <c r="AR97" s="48"/>
      <c r="AS97" s="49"/>
      <c r="AT97" s="49"/>
      <c r="AU97" s="49"/>
      <c r="AV97" s="49"/>
      <c r="AW97" s="38"/>
      <c r="AX97" s="49">
        <f t="shared" si="85"/>
        <v>0.36231697625174009</v>
      </c>
      <c r="AY97" s="49">
        <f t="shared" si="86"/>
        <v>0.45169321381026684</v>
      </c>
      <c r="AZ97" s="49">
        <f t="shared" si="87"/>
        <v>0.18598980993799302</v>
      </c>
      <c r="BA97" s="49">
        <f t="shared" si="88"/>
        <v>0.11419000176642802</v>
      </c>
      <c r="BB97" s="44"/>
    </row>
    <row r="98" spans="3:54" s="7" customFormat="1" outlineLevel="1" x14ac:dyDescent="0.3">
      <c r="C98" s="38"/>
      <c r="D98" s="38"/>
      <c r="E98" s="38" t="s">
        <v>169</v>
      </c>
      <c r="F98" s="38" t="s">
        <v>350</v>
      </c>
      <c r="G98" s="38" t="str">
        <f>VLOOKUP(E98,Mapping!$E$11:$G$204,3,0)</f>
        <v>Replacement</v>
      </c>
      <c r="H98" s="38" t="str">
        <f>VLOOKUP(E98,Mapping!$E$11:$K$204,7,0)</f>
        <v>SCS</v>
      </c>
      <c r="I98" s="38"/>
      <c r="J98" s="48">
        <f>SUMPRODUCT(--('Input|Historical Data'!$E$9:$E$1179=$E98),--('Input|Historical Data'!$O$9:$O$1179="SCS"),--('Input|Historical Data'!$M$9:$M$1179=J$5),'Input|Historical Data'!$I$9:$I$1179)</f>
        <v>114.79</v>
      </c>
      <c r="K98" s="48">
        <f>SUMPRODUCT(--('Input|Historical Data'!$E$9:$E$1179=$E98),--('Input|Historical Data'!$O$9:$O$1179="SCS"),--('Input|Historical Data'!$N$9:$N$1179=K$5),'Input|Historical Data'!$I$9:$I$1179)</f>
        <v>64.697000000000003</v>
      </c>
      <c r="L98" s="48">
        <f>SUMPRODUCT(--('Input|Historical Data'!$E$9:$E$1179=$E98),--('Input|Historical Data'!$O$9:$O$1179="SCS"),--('Input|Historical Data'!$N$9:$N$1179=L$5),'Input|Historical Data'!$I$9:$I$1179)</f>
        <v>18.246000000000002</v>
      </c>
      <c r="M98" s="48">
        <f>SUMPRODUCT(--('Input|Historical Data'!$E$9:$E$1179=$E98),--('Input|Historical Data'!$O$9:$O$1179="SCS"),--('Input|Historical Data'!$N$9:$N$1179=M$5),'Input|Historical Data'!$I$9:$I$1179)</f>
        <v>31.847000000000001</v>
      </c>
      <c r="N98" s="48">
        <f>SUMPRODUCT(--('Input|Historical Data'!$E$9:$E$1179=$E98),--('Input|Historical Data'!$O$9:$O$1179="SCS"),--('Input|Historical Data'!$M$9:$M$1179=N$5),'Input|Historical Data'!$I$9:$I$1179)</f>
        <v>10.923999999999999</v>
      </c>
      <c r="O98" s="49">
        <f t="shared" si="77"/>
        <v>0.56361181287568596</v>
      </c>
      <c r="P98" s="49">
        <f t="shared" si="78"/>
        <v>0.15895112814705112</v>
      </c>
      <c r="Q98" s="49">
        <f t="shared" si="79"/>
        <v>0.27743705897726278</v>
      </c>
      <c r="R98" s="49">
        <f t="shared" si="80"/>
        <v>9.5165084066556313E-2</v>
      </c>
      <c r="S98" s="38"/>
      <c r="T98" s="48">
        <f>SUMPRODUCT(--('Input|Historical Data'!$Q$9:$Q$1179=$E98),--('Input|Historical Data'!$AA$9:$AA$1179="SCS"),--('Input|Historical Data'!$Y$9:$Y$1179=T$5),'Input|Historical Data'!$U$9:$U$1179)</f>
        <v>173.024</v>
      </c>
      <c r="U98" s="48">
        <f>SUMPRODUCT(--('Input|Historical Data'!$Q$9:$Q$1179=$E98),--('Input|Historical Data'!$AA$9:$AA$1179="SCS"),--('Input|Historical Data'!$Z$9:$Z$1179=U$5),'Input|Historical Data'!$U$9:$U$1179)</f>
        <v>79.887</v>
      </c>
      <c r="V98" s="48">
        <f>SUMPRODUCT(--('Input|Historical Data'!$Q$9:$Q$1179=$E98),--('Input|Historical Data'!$AA$9:$AA$1179="SCS"),--('Input|Historical Data'!$Z$9:$Z$1179=V$5),'Input|Historical Data'!$U$9:$U$1179)</f>
        <v>61.347999999999999</v>
      </c>
      <c r="W98" s="48">
        <f>SUMPRODUCT(--('Input|Historical Data'!$Q$9:$Q$1179=$E98),--('Input|Historical Data'!$AA$9:$AA$1179="SCS"),--('Input|Historical Data'!$Z$9:$Z$1179=W$5),'Input|Historical Data'!$U$9:$U$1179)</f>
        <v>31.789000000000001</v>
      </c>
      <c r="X98" s="48">
        <f>SUMPRODUCT(--('Input|Historical Data'!$Q$9:$Q$1179=$E98),--('Input|Historical Data'!$AA$9:$AA$1179="SCS"),--('Input|Historical Data'!$Y$9:$Y$1179=X$5),'Input|Historical Data'!$U$9:$U$1179)</f>
        <v>21.030999999999999</v>
      </c>
      <c r="Y98" s="49">
        <f t="shared" si="73"/>
        <v>0.46171051414832626</v>
      </c>
      <c r="Z98" s="49">
        <f t="shared" si="74"/>
        <v>0.35456352875901609</v>
      </c>
      <c r="AA98" s="49">
        <f t="shared" si="75"/>
        <v>0.18372595709265768</v>
      </c>
      <c r="AB98" s="49">
        <f t="shared" si="76"/>
        <v>0.1215496116145737</v>
      </c>
      <c r="AC98" s="38"/>
      <c r="AD98" s="48">
        <f>SUMPRODUCT(--('Input|Historical Data'!$AC$9:$AC$1180=$E98),--('Input|Historical Data'!$AM$9:$AM$1180="SCS"),--('Input|Historical Data'!$AK$9:$AK$1180=AD$5),'Input|Historical Data'!$AG$9:$AG$1180)</f>
        <v>38.968000000000004</v>
      </c>
      <c r="AE98" s="48">
        <f>SUMPRODUCT(--('Input|Historical Data'!$AC$9:$AC$1180=$E98),--('Input|Historical Data'!$AM$9:$AM$1180="SCS"),--('Input|Historical Data'!$AL$9:$AL$1180=AE$5),'Input|Historical Data'!$AG$9:$AG$1180)</f>
        <v>37.978999999999999</v>
      </c>
      <c r="AF98" s="48">
        <f>SUMPRODUCT(--('Input|Historical Data'!$AC$9:$AC$1180=$E98),--('Input|Historical Data'!$AM$9:$AM$1180="SCS"),--('Input|Historical Data'!$AL$9:$AL$1180=AF$5),'Input|Historical Data'!$AG$9:$AG$1180)</f>
        <v>-12.497</v>
      </c>
      <c r="AG98" s="48">
        <f>SUMPRODUCT(--('Input|Historical Data'!$AC$9:$AC$1180=$E98),--('Input|Historical Data'!$AM$9:$AM$1180="SCS"),--('Input|Historical Data'!$AL$9:$AL$1180=AG$5),'Input|Historical Data'!$AG$9:$AG$1180)</f>
        <v>13.486000000000001</v>
      </c>
      <c r="AH98" s="48">
        <f>SUMPRODUCT(--('Input|Historical Data'!$AC$9:$AC$1180=$E98),--('Input|Historical Data'!$AM$9:$AM$1180="SCS"),--('Input|Historical Data'!$AK$9:$AK$1180=AH$5),'Input|Historical Data'!$AG$9:$AG$1180)</f>
        <v>7.8620000000000001</v>
      </c>
      <c r="AI98" s="49">
        <f t="shared" si="81"/>
        <v>0.97462020119072046</v>
      </c>
      <c r="AJ98" s="49">
        <f t="shared" si="82"/>
        <v>-0.32069903510572773</v>
      </c>
      <c r="AK98" s="49">
        <f t="shared" si="83"/>
        <v>0.34607883391500716</v>
      </c>
      <c r="AL98" s="49">
        <f t="shared" si="84"/>
        <v>0.20175528638883183</v>
      </c>
      <c r="AM98" s="38"/>
      <c r="AN98" s="48"/>
      <c r="AO98" s="48"/>
      <c r="AP98" s="48"/>
      <c r="AQ98" s="48"/>
      <c r="AR98" s="48"/>
      <c r="AS98" s="49"/>
      <c r="AT98" s="49"/>
      <c r="AU98" s="49"/>
      <c r="AV98" s="49"/>
      <c r="AW98" s="38"/>
      <c r="AX98" s="49">
        <f t="shared" si="85"/>
        <v>0.55599267896901783</v>
      </c>
      <c r="AY98" s="49">
        <f t="shared" si="86"/>
        <v>0.23043794105437945</v>
      </c>
      <c r="AZ98" s="49">
        <f t="shared" si="87"/>
        <v>0.21356937997660297</v>
      </c>
      <c r="BA98" s="49">
        <f t="shared" si="88"/>
        <v>0.13629287897656514</v>
      </c>
      <c r="BB98" s="44"/>
    </row>
    <row r="99" spans="3:54" s="7" customFormat="1" outlineLevel="1" x14ac:dyDescent="0.3">
      <c r="C99" s="38"/>
      <c r="D99" s="38"/>
      <c r="E99" s="38" t="s">
        <v>170</v>
      </c>
      <c r="F99" s="38" t="s">
        <v>351</v>
      </c>
      <c r="G99" s="38" t="str">
        <f>VLOOKUP(E99,Mapping!$E$11:$G$204,3,0)</f>
        <v>Replacement</v>
      </c>
      <c r="H99" s="38" t="str">
        <f>VLOOKUP(E99,Mapping!$E$11:$K$204,7,0)</f>
        <v>SCS</v>
      </c>
      <c r="I99" s="38"/>
      <c r="J99" s="48">
        <f>SUMPRODUCT(--('Input|Historical Data'!$E$9:$E$1179=$E99),--('Input|Historical Data'!$O$9:$O$1179="SCS"),--('Input|Historical Data'!$M$9:$M$1179=J$5),'Input|Historical Data'!$I$9:$I$1179)</f>
        <v>0</v>
      </c>
      <c r="K99" s="48">
        <f>SUMPRODUCT(--('Input|Historical Data'!$E$9:$E$1179=$E99),--('Input|Historical Data'!$O$9:$O$1179="SCS"),--('Input|Historical Data'!$N$9:$N$1179=K$5),'Input|Historical Data'!$I$9:$I$1179)</f>
        <v>0</v>
      </c>
      <c r="L99" s="48">
        <f>SUMPRODUCT(--('Input|Historical Data'!$E$9:$E$1179=$E99),--('Input|Historical Data'!$O$9:$O$1179="SCS"),--('Input|Historical Data'!$N$9:$N$1179=L$5),'Input|Historical Data'!$I$9:$I$1179)</f>
        <v>0</v>
      </c>
      <c r="M99" s="48">
        <f>SUMPRODUCT(--('Input|Historical Data'!$E$9:$E$1179=$E99),--('Input|Historical Data'!$O$9:$O$1179="SCS"),--('Input|Historical Data'!$N$9:$N$1179=M$5),'Input|Historical Data'!$I$9:$I$1179)</f>
        <v>0</v>
      </c>
      <c r="N99" s="48">
        <f>SUMPRODUCT(--('Input|Historical Data'!$E$9:$E$1179=$E99),--('Input|Historical Data'!$O$9:$O$1179="SCS"),--('Input|Historical Data'!$M$9:$M$1179=N$5),'Input|Historical Data'!$I$9:$I$1179)</f>
        <v>0</v>
      </c>
      <c r="O99" s="49">
        <f t="shared" si="77"/>
        <v>0</v>
      </c>
      <c r="P99" s="49">
        <f t="shared" si="78"/>
        <v>0</v>
      </c>
      <c r="Q99" s="49">
        <f t="shared" si="79"/>
        <v>0</v>
      </c>
      <c r="R99" s="49">
        <f t="shared" si="80"/>
        <v>0</v>
      </c>
      <c r="S99" s="38"/>
      <c r="T99" s="48">
        <f>SUMPRODUCT(--('Input|Historical Data'!$Q$9:$Q$1179=$E99),--('Input|Historical Data'!$AA$9:$AA$1179="SCS"),--('Input|Historical Data'!$Y$9:$Y$1179=T$5),'Input|Historical Data'!$U$9:$U$1179)</f>
        <v>0</v>
      </c>
      <c r="U99" s="48">
        <f>SUMPRODUCT(--('Input|Historical Data'!$Q$9:$Q$1179=$E99),--('Input|Historical Data'!$AA$9:$AA$1179="SCS"),--('Input|Historical Data'!$Z$9:$Z$1179=U$5),'Input|Historical Data'!$U$9:$U$1179)</f>
        <v>0</v>
      </c>
      <c r="V99" s="48">
        <f>SUMPRODUCT(--('Input|Historical Data'!$Q$9:$Q$1179=$E99),--('Input|Historical Data'!$AA$9:$AA$1179="SCS"),--('Input|Historical Data'!$Z$9:$Z$1179=V$5),'Input|Historical Data'!$U$9:$U$1179)</f>
        <v>0</v>
      </c>
      <c r="W99" s="48">
        <f>SUMPRODUCT(--('Input|Historical Data'!$Q$9:$Q$1179=$E99),--('Input|Historical Data'!$AA$9:$AA$1179="SCS"),--('Input|Historical Data'!$Z$9:$Z$1179=W$5),'Input|Historical Data'!$U$9:$U$1179)</f>
        <v>0</v>
      </c>
      <c r="X99" s="48">
        <f>SUMPRODUCT(--('Input|Historical Data'!$Q$9:$Q$1179=$E99),--('Input|Historical Data'!$AA$9:$AA$1179="SCS"),--('Input|Historical Data'!$Y$9:$Y$1179=X$5),'Input|Historical Data'!$U$9:$U$1179)</f>
        <v>0</v>
      </c>
      <c r="Y99" s="49">
        <f t="shared" si="73"/>
        <v>0</v>
      </c>
      <c r="Z99" s="49">
        <f t="shared" si="74"/>
        <v>0</v>
      </c>
      <c r="AA99" s="49">
        <f t="shared" si="75"/>
        <v>0</v>
      </c>
      <c r="AB99" s="49">
        <f t="shared" si="76"/>
        <v>0</v>
      </c>
      <c r="AC99" s="38"/>
      <c r="AD99" s="48">
        <f>SUMPRODUCT(--('Input|Historical Data'!$AC$9:$AC$1180=$E99),--('Input|Historical Data'!$AM$9:$AM$1180="SCS"),--('Input|Historical Data'!$AK$9:$AK$1180=AD$5),'Input|Historical Data'!$AG$9:$AG$1180)</f>
        <v>-2693.9927317187799</v>
      </c>
      <c r="AE99" s="48">
        <f>SUMPRODUCT(--('Input|Historical Data'!$AC$9:$AC$1180=$E99),--('Input|Historical Data'!$AM$9:$AM$1180="SCS"),--('Input|Historical Data'!$AL$9:$AL$1180=AE$5),'Input|Historical Data'!$AG$9:$AG$1180)</f>
        <v>0</v>
      </c>
      <c r="AF99" s="48">
        <f>SUMPRODUCT(--('Input|Historical Data'!$AC$9:$AC$1180=$E99),--('Input|Historical Data'!$AM$9:$AM$1180="SCS"),--('Input|Historical Data'!$AL$9:$AL$1180=AF$5),'Input|Historical Data'!$AG$9:$AG$1180)</f>
        <v>0</v>
      </c>
      <c r="AG99" s="48">
        <f>SUMPRODUCT(--('Input|Historical Data'!$AC$9:$AC$1180=$E99),--('Input|Historical Data'!$AM$9:$AM$1180="SCS"),--('Input|Historical Data'!$AL$9:$AL$1180=AG$5),'Input|Historical Data'!$AG$9:$AG$1180)</f>
        <v>-2693.9927317187799</v>
      </c>
      <c r="AH99" s="48">
        <f>SUMPRODUCT(--('Input|Historical Data'!$AC$9:$AC$1180=$E99),--('Input|Historical Data'!$AM$9:$AM$1180="SCS"),--('Input|Historical Data'!$AK$9:$AK$1180=AH$5),'Input|Historical Data'!$AG$9:$AG$1180)</f>
        <v>0</v>
      </c>
      <c r="AI99" s="49">
        <f t="shared" si="81"/>
        <v>0</v>
      </c>
      <c r="AJ99" s="49">
        <f t="shared" si="82"/>
        <v>0</v>
      </c>
      <c r="AK99" s="49">
        <f t="shared" si="83"/>
        <v>1</v>
      </c>
      <c r="AL99" s="49">
        <f t="shared" si="84"/>
        <v>0</v>
      </c>
      <c r="AM99" s="38"/>
      <c r="AN99" s="48"/>
      <c r="AO99" s="48"/>
      <c r="AP99" s="48"/>
      <c r="AQ99" s="48"/>
      <c r="AR99" s="48"/>
      <c r="AS99" s="49"/>
      <c r="AT99" s="49"/>
      <c r="AU99" s="49"/>
      <c r="AV99" s="49"/>
      <c r="AW99" s="38"/>
      <c r="AX99" s="49">
        <f t="shared" si="85"/>
        <v>0</v>
      </c>
      <c r="AY99" s="49">
        <f t="shared" si="86"/>
        <v>0</v>
      </c>
      <c r="AZ99" s="49">
        <f t="shared" si="87"/>
        <v>1</v>
      </c>
      <c r="BA99" s="49">
        <f t="shared" si="88"/>
        <v>0</v>
      </c>
      <c r="BB99" s="44"/>
    </row>
    <row r="100" spans="3:54" s="7" customFormat="1" outlineLevel="1" x14ac:dyDescent="0.3">
      <c r="C100" s="38"/>
      <c r="D100" s="38"/>
      <c r="E100" s="38" t="s">
        <v>171</v>
      </c>
      <c r="F100" s="38" t="s">
        <v>352</v>
      </c>
      <c r="G100" s="38" t="str">
        <f>VLOOKUP(E100,Mapping!$E$11:$G$204,3,0)</f>
        <v>Replacement</v>
      </c>
      <c r="H100" s="38" t="str">
        <f>VLOOKUP(E100,Mapping!$E$11:$K$204,7,0)</f>
        <v>SCS</v>
      </c>
      <c r="I100" s="38"/>
      <c r="J100" s="48">
        <f>SUMPRODUCT(--('Input|Historical Data'!$E$9:$E$1179=$E100),--('Input|Historical Data'!$O$9:$O$1179="SCS"),--('Input|Historical Data'!$M$9:$M$1179=J$5),'Input|Historical Data'!$I$9:$I$1179)</f>
        <v>639.5680000000001</v>
      </c>
      <c r="K100" s="48">
        <f>SUMPRODUCT(--('Input|Historical Data'!$E$9:$E$1179=$E100),--('Input|Historical Data'!$O$9:$O$1179="SCS"),--('Input|Historical Data'!$N$9:$N$1179=K$5),'Input|Historical Data'!$I$9:$I$1179)</f>
        <v>142.41500000000002</v>
      </c>
      <c r="L100" s="48">
        <f>SUMPRODUCT(--('Input|Historical Data'!$E$9:$E$1179=$E100),--('Input|Historical Data'!$O$9:$O$1179="SCS"),--('Input|Historical Data'!$N$9:$N$1179=L$5),'Input|Historical Data'!$I$9:$I$1179)</f>
        <v>461.07499999999999</v>
      </c>
      <c r="M100" s="48">
        <f>SUMPRODUCT(--('Input|Historical Data'!$E$9:$E$1179=$E100),--('Input|Historical Data'!$O$9:$O$1179="SCS"),--('Input|Historical Data'!$N$9:$N$1179=M$5),'Input|Historical Data'!$I$9:$I$1179)</f>
        <v>36.078000000000003</v>
      </c>
      <c r="N100" s="48">
        <f>SUMPRODUCT(--('Input|Historical Data'!$E$9:$E$1179=$E100),--('Input|Historical Data'!$O$9:$O$1179="SCS"),--('Input|Historical Data'!$M$9:$M$1179=N$5),'Input|Historical Data'!$I$9:$I$1179)</f>
        <v>38.923000000000002</v>
      </c>
      <c r="O100" s="49">
        <f t="shared" si="77"/>
        <v>0.22267374227603637</v>
      </c>
      <c r="P100" s="49">
        <f t="shared" si="78"/>
        <v>0.72091630600655443</v>
      </c>
      <c r="Q100" s="49">
        <f t="shared" si="79"/>
        <v>5.6409951717409257E-2</v>
      </c>
      <c r="R100" s="49">
        <f t="shared" si="80"/>
        <v>6.0858266830110315E-2</v>
      </c>
      <c r="S100" s="38"/>
      <c r="T100" s="48">
        <f>SUMPRODUCT(--('Input|Historical Data'!$Q$9:$Q$1179=$E100),--('Input|Historical Data'!$AA$9:$AA$1179="SCS"),--('Input|Historical Data'!$Y$9:$Y$1179=T$5),'Input|Historical Data'!$U$9:$U$1179)</f>
        <v>979.06599999999992</v>
      </c>
      <c r="U100" s="48">
        <f>SUMPRODUCT(--('Input|Historical Data'!$Q$9:$Q$1179=$E100),--('Input|Historical Data'!$AA$9:$AA$1179="SCS"),--('Input|Historical Data'!$Z$9:$Z$1179=U$5),'Input|Historical Data'!$U$9:$U$1179)</f>
        <v>209.98700000000002</v>
      </c>
      <c r="V100" s="48">
        <f>SUMPRODUCT(--('Input|Historical Data'!$Q$9:$Q$1179=$E100),--('Input|Historical Data'!$AA$9:$AA$1179="SCS"),--('Input|Historical Data'!$Z$9:$Z$1179=V$5),'Input|Historical Data'!$U$9:$U$1179)</f>
        <v>707.27499999999998</v>
      </c>
      <c r="W100" s="48">
        <f>SUMPRODUCT(--('Input|Historical Data'!$Q$9:$Q$1179=$E100),--('Input|Historical Data'!$AA$9:$AA$1179="SCS"),--('Input|Historical Data'!$Z$9:$Z$1179=W$5),'Input|Historical Data'!$U$9:$U$1179)</f>
        <v>61.804000000000002</v>
      </c>
      <c r="X100" s="48">
        <f>SUMPRODUCT(--('Input|Historical Data'!$Q$9:$Q$1179=$E100),--('Input|Historical Data'!$AA$9:$AA$1179="SCS"),--('Input|Historical Data'!$Y$9:$Y$1179=X$5),'Input|Historical Data'!$U$9:$U$1179)</f>
        <v>111.04900000000001</v>
      </c>
      <c r="Y100" s="49">
        <f t="shared" si="73"/>
        <v>0.21447685855703297</v>
      </c>
      <c r="Z100" s="49">
        <f t="shared" si="74"/>
        <v>0.72239767288415702</v>
      </c>
      <c r="AA100" s="49">
        <f t="shared" si="75"/>
        <v>6.3125468558810141E-2</v>
      </c>
      <c r="AB100" s="49">
        <f t="shared" si="76"/>
        <v>0.11342340557224949</v>
      </c>
      <c r="AC100" s="38"/>
      <c r="AD100" s="48">
        <f>SUMPRODUCT(--('Input|Historical Data'!$AC$9:$AC$1180=$E100),--('Input|Historical Data'!$AM$9:$AM$1180="SCS"),--('Input|Historical Data'!$AK$9:$AK$1180=AD$5),'Input|Historical Data'!$AG$9:$AG$1180)</f>
        <v>731.03000000000009</v>
      </c>
      <c r="AE100" s="48">
        <f>SUMPRODUCT(--('Input|Historical Data'!$AC$9:$AC$1180=$E100),--('Input|Historical Data'!$AM$9:$AM$1180="SCS"),--('Input|Historical Data'!$AL$9:$AL$1180=AE$5),'Input|Historical Data'!$AG$9:$AG$1180)</f>
        <v>191.53700000000001</v>
      </c>
      <c r="AF100" s="48">
        <f>SUMPRODUCT(--('Input|Historical Data'!$AC$9:$AC$1180=$E100),--('Input|Historical Data'!$AM$9:$AM$1180="SCS"),--('Input|Historical Data'!$AL$9:$AL$1180=AF$5),'Input|Historical Data'!$AG$9:$AG$1180)</f>
        <v>483.40700000000004</v>
      </c>
      <c r="AG100" s="48">
        <f>SUMPRODUCT(--('Input|Historical Data'!$AC$9:$AC$1180=$E100),--('Input|Historical Data'!$AM$9:$AM$1180="SCS"),--('Input|Historical Data'!$AL$9:$AL$1180=AG$5),'Input|Historical Data'!$AG$9:$AG$1180)</f>
        <v>56.085999999999999</v>
      </c>
      <c r="AH100" s="48">
        <f>SUMPRODUCT(--('Input|Historical Data'!$AC$9:$AC$1180=$E100),--('Input|Historical Data'!$AM$9:$AM$1180="SCS"),--('Input|Historical Data'!$AK$9:$AK$1180=AH$5),'Input|Historical Data'!$AG$9:$AG$1180)</f>
        <v>77.248999999999995</v>
      </c>
      <c r="AI100" s="49">
        <f t="shared" si="81"/>
        <v>0.2620097670410243</v>
      </c>
      <c r="AJ100" s="49">
        <f t="shared" si="82"/>
        <v>0.66126834740024343</v>
      </c>
      <c r="AK100" s="49">
        <f t="shared" si="83"/>
        <v>7.6721885558732189E-2</v>
      </c>
      <c r="AL100" s="49">
        <f t="shared" si="84"/>
        <v>0.10567144987209826</v>
      </c>
      <c r="AM100" s="38"/>
      <c r="AN100" s="48"/>
      <c r="AO100" s="48"/>
      <c r="AP100" s="48"/>
      <c r="AQ100" s="48"/>
      <c r="AR100" s="48"/>
      <c r="AS100" s="49"/>
      <c r="AT100" s="49"/>
      <c r="AU100" s="49"/>
      <c r="AV100" s="49"/>
      <c r="AW100" s="38"/>
      <c r="AX100" s="49">
        <f t="shared" si="85"/>
        <v>0.23479617518548671</v>
      </c>
      <c r="AY100" s="49">
        <f t="shared" si="86"/>
        <v>0.69626617453055273</v>
      </c>
      <c r="AZ100" s="49">
        <f t="shared" si="87"/>
        <v>6.8937650283960678E-2</v>
      </c>
      <c r="BA100" s="49">
        <f t="shared" si="88"/>
        <v>0.11010960788166278</v>
      </c>
      <c r="BB100" s="44"/>
    </row>
    <row r="101" spans="3:54" s="7" customFormat="1" outlineLevel="1" x14ac:dyDescent="0.3">
      <c r="C101" s="38"/>
      <c r="D101" s="38"/>
      <c r="E101" s="38" t="s">
        <v>172</v>
      </c>
      <c r="F101" s="38" t="s">
        <v>353</v>
      </c>
      <c r="G101" s="38" t="str">
        <f>VLOOKUP(E101,Mapping!$E$11:$G$204,3,0)</f>
        <v>Replacement</v>
      </c>
      <c r="H101" s="38" t="str">
        <f>VLOOKUP(E101,Mapping!$E$11:$K$204,7,0)</f>
        <v>SCS</v>
      </c>
      <c r="I101" s="38"/>
      <c r="J101" s="48">
        <f>SUMPRODUCT(--('Input|Historical Data'!$E$9:$E$1179=$E101),--('Input|Historical Data'!$O$9:$O$1179="SCS"),--('Input|Historical Data'!$M$9:$M$1179=J$5),'Input|Historical Data'!$I$9:$I$1179)</f>
        <v>2083.9549999999999</v>
      </c>
      <c r="K101" s="48">
        <f>SUMPRODUCT(--('Input|Historical Data'!$E$9:$E$1179=$E101),--('Input|Historical Data'!$O$9:$O$1179="SCS"),--('Input|Historical Data'!$N$9:$N$1179=K$5),'Input|Historical Data'!$I$9:$I$1179)</f>
        <v>1018.1869999999999</v>
      </c>
      <c r="L101" s="48">
        <f>SUMPRODUCT(--('Input|Historical Data'!$E$9:$E$1179=$E101),--('Input|Historical Data'!$O$9:$O$1179="SCS"),--('Input|Historical Data'!$N$9:$N$1179=L$5),'Input|Historical Data'!$I$9:$I$1179)</f>
        <v>540.11699999999996</v>
      </c>
      <c r="M101" s="48">
        <f>SUMPRODUCT(--('Input|Historical Data'!$E$9:$E$1179=$E101),--('Input|Historical Data'!$O$9:$O$1179="SCS"),--('Input|Historical Data'!$N$9:$N$1179=M$5),'Input|Historical Data'!$I$9:$I$1179)</f>
        <v>525.65100000000007</v>
      </c>
      <c r="N101" s="48">
        <f>SUMPRODUCT(--('Input|Historical Data'!$E$9:$E$1179=$E101),--('Input|Historical Data'!$O$9:$O$1179="SCS"),--('Input|Historical Data'!$M$9:$M$1179=N$5),'Input|Historical Data'!$I$9:$I$1179)</f>
        <v>207.95599999999999</v>
      </c>
      <c r="O101" s="49">
        <f t="shared" si="77"/>
        <v>0.48858396654438313</v>
      </c>
      <c r="P101" s="49">
        <f t="shared" si="78"/>
        <v>0.25917882103980172</v>
      </c>
      <c r="Q101" s="49">
        <f t="shared" si="79"/>
        <v>0.25223721241581515</v>
      </c>
      <c r="R101" s="49">
        <f t="shared" si="80"/>
        <v>9.9789102931685178E-2</v>
      </c>
      <c r="S101" s="38"/>
      <c r="T101" s="48">
        <f>SUMPRODUCT(--('Input|Historical Data'!$Q$9:$Q$1179=$E101),--('Input|Historical Data'!$AA$9:$AA$1179="SCS"),--('Input|Historical Data'!$Y$9:$Y$1179=T$5),'Input|Historical Data'!$U$9:$U$1179)</f>
        <v>1294.2120000000002</v>
      </c>
      <c r="U101" s="48">
        <f>SUMPRODUCT(--('Input|Historical Data'!$Q$9:$Q$1179=$E101),--('Input|Historical Data'!$AA$9:$AA$1179="SCS"),--('Input|Historical Data'!$Z$9:$Z$1179=U$5),'Input|Historical Data'!$U$9:$U$1179)</f>
        <v>654.22</v>
      </c>
      <c r="V101" s="48">
        <f>SUMPRODUCT(--('Input|Historical Data'!$Q$9:$Q$1179=$E101),--('Input|Historical Data'!$AA$9:$AA$1179="SCS"),--('Input|Historical Data'!$Z$9:$Z$1179=V$5),'Input|Historical Data'!$U$9:$U$1179)</f>
        <v>380.50599999999997</v>
      </c>
      <c r="W101" s="48">
        <f>SUMPRODUCT(--('Input|Historical Data'!$Q$9:$Q$1179=$E101),--('Input|Historical Data'!$AA$9:$AA$1179="SCS"),--('Input|Historical Data'!$Z$9:$Z$1179=W$5),'Input|Historical Data'!$U$9:$U$1179)</f>
        <v>259.48599999999999</v>
      </c>
      <c r="X101" s="48">
        <f>SUMPRODUCT(--('Input|Historical Data'!$Q$9:$Q$1179=$E101),--('Input|Historical Data'!$AA$9:$AA$1179="SCS"),--('Input|Historical Data'!$Y$9:$Y$1179=X$5),'Input|Historical Data'!$U$9:$U$1179)</f>
        <v>165.85300000000001</v>
      </c>
      <c r="Y101" s="49">
        <f t="shared" si="73"/>
        <v>0.50549678105287232</v>
      </c>
      <c r="Z101" s="49">
        <f t="shared" si="74"/>
        <v>0.29400592793143626</v>
      </c>
      <c r="AA101" s="49">
        <f t="shared" si="75"/>
        <v>0.20049729101569139</v>
      </c>
      <c r="AB101" s="49">
        <f t="shared" si="76"/>
        <v>0.12814979307872279</v>
      </c>
      <c r="AC101" s="38"/>
      <c r="AD101" s="48">
        <f>SUMPRODUCT(--('Input|Historical Data'!$AC$9:$AC$1180=$E101),--('Input|Historical Data'!$AM$9:$AM$1180="SCS"),--('Input|Historical Data'!$AK$9:$AK$1180=AD$5),'Input|Historical Data'!$AG$9:$AG$1180)</f>
        <v>904.64700000000005</v>
      </c>
      <c r="AE101" s="48">
        <f>SUMPRODUCT(--('Input|Historical Data'!$AC$9:$AC$1180=$E101),--('Input|Historical Data'!$AM$9:$AM$1180="SCS"),--('Input|Historical Data'!$AL$9:$AL$1180=AE$5),'Input|Historical Data'!$AG$9:$AG$1180)</f>
        <v>505.43200000000002</v>
      </c>
      <c r="AF101" s="48">
        <f>SUMPRODUCT(--('Input|Historical Data'!$AC$9:$AC$1180=$E101),--('Input|Historical Data'!$AM$9:$AM$1180="SCS"),--('Input|Historical Data'!$AL$9:$AL$1180=AF$5),'Input|Historical Data'!$AG$9:$AG$1180)</f>
        <v>221.81900000000002</v>
      </c>
      <c r="AG101" s="48">
        <f>SUMPRODUCT(--('Input|Historical Data'!$AC$9:$AC$1180=$E101),--('Input|Historical Data'!$AM$9:$AM$1180="SCS"),--('Input|Historical Data'!$AL$9:$AL$1180=AG$5),'Input|Historical Data'!$AG$9:$AG$1180)</f>
        <v>177.39600000000002</v>
      </c>
      <c r="AH101" s="48">
        <f>SUMPRODUCT(--('Input|Historical Data'!$AC$9:$AC$1180=$E101),--('Input|Historical Data'!$AM$9:$AM$1180="SCS"),--('Input|Historical Data'!$AK$9:$AK$1180=AH$5),'Input|Historical Data'!$AG$9:$AG$1180)</f>
        <v>114.45399999999999</v>
      </c>
      <c r="AI101" s="49">
        <f t="shared" si="81"/>
        <v>0.5587063241242165</v>
      </c>
      <c r="AJ101" s="49">
        <f t="shared" si="82"/>
        <v>0.24519950875866503</v>
      </c>
      <c r="AK101" s="49">
        <f t="shared" si="83"/>
        <v>0.19609416711711863</v>
      </c>
      <c r="AL101" s="49">
        <f t="shared" si="84"/>
        <v>0.12651785724155387</v>
      </c>
      <c r="AM101" s="38"/>
      <c r="AN101" s="48"/>
      <c r="AO101" s="48"/>
      <c r="AP101" s="48"/>
      <c r="AQ101" s="48"/>
      <c r="AR101" s="48"/>
      <c r="AS101" s="49"/>
      <c r="AT101" s="49"/>
      <c r="AU101" s="49"/>
      <c r="AV101" s="49"/>
      <c r="AW101" s="38"/>
      <c r="AX101" s="49">
        <f t="shared" si="85"/>
        <v>0.52738806808440197</v>
      </c>
      <c r="AY101" s="49">
        <f t="shared" si="86"/>
        <v>0.27392615897608719</v>
      </c>
      <c r="AZ101" s="49">
        <f t="shared" si="87"/>
        <v>0.1986857729395109</v>
      </c>
      <c r="BA101" s="49">
        <f t="shared" si="88"/>
        <v>0.12747838765468816</v>
      </c>
      <c r="BB101" s="44"/>
    </row>
    <row r="102" spans="3:54" s="7" customFormat="1" outlineLevel="1" x14ac:dyDescent="0.3">
      <c r="C102" s="38"/>
      <c r="D102" s="38"/>
      <c r="E102" s="38" t="s">
        <v>173</v>
      </c>
      <c r="F102" s="38" t="s">
        <v>354</v>
      </c>
      <c r="G102" s="38" t="str">
        <f>VLOOKUP(E102,Mapping!$E$11:$G$204,3,0)</f>
        <v>Replacement</v>
      </c>
      <c r="H102" s="38" t="str">
        <f>VLOOKUP(E102,Mapping!$E$11:$K$204,7,0)</f>
        <v>SCS</v>
      </c>
      <c r="I102" s="38"/>
      <c r="J102" s="48">
        <f>SUMPRODUCT(--('Input|Historical Data'!$E$9:$E$1179=$E102),--('Input|Historical Data'!$O$9:$O$1179="SCS"),--('Input|Historical Data'!$M$9:$M$1179=J$5),'Input|Historical Data'!$I$9:$I$1179)</f>
        <v>7.3979999999999997</v>
      </c>
      <c r="K102" s="48">
        <f>SUMPRODUCT(--('Input|Historical Data'!$E$9:$E$1179=$E102),--('Input|Historical Data'!$O$9:$O$1179="SCS"),--('Input|Historical Data'!$N$9:$N$1179=K$5),'Input|Historical Data'!$I$9:$I$1179)</f>
        <v>5.391</v>
      </c>
      <c r="L102" s="48">
        <f>SUMPRODUCT(--('Input|Historical Data'!$E$9:$E$1179=$E102),--('Input|Historical Data'!$O$9:$O$1179="SCS"),--('Input|Historical Data'!$N$9:$N$1179=L$5),'Input|Historical Data'!$I$9:$I$1179)</f>
        <v>1.0529999999999999</v>
      </c>
      <c r="M102" s="48">
        <f>SUMPRODUCT(--('Input|Historical Data'!$E$9:$E$1179=$E102),--('Input|Historical Data'!$O$9:$O$1179="SCS"),--('Input|Historical Data'!$N$9:$N$1179=M$5),'Input|Historical Data'!$I$9:$I$1179)</f>
        <v>0.95399999999999996</v>
      </c>
      <c r="N102" s="48">
        <f>SUMPRODUCT(--('Input|Historical Data'!$E$9:$E$1179=$E102),--('Input|Historical Data'!$O$9:$O$1179="SCS"),--('Input|Historical Data'!$M$9:$M$1179=N$5),'Input|Historical Data'!$I$9:$I$1179)</f>
        <v>0.48299999999999998</v>
      </c>
      <c r="O102" s="49">
        <f t="shared" si="77"/>
        <v>0.72871046228710468</v>
      </c>
      <c r="P102" s="49">
        <f t="shared" si="78"/>
        <v>0.14233576642335766</v>
      </c>
      <c r="Q102" s="49">
        <f t="shared" si="79"/>
        <v>0.12895377128953772</v>
      </c>
      <c r="R102" s="49">
        <f t="shared" si="80"/>
        <v>6.5287915652879155E-2</v>
      </c>
      <c r="S102" s="38"/>
      <c r="T102" s="48">
        <f>SUMPRODUCT(--('Input|Historical Data'!$Q$9:$Q$1179=$E102),--('Input|Historical Data'!$AA$9:$AA$1179="SCS"),--('Input|Historical Data'!$Y$9:$Y$1179=T$5),'Input|Historical Data'!$U$9:$U$1179)</f>
        <v>7.2930000000000001</v>
      </c>
      <c r="U102" s="48">
        <f>SUMPRODUCT(--('Input|Historical Data'!$Q$9:$Q$1179=$E102),--('Input|Historical Data'!$AA$9:$AA$1179="SCS"),--('Input|Historical Data'!$Z$9:$Z$1179=U$5),'Input|Historical Data'!$U$9:$U$1179)</f>
        <v>4.4480000000000004</v>
      </c>
      <c r="V102" s="48">
        <f>SUMPRODUCT(--('Input|Historical Data'!$Q$9:$Q$1179=$E102),--('Input|Historical Data'!$AA$9:$AA$1179="SCS"),--('Input|Historical Data'!$Z$9:$Z$1179=V$5),'Input|Historical Data'!$U$9:$U$1179)</f>
        <v>1.4750000000000001</v>
      </c>
      <c r="W102" s="48">
        <f>SUMPRODUCT(--('Input|Historical Data'!$Q$9:$Q$1179=$E102),--('Input|Historical Data'!$AA$9:$AA$1179="SCS"),--('Input|Historical Data'!$Z$9:$Z$1179=W$5),'Input|Historical Data'!$U$9:$U$1179)</f>
        <v>1.37</v>
      </c>
      <c r="X102" s="48">
        <f>SUMPRODUCT(--('Input|Historical Data'!$Q$9:$Q$1179=$E102),--('Input|Historical Data'!$AA$9:$AA$1179="SCS"),--('Input|Historical Data'!$Y$9:$Y$1179=X$5),'Input|Historical Data'!$U$9:$U$1179)</f>
        <v>0.73799999999999999</v>
      </c>
      <c r="Y102" s="49">
        <f t="shared" si="73"/>
        <v>0.60989990401755112</v>
      </c>
      <c r="Z102" s="49">
        <f t="shared" si="74"/>
        <v>0.20224873166049637</v>
      </c>
      <c r="AA102" s="49">
        <f t="shared" si="75"/>
        <v>0.18785136432195257</v>
      </c>
      <c r="AB102" s="49">
        <f t="shared" si="76"/>
        <v>0.10119292472233649</v>
      </c>
      <c r="AC102" s="38"/>
      <c r="AD102" s="48">
        <f>SUMPRODUCT(--('Input|Historical Data'!$AC$9:$AC$1180=$E102),--('Input|Historical Data'!$AM$9:$AM$1180="SCS"),--('Input|Historical Data'!$AK$9:$AK$1180=AD$5),'Input|Historical Data'!$AG$9:$AG$1180)</f>
        <v>0</v>
      </c>
      <c r="AE102" s="48">
        <f>SUMPRODUCT(--('Input|Historical Data'!$AC$9:$AC$1180=$E102),--('Input|Historical Data'!$AM$9:$AM$1180="SCS"),--('Input|Historical Data'!$AL$9:$AL$1180=AE$5),'Input|Historical Data'!$AG$9:$AG$1180)</f>
        <v>0</v>
      </c>
      <c r="AF102" s="48">
        <f>SUMPRODUCT(--('Input|Historical Data'!$AC$9:$AC$1180=$E102),--('Input|Historical Data'!$AM$9:$AM$1180="SCS"),--('Input|Historical Data'!$AL$9:$AL$1180=AF$5),'Input|Historical Data'!$AG$9:$AG$1180)</f>
        <v>0</v>
      </c>
      <c r="AG102" s="48">
        <f>SUMPRODUCT(--('Input|Historical Data'!$AC$9:$AC$1180=$E102),--('Input|Historical Data'!$AM$9:$AM$1180="SCS"),--('Input|Historical Data'!$AL$9:$AL$1180=AG$5),'Input|Historical Data'!$AG$9:$AG$1180)</f>
        <v>0</v>
      </c>
      <c r="AH102" s="48">
        <f>SUMPRODUCT(--('Input|Historical Data'!$AC$9:$AC$1180=$E102),--('Input|Historical Data'!$AM$9:$AM$1180="SCS"),--('Input|Historical Data'!$AK$9:$AK$1180=AH$5),'Input|Historical Data'!$AG$9:$AG$1180)</f>
        <v>0</v>
      </c>
      <c r="AI102" s="49">
        <f t="shared" si="81"/>
        <v>0</v>
      </c>
      <c r="AJ102" s="49">
        <f t="shared" si="82"/>
        <v>0</v>
      </c>
      <c r="AK102" s="49">
        <f t="shared" si="83"/>
        <v>0</v>
      </c>
      <c r="AL102" s="49">
        <f t="shared" si="84"/>
        <v>0</v>
      </c>
      <c r="AM102" s="38"/>
      <c r="AN102" s="48"/>
      <c r="AO102" s="48"/>
      <c r="AP102" s="48"/>
      <c r="AQ102" s="48"/>
      <c r="AR102" s="48"/>
      <c r="AS102" s="49"/>
      <c r="AT102" s="49"/>
      <c r="AU102" s="49"/>
      <c r="AV102" s="49"/>
      <c r="AW102" s="38"/>
      <c r="AX102" s="49">
        <f t="shared" si="85"/>
        <v>0.60989990401755112</v>
      </c>
      <c r="AY102" s="49">
        <f t="shared" si="86"/>
        <v>0.20224873166049637</v>
      </c>
      <c r="AZ102" s="49">
        <f t="shared" si="87"/>
        <v>0.18785136432195257</v>
      </c>
      <c r="BA102" s="49">
        <f t="shared" si="88"/>
        <v>0.10119292472233649</v>
      </c>
      <c r="BB102" s="44"/>
    </row>
    <row r="103" spans="3:54" s="7" customFormat="1" outlineLevel="1" x14ac:dyDescent="0.3">
      <c r="C103" s="38"/>
      <c r="D103" s="38"/>
      <c r="E103" s="38" t="s">
        <v>174</v>
      </c>
      <c r="F103" s="38" t="s">
        <v>355</v>
      </c>
      <c r="G103" s="38" t="str">
        <f>VLOOKUP(E103,Mapping!$E$11:$G$204,3,0)</f>
        <v>Replacement</v>
      </c>
      <c r="H103" s="38" t="str">
        <f>VLOOKUP(E103,Mapping!$E$11:$K$204,7,0)</f>
        <v>SCS</v>
      </c>
      <c r="I103" s="38"/>
      <c r="J103" s="48">
        <f>SUMPRODUCT(--('Input|Historical Data'!$E$9:$E$1179=$E103),--('Input|Historical Data'!$O$9:$O$1179="SCS"),--('Input|Historical Data'!$M$9:$M$1179=J$5),'Input|Historical Data'!$I$9:$I$1179)</f>
        <v>0</v>
      </c>
      <c r="K103" s="48">
        <f>SUMPRODUCT(--('Input|Historical Data'!$E$9:$E$1179=$E103),--('Input|Historical Data'!$O$9:$O$1179="SCS"),--('Input|Historical Data'!$N$9:$N$1179=K$5),'Input|Historical Data'!$I$9:$I$1179)</f>
        <v>0</v>
      </c>
      <c r="L103" s="48">
        <f>SUMPRODUCT(--('Input|Historical Data'!$E$9:$E$1179=$E103),--('Input|Historical Data'!$O$9:$O$1179="SCS"),--('Input|Historical Data'!$N$9:$N$1179=L$5),'Input|Historical Data'!$I$9:$I$1179)</f>
        <v>0</v>
      </c>
      <c r="M103" s="48">
        <f>SUMPRODUCT(--('Input|Historical Data'!$E$9:$E$1179=$E103),--('Input|Historical Data'!$O$9:$O$1179="SCS"),--('Input|Historical Data'!$N$9:$N$1179=M$5),'Input|Historical Data'!$I$9:$I$1179)</f>
        <v>0</v>
      </c>
      <c r="N103" s="48">
        <f>SUMPRODUCT(--('Input|Historical Data'!$E$9:$E$1179=$E103),--('Input|Historical Data'!$O$9:$O$1179="SCS"),--('Input|Historical Data'!$M$9:$M$1179=N$5),'Input|Historical Data'!$I$9:$I$1179)</f>
        <v>0</v>
      </c>
      <c r="O103" s="49">
        <f t="shared" si="77"/>
        <v>0</v>
      </c>
      <c r="P103" s="49">
        <f t="shared" si="78"/>
        <v>0</v>
      </c>
      <c r="Q103" s="49">
        <f t="shared" si="79"/>
        <v>0</v>
      </c>
      <c r="R103" s="49">
        <f t="shared" si="80"/>
        <v>0</v>
      </c>
      <c r="S103" s="38"/>
      <c r="T103" s="48">
        <f>SUMPRODUCT(--('Input|Historical Data'!$Q$9:$Q$1179=$E103),--('Input|Historical Data'!$AA$9:$AA$1179="SCS"),--('Input|Historical Data'!$Y$9:$Y$1179=T$5),'Input|Historical Data'!$U$9:$U$1179)</f>
        <v>0</v>
      </c>
      <c r="U103" s="48">
        <f>SUMPRODUCT(--('Input|Historical Data'!$Q$9:$Q$1179=$E103),--('Input|Historical Data'!$AA$9:$AA$1179="SCS"),--('Input|Historical Data'!$Z$9:$Z$1179=U$5),'Input|Historical Data'!$U$9:$U$1179)</f>
        <v>0</v>
      </c>
      <c r="V103" s="48">
        <f>SUMPRODUCT(--('Input|Historical Data'!$Q$9:$Q$1179=$E103),--('Input|Historical Data'!$AA$9:$AA$1179="SCS"),--('Input|Historical Data'!$Z$9:$Z$1179=V$5),'Input|Historical Data'!$U$9:$U$1179)</f>
        <v>0</v>
      </c>
      <c r="W103" s="48">
        <f>SUMPRODUCT(--('Input|Historical Data'!$Q$9:$Q$1179=$E103),--('Input|Historical Data'!$AA$9:$AA$1179="SCS"),--('Input|Historical Data'!$Z$9:$Z$1179=W$5),'Input|Historical Data'!$U$9:$U$1179)</f>
        <v>0</v>
      </c>
      <c r="X103" s="48">
        <f>SUMPRODUCT(--('Input|Historical Data'!$Q$9:$Q$1179=$E103),--('Input|Historical Data'!$AA$9:$AA$1179="SCS"),--('Input|Historical Data'!$Y$9:$Y$1179=X$5),'Input|Historical Data'!$U$9:$U$1179)</f>
        <v>0</v>
      </c>
      <c r="Y103" s="49">
        <f t="shared" si="73"/>
        <v>0</v>
      </c>
      <c r="Z103" s="49">
        <f t="shared" si="74"/>
        <v>0</v>
      </c>
      <c r="AA103" s="49">
        <f t="shared" si="75"/>
        <v>0</v>
      </c>
      <c r="AB103" s="49">
        <f t="shared" si="76"/>
        <v>0</v>
      </c>
      <c r="AC103" s="38"/>
      <c r="AD103" s="48">
        <f>SUMPRODUCT(--('Input|Historical Data'!$AC$9:$AC$1180=$E103),--('Input|Historical Data'!$AM$9:$AM$1180="SCS"),--('Input|Historical Data'!$AK$9:$AK$1180=AD$5),'Input|Historical Data'!$AG$9:$AG$1180)</f>
        <v>0</v>
      </c>
      <c r="AE103" s="48">
        <f>SUMPRODUCT(--('Input|Historical Data'!$AC$9:$AC$1180=$E103),--('Input|Historical Data'!$AM$9:$AM$1180="SCS"),--('Input|Historical Data'!$AL$9:$AL$1180=AE$5),'Input|Historical Data'!$AG$9:$AG$1180)</f>
        <v>0</v>
      </c>
      <c r="AF103" s="48">
        <f>SUMPRODUCT(--('Input|Historical Data'!$AC$9:$AC$1180=$E103),--('Input|Historical Data'!$AM$9:$AM$1180="SCS"),--('Input|Historical Data'!$AL$9:$AL$1180=AF$5),'Input|Historical Data'!$AG$9:$AG$1180)</f>
        <v>0</v>
      </c>
      <c r="AG103" s="48">
        <f>SUMPRODUCT(--('Input|Historical Data'!$AC$9:$AC$1180=$E103),--('Input|Historical Data'!$AM$9:$AM$1180="SCS"),--('Input|Historical Data'!$AL$9:$AL$1180=AG$5),'Input|Historical Data'!$AG$9:$AG$1180)</f>
        <v>0</v>
      </c>
      <c r="AH103" s="48">
        <f>SUMPRODUCT(--('Input|Historical Data'!$AC$9:$AC$1180=$E103),--('Input|Historical Data'!$AM$9:$AM$1180="SCS"),--('Input|Historical Data'!$AK$9:$AK$1180=AH$5),'Input|Historical Data'!$AG$9:$AG$1180)</f>
        <v>0</v>
      </c>
      <c r="AI103" s="49">
        <f t="shared" si="81"/>
        <v>0</v>
      </c>
      <c r="AJ103" s="49">
        <f t="shared" si="82"/>
        <v>0</v>
      </c>
      <c r="AK103" s="49">
        <f t="shared" si="83"/>
        <v>0</v>
      </c>
      <c r="AL103" s="49">
        <f t="shared" si="84"/>
        <v>0</v>
      </c>
      <c r="AM103" s="38"/>
      <c r="AN103" s="48"/>
      <c r="AO103" s="48"/>
      <c r="AP103" s="48"/>
      <c r="AQ103" s="48"/>
      <c r="AR103" s="48"/>
      <c r="AS103" s="49"/>
      <c r="AT103" s="49"/>
      <c r="AU103" s="49"/>
      <c r="AV103" s="49"/>
      <c r="AW103" s="38"/>
      <c r="AX103" s="49">
        <f t="shared" si="85"/>
        <v>0</v>
      </c>
      <c r="AY103" s="49">
        <f t="shared" si="86"/>
        <v>0</v>
      </c>
      <c r="AZ103" s="49">
        <f t="shared" si="87"/>
        <v>0</v>
      </c>
      <c r="BA103" s="49">
        <f t="shared" si="88"/>
        <v>0</v>
      </c>
      <c r="BB103" s="44"/>
    </row>
    <row r="104" spans="3:54" s="7" customFormat="1" outlineLevel="1" x14ac:dyDescent="0.3">
      <c r="C104" s="38"/>
      <c r="D104" s="38"/>
      <c r="E104" s="38" t="s">
        <v>175</v>
      </c>
      <c r="F104" s="38" t="s">
        <v>356</v>
      </c>
      <c r="G104" s="38" t="str">
        <f>VLOOKUP(E104,Mapping!$E$11:$G$204,3,0)</f>
        <v>Replacement</v>
      </c>
      <c r="H104" s="38" t="str">
        <f>VLOOKUP(E104,Mapping!$E$11:$K$204,7,0)</f>
        <v>SCS</v>
      </c>
      <c r="I104" s="38"/>
      <c r="J104" s="48">
        <f>SUMPRODUCT(--('Input|Historical Data'!$E$9:$E$1179=$E104),--('Input|Historical Data'!$O$9:$O$1179="SCS"),--('Input|Historical Data'!$M$9:$M$1179=J$5),'Input|Historical Data'!$I$9:$I$1179)</f>
        <v>0</v>
      </c>
      <c r="K104" s="48">
        <f>SUMPRODUCT(--('Input|Historical Data'!$E$9:$E$1179=$E104),--('Input|Historical Data'!$O$9:$O$1179="SCS"),--('Input|Historical Data'!$N$9:$N$1179=K$5),'Input|Historical Data'!$I$9:$I$1179)</f>
        <v>0</v>
      </c>
      <c r="L104" s="48">
        <f>SUMPRODUCT(--('Input|Historical Data'!$E$9:$E$1179=$E104),--('Input|Historical Data'!$O$9:$O$1179="SCS"),--('Input|Historical Data'!$N$9:$N$1179=L$5),'Input|Historical Data'!$I$9:$I$1179)</f>
        <v>0</v>
      </c>
      <c r="M104" s="48">
        <f>SUMPRODUCT(--('Input|Historical Data'!$E$9:$E$1179=$E104),--('Input|Historical Data'!$O$9:$O$1179="SCS"),--('Input|Historical Data'!$N$9:$N$1179=M$5),'Input|Historical Data'!$I$9:$I$1179)</f>
        <v>0</v>
      </c>
      <c r="N104" s="48">
        <f>SUMPRODUCT(--('Input|Historical Data'!$E$9:$E$1179=$E104),--('Input|Historical Data'!$O$9:$O$1179="SCS"),--('Input|Historical Data'!$M$9:$M$1179=N$5),'Input|Historical Data'!$I$9:$I$1179)</f>
        <v>0</v>
      </c>
      <c r="O104" s="49">
        <f t="shared" si="77"/>
        <v>0</v>
      </c>
      <c r="P104" s="49">
        <f t="shared" si="78"/>
        <v>0</v>
      </c>
      <c r="Q104" s="49">
        <f t="shared" si="79"/>
        <v>0</v>
      </c>
      <c r="R104" s="49">
        <f t="shared" si="80"/>
        <v>0</v>
      </c>
      <c r="S104" s="38"/>
      <c r="T104" s="48">
        <f>SUMPRODUCT(--('Input|Historical Data'!$Q$9:$Q$1179=$E104),--('Input|Historical Data'!$AA$9:$AA$1179="SCS"),--('Input|Historical Data'!$Y$9:$Y$1179=T$5),'Input|Historical Data'!$U$9:$U$1179)</f>
        <v>0</v>
      </c>
      <c r="U104" s="48">
        <f>SUMPRODUCT(--('Input|Historical Data'!$Q$9:$Q$1179=$E104),--('Input|Historical Data'!$AA$9:$AA$1179="SCS"),--('Input|Historical Data'!$Z$9:$Z$1179=U$5),'Input|Historical Data'!$U$9:$U$1179)</f>
        <v>0</v>
      </c>
      <c r="V104" s="48">
        <f>SUMPRODUCT(--('Input|Historical Data'!$Q$9:$Q$1179=$E104),--('Input|Historical Data'!$AA$9:$AA$1179="SCS"),--('Input|Historical Data'!$Z$9:$Z$1179=V$5),'Input|Historical Data'!$U$9:$U$1179)</f>
        <v>0</v>
      </c>
      <c r="W104" s="48">
        <f>SUMPRODUCT(--('Input|Historical Data'!$Q$9:$Q$1179=$E104),--('Input|Historical Data'!$AA$9:$AA$1179="SCS"),--('Input|Historical Data'!$Z$9:$Z$1179=W$5),'Input|Historical Data'!$U$9:$U$1179)</f>
        <v>0</v>
      </c>
      <c r="X104" s="48">
        <f>SUMPRODUCT(--('Input|Historical Data'!$Q$9:$Q$1179=$E104),--('Input|Historical Data'!$AA$9:$AA$1179="SCS"),--('Input|Historical Data'!$Y$9:$Y$1179=X$5),'Input|Historical Data'!$U$9:$U$1179)</f>
        <v>0</v>
      </c>
      <c r="Y104" s="49">
        <f t="shared" si="73"/>
        <v>0</v>
      </c>
      <c r="Z104" s="49">
        <f t="shared" si="74"/>
        <v>0</v>
      </c>
      <c r="AA104" s="49">
        <f t="shared" si="75"/>
        <v>0</v>
      </c>
      <c r="AB104" s="49">
        <f t="shared" si="76"/>
        <v>0</v>
      </c>
      <c r="AC104" s="38"/>
      <c r="AD104" s="48">
        <f>SUMPRODUCT(--('Input|Historical Data'!$AC$9:$AC$1180=$E104),--('Input|Historical Data'!$AM$9:$AM$1180="SCS"),--('Input|Historical Data'!$AK$9:$AK$1180=AD$5),'Input|Historical Data'!$AG$9:$AG$1180)</f>
        <v>0</v>
      </c>
      <c r="AE104" s="48">
        <f>SUMPRODUCT(--('Input|Historical Data'!$AC$9:$AC$1180=$E104),--('Input|Historical Data'!$AM$9:$AM$1180="SCS"),--('Input|Historical Data'!$AL$9:$AL$1180=AE$5),'Input|Historical Data'!$AG$9:$AG$1180)</f>
        <v>0</v>
      </c>
      <c r="AF104" s="48">
        <f>SUMPRODUCT(--('Input|Historical Data'!$AC$9:$AC$1180=$E104),--('Input|Historical Data'!$AM$9:$AM$1180="SCS"),--('Input|Historical Data'!$AL$9:$AL$1180=AF$5),'Input|Historical Data'!$AG$9:$AG$1180)</f>
        <v>0</v>
      </c>
      <c r="AG104" s="48">
        <f>SUMPRODUCT(--('Input|Historical Data'!$AC$9:$AC$1180=$E104),--('Input|Historical Data'!$AM$9:$AM$1180="SCS"),--('Input|Historical Data'!$AL$9:$AL$1180=AG$5),'Input|Historical Data'!$AG$9:$AG$1180)</f>
        <v>0</v>
      </c>
      <c r="AH104" s="48">
        <f>SUMPRODUCT(--('Input|Historical Data'!$AC$9:$AC$1180=$E104),--('Input|Historical Data'!$AM$9:$AM$1180="SCS"),--('Input|Historical Data'!$AK$9:$AK$1180=AH$5),'Input|Historical Data'!$AG$9:$AG$1180)</f>
        <v>0</v>
      </c>
      <c r="AI104" s="49">
        <f t="shared" si="81"/>
        <v>0</v>
      </c>
      <c r="AJ104" s="49">
        <f t="shared" si="82"/>
        <v>0</v>
      </c>
      <c r="AK104" s="49">
        <f t="shared" si="83"/>
        <v>0</v>
      </c>
      <c r="AL104" s="49">
        <f t="shared" si="84"/>
        <v>0</v>
      </c>
      <c r="AM104" s="38"/>
      <c r="AN104" s="48"/>
      <c r="AO104" s="48"/>
      <c r="AP104" s="48"/>
      <c r="AQ104" s="48"/>
      <c r="AR104" s="48"/>
      <c r="AS104" s="49"/>
      <c r="AT104" s="49"/>
      <c r="AU104" s="49"/>
      <c r="AV104" s="49"/>
      <c r="AW104" s="38"/>
      <c r="AX104" s="49">
        <f t="shared" si="85"/>
        <v>0</v>
      </c>
      <c r="AY104" s="49">
        <f t="shared" si="86"/>
        <v>0</v>
      </c>
      <c r="AZ104" s="49">
        <f t="shared" si="87"/>
        <v>0</v>
      </c>
      <c r="BA104" s="49">
        <f t="shared" si="88"/>
        <v>0</v>
      </c>
      <c r="BB104" s="44"/>
    </row>
    <row r="105" spans="3:54" s="7" customFormat="1" outlineLevel="1" x14ac:dyDescent="0.3">
      <c r="C105" s="38"/>
      <c r="D105" s="38"/>
      <c r="E105" s="38" t="s">
        <v>176</v>
      </c>
      <c r="F105" s="38" t="s">
        <v>357</v>
      </c>
      <c r="G105" s="38" t="str">
        <f>VLOOKUP(E105,Mapping!$E$11:$G$204,3,0)</f>
        <v>Replacement</v>
      </c>
      <c r="H105" s="38" t="str">
        <f>VLOOKUP(E105,Mapping!$E$11:$K$204,7,0)</f>
        <v>SCS</v>
      </c>
      <c r="I105" s="38"/>
      <c r="J105" s="48">
        <f>SUMPRODUCT(--('Input|Historical Data'!$E$9:$E$1179=$E105),--('Input|Historical Data'!$O$9:$O$1179="SCS"),--('Input|Historical Data'!$M$9:$M$1179=J$5),'Input|Historical Data'!$I$9:$I$1179)</f>
        <v>1434.9279999999999</v>
      </c>
      <c r="K105" s="48">
        <f>SUMPRODUCT(--('Input|Historical Data'!$E$9:$E$1179=$E105),--('Input|Historical Data'!$O$9:$O$1179="SCS"),--('Input|Historical Data'!$N$9:$N$1179=K$5),'Input|Historical Data'!$I$9:$I$1179)</f>
        <v>806.44599999999991</v>
      </c>
      <c r="L105" s="48">
        <f>SUMPRODUCT(--('Input|Historical Data'!$E$9:$E$1179=$E105),--('Input|Historical Data'!$O$9:$O$1179="SCS"),--('Input|Historical Data'!$N$9:$N$1179=L$5),'Input|Historical Data'!$I$9:$I$1179)</f>
        <v>420.64799999999997</v>
      </c>
      <c r="M105" s="48">
        <f>SUMPRODUCT(--('Input|Historical Data'!$E$9:$E$1179=$E105),--('Input|Historical Data'!$O$9:$O$1179="SCS"),--('Input|Historical Data'!$N$9:$N$1179=M$5),'Input|Historical Data'!$I$9:$I$1179)</f>
        <v>207.834</v>
      </c>
      <c r="N105" s="48">
        <f>SUMPRODUCT(--('Input|Historical Data'!$E$9:$E$1179=$E105),--('Input|Historical Data'!$O$9:$O$1179="SCS"),--('Input|Historical Data'!$M$9:$M$1179=N$5),'Input|Historical Data'!$I$9:$I$1179)</f>
        <v>135.971</v>
      </c>
      <c r="O105" s="49">
        <f t="shared" si="77"/>
        <v>0.56201147374641791</v>
      </c>
      <c r="P105" s="49">
        <f t="shared" si="78"/>
        <v>0.29314920330497418</v>
      </c>
      <c r="Q105" s="49">
        <f t="shared" si="79"/>
        <v>0.14483932294860788</v>
      </c>
      <c r="R105" s="49">
        <f t="shared" si="80"/>
        <v>9.4758064516129045E-2</v>
      </c>
      <c r="S105" s="38"/>
      <c r="T105" s="48">
        <f>SUMPRODUCT(--('Input|Historical Data'!$Q$9:$Q$1179=$E105),--('Input|Historical Data'!$AA$9:$AA$1179="SCS"),--('Input|Historical Data'!$Y$9:$Y$1179=T$5),'Input|Historical Data'!$U$9:$U$1179)</f>
        <v>704.79500000000007</v>
      </c>
      <c r="U105" s="48">
        <f>SUMPRODUCT(--('Input|Historical Data'!$Q$9:$Q$1179=$E105),--('Input|Historical Data'!$AA$9:$AA$1179="SCS"),--('Input|Historical Data'!$Z$9:$Z$1179=U$5),'Input|Historical Data'!$U$9:$U$1179)</f>
        <v>345.78699999999998</v>
      </c>
      <c r="V105" s="48">
        <f>SUMPRODUCT(--('Input|Historical Data'!$Q$9:$Q$1179=$E105),--('Input|Historical Data'!$AA$9:$AA$1179="SCS"),--('Input|Historical Data'!$Z$9:$Z$1179=V$5),'Input|Historical Data'!$U$9:$U$1179)</f>
        <v>221.215</v>
      </c>
      <c r="W105" s="48">
        <f>SUMPRODUCT(--('Input|Historical Data'!$Q$9:$Q$1179=$E105),--('Input|Historical Data'!$AA$9:$AA$1179="SCS"),--('Input|Historical Data'!$Z$9:$Z$1179=W$5),'Input|Historical Data'!$U$9:$U$1179)</f>
        <v>137.79300000000001</v>
      </c>
      <c r="X105" s="48">
        <f>SUMPRODUCT(--('Input|Historical Data'!$Q$9:$Q$1179=$E105),--('Input|Historical Data'!$AA$9:$AA$1179="SCS"),--('Input|Historical Data'!$Y$9:$Y$1179=X$5),'Input|Historical Data'!$U$9:$U$1179)</f>
        <v>89.688999999999993</v>
      </c>
      <c r="Y105" s="49">
        <f t="shared" si="73"/>
        <v>0.49062067693442774</v>
      </c>
      <c r="Z105" s="49">
        <f t="shared" si="74"/>
        <v>0.31387140941692265</v>
      </c>
      <c r="AA105" s="49">
        <f t="shared" si="75"/>
        <v>0.19550791364864964</v>
      </c>
      <c r="AB105" s="49">
        <f t="shared" si="76"/>
        <v>0.12725544307209896</v>
      </c>
      <c r="AC105" s="38"/>
      <c r="AD105" s="48">
        <f>SUMPRODUCT(--('Input|Historical Data'!$AC$9:$AC$1180=$E105),--('Input|Historical Data'!$AM$9:$AM$1180="SCS"),--('Input|Historical Data'!$AK$9:$AK$1180=AD$5),'Input|Historical Data'!$AG$9:$AG$1180)</f>
        <v>738.17599999999993</v>
      </c>
      <c r="AE105" s="48">
        <f>SUMPRODUCT(--('Input|Historical Data'!$AC$9:$AC$1180=$E105),--('Input|Historical Data'!$AM$9:$AM$1180="SCS"),--('Input|Historical Data'!$AL$9:$AL$1180=AE$5),'Input|Historical Data'!$AG$9:$AG$1180)</f>
        <v>456.745</v>
      </c>
      <c r="AF105" s="48">
        <f>SUMPRODUCT(--('Input|Historical Data'!$AC$9:$AC$1180=$E105),--('Input|Historical Data'!$AM$9:$AM$1180="SCS"),--('Input|Historical Data'!$AL$9:$AL$1180=AF$5),'Input|Historical Data'!$AG$9:$AG$1180)</f>
        <v>152.09700000000001</v>
      </c>
      <c r="AG105" s="48">
        <f>SUMPRODUCT(--('Input|Historical Data'!$AC$9:$AC$1180=$E105),--('Input|Historical Data'!$AM$9:$AM$1180="SCS"),--('Input|Historical Data'!$AL$9:$AL$1180=AG$5),'Input|Historical Data'!$AG$9:$AG$1180)</f>
        <v>129.334</v>
      </c>
      <c r="AH105" s="48">
        <f>SUMPRODUCT(--('Input|Historical Data'!$AC$9:$AC$1180=$E105),--('Input|Historical Data'!$AM$9:$AM$1180="SCS"),--('Input|Historical Data'!$AK$9:$AK$1180=AH$5),'Input|Historical Data'!$AG$9:$AG$1180)</f>
        <v>66.932000000000002</v>
      </c>
      <c r="AI105" s="49">
        <f t="shared" si="81"/>
        <v>0.61874810343332765</v>
      </c>
      <c r="AJ105" s="49">
        <f t="shared" si="82"/>
        <v>0.20604435798508761</v>
      </c>
      <c r="AK105" s="49">
        <f t="shared" si="83"/>
        <v>0.17520753858158489</v>
      </c>
      <c r="AL105" s="49">
        <f t="shared" si="84"/>
        <v>9.0672143228715113E-2</v>
      </c>
      <c r="AM105" s="38"/>
      <c r="AN105" s="48"/>
      <c r="AO105" s="48"/>
      <c r="AP105" s="48"/>
      <c r="AQ105" s="48"/>
      <c r="AR105" s="48"/>
      <c r="AS105" s="49"/>
      <c r="AT105" s="49"/>
      <c r="AU105" s="49"/>
      <c r="AV105" s="49"/>
      <c r="AW105" s="38"/>
      <c r="AX105" s="49">
        <f t="shared" si="85"/>
        <v>0.55616640944273998</v>
      </c>
      <c r="AY105" s="49">
        <f t="shared" si="86"/>
        <v>0.25871067401908981</v>
      </c>
      <c r="AZ105" s="49">
        <f t="shared" si="87"/>
        <v>0.1851229165381702</v>
      </c>
      <c r="BA105" s="49">
        <f t="shared" si="88"/>
        <v>0.10854064288194287</v>
      </c>
      <c r="BB105" s="44"/>
    </row>
    <row r="106" spans="3:54" s="7" customFormat="1" outlineLevel="1" x14ac:dyDescent="0.3">
      <c r="C106" s="38"/>
      <c r="D106" s="38"/>
      <c r="E106" s="38" t="s">
        <v>177</v>
      </c>
      <c r="F106" s="38" t="s">
        <v>358</v>
      </c>
      <c r="G106" s="38" t="str">
        <f>VLOOKUP(E106,Mapping!$E$11:$G$204,3,0)</f>
        <v>Replacement</v>
      </c>
      <c r="H106" s="38" t="str">
        <f>VLOOKUP(E106,Mapping!$E$11:$K$204,7,0)</f>
        <v>SCS</v>
      </c>
      <c r="I106" s="38"/>
      <c r="J106" s="48">
        <f>SUMPRODUCT(--('Input|Historical Data'!$E$9:$E$1179=$E106),--('Input|Historical Data'!$O$9:$O$1179="SCS"),--('Input|Historical Data'!$M$9:$M$1179=J$5),'Input|Historical Data'!$I$9:$I$1179)</f>
        <v>0</v>
      </c>
      <c r="K106" s="48">
        <f>SUMPRODUCT(--('Input|Historical Data'!$E$9:$E$1179=$E106),--('Input|Historical Data'!$O$9:$O$1179="SCS"),--('Input|Historical Data'!$N$9:$N$1179=K$5),'Input|Historical Data'!$I$9:$I$1179)</f>
        <v>0</v>
      </c>
      <c r="L106" s="48">
        <f>SUMPRODUCT(--('Input|Historical Data'!$E$9:$E$1179=$E106),--('Input|Historical Data'!$O$9:$O$1179="SCS"),--('Input|Historical Data'!$N$9:$N$1179=L$5),'Input|Historical Data'!$I$9:$I$1179)</f>
        <v>0</v>
      </c>
      <c r="M106" s="48">
        <f>SUMPRODUCT(--('Input|Historical Data'!$E$9:$E$1179=$E106),--('Input|Historical Data'!$O$9:$O$1179="SCS"),--('Input|Historical Data'!$N$9:$N$1179=M$5),'Input|Historical Data'!$I$9:$I$1179)</f>
        <v>0</v>
      </c>
      <c r="N106" s="48">
        <f>SUMPRODUCT(--('Input|Historical Data'!$E$9:$E$1179=$E106),--('Input|Historical Data'!$O$9:$O$1179="SCS"),--('Input|Historical Data'!$M$9:$M$1179=N$5),'Input|Historical Data'!$I$9:$I$1179)</f>
        <v>0</v>
      </c>
      <c r="O106" s="49">
        <f t="shared" si="77"/>
        <v>0</v>
      </c>
      <c r="P106" s="49">
        <f t="shared" si="78"/>
        <v>0</v>
      </c>
      <c r="Q106" s="49">
        <f t="shared" si="79"/>
        <v>0</v>
      </c>
      <c r="R106" s="49">
        <f t="shared" si="80"/>
        <v>0</v>
      </c>
      <c r="S106" s="38"/>
      <c r="T106" s="48">
        <f>SUMPRODUCT(--('Input|Historical Data'!$Q$9:$Q$1179=$E106),--('Input|Historical Data'!$AA$9:$AA$1179="SCS"),--('Input|Historical Data'!$Y$9:$Y$1179=T$5),'Input|Historical Data'!$U$9:$U$1179)</f>
        <v>0</v>
      </c>
      <c r="U106" s="48">
        <f>SUMPRODUCT(--('Input|Historical Data'!$Q$9:$Q$1179=$E106),--('Input|Historical Data'!$AA$9:$AA$1179="SCS"),--('Input|Historical Data'!$Z$9:$Z$1179=U$5),'Input|Historical Data'!$U$9:$U$1179)</f>
        <v>0</v>
      </c>
      <c r="V106" s="48">
        <f>SUMPRODUCT(--('Input|Historical Data'!$Q$9:$Q$1179=$E106),--('Input|Historical Data'!$AA$9:$AA$1179="SCS"),--('Input|Historical Data'!$Z$9:$Z$1179=V$5),'Input|Historical Data'!$U$9:$U$1179)</f>
        <v>0</v>
      </c>
      <c r="W106" s="48">
        <f>SUMPRODUCT(--('Input|Historical Data'!$Q$9:$Q$1179=$E106),--('Input|Historical Data'!$AA$9:$AA$1179="SCS"),--('Input|Historical Data'!$Z$9:$Z$1179=W$5),'Input|Historical Data'!$U$9:$U$1179)</f>
        <v>0</v>
      </c>
      <c r="X106" s="48">
        <f>SUMPRODUCT(--('Input|Historical Data'!$Q$9:$Q$1179=$E106),--('Input|Historical Data'!$AA$9:$AA$1179="SCS"),--('Input|Historical Data'!$Y$9:$Y$1179=X$5),'Input|Historical Data'!$U$9:$U$1179)</f>
        <v>0</v>
      </c>
      <c r="Y106" s="49">
        <f t="shared" si="73"/>
        <v>0</v>
      </c>
      <c r="Z106" s="49">
        <f t="shared" si="74"/>
        <v>0</v>
      </c>
      <c r="AA106" s="49">
        <f t="shared" si="75"/>
        <v>0</v>
      </c>
      <c r="AB106" s="49">
        <f t="shared" si="76"/>
        <v>0</v>
      </c>
      <c r="AC106" s="38"/>
      <c r="AD106" s="48">
        <f>SUMPRODUCT(--('Input|Historical Data'!$AC$9:$AC$1180=$E106),--('Input|Historical Data'!$AM$9:$AM$1180="SCS"),--('Input|Historical Data'!$AK$9:$AK$1180=AD$5),'Input|Historical Data'!$AG$9:$AG$1180)</f>
        <v>11.744999999999999</v>
      </c>
      <c r="AE106" s="48">
        <f>SUMPRODUCT(--('Input|Historical Data'!$AC$9:$AC$1180=$E106),--('Input|Historical Data'!$AM$9:$AM$1180="SCS"),--('Input|Historical Data'!$AL$9:$AL$1180=AE$5),'Input|Historical Data'!$AG$9:$AG$1180)</f>
        <v>3.69</v>
      </c>
      <c r="AF106" s="48">
        <f>SUMPRODUCT(--('Input|Historical Data'!$AC$9:$AC$1180=$E106),--('Input|Historical Data'!$AM$9:$AM$1180="SCS"),--('Input|Historical Data'!$AL$9:$AL$1180=AF$5),'Input|Historical Data'!$AG$9:$AG$1180)</f>
        <v>5.992</v>
      </c>
      <c r="AG106" s="48">
        <f>SUMPRODUCT(--('Input|Historical Data'!$AC$9:$AC$1180=$E106),--('Input|Historical Data'!$AM$9:$AM$1180="SCS"),--('Input|Historical Data'!$AL$9:$AL$1180=AG$5),'Input|Historical Data'!$AG$9:$AG$1180)</f>
        <v>2.0629999999999997</v>
      </c>
      <c r="AH106" s="48">
        <f>SUMPRODUCT(--('Input|Historical Data'!$AC$9:$AC$1180=$E106),--('Input|Historical Data'!$AM$9:$AM$1180="SCS"),--('Input|Historical Data'!$AK$9:$AK$1180=AH$5),'Input|Historical Data'!$AG$9:$AG$1180)</f>
        <v>3.8610000000000002</v>
      </c>
      <c r="AI106" s="49">
        <f t="shared" si="81"/>
        <v>0.31417624521072796</v>
      </c>
      <c r="AJ106" s="49">
        <f t="shared" si="82"/>
        <v>0.51017454235845039</v>
      </c>
      <c r="AK106" s="49">
        <f t="shared" si="83"/>
        <v>0.1756492124308216</v>
      </c>
      <c r="AL106" s="49">
        <f t="shared" si="84"/>
        <v>0.32873563218390811</v>
      </c>
      <c r="AM106" s="38"/>
      <c r="AN106" s="48"/>
      <c r="AO106" s="48"/>
      <c r="AP106" s="48"/>
      <c r="AQ106" s="48"/>
      <c r="AR106" s="48"/>
      <c r="AS106" s="49"/>
      <c r="AT106" s="49"/>
      <c r="AU106" s="49"/>
      <c r="AV106" s="49"/>
      <c r="AW106" s="38"/>
      <c r="AX106" s="49">
        <f t="shared" si="85"/>
        <v>0.31417624521072796</v>
      </c>
      <c r="AY106" s="49">
        <f t="shared" si="86"/>
        <v>0.51017454235845039</v>
      </c>
      <c r="AZ106" s="49">
        <f t="shared" si="87"/>
        <v>0.1756492124308216</v>
      </c>
      <c r="BA106" s="49">
        <f t="shared" si="88"/>
        <v>0.32873563218390811</v>
      </c>
      <c r="BB106" s="44"/>
    </row>
    <row r="107" spans="3:54" s="7" customFormat="1" outlineLevel="1" x14ac:dyDescent="0.3">
      <c r="C107" s="38"/>
      <c r="D107" s="38"/>
      <c r="E107" s="38" t="s">
        <v>178</v>
      </c>
      <c r="F107" s="38" t="s">
        <v>359</v>
      </c>
      <c r="G107" s="38" t="str">
        <f>VLOOKUP(E107,Mapping!$E$11:$G$204,3,0)</f>
        <v>Replacement</v>
      </c>
      <c r="H107" s="38" t="str">
        <f>VLOOKUP(E107,Mapping!$E$11:$K$204,7,0)</f>
        <v>SCS</v>
      </c>
      <c r="I107" s="38"/>
      <c r="J107" s="48">
        <f>SUMPRODUCT(--('Input|Historical Data'!$E$9:$E$1179=$E107),--('Input|Historical Data'!$O$9:$O$1179="SCS"),--('Input|Historical Data'!$M$9:$M$1179=J$5),'Input|Historical Data'!$I$9:$I$1179)</f>
        <v>0</v>
      </c>
      <c r="K107" s="48">
        <f>SUMPRODUCT(--('Input|Historical Data'!$E$9:$E$1179=$E107),--('Input|Historical Data'!$O$9:$O$1179="SCS"),--('Input|Historical Data'!$N$9:$N$1179=K$5),'Input|Historical Data'!$I$9:$I$1179)</f>
        <v>0</v>
      </c>
      <c r="L107" s="48">
        <f>SUMPRODUCT(--('Input|Historical Data'!$E$9:$E$1179=$E107),--('Input|Historical Data'!$O$9:$O$1179="SCS"),--('Input|Historical Data'!$N$9:$N$1179=L$5),'Input|Historical Data'!$I$9:$I$1179)</f>
        <v>0</v>
      </c>
      <c r="M107" s="48">
        <f>SUMPRODUCT(--('Input|Historical Data'!$E$9:$E$1179=$E107),--('Input|Historical Data'!$O$9:$O$1179="SCS"),--('Input|Historical Data'!$N$9:$N$1179=M$5),'Input|Historical Data'!$I$9:$I$1179)</f>
        <v>0</v>
      </c>
      <c r="N107" s="48">
        <f>SUMPRODUCT(--('Input|Historical Data'!$E$9:$E$1179=$E107),--('Input|Historical Data'!$O$9:$O$1179="SCS"),--('Input|Historical Data'!$M$9:$M$1179=N$5),'Input|Historical Data'!$I$9:$I$1179)</f>
        <v>0</v>
      </c>
      <c r="O107" s="49">
        <f t="shared" si="77"/>
        <v>0</v>
      </c>
      <c r="P107" s="49">
        <f t="shared" si="78"/>
        <v>0</v>
      </c>
      <c r="Q107" s="49">
        <f t="shared" si="79"/>
        <v>0</v>
      </c>
      <c r="R107" s="49">
        <f t="shared" si="80"/>
        <v>0</v>
      </c>
      <c r="S107" s="38"/>
      <c r="T107" s="48">
        <f>SUMPRODUCT(--('Input|Historical Data'!$Q$9:$Q$1179=$E107),--('Input|Historical Data'!$AA$9:$AA$1179="SCS"),--('Input|Historical Data'!$Y$9:$Y$1179=T$5),'Input|Historical Data'!$U$9:$U$1179)</f>
        <v>0</v>
      </c>
      <c r="U107" s="48">
        <f>SUMPRODUCT(--('Input|Historical Data'!$Q$9:$Q$1179=$E107),--('Input|Historical Data'!$AA$9:$AA$1179="SCS"),--('Input|Historical Data'!$Z$9:$Z$1179=U$5),'Input|Historical Data'!$U$9:$U$1179)</f>
        <v>0</v>
      </c>
      <c r="V107" s="48">
        <f>SUMPRODUCT(--('Input|Historical Data'!$Q$9:$Q$1179=$E107),--('Input|Historical Data'!$AA$9:$AA$1179="SCS"),--('Input|Historical Data'!$Z$9:$Z$1179=V$5),'Input|Historical Data'!$U$9:$U$1179)</f>
        <v>0</v>
      </c>
      <c r="W107" s="48">
        <f>SUMPRODUCT(--('Input|Historical Data'!$Q$9:$Q$1179=$E107),--('Input|Historical Data'!$AA$9:$AA$1179="SCS"),--('Input|Historical Data'!$Z$9:$Z$1179=W$5),'Input|Historical Data'!$U$9:$U$1179)</f>
        <v>0</v>
      </c>
      <c r="X107" s="48">
        <f>SUMPRODUCT(--('Input|Historical Data'!$Q$9:$Q$1179=$E107),--('Input|Historical Data'!$AA$9:$AA$1179="SCS"),--('Input|Historical Data'!$Y$9:$Y$1179=X$5),'Input|Historical Data'!$U$9:$U$1179)</f>
        <v>0</v>
      </c>
      <c r="Y107" s="49">
        <f t="shared" si="73"/>
        <v>0</v>
      </c>
      <c r="Z107" s="49">
        <f t="shared" si="74"/>
        <v>0</v>
      </c>
      <c r="AA107" s="49">
        <f t="shared" si="75"/>
        <v>0</v>
      </c>
      <c r="AB107" s="49">
        <f t="shared" si="76"/>
        <v>0</v>
      </c>
      <c r="AC107" s="38"/>
      <c r="AD107" s="48">
        <f>SUMPRODUCT(--('Input|Historical Data'!$AC$9:$AC$1180=$E107),--('Input|Historical Data'!$AM$9:$AM$1180="SCS"),--('Input|Historical Data'!$AK$9:$AK$1180=AD$5),'Input|Historical Data'!$AG$9:$AG$1180)</f>
        <v>23.309999999999995</v>
      </c>
      <c r="AE107" s="48">
        <f>SUMPRODUCT(--('Input|Historical Data'!$AC$9:$AC$1180=$E107),--('Input|Historical Data'!$AM$9:$AM$1180="SCS"),--('Input|Historical Data'!$AL$9:$AL$1180=AE$5),'Input|Historical Data'!$AG$9:$AG$1180)</f>
        <v>2.1619999999999999</v>
      </c>
      <c r="AF107" s="48">
        <f>SUMPRODUCT(--('Input|Historical Data'!$AC$9:$AC$1180=$E107),--('Input|Historical Data'!$AM$9:$AM$1180="SCS"),--('Input|Historical Data'!$AL$9:$AL$1180=AF$5),'Input|Historical Data'!$AG$9:$AG$1180)</f>
        <v>15.929</v>
      </c>
      <c r="AG107" s="48">
        <f>SUMPRODUCT(--('Input|Historical Data'!$AC$9:$AC$1180=$E107),--('Input|Historical Data'!$AM$9:$AM$1180="SCS"),--('Input|Historical Data'!$AL$9:$AL$1180=AG$5),'Input|Historical Data'!$AG$9:$AG$1180)</f>
        <v>5.2189999999999994</v>
      </c>
      <c r="AH107" s="48">
        <f>SUMPRODUCT(--('Input|Historical Data'!$AC$9:$AC$1180=$E107),--('Input|Historical Data'!$AM$9:$AM$1180="SCS"),--('Input|Historical Data'!$AK$9:$AK$1180=AH$5),'Input|Historical Data'!$AG$9:$AG$1180)</f>
        <v>5.944</v>
      </c>
      <c r="AI107" s="49">
        <f t="shared" si="81"/>
        <v>9.2749892749892732E-2</v>
      </c>
      <c r="AJ107" s="49">
        <f t="shared" si="82"/>
        <v>0.68335478335478328</v>
      </c>
      <c r="AK107" s="49">
        <f t="shared" si="83"/>
        <v>0.22389532389532385</v>
      </c>
      <c r="AL107" s="49">
        <f t="shared" si="84"/>
        <v>0.25499785499785504</v>
      </c>
      <c r="AM107" s="38"/>
      <c r="AN107" s="48"/>
      <c r="AO107" s="48"/>
      <c r="AP107" s="48"/>
      <c r="AQ107" s="48"/>
      <c r="AR107" s="48"/>
      <c r="AS107" s="49"/>
      <c r="AT107" s="49"/>
      <c r="AU107" s="49"/>
      <c r="AV107" s="49"/>
      <c r="AW107" s="38"/>
      <c r="AX107" s="49">
        <f t="shared" si="85"/>
        <v>9.2749892749892732E-2</v>
      </c>
      <c r="AY107" s="49">
        <f t="shared" si="86"/>
        <v>0.68335478335478328</v>
      </c>
      <c r="AZ107" s="49">
        <f t="shared" si="87"/>
        <v>0.22389532389532385</v>
      </c>
      <c r="BA107" s="49">
        <f t="shared" si="88"/>
        <v>0.25499785499785504</v>
      </c>
      <c r="BB107" s="44"/>
    </row>
    <row r="108" spans="3:54" s="7" customFormat="1" outlineLevel="1" x14ac:dyDescent="0.3">
      <c r="C108" s="38"/>
      <c r="D108" s="38"/>
      <c r="E108" s="38" t="s">
        <v>179</v>
      </c>
      <c r="F108" s="38" t="s">
        <v>360</v>
      </c>
      <c r="G108" s="38" t="str">
        <f>VLOOKUP(E108,Mapping!$E$11:$G$204,3,0)</f>
        <v>Replacement</v>
      </c>
      <c r="H108" s="38" t="str">
        <f>VLOOKUP(E108,Mapping!$E$11:$K$204,7,0)</f>
        <v>SCS</v>
      </c>
      <c r="I108" s="38"/>
      <c r="J108" s="48">
        <f>SUMPRODUCT(--('Input|Historical Data'!$E$9:$E$1179=$E108),--('Input|Historical Data'!$O$9:$O$1179="SCS"),--('Input|Historical Data'!$M$9:$M$1179=J$5),'Input|Historical Data'!$I$9:$I$1179)</f>
        <v>0</v>
      </c>
      <c r="K108" s="48">
        <f>SUMPRODUCT(--('Input|Historical Data'!$E$9:$E$1179=$E108),--('Input|Historical Data'!$O$9:$O$1179="SCS"),--('Input|Historical Data'!$N$9:$N$1179=K$5),'Input|Historical Data'!$I$9:$I$1179)</f>
        <v>0</v>
      </c>
      <c r="L108" s="48">
        <f>SUMPRODUCT(--('Input|Historical Data'!$E$9:$E$1179=$E108),--('Input|Historical Data'!$O$9:$O$1179="SCS"),--('Input|Historical Data'!$N$9:$N$1179=L$5),'Input|Historical Data'!$I$9:$I$1179)</f>
        <v>0</v>
      </c>
      <c r="M108" s="48">
        <f>SUMPRODUCT(--('Input|Historical Data'!$E$9:$E$1179=$E108),--('Input|Historical Data'!$O$9:$O$1179="SCS"),--('Input|Historical Data'!$N$9:$N$1179=M$5),'Input|Historical Data'!$I$9:$I$1179)</f>
        <v>0</v>
      </c>
      <c r="N108" s="48">
        <f>SUMPRODUCT(--('Input|Historical Data'!$E$9:$E$1179=$E108),--('Input|Historical Data'!$O$9:$O$1179="SCS"),--('Input|Historical Data'!$M$9:$M$1179=N$5),'Input|Historical Data'!$I$9:$I$1179)</f>
        <v>0</v>
      </c>
      <c r="O108" s="49">
        <f t="shared" si="77"/>
        <v>0</v>
      </c>
      <c r="P108" s="49">
        <f t="shared" si="78"/>
        <v>0</v>
      </c>
      <c r="Q108" s="49">
        <f t="shared" si="79"/>
        <v>0</v>
      </c>
      <c r="R108" s="49">
        <f t="shared" si="80"/>
        <v>0</v>
      </c>
      <c r="S108" s="38"/>
      <c r="T108" s="48">
        <f>SUMPRODUCT(--('Input|Historical Data'!$Q$9:$Q$1179=$E108),--('Input|Historical Data'!$AA$9:$AA$1179="SCS"),--('Input|Historical Data'!$Y$9:$Y$1179=T$5),'Input|Historical Data'!$U$9:$U$1179)</f>
        <v>0</v>
      </c>
      <c r="U108" s="48">
        <f>SUMPRODUCT(--('Input|Historical Data'!$Q$9:$Q$1179=$E108),--('Input|Historical Data'!$AA$9:$AA$1179="SCS"),--('Input|Historical Data'!$Z$9:$Z$1179=U$5),'Input|Historical Data'!$U$9:$U$1179)</f>
        <v>0</v>
      </c>
      <c r="V108" s="48">
        <f>SUMPRODUCT(--('Input|Historical Data'!$Q$9:$Q$1179=$E108),--('Input|Historical Data'!$AA$9:$AA$1179="SCS"),--('Input|Historical Data'!$Z$9:$Z$1179=V$5),'Input|Historical Data'!$U$9:$U$1179)</f>
        <v>0</v>
      </c>
      <c r="W108" s="48">
        <f>SUMPRODUCT(--('Input|Historical Data'!$Q$9:$Q$1179=$E108),--('Input|Historical Data'!$AA$9:$AA$1179="SCS"),--('Input|Historical Data'!$Z$9:$Z$1179=W$5),'Input|Historical Data'!$U$9:$U$1179)</f>
        <v>0</v>
      </c>
      <c r="X108" s="48">
        <f>SUMPRODUCT(--('Input|Historical Data'!$Q$9:$Q$1179=$E108),--('Input|Historical Data'!$AA$9:$AA$1179="SCS"),--('Input|Historical Data'!$Y$9:$Y$1179=X$5),'Input|Historical Data'!$U$9:$U$1179)</f>
        <v>0</v>
      </c>
      <c r="Y108" s="49">
        <f t="shared" si="73"/>
        <v>0</v>
      </c>
      <c r="Z108" s="49">
        <f t="shared" si="74"/>
        <v>0</v>
      </c>
      <c r="AA108" s="49">
        <f t="shared" si="75"/>
        <v>0</v>
      </c>
      <c r="AB108" s="49">
        <f t="shared" si="76"/>
        <v>0</v>
      </c>
      <c r="AC108" s="38"/>
      <c r="AD108" s="48">
        <f>SUMPRODUCT(--('Input|Historical Data'!$AC$9:$AC$1180=$E108),--('Input|Historical Data'!$AM$9:$AM$1180="SCS"),--('Input|Historical Data'!$AK$9:$AK$1180=AD$5),'Input|Historical Data'!$AG$9:$AG$1180)</f>
        <v>39.243000000000002</v>
      </c>
      <c r="AE108" s="48">
        <f>SUMPRODUCT(--('Input|Historical Data'!$AC$9:$AC$1180=$E108),--('Input|Historical Data'!$AM$9:$AM$1180="SCS"),--('Input|Historical Data'!$AL$9:$AL$1180=AE$5),'Input|Historical Data'!$AG$9:$AG$1180)</f>
        <v>8.4719999999999995</v>
      </c>
      <c r="AF108" s="48">
        <f>SUMPRODUCT(--('Input|Historical Data'!$AC$9:$AC$1180=$E108),--('Input|Historical Data'!$AM$9:$AM$1180="SCS"),--('Input|Historical Data'!$AL$9:$AL$1180=AF$5),'Input|Historical Data'!$AG$9:$AG$1180)</f>
        <v>23.488</v>
      </c>
      <c r="AG108" s="48">
        <f>SUMPRODUCT(--('Input|Historical Data'!$AC$9:$AC$1180=$E108),--('Input|Historical Data'!$AM$9:$AM$1180="SCS"),--('Input|Historical Data'!$AL$9:$AL$1180=AG$5),'Input|Historical Data'!$AG$9:$AG$1180)</f>
        <v>7.2830000000000004</v>
      </c>
      <c r="AH108" s="48">
        <f>SUMPRODUCT(--('Input|Historical Data'!$AC$9:$AC$1180=$E108),--('Input|Historical Data'!$AM$9:$AM$1180="SCS"),--('Input|Historical Data'!$AK$9:$AK$1180=AH$5),'Input|Historical Data'!$AG$9:$AG$1180)</f>
        <v>3.4969999999999999</v>
      </c>
      <c r="AI108" s="49">
        <f t="shared" si="81"/>
        <v>0.21588563565476643</v>
      </c>
      <c r="AJ108" s="49">
        <f t="shared" si="82"/>
        <v>0.59852712585684065</v>
      </c>
      <c r="AK108" s="49">
        <f t="shared" si="83"/>
        <v>0.18558723848839284</v>
      </c>
      <c r="AL108" s="49">
        <f t="shared" si="84"/>
        <v>8.9111433886298191E-2</v>
      </c>
      <c r="AM108" s="38"/>
      <c r="AN108" s="48"/>
      <c r="AO108" s="48"/>
      <c r="AP108" s="48"/>
      <c r="AQ108" s="48"/>
      <c r="AR108" s="48"/>
      <c r="AS108" s="49"/>
      <c r="AT108" s="49"/>
      <c r="AU108" s="49"/>
      <c r="AV108" s="49"/>
      <c r="AW108" s="38"/>
      <c r="AX108" s="49">
        <f t="shared" si="85"/>
        <v>0.21588563565476643</v>
      </c>
      <c r="AY108" s="49">
        <f t="shared" si="86"/>
        <v>0.59852712585684065</v>
      </c>
      <c r="AZ108" s="49">
        <f t="shared" si="87"/>
        <v>0.18558723848839284</v>
      </c>
      <c r="BA108" s="49">
        <f t="shared" si="88"/>
        <v>8.9111433886298191E-2</v>
      </c>
      <c r="BB108" s="44"/>
    </row>
    <row r="109" spans="3:54" s="7" customFormat="1" outlineLevel="1" x14ac:dyDescent="0.3">
      <c r="C109" s="38"/>
      <c r="D109" s="38"/>
      <c r="E109" s="38" t="s">
        <v>180</v>
      </c>
      <c r="F109" s="38" t="s">
        <v>361</v>
      </c>
      <c r="G109" s="38" t="str">
        <f>VLOOKUP(E109,Mapping!$E$11:$G$204,3,0)</f>
        <v>Replacement</v>
      </c>
      <c r="H109" s="38" t="str">
        <f>VLOOKUP(E109,Mapping!$E$11:$K$204,7,0)</f>
        <v>SCS</v>
      </c>
      <c r="I109" s="38"/>
      <c r="J109" s="48">
        <f>SUMPRODUCT(--('Input|Historical Data'!$E$9:$E$1179=$E109),--('Input|Historical Data'!$O$9:$O$1179="SCS"),--('Input|Historical Data'!$M$9:$M$1179=J$5),'Input|Historical Data'!$I$9:$I$1179)</f>
        <v>308.90699999999998</v>
      </c>
      <c r="K109" s="48">
        <f>SUMPRODUCT(--('Input|Historical Data'!$E$9:$E$1179=$E109),--('Input|Historical Data'!$O$9:$O$1179="SCS"),--('Input|Historical Data'!$N$9:$N$1179=K$5),'Input|Historical Data'!$I$9:$I$1179)</f>
        <v>181.53099999999998</v>
      </c>
      <c r="L109" s="48">
        <f>SUMPRODUCT(--('Input|Historical Data'!$E$9:$E$1179=$E109),--('Input|Historical Data'!$O$9:$O$1179="SCS"),--('Input|Historical Data'!$N$9:$N$1179=L$5),'Input|Historical Data'!$I$9:$I$1179)</f>
        <v>63.605000000000004</v>
      </c>
      <c r="M109" s="48">
        <f>SUMPRODUCT(--('Input|Historical Data'!$E$9:$E$1179=$E109),--('Input|Historical Data'!$O$9:$O$1179="SCS"),--('Input|Historical Data'!$N$9:$N$1179=M$5),'Input|Historical Data'!$I$9:$I$1179)</f>
        <v>63.771000000000001</v>
      </c>
      <c r="N109" s="48">
        <f>SUMPRODUCT(--('Input|Historical Data'!$E$9:$E$1179=$E109),--('Input|Historical Data'!$O$9:$O$1179="SCS"),--('Input|Historical Data'!$M$9:$M$1179=N$5),'Input|Historical Data'!$I$9:$I$1179)</f>
        <v>29.468</v>
      </c>
      <c r="O109" s="49">
        <f t="shared" si="77"/>
        <v>0.587655831690444</v>
      </c>
      <c r="P109" s="49">
        <f t="shared" si="78"/>
        <v>0.20590339487289058</v>
      </c>
      <c r="Q109" s="49">
        <f t="shared" si="79"/>
        <v>0.20644077343666542</v>
      </c>
      <c r="R109" s="49">
        <f t="shared" si="80"/>
        <v>9.5394406730828371E-2</v>
      </c>
      <c r="S109" s="38"/>
      <c r="T109" s="48">
        <f>SUMPRODUCT(--('Input|Historical Data'!$Q$9:$Q$1179=$E109),--('Input|Historical Data'!$AA$9:$AA$1179="SCS"),--('Input|Historical Data'!$Y$9:$Y$1179=T$5),'Input|Historical Data'!$U$9:$U$1179)</f>
        <v>431.02599999999995</v>
      </c>
      <c r="U109" s="48">
        <f>SUMPRODUCT(--('Input|Historical Data'!$Q$9:$Q$1179=$E109),--('Input|Historical Data'!$AA$9:$AA$1179="SCS"),--('Input|Historical Data'!$Z$9:$Z$1179=U$5),'Input|Historical Data'!$U$9:$U$1179)</f>
        <v>252.66299999999998</v>
      </c>
      <c r="V109" s="48">
        <f>SUMPRODUCT(--('Input|Historical Data'!$Q$9:$Q$1179=$E109),--('Input|Historical Data'!$AA$9:$AA$1179="SCS"),--('Input|Historical Data'!$Z$9:$Z$1179=V$5),'Input|Historical Data'!$U$9:$U$1179)</f>
        <v>95.004999999999995</v>
      </c>
      <c r="W109" s="48">
        <f>SUMPRODUCT(--('Input|Historical Data'!$Q$9:$Q$1179=$E109),--('Input|Historical Data'!$AA$9:$AA$1179="SCS"),--('Input|Historical Data'!$Z$9:$Z$1179=W$5),'Input|Historical Data'!$U$9:$U$1179)</f>
        <v>83.358000000000004</v>
      </c>
      <c r="X109" s="48">
        <f>SUMPRODUCT(--('Input|Historical Data'!$Q$9:$Q$1179=$E109),--('Input|Historical Data'!$AA$9:$AA$1179="SCS"),--('Input|Historical Data'!$Y$9:$Y$1179=X$5),'Input|Historical Data'!$U$9:$U$1179)</f>
        <v>57.616999999999997</v>
      </c>
      <c r="Y109" s="49">
        <f t="shared" si="73"/>
        <v>0.58618969621322137</v>
      </c>
      <c r="Z109" s="49">
        <f t="shared" si="74"/>
        <v>0.2204159377856556</v>
      </c>
      <c r="AA109" s="49">
        <f t="shared" si="75"/>
        <v>0.19339436600112292</v>
      </c>
      <c r="AB109" s="49">
        <f t="shared" si="76"/>
        <v>0.1336740707057115</v>
      </c>
      <c r="AC109" s="38"/>
      <c r="AD109" s="48">
        <f>SUMPRODUCT(--('Input|Historical Data'!$AC$9:$AC$1180=$E109),--('Input|Historical Data'!$AM$9:$AM$1180="SCS"),--('Input|Historical Data'!$AK$9:$AK$1180=AD$5),'Input|Historical Data'!$AG$9:$AG$1180)</f>
        <v>470.12099999999998</v>
      </c>
      <c r="AE109" s="48">
        <f>SUMPRODUCT(--('Input|Historical Data'!$AC$9:$AC$1180=$E109),--('Input|Historical Data'!$AM$9:$AM$1180="SCS"),--('Input|Historical Data'!$AL$9:$AL$1180=AE$5),'Input|Historical Data'!$AG$9:$AG$1180)</f>
        <v>287.99299999999999</v>
      </c>
      <c r="AF109" s="48">
        <f>SUMPRODUCT(--('Input|Historical Data'!$AC$9:$AC$1180=$E109),--('Input|Historical Data'!$AM$9:$AM$1180="SCS"),--('Input|Historical Data'!$AL$9:$AL$1180=AF$5),'Input|Historical Data'!$AG$9:$AG$1180)</f>
        <v>87.286000000000001</v>
      </c>
      <c r="AG109" s="48">
        <f>SUMPRODUCT(--('Input|Historical Data'!$AC$9:$AC$1180=$E109),--('Input|Historical Data'!$AM$9:$AM$1180="SCS"),--('Input|Historical Data'!$AL$9:$AL$1180=AG$5),'Input|Historical Data'!$AG$9:$AG$1180)</f>
        <v>94.841999999999999</v>
      </c>
      <c r="AH109" s="48">
        <f>SUMPRODUCT(--('Input|Historical Data'!$AC$9:$AC$1180=$E109),--('Input|Historical Data'!$AM$9:$AM$1180="SCS"),--('Input|Historical Data'!$AK$9:$AK$1180=AH$5),'Input|Historical Data'!$AG$9:$AG$1180)</f>
        <v>60.680999999999997</v>
      </c>
      <c r="AI109" s="49">
        <f t="shared" si="81"/>
        <v>0.61259335362598144</v>
      </c>
      <c r="AJ109" s="49">
        <f t="shared" si="82"/>
        <v>0.18566709421616989</v>
      </c>
      <c r="AK109" s="49">
        <f t="shared" si="83"/>
        <v>0.20173955215784872</v>
      </c>
      <c r="AL109" s="49">
        <f t="shared" si="84"/>
        <v>0.12907528061924484</v>
      </c>
      <c r="AM109" s="38"/>
      <c r="AN109" s="48"/>
      <c r="AO109" s="48"/>
      <c r="AP109" s="48"/>
      <c r="AQ109" s="48"/>
      <c r="AR109" s="48"/>
      <c r="AS109" s="49"/>
      <c r="AT109" s="49"/>
      <c r="AU109" s="49"/>
      <c r="AV109" s="49"/>
      <c r="AW109" s="38"/>
      <c r="AX109" s="49">
        <f t="shared" si="85"/>
        <v>0.59996426776097567</v>
      </c>
      <c r="AY109" s="49">
        <f t="shared" si="86"/>
        <v>0.20228775105504429</v>
      </c>
      <c r="AZ109" s="49">
        <f t="shared" si="87"/>
        <v>0.19774798118397996</v>
      </c>
      <c r="BA109" s="49">
        <f t="shared" si="88"/>
        <v>0.13127491963020463</v>
      </c>
      <c r="BB109" s="44"/>
    </row>
    <row r="110" spans="3:54" s="7" customFormat="1" outlineLevel="1" x14ac:dyDescent="0.3">
      <c r="C110" s="38"/>
      <c r="D110" s="38"/>
      <c r="E110" s="38" t="s">
        <v>181</v>
      </c>
      <c r="F110" s="38" t="s">
        <v>362</v>
      </c>
      <c r="G110" s="38" t="str">
        <f>VLOOKUP(E110,Mapping!$E$11:$G$204,3,0)</f>
        <v>Replacement</v>
      </c>
      <c r="H110" s="38" t="str">
        <f>VLOOKUP(E110,Mapping!$E$11:$K$204,7,0)</f>
        <v>SCS</v>
      </c>
      <c r="I110" s="38"/>
      <c r="J110" s="48">
        <f>SUMPRODUCT(--('Input|Historical Data'!$E$9:$E$1179=$E110),--('Input|Historical Data'!$O$9:$O$1179="SCS"),--('Input|Historical Data'!$M$9:$M$1179=J$5),'Input|Historical Data'!$I$9:$I$1179)</f>
        <v>0</v>
      </c>
      <c r="K110" s="48">
        <f>SUMPRODUCT(--('Input|Historical Data'!$E$9:$E$1179=$E110),--('Input|Historical Data'!$O$9:$O$1179="SCS"),--('Input|Historical Data'!$N$9:$N$1179=K$5),'Input|Historical Data'!$I$9:$I$1179)</f>
        <v>0</v>
      </c>
      <c r="L110" s="48">
        <f>SUMPRODUCT(--('Input|Historical Data'!$E$9:$E$1179=$E110),--('Input|Historical Data'!$O$9:$O$1179="SCS"),--('Input|Historical Data'!$N$9:$N$1179=L$5),'Input|Historical Data'!$I$9:$I$1179)</f>
        <v>0</v>
      </c>
      <c r="M110" s="48">
        <f>SUMPRODUCT(--('Input|Historical Data'!$E$9:$E$1179=$E110),--('Input|Historical Data'!$O$9:$O$1179="SCS"),--('Input|Historical Data'!$N$9:$N$1179=M$5),'Input|Historical Data'!$I$9:$I$1179)</f>
        <v>0</v>
      </c>
      <c r="N110" s="48">
        <f>SUMPRODUCT(--('Input|Historical Data'!$E$9:$E$1179=$E110),--('Input|Historical Data'!$O$9:$O$1179="SCS"),--('Input|Historical Data'!$M$9:$M$1179=N$5),'Input|Historical Data'!$I$9:$I$1179)</f>
        <v>0</v>
      </c>
      <c r="O110" s="49">
        <f t="shared" si="77"/>
        <v>0</v>
      </c>
      <c r="P110" s="49">
        <f t="shared" si="78"/>
        <v>0</v>
      </c>
      <c r="Q110" s="49">
        <f t="shared" si="79"/>
        <v>0</v>
      </c>
      <c r="R110" s="49">
        <f t="shared" si="80"/>
        <v>0</v>
      </c>
      <c r="S110" s="38"/>
      <c r="T110" s="48">
        <f>SUMPRODUCT(--('Input|Historical Data'!$Q$9:$Q$1179=$E110),--('Input|Historical Data'!$AA$9:$AA$1179="SCS"),--('Input|Historical Data'!$Y$9:$Y$1179=T$5),'Input|Historical Data'!$U$9:$U$1179)</f>
        <v>0</v>
      </c>
      <c r="U110" s="48">
        <f>SUMPRODUCT(--('Input|Historical Data'!$Q$9:$Q$1179=$E110),--('Input|Historical Data'!$AA$9:$AA$1179="SCS"),--('Input|Historical Data'!$Z$9:$Z$1179=U$5),'Input|Historical Data'!$U$9:$U$1179)</f>
        <v>0</v>
      </c>
      <c r="V110" s="48">
        <f>SUMPRODUCT(--('Input|Historical Data'!$Q$9:$Q$1179=$E110),--('Input|Historical Data'!$AA$9:$AA$1179="SCS"),--('Input|Historical Data'!$Z$9:$Z$1179=V$5),'Input|Historical Data'!$U$9:$U$1179)</f>
        <v>0</v>
      </c>
      <c r="W110" s="48">
        <f>SUMPRODUCT(--('Input|Historical Data'!$Q$9:$Q$1179=$E110),--('Input|Historical Data'!$AA$9:$AA$1179="SCS"),--('Input|Historical Data'!$Z$9:$Z$1179=W$5),'Input|Historical Data'!$U$9:$U$1179)</f>
        <v>0</v>
      </c>
      <c r="X110" s="48">
        <f>SUMPRODUCT(--('Input|Historical Data'!$Q$9:$Q$1179=$E110),--('Input|Historical Data'!$AA$9:$AA$1179="SCS"),--('Input|Historical Data'!$Y$9:$Y$1179=X$5),'Input|Historical Data'!$U$9:$U$1179)</f>
        <v>0</v>
      </c>
      <c r="Y110" s="49">
        <f t="shared" si="73"/>
        <v>0</v>
      </c>
      <c r="Z110" s="49">
        <f t="shared" si="74"/>
        <v>0</v>
      </c>
      <c r="AA110" s="49">
        <f t="shared" si="75"/>
        <v>0</v>
      </c>
      <c r="AB110" s="49">
        <f t="shared" si="76"/>
        <v>0</v>
      </c>
      <c r="AC110" s="38"/>
      <c r="AD110" s="48">
        <f>SUMPRODUCT(--('Input|Historical Data'!$AC$9:$AC$1180=$E110),--('Input|Historical Data'!$AM$9:$AM$1180="SCS"),--('Input|Historical Data'!$AK$9:$AK$1180=AD$5),'Input|Historical Data'!$AG$9:$AG$1180)</f>
        <v>20.382999999999999</v>
      </c>
      <c r="AE110" s="48">
        <f>SUMPRODUCT(--('Input|Historical Data'!$AC$9:$AC$1180=$E110),--('Input|Historical Data'!$AM$9:$AM$1180="SCS"),--('Input|Historical Data'!$AL$9:$AL$1180=AE$5),'Input|Historical Data'!$AG$9:$AG$1180)</f>
        <v>0</v>
      </c>
      <c r="AF110" s="48">
        <f>SUMPRODUCT(--('Input|Historical Data'!$AC$9:$AC$1180=$E110),--('Input|Historical Data'!$AM$9:$AM$1180="SCS"),--('Input|Historical Data'!$AL$9:$AL$1180=AF$5),'Input|Historical Data'!$AG$9:$AG$1180)</f>
        <v>15.913</v>
      </c>
      <c r="AG110" s="48">
        <f>SUMPRODUCT(--('Input|Historical Data'!$AC$9:$AC$1180=$E110),--('Input|Historical Data'!$AM$9:$AM$1180="SCS"),--('Input|Historical Data'!$AL$9:$AL$1180=AG$5),'Input|Historical Data'!$AG$9:$AG$1180)</f>
        <v>4.47</v>
      </c>
      <c r="AH110" s="48">
        <f>SUMPRODUCT(--('Input|Historical Data'!$AC$9:$AC$1180=$E110),--('Input|Historical Data'!$AM$9:$AM$1180="SCS"),--('Input|Historical Data'!$AK$9:$AK$1180=AH$5),'Input|Historical Data'!$AG$9:$AG$1180)</f>
        <v>5.54</v>
      </c>
      <c r="AI110" s="49">
        <f t="shared" si="81"/>
        <v>0</v>
      </c>
      <c r="AJ110" s="49">
        <f t="shared" si="82"/>
        <v>0.78069960261001825</v>
      </c>
      <c r="AK110" s="49">
        <f t="shared" si="83"/>
        <v>0.21930039738998183</v>
      </c>
      <c r="AL110" s="49">
        <f t="shared" si="84"/>
        <v>0.27179512338713635</v>
      </c>
      <c r="AM110" s="38"/>
      <c r="AN110" s="48"/>
      <c r="AO110" s="48"/>
      <c r="AP110" s="48"/>
      <c r="AQ110" s="48"/>
      <c r="AR110" s="48"/>
      <c r="AS110" s="49"/>
      <c r="AT110" s="49"/>
      <c r="AU110" s="49"/>
      <c r="AV110" s="49"/>
      <c r="AW110" s="38"/>
      <c r="AX110" s="49">
        <f t="shared" si="85"/>
        <v>0</v>
      </c>
      <c r="AY110" s="49">
        <f t="shared" si="86"/>
        <v>0.78069960261001825</v>
      </c>
      <c r="AZ110" s="49">
        <f t="shared" si="87"/>
        <v>0.21930039738998183</v>
      </c>
      <c r="BA110" s="49">
        <f t="shared" si="88"/>
        <v>0.27179512338713635</v>
      </c>
      <c r="BB110" s="44"/>
    </row>
    <row r="111" spans="3:54" s="7" customFormat="1" outlineLevel="1" x14ac:dyDescent="0.3">
      <c r="C111" s="38"/>
      <c r="D111" s="38"/>
      <c r="E111" s="38" t="s">
        <v>182</v>
      </c>
      <c r="F111" s="38" t="s">
        <v>363</v>
      </c>
      <c r="G111" s="38" t="str">
        <f>VLOOKUP(E111,Mapping!$E$11:$G$204,3,0)</f>
        <v>Replacement</v>
      </c>
      <c r="H111" s="38" t="str">
        <f>VLOOKUP(E111,Mapping!$E$11:$K$204,7,0)</f>
        <v>SCS</v>
      </c>
      <c r="I111" s="38"/>
      <c r="J111" s="48">
        <f>SUMPRODUCT(--('Input|Historical Data'!$E$9:$E$1179=$E111),--('Input|Historical Data'!$O$9:$O$1179="SCS"),--('Input|Historical Data'!$M$9:$M$1179=J$5),'Input|Historical Data'!$I$9:$I$1179)</f>
        <v>0</v>
      </c>
      <c r="K111" s="48">
        <f>SUMPRODUCT(--('Input|Historical Data'!$E$9:$E$1179=$E111),--('Input|Historical Data'!$O$9:$O$1179="SCS"),--('Input|Historical Data'!$N$9:$N$1179=K$5),'Input|Historical Data'!$I$9:$I$1179)</f>
        <v>0</v>
      </c>
      <c r="L111" s="48">
        <f>SUMPRODUCT(--('Input|Historical Data'!$E$9:$E$1179=$E111),--('Input|Historical Data'!$O$9:$O$1179="SCS"),--('Input|Historical Data'!$N$9:$N$1179=L$5),'Input|Historical Data'!$I$9:$I$1179)</f>
        <v>0</v>
      </c>
      <c r="M111" s="48">
        <f>SUMPRODUCT(--('Input|Historical Data'!$E$9:$E$1179=$E111),--('Input|Historical Data'!$O$9:$O$1179="SCS"),--('Input|Historical Data'!$N$9:$N$1179=M$5),'Input|Historical Data'!$I$9:$I$1179)</f>
        <v>0</v>
      </c>
      <c r="N111" s="48">
        <f>SUMPRODUCT(--('Input|Historical Data'!$E$9:$E$1179=$E111),--('Input|Historical Data'!$O$9:$O$1179="SCS"),--('Input|Historical Data'!$M$9:$M$1179=N$5),'Input|Historical Data'!$I$9:$I$1179)</f>
        <v>0</v>
      </c>
      <c r="O111" s="49">
        <f t="shared" si="77"/>
        <v>0</v>
      </c>
      <c r="P111" s="49">
        <f t="shared" si="78"/>
        <v>0</v>
      </c>
      <c r="Q111" s="49">
        <f t="shared" si="79"/>
        <v>0</v>
      </c>
      <c r="R111" s="49">
        <f t="shared" si="80"/>
        <v>0</v>
      </c>
      <c r="S111" s="38"/>
      <c r="T111" s="48">
        <f>SUMPRODUCT(--('Input|Historical Data'!$Q$9:$Q$1179=$E111),--('Input|Historical Data'!$AA$9:$AA$1179="SCS"),--('Input|Historical Data'!$Y$9:$Y$1179=T$5),'Input|Historical Data'!$U$9:$U$1179)</f>
        <v>0</v>
      </c>
      <c r="U111" s="48">
        <f>SUMPRODUCT(--('Input|Historical Data'!$Q$9:$Q$1179=$E111),--('Input|Historical Data'!$AA$9:$AA$1179="SCS"),--('Input|Historical Data'!$Z$9:$Z$1179=U$5),'Input|Historical Data'!$U$9:$U$1179)</f>
        <v>0</v>
      </c>
      <c r="V111" s="48">
        <f>SUMPRODUCT(--('Input|Historical Data'!$Q$9:$Q$1179=$E111),--('Input|Historical Data'!$AA$9:$AA$1179="SCS"),--('Input|Historical Data'!$Z$9:$Z$1179=V$5),'Input|Historical Data'!$U$9:$U$1179)</f>
        <v>0</v>
      </c>
      <c r="W111" s="48">
        <f>SUMPRODUCT(--('Input|Historical Data'!$Q$9:$Q$1179=$E111),--('Input|Historical Data'!$AA$9:$AA$1179="SCS"),--('Input|Historical Data'!$Z$9:$Z$1179=W$5),'Input|Historical Data'!$U$9:$U$1179)</f>
        <v>0</v>
      </c>
      <c r="X111" s="48">
        <f>SUMPRODUCT(--('Input|Historical Data'!$Q$9:$Q$1179=$E111),--('Input|Historical Data'!$AA$9:$AA$1179="SCS"),--('Input|Historical Data'!$Y$9:$Y$1179=X$5),'Input|Historical Data'!$U$9:$U$1179)</f>
        <v>0</v>
      </c>
      <c r="Y111" s="49">
        <f t="shared" si="73"/>
        <v>0</v>
      </c>
      <c r="Z111" s="49">
        <f t="shared" si="74"/>
        <v>0</v>
      </c>
      <c r="AA111" s="49">
        <f t="shared" si="75"/>
        <v>0</v>
      </c>
      <c r="AB111" s="49">
        <f t="shared" si="76"/>
        <v>0</v>
      </c>
      <c r="AC111" s="38"/>
      <c r="AD111" s="48">
        <f>SUMPRODUCT(--('Input|Historical Data'!$AC$9:$AC$1180=$E111),--('Input|Historical Data'!$AM$9:$AM$1180="SCS"),--('Input|Historical Data'!$AK$9:$AK$1180=AD$5),'Input|Historical Data'!$AG$9:$AG$1180)</f>
        <v>0</v>
      </c>
      <c r="AE111" s="48">
        <f>SUMPRODUCT(--('Input|Historical Data'!$AC$9:$AC$1180=$E111),--('Input|Historical Data'!$AM$9:$AM$1180="SCS"),--('Input|Historical Data'!$AL$9:$AL$1180=AE$5),'Input|Historical Data'!$AG$9:$AG$1180)</f>
        <v>0</v>
      </c>
      <c r="AF111" s="48">
        <f>SUMPRODUCT(--('Input|Historical Data'!$AC$9:$AC$1180=$E111),--('Input|Historical Data'!$AM$9:$AM$1180="SCS"),--('Input|Historical Data'!$AL$9:$AL$1180=AF$5),'Input|Historical Data'!$AG$9:$AG$1180)</f>
        <v>0</v>
      </c>
      <c r="AG111" s="48">
        <f>SUMPRODUCT(--('Input|Historical Data'!$AC$9:$AC$1180=$E111),--('Input|Historical Data'!$AM$9:$AM$1180="SCS"),--('Input|Historical Data'!$AL$9:$AL$1180=AG$5),'Input|Historical Data'!$AG$9:$AG$1180)</f>
        <v>0</v>
      </c>
      <c r="AH111" s="48">
        <f>SUMPRODUCT(--('Input|Historical Data'!$AC$9:$AC$1180=$E111),--('Input|Historical Data'!$AM$9:$AM$1180="SCS"),--('Input|Historical Data'!$AK$9:$AK$1180=AH$5),'Input|Historical Data'!$AG$9:$AG$1180)</f>
        <v>0</v>
      </c>
      <c r="AI111" s="49">
        <f t="shared" si="81"/>
        <v>0</v>
      </c>
      <c r="AJ111" s="49">
        <f t="shared" si="82"/>
        <v>0</v>
      </c>
      <c r="AK111" s="49">
        <f t="shared" si="83"/>
        <v>0</v>
      </c>
      <c r="AL111" s="49">
        <f t="shared" si="84"/>
        <v>0</v>
      </c>
      <c r="AM111" s="38"/>
      <c r="AN111" s="48"/>
      <c r="AO111" s="48"/>
      <c r="AP111" s="48"/>
      <c r="AQ111" s="48"/>
      <c r="AR111" s="48"/>
      <c r="AS111" s="49"/>
      <c r="AT111" s="49"/>
      <c r="AU111" s="49"/>
      <c r="AV111" s="49"/>
      <c r="AW111" s="38"/>
      <c r="AX111" s="49">
        <f t="shared" si="85"/>
        <v>0</v>
      </c>
      <c r="AY111" s="49">
        <f t="shared" si="86"/>
        <v>0</v>
      </c>
      <c r="AZ111" s="49">
        <f t="shared" si="87"/>
        <v>0</v>
      </c>
      <c r="BA111" s="49">
        <f t="shared" si="88"/>
        <v>0</v>
      </c>
      <c r="BB111" s="44"/>
    </row>
    <row r="112" spans="3:54" s="7" customFormat="1" outlineLevel="1" x14ac:dyDescent="0.3">
      <c r="C112" s="38"/>
      <c r="D112" s="38"/>
      <c r="E112" s="38" t="s">
        <v>183</v>
      </c>
      <c r="F112" s="38" t="s">
        <v>364</v>
      </c>
      <c r="G112" s="38" t="str">
        <f>VLOOKUP(E112,Mapping!$E$11:$G$204,3,0)</f>
        <v>Public Lighting</v>
      </c>
      <c r="H112" s="38" t="str">
        <f>VLOOKUP(E112,Mapping!$E$11:$K$204,7,0)</f>
        <v>Public Lighting</v>
      </c>
      <c r="I112" s="38"/>
      <c r="J112" s="48">
        <f>SUMPRODUCT(--('Input|Historical Data'!$E$9:$E$1179=$E112),--('Input|Historical Data'!$O$9:$O$1179="SCS"),--('Input|Historical Data'!$M$9:$M$1179=J$5),'Input|Historical Data'!$I$9:$I$1179)</f>
        <v>0</v>
      </c>
      <c r="K112" s="48">
        <f>SUMPRODUCT(--('Input|Historical Data'!$E$9:$E$1179=$E112),--('Input|Historical Data'!$O$9:$O$1179="SCS"),--('Input|Historical Data'!$N$9:$N$1179=K$5),'Input|Historical Data'!$I$9:$I$1179)</f>
        <v>0</v>
      </c>
      <c r="L112" s="48">
        <f>SUMPRODUCT(--('Input|Historical Data'!$E$9:$E$1179=$E112),--('Input|Historical Data'!$O$9:$O$1179="SCS"),--('Input|Historical Data'!$N$9:$N$1179=L$5),'Input|Historical Data'!$I$9:$I$1179)</f>
        <v>0</v>
      </c>
      <c r="M112" s="48">
        <f>SUMPRODUCT(--('Input|Historical Data'!$E$9:$E$1179=$E112),--('Input|Historical Data'!$O$9:$O$1179="SCS"),--('Input|Historical Data'!$N$9:$N$1179=M$5),'Input|Historical Data'!$I$9:$I$1179)</f>
        <v>0</v>
      </c>
      <c r="N112" s="48">
        <f>SUMPRODUCT(--('Input|Historical Data'!$E$9:$E$1179=$E112),--('Input|Historical Data'!$O$9:$O$1179="SCS"),--('Input|Historical Data'!$M$9:$M$1179=N$5),'Input|Historical Data'!$I$9:$I$1179)</f>
        <v>0</v>
      </c>
      <c r="O112" s="49">
        <f t="shared" si="77"/>
        <v>0</v>
      </c>
      <c r="P112" s="49">
        <f t="shared" si="78"/>
        <v>0</v>
      </c>
      <c r="Q112" s="49">
        <f t="shared" si="79"/>
        <v>0</v>
      </c>
      <c r="R112" s="49">
        <f t="shared" si="80"/>
        <v>0</v>
      </c>
      <c r="S112" s="38"/>
      <c r="T112" s="48">
        <f>SUMPRODUCT(--('Input|Historical Data'!$Q$9:$Q$1179=$E112),--('Input|Historical Data'!$AA$9:$AA$1179="SCS"),--('Input|Historical Data'!$Y$9:$Y$1179=T$5),'Input|Historical Data'!$U$9:$U$1179)</f>
        <v>0</v>
      </c>
      <c r="U112" s="48">
        <f>SUMPRODUCT(--('Input|Historical Data'!$Q$9:$Q$1179=$E112),--('Input|Historical Data'!$AA$9:$AA$1179="SCS"),--('Input|Historical Data'!$Z$9:$Z$1179=U$5),'Input|Historical Data'!$U$9:$U$1179)</f>
        <v>0</v>
      </c>
      <c r="V112" s="48">
        <f>SUMPRODUCT(--('Input|Historical Data'!$Q$9:$Q$1179=$E112),--('Input|Historical Data'!$AA$9:$AA$1179="SCS"),--('Input|Historical Data'!$Z$9:$Z$1179=V$5),'Input|Historical Data'!$U$9:$U$1179)</f>
        <v>0</v>
      </c>
      <c r="W112" s="48">
        <f>SUMPRODUCT(--('Input|Historical Data'!$Q$9:$Q$1179=$E112),--('Input|Historical Data'!$AA$9:$AA$1179="SCS"),--('Input|Historical Data'!$Z$9:$Z$1179=W$5),'Input|Historical Data'!$U$9:$U$1179)</f>
        <v>0</v>
      </c>
      <c r="X112" s="48">
        <f>SUMPRODUCT(--('Input|Historical Data'!$Q$9:$Q$1179=$E112),--('Input|Historical Data'!$AA$9:$AA$1179="SCS"),--('Input|Historical Data'!$Y$9:$Y$1179=X$5),'Input|Historical Data'!$U$9:$U$1179)</f>
        <v>0</v>
      </c>
      <c r="Y112" s="49">
        <f t="shared" si="73"/>
        <v>0</v>
      </c>
      <c r="Z112" s="49">
        <f t="shared" si="74"/>
        <v>0</v>
      </c>
      <c r="AA112" s="49">
        <f t="shared" si="75"/>
        <v>0</v>
      </c>
      <c r="AB112" s="49">
        <f t="shared" si="76"/>
        <v>0</v>
      </c>
      <c r="AC112" s="38"/>
      <c r="AD112" s="48">
        <f>SUMPRODUCT(--('Input|Historical Data'!$AC$9:$AC$1180=$E112),--('Input|Historical Data'!$AM$9:$AM$1180="SCS"),--('Input|Historical Data'!$AK$9:$AK$1180=AD$5),'Input|Historical Data'!$AG$9:$AG$1180)</f>
        <v>0</v>
      </c>
      <c r="AE112" s="48">
        <f>SUMPRODUCT(--('Input|Historical Data'!$AC$9:$AC$1180=$E112),--('Input|Historical Data'!$AM$9:$AM$1180="SCS"),--('Input|Historical Data'!$AL$9:$AL$1180=AE$5),'Input|Historical Data'!$AG$9:$AG$1180)</f>
        <v>0</v>
      </c>
      <c r="AF112" s="48">
        <f>SUMPRODUCT(--('Input|Historical Data'!$AC$9:$AC$1180=$E112),--('Input|Historical Data'!$AM$9:$AM$1180="SCS"),--('Input|Historical Data'!$AL$9:$AL$1180=AF$5),'Input|Historical Data'!$AG$9:$AG$1180)</f>
        <v>0</v>
      </c>
      <c r="AG112" s="48">
        <f>SUMPRODUCT(--('Input|Historical Data'!$AC$9:$AC$1180=$E112),--('Input|Historical Data'!$AM$9:$AM$1180="SCS"),--('Input|Historical Data'!$AL$9:$AL$1180=AG$5),'Input|Historical Data'!$AG$9:$AG$1180)</f>
        <v>0</v>
      </c>
      <c r="AH112" s="48">
        <f>SUMPRODUCT(--('Input|Historical Data'!$AC$9:$AC$1180=$E112),--('Input|Historical Data'!$AM$9:$AM$1180="SCS"),--('Input|Historical Data'!$AK$9:$AK$1180=AH$5),'Input|Historical Data'!$AG$9:$AG$1180)</f>
        <v>0</v>
      </c>
      <c r="AI112" s="49">
        <f t="shared" si="81"/>
        <v>0</v>
      </c>
      <c r="AJ112" s="49">
        <f t="shared" si="82"/>
        <v>0</v>
      </c>
      <c r="AK112" s="49">
        <f t="shared" si="83"/>
        <v>0</v>
      </c>
      <c r="AL112" s="49">
        <f t="shared" si="84"/>
        <v>0</v>
      </c>
      <c r="AM112" s="38"/>
      <c r="AN112" s="48"/>
      <c r="AO112" s="48"/>
      <c r="AP112" s="48"/>
      <c r="AQ112" s="48"/>
      <c r="AR112" s="48"/>
      <c r="AS112" s="49"/>
      <c r="AT112" s="49"/>
      <c r="AU112" s="49"/>
      <c r="AV112" s="49"/>
      <c r="AW112" s="38"/>
      <c r="AX112" s="49">
        <f t="shared" si="85"/>
        <v>0</v>
      </c>
      <c r="AY112" s="49">
        <f t="shared" si="86"/>
        <v>0</v>
      </c>
      <c r="AZ112" s="49">
        <f t="shared" si="87"/>
        <v>0</v>
      </c>
      <c r="BA112" s="49">
        <f t="shared" si="88"/>
        <v>0</v>
      </c>
      <c r="BB112" s="44"/>
    </row>
    <row r="113" spans="3:54" s="7" customFormat="1" outlineLevel="1" x14ac:dyDescent="0.3">
      <c r="C113" s="38"/>
      <c r="D113" s="38"/>
      <c r="E113" s="38" t="s">
        <v>184</v>
      </c>
      <c r="F113" s="38" t="s">
        <v>365</v>
      </c>
      <c r="G113" s="38" t="str">
        <f>VLOOKUP(E113,Mapping!$E$11:$G$204,3,0)</f>
        <v>Public Lighting</v>
      </c>
      <c r="H113" s="38" t="str">
        <f>VLOOKUP(E113,Mapping!$E$11:$K$204,7,0)</f>
        <v>Public Lighting</v>
      </c>
      <c r="I113" s="38"/>
      <c r="J113" s="48">
        <f>SUMPRODUCT(--('Input|Historical Data'!$E$9:$E$1179=$E113),--('Input|Historical Data'!$O$9:$O$1179="SCS"),--('Input|Historical Data'!$M$9:$M$1179=J$5),'Input|Historical Data'!$I$9:$I$1179)</f>
        <v>0</v>
      </c>
      <c r="K113" s="48">
        <f>SUMPRODUCT(--('Input|Historical Data'!$E$9:$E$1179=$E113),--('Input|Historical Data'!$O$9:$O$1179="SCS"),--('Input|Historical Data'!$N$9:$N$1179=K$5),'Input|Historical Data'!$I$9:$I$1179)</f>
        <v>0</v>
      </c>
      <c r="L113" s="48">
        <f>SUMPRODUCT(--('Input|Historical Data'!$E$9:$E$1179=$E113),--('Input|Historical Data'!$O$9:$O$1179="SCS"),--('Input|Historical Data'!$N$9:$N$1179=L$5),'Input|Historical Data'!$I$9:$I$1179)</f>
        <v>0</v>
      </c>
      <c r="M113" s="48">
        <f>SUMPRODUCT(--('Input|Historical Data'!$E$9:$E$1179=$E113),--('Input|Historical Data'!$O$9:$O$1179="SCS"),--('Input|Historical Data'!$N$9:$N$1179=M$5),'Input|Historical Data'!$I$9:$I$1179)</f>
        <v>0</v>
      </c>
      <c r="N113" s="48">
        <f>SUMPRODUCT(--('Input|Historical Data'!$E$9:$E$1179=$E113),--('Input|Historical Data'!$O$9:$O$1179="SCS"),--('Input|Historical Data'!$M$9:$M$1179=N$5),'Input|Historical Data'!$I$9:$I$1179)</f>
        <v>0</v>
      </c>
      <c r="O113" s="49">
        <f t="shared" si="77"/>
        <v>0</v>
      </c>
      <c r="P113" s="49">
        <f t="shared" si="78"/>
        <v>0</v>
      </c>
      <c r="Q113" s="49">
        <f t="shared" si="79"/>
        <v>0</v>
      </c>
      <c r="R113" s="49">
        <f t="shared" si="80"/>
        <v>0</v>
      </c>
      <c r="S113" s="38"/>
      <c r="T113" s="48">
        <f>SUMPRODUCT(--('Input|Historical Data'!$Q$9:$Q$1179=$E113),--('Input|Historical Data'!$AA$9:$AA$1179="SCS"),--('Input|Historical Data'!$Y$9:$Y$1179=T$5),'Input|Historical Data'!$U$9:$U$1179)</f>
        <v>0</v>
      </c>
      <c r="U113" s="48">
        <f>SUMPRODUCT(--('Input|Historical Data'!$Q$9:$Q$1179=$E113),--('Input|Historical Data'!$AA$9:$AA$1179="SCS"),--('Input|Historical Data'!$Z$9:$Z$1179=U$5),'Input|Historical Data'!$U$9:$U$1179)</f>
        <v>0</v>
      </c>
      <c r="V113" s="48">
        <f>SUMPRODUCT(--('Input|Historical Data'!$Q$9:$Q$1179=$E113),--('Input|Historical Data'!$AA$9:$AA$1179="SCS"),--('Input|Historical Data'!$Z$9:$Z$1179=V$5),'Input|Historical Data'!$U$9:$U$1179)</f>
        <v>0</v>
      </c>
      <c r="W113" s="48">
        <f>SUMPRODUCT(--('Input|Historical Data'!$Q$9:$Q$1179=$E113),--('Input|Historical Data'!$AA$9:$AA$1179="SCS"),--('Input|Historical Data'!$Z$9:$Z$1179=W$5),'Input|Historical Data'!$U$9:$U$1179)</f>
        <v>0</v>
      </c>
      <c r="X113" s="48">
        <f>SUMPRODUCT(--('Input|Historical Data'!$Q$9:$Q$1179=$E113),--('Input|Historical Data'!$AA$9:$AA$1179="SCS"),--('Input|Historical Data'!$Y$9:$Y$1179=X$5),'Input|Historical Data'!$U$9:$U$1179)</f>
        <v>0</v>
      </c>
      <c r="Y113" s="49">
        <f t="shared" si="73"/>
        <v>0</v>
      </c>
      <c r="Z113" s="49">
        <f t="shared" si="74"/>
        <v>0</v>
      </c>
      <c r="AA113" s="49">
        <f t="shared" si="75"/>
        <v>0</v>
      </c>
      <c r="AB113" s="49">
        <f t="shared" si="76"/>
        <v>0</v>
      </c>
      <c r="AC113" s="38"/>
      <c r="AD113" s="48">
        <f>SUMPRODUCT(--('Input|Historical Data'!$AC$9:$AC$1180=$E113),--('Input|Historical Data'!$AM$9:$AM$1180="SCS"),--('Input|Historical Data'!$AK$9:$AK$1180=AD$5),'Input|Historical Data'!$AG$9:$AG$1180)</f>
        <v>0</v>
      </c>
      <c r="AE113" s="48">
        <f>SUMPRODUCT(--('Input|Historical Data'!$AC$9:$AC$1180=$E113),--('Input|Historical Data'!$AM$9:$AM$1180="SCS"),--('Input|Historical Data'!$AL$9:$AL$1180=AE$5),'Input|Historical Data'!$AG$9:$AG$1180)</f>
        <v>0</v>
      </c>
      <c r="AF113" s="48">
        <f>SUMPRODUCT(--('Input|Historical Data'!$AC$9:$AC$1180=$E113),--('Input|Historical Data'!$AM$9:$AM$1180="SCS"),--('Input|Historical Data'!$AL$9:$AL$1180=AF$5),'Input|Historical Data'!$AG$9:$AG$1180)</f>
        <v>0</v>
      </c>
      <c r="AG113" s="48">
        <f>SUMPRODUCT(--('Input|Historical Data'!$AC$9:$AC$1180=$E113),--('Input|Historical Data'!$AM$9:$AM$1180="SCS"),--('Input|Historical Data'!$AL$9:$AL$1180=AG$5),'Input|Historical Data'!$AG$9:$AG$1180)</f>
        <v>0</v>
      </c>
      <c r="AH113" s="48">
        <f>SUMPRODUCT(--('Input|Historical Data'!$AC$9:$AC$1180=$E113),--('Input|Historical Data'!$AM$9:$AM$1180="SCS"),--('Input|Historical Data'!$AK$9:$AK$1180=AH$5),'Input|Historical Data'!$AG$9:$AG$1180)</f>
        <v>0</v>
      </c>
      <c r="AI113" s="49">
        <f t="shared" si="81"/>
        <v>0</v>
      </c>
      <c r="AJ113" s="49">
        <f t="shared" si="82"/>
        <v>0</v>
      </c>
      <c r="AK113" s="49">
        <f t="shared" si="83"/>
        <v>0</v>
      </c>
      <c r="AL113" s="49">
        <f t="shared" si="84"/>
        <v>0</v>
      </c>
      <c r="AM113" s="38"/>
      <c r="AN113" s="48"/>
      <c r="AO113" s="48"/>
      <c r="AP113" s="48"/>
      <c r="AQ113" s="48"/>
      <c r="AR113" s="48"/>
      <c r="AS113" s="49"/>
      <c r="AT113" s="49"/>
      <c r="AU113" s="49"/>
      <c r="AV113" s="49"/>
      <c r="AW113" s="38"/>
      <c r="AX113" s="49">
        <f t="shared" si="85"/>
        <v>0</v>
      </c>
      <c r="AY113" s="49">
        <f t="shared" si="86"/>
        <v>0</v>
      </c>
      <c r="AZ113" s="49">
        <f t="shared" si="87"/>
        <v>0</v>
      </c>
      <c r="BA113" s="49">
        <f t="shared" si="88"/>
        <v>0</v>
      </c>
      <c r="BB113" s="44"/>
    </row>
    <row r="114" spans="3:54" s="7" customFormat="1" outlineLevel="1" x14ac:dyDescent="0.3">
      <c r="C114" s="38"/>
      <c r="D114" s="38"/>
      <c r="E114" s="38" t="s">
        <v>185</v>
      </c>
      <c r="F114" s="38" t="s">
        <v>366</v>
      </c>
      <c r="G114" s="38" t="str">
        <f>VLOOKUP(E114,Mapping!$E$11:$G$204,3,0)</f>
        <v>Public Lighting</v>
      </c>
      <c r="H114" s="38" t="str">
        <f>VLOOKUP(E114,Mapping!$E$11:$K$204,7,0)</f>
        <v>Public Lighting</v>
      </c>
      <c r="I114" s="38"/>
      <c r="J114" s="48">
        <f>SUMPRODUCT(--('Input|Historical Data'!$E$9:$E$1179=$E114),--('Input|Historical Data'!$O$9:$O$1179="SCS"),--('Input|Historical Data'!$M$9:$M$1179=J$5),'Input|Historical Data'!$I$9:$I$1179)</f>
        <v>0</v>
      </c>
      <c r="K114" s="48">
        <f>SUMPRODUCT(--('Input|Historical Data'!$E$9:$E$1179=$E114),--('Input|Historical Data'!$O$9:$O$1179="SCS"),--('Input|Historical Data'!$N$9:$N$1179=K$5),'Input|Historical Data'!$I$9:$I$1179)</f>
        <v>0</v>
      </c>
      <c r="L114" s="48">
        <f>SUMPRODUCT(--('Input|Historical Data'!$E$9:$E$1179=$E114),--('Input|Historical Data'!$O$9:$O$1179="SCS"),--('Input|Historical Data'!$N$9:$N$1179=L$5),'Input|Historical Data'!$I$9:$I$1179)</f>
        <v>0</v>
      </c>
      <c r="M114" s="48">
        <f>SUMPRODUCT(--('Input|Historical Data'!$E$9:$E$1179=$E114),--('Input|Historical Data'!$O$9:$O$1179="SCS"),--('Input|Historical Data'!$N$9:$N$1179=M$5),'Input|Historical Data'!$I$9:$I$1179)</f>
        <v>0</v>
      </c>
      <c r="N114" s="48">
        <f>SUMPRODUCT(--('Input|Historical Data'!$E$9:$E$1179=$E114),--('Input|Historical Data'!$O$9:$O$1179="SCS"),--('Input|Historical Data'!$M$9:$M$1179=N$5),'Input|Historical Data'!$I$9:$I$1179)</f>
        <v>0</v>
      </c>
      <c r="O114" s="49">
        <f t="shared" si="77"/>
        <v>0</v>
      </c>
      <c r="P114" s="49">
        <f t="shared" si="78"/>
        <v>0</v>
      </c>
      <c r="Q114" s="49">
        <f t="shared" si="79"/>
        <v>0</v>
      </c>
      <c r="R114" s="49">
        <f t="shared" si="80"/>
        <v>0</v>
      </c>
      <c r="S114" s="38"/>
      <c r="T114" s="48">
        <f>SUMPRODUCT(--('Input|Historical Data'!$Q$9:$Q$1179=$E114),--('Input|Historical Data'!$AA$9:$AA$1179="SCS"),--('Input|Historical Data'!$Y$9:$Y$1179=T$5),'Input|Historical Data'!$U$9:$U$1179)</f>
        <v>0</v>
      </c>
      <c r="U114" s="48">
        <f>SUMPRODUCT(--('Input|Historical Data'!$Q$9:$Q$1179=$E114),--('Input|Historical Data'!$AA$9:$AA$1179="SCS"),--('Input|Historical Data'!$Z$9:$Z$1179=U$5),'Input|Historical Data'!$U$9:$U$1179)</f>
        <v>0</v>
      </c>
      <c r="V114" s="48">
        <f>SUMPRODUCT(--('Input|Historical Data'!$Q$9:$Q$1179=$E114),--('Input|Historical Data'!$AA$9:$AA$1179="SCS"),--('Input|Historical Data'!$Z$9:$Z$1179=V$5),'Input|Historical Data'!$U$9:$U$1179)</f>
        <v>0</v>
      </c>
      <c r="W114" s="48">
        <f>SUMPRODUCT(--('Input|Historical Data'!$Q$9:$Q$1179=$E114),--('Input|Historical Data'!$AA$9:$AA$1179="SCS"),--('Input|Historical Data'!$Z$9:$Z$1179=W$5),'Input|Historical Data'!$U$9:$U$1179)</f>
        <v>0</v>
      </c>
      <c r="X114" s="48">
        <f>SUMPRODUCT(--('Input|Historical Data'!$Q$9:$Q$1179=$E114),--('Input|Historical Data'!$AA$9:$AA$1179="SCS"),--('Input|Historical Data'!$Y$9:$Y$1179=X$5),'Input|Historical Data'!$U$9:$U$1179)</f>
        <v>0</v>
      </c>
      <c r="Y114" s="49">
        <f t="shared" si="73"/>
        <v>0</v>
      </c>
      <c r="Z114" s="49">
        <f t="shared" si="74"/>
        <v>0</v>
      </c>
      <c r="AA114" s="49">
        <f t="shared" si="75"/>
        <v>0</v>
      </c>
      <c r="AB114" s="49">
        <f t="shared" si="76"/>
        <v>0</v>
      </c>
      <c r="AC114" s="38"/>
      <c r="AD114" s="48">
        <f>SUMPRODUCT(--('Input|Historical Data'!$AC$9:$AC$1180=$E114),--('Input|Historical Data'!$AM$9:$AM$1180="SCS"),--('Input|Historical Data'!$AK$9:$AK$1180=AD$5),'Input|Historical Data'!$AG$9:$AG$1180)</f>
        <v>0</v>
      </c>
      <c r="AE114" s="48">
        <f>SUMPRODUCT(--('Input|Historical Data'!$AC$9:$AC$1180=$E114),--('Input|Historical Data'!$AM$9:$AM$1180="SCS"),--('Input|Historical Data'!$AL$9:$AL$1180=AE$5),'Input|Historical Data'!$AG$9:$AG$1180)</f>
        <v>0</v>
      </c>
      <c r="AF114" s="48">
        <f>SUMPRODUCT(--('Input|Historical Data'!$AC$9:$AC$1180=$E114),--('Input|Historical Data'!$AM$9:$AM$1180="SCS"),--('Input|Historical Data'!$AL$9:$AL$1180=AF$5),'Input|Historical Data'!$AG$9:$AG$1180)</f>
        <v>0</v>
      </c>
      <c r="AG114" s="48">
        <f>SUMPRODUCT(--('Input|Historical Data'!$AC$9:$AC$1180=$E114),--('Input|Historical Data'!$AM$9:$AM$1180="SCS"),--('Input|Historical Data'!$AL$9:$AL$1180=AG$5),'Input|Historical Data'!$AG$9:$AG$1180)</f>
        <v>0</v>
      </c>
      <c r="AH114" s="48">
        <f>SUMPRODUCT(--('Input|Historical Data'!$AC$9:$AC$1180=$E114),--('Input|Historical Data'!$AM$9:$AM$1180="SCS"),--('Input|Historical Data'!$AK$9:$AK$1180=AH$5),'Input|Historical Data'!$AG$9:$AG$1180)</f>
        <v>0</v>
      </c>
      <c r="AI114" s="49">
        <f t="shared" si="81"/>
        <v>0</v>
      </c>
      <c r="AJ114" s="49">
        <f t="shared" si="82"/>
        <v>0</v>
      </c>
      <c r="AK114" s="49">
        <f t="shared" si="83"/>
        <v>0</v>
      </c>
      <c r="AL114" s="49">
        <f t="shared" si="84"/>
        <v>0</v>
      </c>
      <c r="AM114" s="38"/>
      <c r="AN114" s="48"/>
      <c r="AO114" s="48"/>
      <c r="AP114" s="48"/>
      <c r="AQ114" s="48"/>
      <c r="AR114" s="48"/>
      <c r="AS114" s="49"/>
      <c r="AT114" s="49"/>
      <c r="AU114" s="49"/>
      <c r="AV114" s="49"/>
      <c r="AW114" s="38"/>
      <c r="AX114" s="49">
        <f t="shared" si="85"/>
        <v>0</v>
      </c>
      <c r="AY114" s="49">
        <f t="shared" si="86"/>
        <v>0</v>
      </c>
      <c r="AZ114" s="49">
        <f t="shared" si="87"/>
        <v>0</v>
      </c>
      <c r="BA114" s="49">
        <f t="shared" si="88"/>
        <v>0</v>
      </c>
      <c r="BB114" s="44"/>
    </row>
    <row r="115" spans="3:54" s="7" customFormat="1" outlineLevel="1" x14ac:dyDescent="0.3">
      <c r="C115" s="38"/>
      <c r="D115" s="38"/>
      <c r="E115" s="38" t="s">
        <v>186</v>
      </c>
      <c r="F115" s="38" t="s">
        <v>367</v>
      </c>
      <c r="G115" s="38" t="str">
        <f>VLOOKUP(E115,Mapping!$E$11:$G$204,3,0)</f>
        <v>Replacement</v>
      </c>
      <c r="H115" s="38" t="str">
        <f>VLOOKUP(E115,Mapping!$E$11:$K$204,7,0)</f>
        <v>SCS</v>
      </c>
      <c r="I115" s="38"/>
      <c r="J115" s="48">
        <f>SUMPRODUCT(--('Input|Historical Data'!$E$9:$E$1179=$E115),--('Input|Historical Data'!$O$9:$O$1179="SCS"),--('Input|Historical Data'!$M$9:$M$1179=J$5),'Input|Historical Data'!$I$9:$I$1179)</f>
        <v>1225.5280000000002</v>
      </c>
      <c r="K115" s="48">
        <f>SUMPRODUCT(--('Input|Historical Data'!$E$9:$E$1179=$E115),--('Input|Historical Data'!$O$9:$O$1179="SCS"),--('Input|Historical Data'!$N$9:$N$1179=K$5),'Input|Historical Data'!$I$9:$I$1179)</f>
        <v>648.57300000000009</v>
      </c>
      <c r="L115" s="48">
        <f>SUMPRODUCT(--('Input|Historical Data'!$E$9:$E$1179=$E115),--('Input|Historical Data'!$O$9:$O$1179="SCS"),--('Input|Historical Data'!$N$9:$N$1179=L$5),'Input|Historical Data'!$I$9:$I$1179)</f>
        <v>259.89100000000002</v>
      </c>
      <c r="M115" s="48">
        <f>SUMPRODUCT(--('Input|Historical Data'!$E$9:$E$1179=$E115),--('Input|Historical Data'!$O$9:$O$1179="SCS"),--('Input|Historical Data'!$N$9:$N$1179=M$5),'Input|Historical Data'!$I$9:$I$1179)</f>
        <v>317.06399999999996</v>
      </c>
      <c r="N115" s="48">
        <f>SUMPRODUCT(--('Input|Historical Data'!$E$9:$E$1179=$E115),--('Input|Historical Data'!$O$9:$O$1179="SCS"),--('Input|Historical Data'!$M$9:$M$1179=N$5),'Input|Historical Data'!$I$9:$I$1179)</f>
        <v>117.496</v>
      </c>
      <c r="O115" s="49">
        <f t="shared" si="77"/>
        <v>0.52921924264480291</v>
      </c>
      <c r="P115" s="49">
        <f t="shared" si="78"/>
        <v>0.21206451423386488</v>
      </c>
      <c r="Q115" s="49">
        <f t="shared" si="79"/>
        <v>0.25871624312133212</v>
      </c>
      <c r="R115" s="49">
        <f t="shared" si="80"/>
        <v>9.5873778485681252E-2</v>
      </c>
      <c r="S115" s="38"/>
      <c r="T115" s="48">
        <f>SUMPRODUCT(--('Input|Historical Data'!$Q$9:$Q$1179=$E115),--('Input|Historical Data'!$AA$9:$AA$1179="SCS"),--('Input|Historical Data'!$Y$9:$Y$1179=T$5),'Input|Historical Data'!$U$9:$U$1179)</f>
        <v>1252.69</v>
      </c>
      <c r="U115" s="48">
        <f>SUMPRODUCT(--('Input|Historical Data'!$Q$9:$Q$1179=$E115),--('Input|Historical Data'!$AA$9:$AA$1179="SCS"),--('Input|Historical Data'!$Z$9:$Z$1179=U$5),'Input|Historical Data'!$U$9:$U$1179)</f>
        <v>677.41800000000001</v>
      </c>
      <c r="V115" s="48">
        <f>SUMPRODUCT(--('Input|Historical Data'!$Q$9:$Q$1179=$E115),--('Input|Historical Data'!$AA$9:$AA$1179="SCS"),--('Input|Historical Data'!$Z$9:$Z$1179=V$5),'Input|Historical Data'!$U$9:$U$1179)</f>
        <v>376.25</v>
      </c>
      <c r="W115" s="48">
        <f>SUMPRODUCT(--('Input|Historical Data'!$Q$9:$Q$1179=$E115),--('Input|Historical Data'!$AA$9:$AA$1179="SCS"),--('Input|Historical Data'!$Z$9:$Z$1179=W$5),'Input|Historical Data'!$U$9:$U$1179)</f>
        <v>199.02200000000002</v>
      </c>
      <c r="X115" s="48">
        <f>SUMPRODUCT(--('Input|Historical Data'!$Q$9:$Q$1179=$E115),--('Input|Historical Data'!$AA$9:$AA$1179="SCS"),--('Input|Historical Data'!$Y$9:$Y$1179=X$5),'Input|Historical Data'!$U$9:$U$1179)</f>
        <v>171.47300000000001</v>
      </c>
      <c r="Y115" s="49">
        <f t="shared" si="73"/>
        <v>0.54077066153637365</v>
      </c>
      <c r="Z115" s="49">
        <f t="shared" si="74"/>
        <v>0.30035363896893885</v>
      </c>
      <c r="AA115" s="49">
        <f t="shared" si="75"/>
        <v>0.15887569949468744</v>
      </c>
      <c r="AB115" s="49">
        <f t="shared" si="76"/>
        <v>0.13688382600643414</v>
      </c>
      <c r="AC115" s="38"/>
      <c r="AD115" s="48">
        <f>SUMPRODUCT(--('Input|Historical Data'!$AC$9:$AC$1180=$E115),--('Input|Historical Data'!$AM$9:$AM$1180="SCS"),--('Input|Historical Data'!$AK$9:$AK$1180=AD$5),'Input|Historical Data'!$AG$9:$AG$1180)</f>
        <v>1366.6579999999999</v>
      </c>
      <c r="AE115" s="48">
        <f>SUMPRODUCT(--('Input|Historical Data'!$AC$9:$AC$1180=$E115),--('Input|Historical Data'!$AM$9:$AM$1180="SCS"),--('Input|Historical Data'!$AL$9:$AL$1180=AE$5),'Input|Historical Data'!$AG$9:$AG$1180)</f>
        <v>829.27599999999995</v>
      </c>
      <c r="AF115" s="48">
        <f>SUMPRODUCT(--('Input|Historical Data'!$AC$9:$AC$1180=$E115),--('Input|Historical Data'!$AM$9:$AM$1180="SCS"),--('Input|Historical Data'!$AL$9:$AL$1180=AF$5),'Input|Historical Data'!$AG$9:$AG$1180)</f>
        <v>270.17</v>
      </c>
      <c r="AG115" s="48">
        <f>SUMPRODUCT(--('Input|Historical Data'!$AC$9:$AC$1180=$E115),--('Input|Historical Data'!$AM$9:$AM$1180="SCS"),--('Input|Historical Data'!$AL$9:$AL$1180=AG$5),'Input|Historical Data'!$AG$9:$AG$1180)</f>
        <v>267.21199999999999</v>
      </c>
      <c r="AH115" s="48">
        <f>SUMPRODUCT(--('Input|Historical Data'!$AC$9:$AC$1180=$E115),--('Input|Historical Data'!$AM$9:$AM$1180="SCS"),--('Input|Historical Data'!$AK$9:$AK$1180=AH$5),'Input|Historical Data'!$AG$9:$AG$1180)</f>
        <v>188.38200000000001</v>
      </c>
      <c r="AI115" s="49">
        <f t="shared" si="81"/>
        <v>0.60679116501714403</v>
      </c>
      <c r="AJ115" s="49">
        <f t="shared" si="82"/>
        <v>0.19768661947612354</v>
      </c>
      <c r="AK115" s="49">
        <f t="shared" si="83"/>
        <v>0.19552221550673249</v>
      </c>
      <c r="AL115" s="49">
        <f t="shared" si="84"/>
        <v>0.13784136192083171</v>
      </c>
      <c r="AM115" s="38"/>
      <c r="AN115" s="48"/>
      <c r="AO115" s="48"/>
      <c r="AP115" s="48"/>
      <c r="AQ115" s="48"/>
      <c r="AR115" s="48"/>
      <c r="AS115" s="49"/>
      <c r="AT115" s="49"/>
      <c r="AU115" s="49"/>
      <c r="AV115" s="49"/>
      <c r="AW115" s="38"/>
      <c r="AX115" s="49">
        <f t="shared" si="85"/>
        <v>0.57521719145375105</v>
      </c>
      <c r="AY115" s="49">
        <f t="shared" si="86"/>
        <v>0.24678660491084045</v>
      </c>
      <c r="AZ115" s="49">
        <f t="shared" si="87"/>
        <v>0.17799620363540852</v>
      </c>
      <c r="BA115" s="49">
        <f t="shared" si="88"/>
        <v>0.13738342518825297</v>
      </c>
      <c r="BB115" s="44"/>
    </row>
    <row r="116" spans="3:54" s="7" customFormat="1" outlineLevel="1" x14ac:dyDescent="0.3">
      <c r="C116" s="38"/>
      <c r="D116" s="38"/>
      <c r="E116" s="38" t="s">
        <v>187</v>
      </c>
      <c r="F116" s="38" t="s">
        <v>368</v>
      </c>
      <c r="G116" s="38" t="str">
        <f>VLOOKUP(E116,Mapping!$E$11:$G$204,3,0)</f>
        <v>Replacement</v>
      </c>
      <c r="H116" s="38" t="str">
        <f>VLOOKUP(E116,Mapping!$E$11:$K$204,7,0)</f>
        <v>SCS</v>
      </c>
      <c r="I116" s="38"/>
      <c r="J116" s="48">
        <f>SUMPRODUCT(--('Input|Historical Data'!$E$9:$E$1179=$E116),--('Input|Historical Data'!$O$9:$O$1179="SCS"),--('Input|Historical Data'!$M$9:$M$1179=J$5),'Input|Historical Data'!$I$9:$I$1179)</f>
        <v>539.40700000000004</v>
      </c>
      <c r="K116" s="48">
        <f>SUMPRODUCT(--('Input|Historical Data'!$E$9:$E$1179=$E116),--('Input|Historical Data'!$O$9:$O$1179="SCS"),--('Input|Historical Data'!$N$9:$N$1179=K$5),'Input|Historical Data'!$I$9:$I$1179)</f>
        <v>284.61099999999999</v>
      </c>
      <c r="L116" s="48">
        <f>SUMPRODUCT(--('Input|Historical Data'!$E$9:$E$1179=$E116),--('Input|Historical Data'!$O$9:$O$1179="SCS"),--('Input|Historical Data'!$N$9:$N$1179=L$5),'Input|Historical Data'!$I$9:$I$1179)</f>
        <v>95.546999999999997</v>
      </c>
      <c r="M116" s="48">
        <f>SUMPRODUCT(--('Input|Historical Data'!$E$9:$E$1179=$E116),--('Input|Historical Data'!$O$9:$O$1179="SCS"),--('Input|Historical Data'!$N$9:$N$1179=M$5),'Input|Historical Data'!$I$9:$I$1179)</f>
        <v>159.249</v>
      </c>
      <c r="N116" s="48">
        <f>SUMPRODUCT(--('Input|Historical Data'!$E$9:$E$1179=$E116),--('Input|Historical Data'!$O$9:$O$1179="SCS"),--('Input|Historical Data'!$M$9:$M$1179=N$5),'Input|Historical Data'!$I$9:$I$1179)</f>
        <v>51.854999999999997</v>
      </c>
      <c r="O116" s="49">
        <f t="shared" si="77"/>
        <v>0.52763683081606272</v>
      </c>
      <c r="P116" s="49">
        <f t="shared" si="78"/>
        <v>0.17713340761243362</v>
      </c>
      <c r="Q116" s="49">
        <f t="shared" si="79"/>
        <v>0.29522976157150349</v>
      </c>
      <c r="R116" s="49">
        <f t="shared" si="80"/>
        <v>9.6133346434139705E-2</v>
      </c>
      <c r="S116" s="38"/>
      <c r="T116" s="48">
        <f>SUMPRODUCT(--('Input|Historical Data'!$Q$9:$Q$1179=$E116),--('Input|Historical Data'!$AA$9:$AA$1179="SCS"),--('Input|Historical Data'!$Y$9:$Y$1179=T$5),'Input|Historical Data'!$U$9:$U$1179)</f>
        <v>208.637</v>
      </c>
      <c r="U116" s="48">
        <f>SUMPRODUCT(--('Input|Historical Data'!$Q$9:$Q$1179=$E116),--('Input|Historical Data'!$AA$9:$AA$1179="SCS"),--('Input|Historical Data'!$Z$9:$Z$1179=U$5),'Input|Historical Data'!$U$9:$U$1179)</f>
        <v>128.10900000000001</v>
      </c>
      <c r="V116" s="48">
        <f>SUMPRODUCT(--('Input|Historical Data'!$Q$9:$Q$1179=$E116),--('Input|Historical Data'!$AA$9:$AA$1179="SCS"),--('Input|Historical Data'!$Z$9:$Z$1179=V$5),'Input|Historical Data'!$U$9:$U$1179)</f>
        <v>-19.151000000000003</v>
      </c>
      <c r="W116" s="48">
        <f>SUMPRODUCT(--('Input|Historical Data'!$Q$9:$Q$1179=$E116),--('Input|Historical Data'!$AA$9:$AA$1179="SCS"),--('Input|Historical Data'!$Z$9:$Z$1179=W$5),'Input|Historical Data'!$U$9:$U$1179)</f>
        <v>99.679000000000002</v>
      </c>
      <c r="X116" s="48">
        <f>SUMPRODUCT(--('Input|Historical Data'!$Q$9:$Q$1179=$E116),--('Input|Historical Data'!$AA$9:$AA$1179="SCS"),--('Input|Historical Data'!$Y$9:$Y$1179=X$5),'Input|Historical Data'!$U$9:$U$1179)</f>
        <v>26.995999999999999</v>
      </c>
      <c r="Y116" s="49">
        <f t="shared" si="73"/>
        <v>0.61402819250660245</v>
      </c>
      <c r="Z116" s="49">
        <f t="shared" si="74"/>
        <v>-9.1791005430484546E-2</v>
      </c>
      <c r="AA116" s="49">
        <f t="shared" si="75"/>
        <v>0.47776281292388217</v>
      </c>
      <c r="AB116" s="49">
        <f t="shared" si="76"/>
        <v>0.1293921979322939</v>
      </c>
      <c r="AC116" s="38"/>
      <c r="AD116" s="48">
        <f>SUMPRODUCT(--('Input|Historical Data'!$AC$9:$AC$1180=$E116),--('Input|Historical Data'!$AM$9:$AM$1180="SCS"),--('Input|Historical Data'!$AK$9:$AK$1180=AD$5),'Input|Historical Data'!$AG$9:$AG$1180)</f>
        <v>115.94400000000002</v>
      </c>
      <c r="AE116" s="48">
        <f>SUMPRODUCT(--('Input|Historical Data'!$AC$9:$AC$1180=$E116),--('Input|Historical Data'!$AM$9:$AM$1180="SCS"),--('Input|Historical Data'!$AL$9:$AL$1180=AE$5),'Input|Historical Data'!$AG$9:$AG$1180)</f>
        <v>78.181000000000012</v>
      </c>
      <c r="AF116" s="48">
        <f>SUMPRODUCT(--('Input|Historical Data'!$AC$9:$AC$1180=$E116),--('Input|Historical Data'!$AM$9:$AM$1180="SCS"),--('Input|Historical Data'!$AL$9:$AL$1180=AF$5),'Input|Historical Data'!$AG$9:$AG$1180)</f>
        <v>13.379</v>
      </c>
      <c r="AG116" s="48">
        <f>SUMPRODUCT(--('Input|Historical Data'!$AC$9:$AC$1180=$E116),--('Input|Historical Data'!$AM$9:$AM$1180="SCS"),--('Input|Historical Data'!$AL$9:$AL$1180=AG$5),'Input|Historical Data'!$AG$9:$AG$1180)</f>
        <v>24.384</v>
      </c>
      <c r="AH116" s="48">
        <f>SUMPRODUCT(--('Input|Historical Data'!$AC$9:$AC$1180=$E116),--('Input|Historical Data'!$AM$9:$AM$1180="SCS"),--('Input|Historical Data'!$AK$9:$AK$1180=AH$5),'Input|Historical Data'!$AG$9:$AG$1180)</f>
        <v>13.16</v>
      </c>
      <c r="AI116" s="49">
        <f t="shared" si="81"/>
        <v>0.67429966190574764</v>
      </c>
      <c r="AJ116" s="49">
        <f t="shared" si="82"/>
        <v>0.11539191333747324</v>
      </c>
      <c r="AK116" s="49">
        <f t="shared" si="83"/>
        <v>0.21030842475677911</v>
      </c>
      <c r="AL116" s="49">
        <f t="shared" si="84"/>
        <v>0.11350307044780238</v>
      </c>
      <c r="AM116" s="38"/>
      <c r="AN116" s="48"/>
      <c r="AO116" s="48"/>
      <c r="AP116" s="48"/>
      <c r="AQ116" s="48"/>
      <c r="AR116" s="48"/>
      <c r="AS116" s="49"/>
      <c r="AT116" s="49"/>
      <c r="AU116" s="49"/>
      <c r="AV116" s="49"/>
      <c r="AW116" s="38"/>
      <c r="AX116" s="49">
        <f t="shared" si="85"/>
        <v>0.63555784226433465</v>
      </c>
      <c r="AY116" s="49">
        <f t="shared" si="86"/>
        <v>-1.7782926295747452E-2</v>
      </c>
      <c r="AZ116" s="49">
        <f t="shared" si="87"/>
        <v>0.38222508403141281</v>
      </c>
      <c r="BA116" s="49">
        <f t="shared" si="88"/>
        <v>0.12371642209494702</v>
      </c>
      <c r="BB116" s="44"/>
    </row>
    <row r="117" spans="3:54" s="7" customFormat="1" outlineLevel="1" x14ac:dyDescent="0.3">
      <c r="C117" s="38"/>
      <c r="D117" s="38"/>
      <c r="E117" s="38" t="s">
        <v>188</v>
      </c>
      <c r="F117" s="38" t="s">
        <v>369</v>
      </c>
      <c r="G117" s="38" t="str">
        <f>VLOOKUP(E117,Mapping!$E$11:$G$204,3,0)</f>
        <v>Replacement</v>
      </c>
      <c r="H117" s="38" t="str">
        <f>VLOOKUP(E117,Mapping!$E$11:$K$204,7,0)</f>
        <v>SCS</v>
      </c>
      <c r="I117" s="38"/>
      <c r="J117" s="48">
        <f>SUMPRODUCT(--('Input|Historical Data'!$E$9:$E$1179=$E117),--('Input|Historical Data'!$O$9:$O$1179="SCS"),--('Input|Historical Data'!$M$9:$M$1179=J$5),'Input|Historical Data'!$I$9:$I$1179)</f>
        <v>137.57</v>
      </c>
      <c r="K117" s="48">
        <f>SUMPRODUCT(--('Input|Historical Data'!$E$9:$E$1179=$E117),--('Input|Historical Data'!$O$9:$O$1179="SCS"),--('Input|Historical Data'!$N$9:$N$1179=K$5),'Input|Historical Data'!$I$9:$I$1179)</f>
        <v>89.366</v>
      </c>
      <c r="L117" s="48">
        <f>SUMPRODUCT(--('Input|Historical Data'!$E$9:$E$1179=$E117),--('Input|Historical Data'!$O$9:$O$1179="SCS"),--('Input|Historical Data'!$N$9:$N$1179=L$5),'Input|Historical Data'!$I$9:$I$1179)</f>
        <v>21.799999999999997</v>
      </c>
      <c r="M117" s="48">
        <f>SUMPRODUCT(--('Input|Historical Data'!$E$9:$E$1179=$E117),--('Input|Historical Data'!$O$9:$O$1179="SCS"),--('Input|Historical Data'!$N$9:$N$1179=M$5),'Input|Historical Data'!$I$9:$I$1179)</f>
        <v>26.404</v>
      </c>
      <c r="N117" s="48">
        <f>SUMPRODUCT(--('Input|Historical Data'!$E$9:$E$1179=$E117),--('Input|Historical Data'!$O$9:$O$1179="SCS"),--('Input|Historical Data'!$M$9:$M$1179=N$5),'Input|Historical Data'!$I$9:$I$1179)</f>
        <v>12.249000000000001</v>
      </c>
      <c r="O117" s="49">
        <f t="shared" si="77"/>
        <v>0.64960383804608568</v>
      </c>
      <c r="P117" s="49">
        <f t="shared" si="78"/>
        <v>0.15846478156574834</v>
      </c>
      <c r="Q117" s="49">
        <f t="shared" si="79"/>
        <v>0.19193138038816604</v>
      </c>
      <c r="R117" s="49">
        <f t="shared" si="80"/>
        <v>8.903830777058952E-2</v>
      </c>
      <c r="S117" s="38"/>
      <c r="T117" s="48">
        <f>SUMPRODUCT(--('Input|Historical Data'!$Q$9:$Q$1179=$E117),--('Input|Historical Data'!$AA$9:$AA$1179="SCS"),--('Input|Historical Data'!$Y$9:$Y$1179=T$5),'Input|Historical Data'!$U$9:$U$1179)</f>
        <v>172.39699999999996</v>
      </c>
      <c r="U117" s="48">
        <f>SUMPRODUCT(--('Input|Historical Data'!$Q$9:$Q$1179=$E117),--('Input|Historical Data'!$AA$9:$AA$1179="SCS"),--('Input|Historical Data'!$Z$9:$Z$1179=U$5),'Input|Historical Data'!$U$9:$U$1179)</f>
        <v>101.804</v>
      </c>
      <c r="V117" s="48">
        <f>SUMPRODUCT(--('Input|Historical Data'!$Q$9:$Q$1179=$E117),--('Input|Historical Data'!$AA$9:$AA$1179="SCS"),--('Input|Historical Data'!$Z$9:$Z$1179=V$5),'Input|Historical Data'!$U$9:$U$1179)</f>
        <v>27.067</v>
      </c>
      <c r="W117" s="48">
        <f>SUMPRODUCT(--('Input|Historical Data'!$Q$9:$Q$1179=$E117),--('Input|Historical Data'!$AA$9:$AA$1179="SCS"),--('Input|Historical Data'!$Z$9:$Z$1179=W$5),'Input|Historical Data'!$U$9:$U$1179)</f>
        <v>43.525999999999996</v>
      </c>
      <c r="X117" s="48">
        <f>SUMPRODUCT(--('Input|Historical Data'!$Q$9:$Q$1179=$E117),--('Input|Historical Data'!$AA$9:$AA$1179="SCS"),--('Input|Historical Data'!$Y$9:$Y$1179=X$5),'Input|Historical Data'!$U$9:$U$1179)</f>
        <v>20.466000000000001</v>
      </c>
      <c r="Y117" s="49">
        <f t="shared" si="73"/>
        <v>0.59052071671780837</v>
      </c>
      <c r="Z117" s="49">
        <f t="shared" si="74"/>
        <v>0.15700389217909824</v>
      </c>
      <c r="AA117" s="49">
        <f t="shared" si="75"/>
        <v>0.25247539110309342</v>
      </c>
      <c r="AB117" s="49">
        <f t="shared" si="76"/>
        <v>0.1187143627789347</v>
      </c>
      <c r="AC117" s="38"/>
      <c r="AD117" s="48">
        <f>SUMPRODUCT(--('Input|Historical Data'!$AC$9:$AC$1180=$E117),--('Input|Historical Data'!$AM$9:$AM$1180="SCS"),--('Input|Historical Data'!$AK$9:$AK$1180=AD$5),'Input|Historical Data'!$AG$9:$AG$1180)</f>
        <v>165.92000000000002</v>
      </c>
      <c r="AE117" s="48">
        <f>SUMPRODUCT(--('Input|Historical Data'!$AC$9:$AC$1180=$E117),--('Input|Historical Data'!$AM$9:$AM$1180="SCS"),--('Input|Historical Data'!$AL$9:$AL$1180=AE$5),'Input|Historical Data'!$AG$9:$AG$1180)</f>
        <v>121.78800000000001</v>
      </c>
      <c r="AF117" s="48">
        <f>SUMPRODUCT(--('Input|Historical Data'!$AC$9:$AC$1180=$E117),--('Input|Historical Data'!$AM$9:$AM$1180="SCS"),--('Input|Historical Data'!$AL$9:$AL$1180=AF$5),'Input|Historical Data'!$AG$9:$AG$1180)</f>
        <v>13.95</v>
      </c>
      <c r="AG117" s="48">
        <f>SUMPRODUCT(--('Input|Historical Data'!$AC$9:$AC$1180=$E117),--('Input|Historical Data'!$AM$9:$AM$1180="SCS"),--('Input|Historical Data'!$AL$9:$AL$1180=AG$5),'Input|Historical Data'!$AG$9:$AG$1180)</f>
        <v>30.182000000000002</v>
      </c>
      <c r="AH117" s="48">
        <f>SUMPRODUCT(--('Input|Historical Data'!$AC$9:$AC$1180=$E117),--('Input|Historical Data'!$AM$9:$AM$1180="SCS"),--('Input|Historical Data'!$AK$9:$AK$1180=AH$5),'Input|Historical Data'!$AG$9:$AG$1180)</f>
        <v>13.866</v>
      </c>
      <c r="AI117" s="49">
        <f t="shared" si="81"/>
        <v>0.73401639344262293</v>
      </c>
      <c r="AJ117" s="49">
        <f t="shared" si="82"/>
        <v>8.4076663452266137E-2</v>
      </c>
      <c r="AK117" s="49">
        <f t="shared" si="83"/>
        <v>0.18190694310511088</v>
      </c>
      <c r="AL117" s="49">
        <f t="shared" si="84"/>
        <v>8.3570395371263248E-2</v>
      </c>
      <c r="AM117" s="38"/>
      <c r="AN117" s="48"/>
      <c r="AO117" s="48"/>
      <c r="AP117" s="48"/>
      <c r="AQ117" s="48"/>
      <c r="AR117" s="48"/>
      <c r="AS117" s="49"/>
      <c r="AT117" s="49"/>
      <c r="AU117" s="49"/>
      <c r="AV117" s="49"/>
      <c r="AW117" s="38"/>
      <c r="AX117" s="49">
        <f t="shared" si="85"/>
        <v>0.66089495946109711</v>
      </c>
      <c r="AY117" s="49">
        <f t="shared" si="86"/>
        <v>0.12123836520186687</v>
      </c>
      <c r="AZ117" s="49">
        <f t="shared" si="87"/>
        <v>0.21786667533703596</v>
      </c>
      <c r="BA117" s="49">
        <f t="shared" si="88"/>
        <v>0.10147879060171378</v>
      </c>
      <c r="BB117" s="44"/>
    </row>
    <row r="118" spans="3:54" s="7" customFormat="1" outlineLevel="1" x14ac:dyDescent="0.3">
      <c r="C118" s="38"/>
      <c r="D118" s="38"/>
      <c r="E118" s="38" t="s">
        <v>189</v>
      </c>
      <c r="F118" s="38" t="s">
        <v>370</v>
      </c>
      <c r="G118" s="38" t="str">
        <f>VLOOKUP(E118,Mapping!$E$11:$G$204,3,0)</f>
        <v>Replacement</v>
      </c>
      <c r="H118" s="38" t="str">
        <f>VLOOKUP(E118,Mapping!$E$11:$K$204,7,0)</f>
        <v>SCS</v>
      </c>
      <c r="I118" s="38"/>
      <c r="J118" s="48">
        <f>SUMPRODUCT(--('Input|Historical Data'!$E$9:$E$1179=$E118),--('Input|Historical Data'!$O$9:$O$1179="SCS"),--('Input|Historical Data'!$M$9:$M$1179=J$5),'Input|Historical Data'!$I$9:$I$1179)</f>
        <v>305.27299999999997</v>
      </c>
      <c r="K118" s="48">
        <f>SUMPRODUCT(--('Input|Historical Data'!$E$9:$E$1179=$E118),--('Input|Historical Data'!$O$9:$O$1179="SCS"),--('Input|Historical Data'!$N$9:$N$1179=K$5),'Input|Historical Data'!$I$9:$I$1179)</f>
        <v>133.024</v>
      </c>
      <c r="L118" s="48">
        <f>SUMPRODUCT(--('Input|Historical Data'!$E$9:$E$1179=$E118),--('Input|Historical Data'!$O$9:$O$1179="SCS"),--('Input|Historical Data'!$N$9:$N$1179=L$5),'Input|Historical Data'!$I$9:$I$1179)</f>
        <v>90.846000000000004</v>
      </c>
      <c r="M118" s="48">
        <f>SUMPRODUCT(--('Input|Historical Data'!$E$9:$E$1179=$E118),--('Input|Historical Data'!$O$9:$O$1179="SCS"),--('Input|Historical Data'!$N$9:$N$1179=M$5),'Input|Historical Data'!$I$9:$I$1179)</f>
        <v>81.402999999999992</v>
      </c>
      <c r="N118" s="48">
        <f>SUMPRODUCT(--('Input|Historical Data'!$E$9:$E$1179=$E118),--('Input|Historical Data'!$O$9:$O$1179="SCS"),--('Input|Historical Data'!$M$9:$M$1179=N$5),'Input|Historical Data'!$I$9:$I$1179)</f>
        <v>32.576000000000001</v>
      </c>
      <c r="O118" s="49">
        <f t="shared" si="77"/>
        <v>0.43575422654476481</v>
      </c>
      <c r="P118" s="49">
        <f t="shared" si="78"/>
        <v>0.29758937082545783</v>
      </c>
      <c r="Q118" s="49">
        <f t="shared" si="79"/>
        <v>0.26665640262977724</v>
      </c>
      <c r="R118" s="49">
        <f t="shared" si="80"/>
        <v>0.106711042247431</v>
      </c>
      <c r="S118" s="38"/>
      <c r="T118" s="48">
        <f>SUMPRODUCT(--('Input|Historical Data'!$Q$9:$Q$1179=$E118),--('Input|Historical Data'!$AA$9:$AA$1179="SCS"),--('Input|Historical Data'!$Y$9:$Y$1179=T$5),'Input|Historical Data'!$U$9:$U$1179)</f>
        <v>252.28</v>
      </c>
      <c r="U118" s="48">
        <f>SUMPRODUCT(--('Input|Historical Data'!$Q$9:$Q$1179=$E118),--('Input|Historical Data'!$AA$9:$AA$1179="SCS"),--('Input|Historical Data'!$Z$9:$Z$1179=U$5),'Input|Historical Data'!$U$9:$U$1179)</f>
        <v>158.69300000000001</v>
      </c>
      <c r="V118" s="48">
        <f>SUMPRODUCT(--('Input|Historical Data'!$Q$9:$Q$1179=$E118),--('Input|Historical Data'!$AA$9:$AA$1179="SCS"),--('Input|Historical Data'!$Z$9:$Z$1179=V$5),'Input|Historical Data'!$U$9:$U$1179)</f>
        <v>46.87</v>
      </c>
      <c r="W118" s="48">
        <f>SUMPRODUCT(--('Input|Historical Data'!$Q$9:$Q$1179=$E118),--('Input|Historical Data'!$AA$9:$AA$1179="SCS"),--('Input|Historical Data'!$Z$9:$Z$1179=W$5),'Input|Historical Data'!$U$9:$U$1179)</f>
        <v>46.716999999999999</v>
      </c>
      <c r="X118" s="48">
        <f>SUMPRODUCT(--('Input|Historical Data'!$Q$9:$Q$1179=$E118),--('Input|Historical Data'!$AA$9:$AA$1179="SCS"),--('Input|Historical Data'!$Y$9:$Y$1179=X$5),'Input|Historical Data'!$U$9:$U$1179)</f>
        <v>32.624000000000002</v>
      </c>
      <c r="Y118" s="49">
        <f t="shared" si="73"/>
        <v>0.62903519898525451</v>
      </c>
      <c r="Z118" s="49">
        <f t="shared" si="74"/>
        <v>0.18578563500872045</v>
      </c>
      <c r="AA118" s="49">
        <f t="shared" si="75"/>
        <v>0.18517916600602502</v>
      </c>
      <c r="AB118" s="49">
        <f t="shared" si="76"/>
        <v>0.12931663231330268</v>
      </c>
      <c r="AC118" s="38"/>
      <c r="AD118" s="48">
        <f>SUMPRODUCT(--('Input|Historical Data'!$AC$9:$AC$1180=$E118),--('Input|Historical Data'!$AM$9:$AM$1180="SCS"),--('Input|Historical Data'!$AK$9:$AK$1180=AD$5),'Input|Historical Data'!$AG$9:$AG$1180)</f>
        <v>205.20699999999999</v>
      </c>
      <c r="AE118" s="48">
        <f>SUMPRODUCT(--('Input|Historical Data'!$AC$9:$AC$1180=$E118),--('Input|Historical Data'!$AM$9:$AM$1180="SCS"),--('Input|Historical Data'!$AL$9:$AL$1180=AE$5),'Input|Historical Data'!$AG$9:$AG$1180)</f>
        <v>117.578</v>
      </c>
      <c r="AF118" s="48">
        <f>SUMPRODUCT(--('Input|Historical Data'!$AC$9:$AC$1180=$E118),--('Input|Historical Data'!$AM$9:$AM$1180="SCS"),--('Input|Historical Data'!$AL$9:$AL$1180=AF$5),'Input|Historical Data'!$AG$9:$AG$1180)</f>
        <v>48.512999999999998</v>
      </c>
      <c r="AG118" s="48">
        <f>SUMPRODUCT(--('Input|Historical Data'!$AC$9:$AC$1180=$E118),--('Input|Historical Data'!$AM$9:$AM$1180="SCS"),--('Input|Historical Data'!$AL$9:$AL$1180=AG$5),'Input|Historical Data'!$AG$9:$AG$1180)</f>
        <v>39.116</v>
      </c>
      <c r="AH118" s="48">
        <f>SUMPRODUCT(--('Input|Historical Data'!$AC$9:$AC$1180=$E118),--('Input|Historical Data'!$AM$9:$AM$1180="SCS"),--('Input|Historical Data'!$AK$9:$AK$1180=AH$5),'Input|Historical Data'!$AG$9:$AG$1180)</f>
        <v>23.338999999999999</v>
      </c>
      <c r="AI118" s="49">
        <f t="shared" si="81"/>
        <v>0.57297265687817667</v>
      </c>
      <c r="AJ118" s="49">
        <f t="shared" si="82"/>
        <v>0.23641006398417208</v>
      </c>
      <c r="AK118" s="49">
        <f t="shared" si="83"/>
        <v>0.19061727913765125</v>
      </c>
      <c r="AL118" s="49">
        <f t="shared" si="84"/>
        <v>0.11373393695146851</v>
      </c>
      <c r="AM118" s="38"/>
      <c r="AN118" s="48"/>
      <c r="AO118" s="48"/>
      <c r="AP118" s="48"/>
      <c r="AQ118" s="48"/>
      <c r="AR118" s="48"/>
      <c r="AS118" s="49"/>
      <c r="AT118" s="49"/>
      <c r="AU118" s="49"/>
      <c r="AV118" s="49"/>
      <c r="AW118" s="38"/>
      <c r="AX118" s="49">
        <f t="shared" si="85"/>
        <v>0.60388819791600634</v>
      </c>
      <c r="AY118" s="49">
        <f t="shared" si="86"/>
        <v>0.20849335609536443</v>
      </c>
      <c r="AZ118" s="49">
        <f t="shared" si="87"/>
        <v>0.18761844598862917</v>
      </c>
      <c r="BA118" s="49">
        <f t="shared" si="88"/>
        <v>0.12232697322546872</v>
      </c>
      <c r="BB118" s="44"/>
    </row>
    <row r="119" spans="3:54" s="7" customFormat="1" outlineLevel="1" x14ac:dyDescent="0.3">
      <c r="C119" s="38"/>
      <c r="D119" s="38"/>
      <c r="E119" s="38" t="s">
        <v>190</v>
      </c>
      <c r="F119" s="38" t="s">
        <v>371</v>
      </c>
      <c r="G119" s="38" t="str">
        <f>VLOOKUP(E119,Mapping!$E$11:$G$204,3,0)</f>
        <v>Replacement</v>
      </c>
      <c r="H119" s="38" t="str">
        <f>VLOOKUP(E119,Mapping!$E$11:$K$204,7,0)</f>
        <v>SCS</v>
      </c>
      <c r="I119" s="38"/>
      <c r="J119" s="48">
        <f>SUMPRODUCT(--('Input|Historical Data'!$E$9:$E$1179=$E119),--('Input|Historical Data'!$O$9:$O$1179="SCS"),--('Input|Historical Data'!$M$9:$M$1179=J$5),'Input|Historical Data'!$I$9:$I$1179)</f>
        <v>6224.9109999999991</v>
      </c>
      <c r="K119" s="48">
        <f>SUMPRODUCT(--('Input|Historical Data'!$E$9:$E$1179=$E119),--('Input|Historical Data'!$O$9:$O$1179="SCS"),--('Input|Historical Data'!$N$9:$N$1179=K$5),'Input|Historical Data'!$I$9:$I$1179)</f>
        <v>3423.6319999999996</v>
      </c>
      <c r="L119" s="48">
        <f>SUMPRODUCT(--('Input|Historical Data'!$E$9:$E$1179=$E119),--('Input|Historical Data'!$O$9:$O$1179="SCS"),--('Input|Historical Data'!$N$9:$N$1179=L$5),'Input|Historical Data'!$I$9:$I$1179)</f>
        <v>1128.011</v>
      </c>
      <c r="M119" s="48">
        <f>SUMPRODUCT(--('Input|Historical Data'!$E$9:$E$1179=$E119),--('Input|Historical Data'!$O$9:$O$1179="SCS"),--('Input|Historical Data'!$N$9:$N$1179=M$5),'Input|Historical Data'!$I$9:$I$1179)</f>
        <v>1673.268</v>
      </c>
      <c r="N119" s="48">
        <f>SUMPRODUCT(--('Input|Historical Data'!$E$9:$E$1179=$E119),--('Input|Historical Data'!$O$9:$O$1179="SCS"),--('Input|Historical Data'!$M$9:$M$1179=N$5),'Input|Historical Data'!$I$9:$I$1179)</f>
        <v>602.82799999999997</v>
      </c>
      <c r="O119" s="49">
        <f t="shared" si="77"/>
        <v>0.54998890747193008</v>
      </c>
      <c r="P119" s="49">
        <f t="shared" si="78"/>
        <v>0.18120917712719106</v>
      </c>
      <c r="Q119" s="49">
        <f t="shared" si="79"/>
        <v>0.26880191540087883</v>
      </c>
      <c r="R119" s="49">
        <f t="shared" si="80"/>
        <v>9.6841223914687302E-2</v>
      </c>
      <c r="S119" s="38"/>
      <c r="T119" s="48">
        <f>SUMPRODUCT(--('Input|Historical Data'!$Q$9:$Q$1179=$E119),--('Input|Historical Data'!$AA$9:$AA$1179="SCS"),--('Input|Historical Data'!$Y$9:$Y$1179=T$5),'Input|Historical Data'!$U$9:$U$1179)</f>
        <v>2237.596</v>
      </c>
      <c r="U119" s="48">
        <f>SUMPRODUCT(--('Input|Historical Data'!$Q$9:$Q$1179=$E119),--('Input|Historical Data'!$AA$9:$AA$1179="SCS"),--('Input|Historical Data'!$Z$9:$Z$1179=U$5),'Input|Historical Data'!$U$9:$U$1179)</f>
        <v>1255.4000000000001</v>
      </c>
      <c r="V119" s="48">
        <f>SUMPRODUCT(--('Input|Historical Data'!$Q$9:$Q$1179=$E119),--('Input|Historical Data'!$AA$9:$AA$1179="SCS"),--('Input|Historical Data'!$Z$9:$Z$1179=V$5),'Input|Historical Data'!$U$9:$U$1179)</f>
        <v>609.11599999999999</v>
      </c>
      <c r="W119" s="48">
        <f>SUMPRODUCT(--('Input|Historical Data'!$Q$9:$Q$1179=$E119),--('Input|Historical Data'!$AA$9:$AA$1179="SCS"),--('Input|Historical Data'!$Z$9:$Z$1179=W$5),'Input|Historical Data'!$U$9:$U$1179)</f>
        <v>373.08000000000004</v>
      </c>
      <c r="X119" s="48">
        <f>SUMPRODUCT(--('Input|Historical Data'!$Q$9:$Q$1179=$E119),--('Input|Historical Data'!$AA$9:$AA$1179="SCS"),--('Input|Historical Data'!$Y$9:$Y$1179=X$5),'Input|Historical Data'!$U$9:$U$1179)</f>
        <v>275.89699999999999</v>
      </c>
      <c r="Y119" s="49">
        <f t="shared" si="73"/>
        <v>0.56104855389444752</v>
      </c>
      <c r="Z119" s="49">
        <f t="shared" si="74"/>
        <v>0.27221893496413113</v>
      </c>
      <c r="AA119" s="49">
        <f t="shared" si="75"/>
        <v>0.16673251114142143</v>
      </c>
      <c r="AB119" s="49">
        <f t="shared" si="76"/>
        <v>0.1233006315706678</v>
      </c>
      <c r="AC119" s="38"/>
      <c r="AD119" s="48">
        <f>SUMPRODUCT(--('Input|Historical Data'!$AC$9:$AC$1180=$E119),--('Input|Historical Data'!$AM$9:$AM$1180="SCS"),--('Input|Historical Data'!$AK$9:$AK$1180=AD$5),'Input|Historical Data'!$AG$9:$AG$1180)</f>
        <v>2241.7589999999996</v>
      </c>
      <c r="AE119" s="48">
        <f>SUMPRODUCT(--('Input|Historical Data'!$AC$9:$AC$1180=$E119),--('Input|Historical Data'!$AM$9:$AM$1180="SCS"),--('Input|Historical Data'!$AL$9:$AL$1180=AE$5),'Input|Historical Data'!$AG$9:$AG$1180)</f>
        <v>1214.559</v>
      </c>
      <c r="AF119" s="48">
        <f>SUMPRODUCT(--('Input|Historical Data'!$AC$9:$AC$1180=$E119),--('Input|Historical Data'!$AM$9:$AM$1180="SCS"),--('Input|Historical Data'!$AL$9:$AL$1180=AF$5),'Input|Historical Data'!$AG$9:$AG$1180)</f>
        <v>664.42200000000003</v>
      </c>
      <c r="AG119" s="48">
        <f>SUMPRODUCT(--('Input|Historical Data'!$AC$9:$AC$1180=$E119),--('Input|Historical Data'!$AM$9:$AM$1180="SCS"),--('Input|Historical Data'!$AL$9:$AL$1180=AG$5),'Input|Historical Data'!$AG$9:$AG$1180)</f>
        <v>362.77800000000002</v>
      </c>
      <c r="AH119" s="48">
        <f>SUMPRODUCT(--('Input|Historical Data'!$AC$9:$AC$1180=$E119),--('Input|Historical Data'!$AM$9:$AM$1180="SCS"),--('Input|Historical Data'!$AK$9:$AK$1180=AH$5),'Input|Historical Data'!$AG$9:$AG$1180)</f>
        <v>231.614</v>
      </c>
      <c r="AI119" s="49">
        <f t="shared" si="81"/>
        <v>0.54178839027745618</v>
      </c>
      <c r="AJ119" s="49">
        <f t="shared" si="82"/>
        <v>0.29638422328180686</v>
      </c>
      <c r="AK119" s="49">
        <f t="shared" si="83"/>
        <v>0.16182738644073694</v>
      </c>
      <c r="AL119" s="49">
        <f t="shared" si="84"/>
        <v>0.10331797485813597</v>
      </c>
      <c r="AM119" s="38"/>
      <c r="AN119" s="48"/>
      <c r="AO119" s="48"/>
      <c r="AP119" s="48"/>
      <c r="AQ119" s="48"/>
      <c r="AR119" s="48"/>
      <c r="AS119" s="49"/>
      <c r="AT119" s="49"/>
      <c r="AU119" s="49"/>
      <c r="AV119" s="49"/>
      <c r="AW119" s="38"/>
      <c r="AX119" s="49">
        <f t="shared" si="85"/>
        <v>0.55140952212986027</v>
      </c>
      <c r="AY119" s="49">
        <f t="shared" si="86"/>
        <v>0.28431280842889212</v>
      </c>
      <c r="AZ119" s="49">
        <f t="shared" si="87"/>
        <v>0.16427766944124772</v>
      </c>
      <c r="BA119" s="49">
        <f t="shared" si="88"/>
        <v>0.11330001752484455</v>
      </c>
      <c r="BB119" s="44"/>
    </row>
    <row r="120" spans="3:54" s="7" customFormat="1" outlineLevel="1" x14ac:dyDescent="0.3">
      <c r="C120" s="38"/>
      <c r="D120" s="38"/>
      <c r="E120" s="38" t="s">
        <v>191</v>
      </c>
      <c r="F120" s="38" t="s">
        <v>372</v>
      </c>
      <c r="G120" s="38" t="str">
        <f>VLOOKUP(E120,Mapping!$E$11:$G$204,3,0)</f>
        <v>Replacement</v>
      </c>
      <c r="H120" s="38" t="str">
        <f>VLOOKUP(E120,Mapping!$E$11:$K$204,7,0)</f>
        <v>SCS</v>
      </c>
      <c r="I120" s="38"/>
      <c r="J120" s="48">
        <f>SUMPRODUCT(--('Input|Historical Data'!$E$9:$E$1179=$E120),--('Input|Historical Data'!$O$9:$O$1179="SCS"),--('Input|Historical Data'!$M$9:$M$1179=J$5),'Input|Historical Data'!$I$9:$I$1179)</f>
        <v>20.843999999999998</v>
      </c>
      <c r="K120" s="48">
        <f>SUMPRODUCT(--('Input|Historical Data'!$E$9:$E$1179=$E120),--('Input|Historical Data'!$O$9:$O$1179="SCS"),--('Input|Historical Data'!$N$9:$N$1179=K$5),'Input|Historical Data'!$I$9:$I$1179)</f>
        <v>12.786000000000001</v>
      </c>
      <c r="L120" s="48">
        <f>SUMPRODUCT(--('Input|Historical Data'!$E$9:$E$1179=$E120),--('Input|Historical Data'!$O$9:$O$1179="SCS"),--('Input|Historical Data'!$N$9:$N$1179=L$5),'Input|Historical Data'!$I$9:$I$1179)</f>
        <v>3.4830000000000001</v>
      </c>
      <c r="M120" s="48">
        <f>SUMPRODUCT(--('Input|Historical Data'!$E$9:$E$1179=$E120),--('Input|Historical Data'!$O$9:$O$1179="SCS"),--('Input|Historical Data'!$N$9:$N$1179=M$5),'Input|Historical Data'!$I$9:$I$1179)</f>
        <v>4.5750000000000002</v>
      </c>
      <c r="N120" s="48">
        <f>SUMPRODUCT(--('Input|Historical Data'!$E$9:$E$1179=$E120),--('Input|Historical Data'!$O$9:$O$1179="SCS"),--('Input|Historical Data'!$M$9:$M$1179=N$5),'Input|Historical Data'!$I$9:$I$1179)</f>
        <v>2.3559999999999999</v>
      </c>
      <c r="O120" s="49">
        <f t="shared" si="77"/>
        <v>0.61341393206678185</v>
      </c>
      <c r="P120" s="49">
        <f t="shared" si="78"/>
        <v>0.16709844559585491</v>
      </c>
      <c r="Q120" s="49">
        <f t="shared" si="79"/>
        <v>0.21948762233736327</v>
      </c>
      <c r="R120" s="49">
        <f t="shared" si="80"/>
        <v>0.11303012857417004</v>
      </c>
      <c r="S120" s="38"/>
      <c r="T120" s="48">
        <f>SUMPRODUCT(--('Input|Historical Data'!$Q$9:$Q$1179=$E120),--('Input|Historical Data'!$AA$9:$AA$1179="SCS"),--('Input|Historical Data'!$Y$9:$Y$1179=T$5),'Input|Historical Data'!$U$9:$U$1179)</f>
        <v>48.173000000000002</v>
      </c>
      <c r="U120" s="48">
        <f>SUMPRODUCT(--('Input|Historical Data'!$Q$9:$Q$1179=$E120),--('Input|Historical Data'!$AA$9:$AA$1179="SCS"),--('Input|Historical Data'!$Z$9:$Z$1179=U$5),'Input|Historical Data'!$U$9:$U$1179)</f>
        <v>38.422999999999995</v>
      </c>
      <c r="V120" s="48">
        <f>SUMPRODUCT(--('Input|Historical Data'!$Q$9:$Q$1179=$E120),--('Input|Historical Data'!$AA$9:$AA$1179="SCS"),--('Input|Historical Data'!$Z$9:$Z$1179=V$5),'Input|Historical Data'!$U$9:$U$1179)</f>
        <v>0.95899999999999996</v>
      </c>
      <c r="W120" s="48">
        <f>SUMPRODUCT(--('Input|Historical Data'!$Q$9:$Q$1179=$E120),--('Input|Historical Data'!$AA$9:$AA$1179="SCS"),--('Input|Historical Data'!$Z$9:$Z$1179=W$5),'Input|Historical Data'!$U$9:$U$1179)</f>
        <v>8.7910000000000004</v>
      </c>
      <c r="X120" s="48">
        <f>SUMPRODUCT(--('Input|Historical Data'!$Q$9:$Q$1179=$E120),--('Input|Historical Data'!$AA$9:$AA$1179="SCS"),--('Input|Historical Data'!$Y$9:$Y$1179=X$5),'Input|Historical Data'!$U$9:$U$1179)</f>
        <v>5.569</v>
      </c>
      <c r="Y120" s="49">
        <f t="shared" si="73"/>
        <v>0.79760446723268208</v>
      </c>
      <c r="Z120" s="49">
        <f t="shared" si="74"/>
        <v>1.9907417017831563E-2</v>
      </c>
      <c r="AA120" s="49">
        <f t="shared" si="75"/>
        <v>0.18248811574948623</v>
      </c>
      <c r="AB120" s="49">
        <f t="shared" si="76"/>
        <v>0.11560417661345566</v>
      </c>
      <c r="AC120" s="38"/>
      <c r="AD120" s="48">
        <f>SUMPRODUCT(--('Input|Historical Data'!$AC$9:$AC$1180=$E120),--('Input|Historical Data'!$AM$9:$AM$1180="SCS"),--('Input|Historical Data'!$AK$9:$AK$1180=AD$5),'Input|Historical Data'!$AG$9:$AG$1180)</f>
        <v>29.867000000000001</v>
      </c>
      <c r="AE120" s="48">
        <f>SUMPRODUCT(--('Input|Historical Data'!$AC$9:$AC$1180=$E120),--('Input|Historical Data'!$AM$9:$AM$1180="SCS"),--('Input|Historical Data'!$AL$9:$AL$1180=AE$5),'Input|Historical Data'!$AG$9:$AG$1180)</f>
        <v>23.233000000000001</v>
      </c>
      <c r="AF120" s="48">
        <f>SUMPRODUCT(--('Input|Historical Data'!$AC$9:$AC$1180=$E120),--('Input|Historical Data'!$AM$9:$AM$1180="SCS"),--('Input|Historical Data'!$AL$9:$AL$1180=AF$5),'Input|Historical Data'!$AG$9:$AG$1180)</f>
        <v>1.1880000000000002</v>
      </c>
      <c r="AG120" s="48">
        <f>SUMPRODUCT(--('Input|Historical Data'!$AC$9:$AC$1180=$E120),--('Input|Historical Data'!$AM$9:$AM$1180="SCS"),--('Input|Historical Data'!$AL$9:$AL$1180=AG$5),'Input|Historical Data'!$AG$9:$AG$1180)</f>
        <v>5.4459999999999997</v>
      </c>
      <c r="AH120" s="48">
        <f>SUMPRODUCT(--('Input|Historical Data'!$AC$9:$AC$1180=$E120),--('Input|Historical Data'!$AM$9:$AM$1180="SCS"),--('Input|Historical Data'!$AK$9:$AK$1180=AH$5),'Input|Historical Data'!$AG$9:$AG$1180)</f>
        <v>6.7190000000000003</v>
      </c>
      <c r="AI120" s="49">
        <f t="shared" si="81"/>
        <v>0.77788194328188309</v>
      </c>
      <c r="AJ120" s="49">
        <f t="shared" si="82"/>
        <v>3.9776341781899767E-2</v>
      </c>
      <c r="AK120" s="49">
        <f t="shared" si="83"/>
        <v>0.18234171493621723</v>
      </c>
      <c r="AL120" s="49">
        <f t="shared" si="84"/>
        <v>0.22496400709813508</v>
      </c>
      <c r="AM120" s="38"/>
      <c r="AN120" s="48"/>
      <c r="AO120" s="48"/>
      <c r="AP120" s="48"/>
      <c r="AQ120" s="48"/>
      <c r="AR120" s="48"/>
      <c r="AS120" s="49"/>
      <c r="AT120" s="49"/>
      <c r="AU120" s="49"/>
      <c r="AV120" s="49"/>
      <c r="AW120" s="38"/>
      <c r="AX120" s="49">
        <f t="shared" si="85"/>
        <v>0.7900563813429009</v>
      </c>
      <c r="AY120" s="49">
        <f t="shared" si="86"/>
        <v>2.7511532547411583E-2</v>
      </c>
      <c r="AZ120" s="49">
        <f t="shared" si="87"/>
        <v>0.18243208610968734</v>
      </c>
      <c r="BA120" s="49">
        <f t="shared" si="88"/>
        <v>0.15745771399282418</v>
      </c>
      <c r="BB120" s="44"/>
    </row>
    <row r="121" spans="3:54" s="7" customFormat="1" outlineLevel="1" x14ac:dyDescent="0.3">
      <c r="C121" s="38"/>
      <c r="D121" s="38"/>
      <c r="E121" s="38" t="s">
        <v>192</v>
      </c>
      <c r="F121" s="38" t="s">
        <v>373</v>
      </c>
      <c r="G121" s="38" t="str">
        <f>VLOOKUP(E121,Mapping!$E$11:$G$204,3,0)</f>
        <v>VBRC</v>
      </c>
      <c r="H121" s="38" t="str">
        <f>VLOOKUP(E121,Mapping!$E$11:$K$204,7,0)</f>
        <v>SCS</v>
      </c>
      <c r="I121" s="38"/>
      <c r="J121" s="48">
        <f>SUMPRODUCT(--('Input|Historical Data'!$E$9:$E$1179=$E121),--('Input|Historical Data'!$O$9:$O$1179="SCS"),--('Input|Historical Data'!$M$9:$M$1179=J$5),'Input|Historical Data'!$I$9:$I$1179)</f>
        <v>1932.5419999999999</v>
      </c>
      <c r="K121" s="48">
        <f>SUMPRODUCT(--('Input|Historical Data'!$E$9:$E$1179=$E121),--('Input|Historical Data'!$O$9:$O$1179="SCS"),--('Input|Historical Data'!$N$9:$N$1179=K$5),'Input|Historical Data'!$I$9:$I$1179)</f>
        <v>972.31</v>
      </c>
      <c r="L121" s="48">
        <f>SUMPRODUCT(--('Input|Historical Data'!$E$9:$E$1179=$E121),--('Input|Historical Data'!$O$9:$O$1179="SCS"),--('Input|Historical Data'!$N$9:$N$1179=L$5),'Input|Historical Data'!$I$9:$I$1179)</f>
        <v>592.2170000000001</v>
      </c>
      <c r="M121" s="48">
        <f>SUMPRODUCT(--('Input|Historical Data'!$E$9:$E$1179=$E121),--('Input|Historical Data'!$O$9:$O$1179="SCS"),--('Input|Historical Data'!$N$9:$N$1179=M$5),'Input|Historical Data'!$I$9:$I$1179)</f>
        <v>368.01499999999999</v>
      </c>
      <c r="N121" s="48">
        <f>SUMPRODUCT(--('Input|Historical Data'!$E$9:$E$1179=$E121),--('Input|Historical Data'!$O$9:$O$1179="SCS"),--('Input|Historical Data'!$M$9:$M$1179=N$5),'Input|Historical Data'!$I$9:$I$1179)</f>
        <v>181.827</v>
      </c>
      <c r="O121" s="49">
        <f t="shared" si="77"/>
        <v>0.50312489974344676</v>
      </c>
      <c r="P121" s="49">
        <f t="shared" si="78"/>
        <v>0.3064445688631865</v>
      </c>
      <c r="Q121" s="49">
        <f t="shared" si="79"/>
        <v>0.19043053139336688</v>
      </c>
      <c r="R121" s="49">
        <f t="shared" si="80"/>
        <v>9.4086959041511126E-2</v>
      </c>
      <c r="S121" s="38"/>
      <c r="T121" s="48">
        <f>SUMPRODUCT(--('Input|Historical Data'!$Q$9:$Q$1179=$E121),--('Input|Historical Data'!$AA$9:$AA$1179="SCS"),--('Input|Historical Data'!$Y$9:$Y$1179=T$5),'Input|Historical Data'!$U$9:$U$1179)</f>
        <v>10495.896000000001</v>
      </c>
      <c r="U121" s="48">
        <f>SUMPRODUCT(--('Input|Historical Data'!$Q$9:$Q$1179=$E121),--('Input|Historical Data'!$AA$9:$AA$1179="SCS"),--('Input|Historical Data'!$Z$9:$Z$1179=U$5),'Input|Historical Data'!$U$9:$U$1179)</f>
        <v>5665.6530000000002</v>
      </c>
      <c r="V121" s="48">
        <f>SUMPRODUCT(--('Input|Historical Data'!$Q$9:$Q$1179=$E121),--('Input|Historical Data'!$AA$9:$AA$1179="SCS"),--('Input|Historical Data'!$Z$9:$Z$1179=V$5),'Input|Historical Data'!$U$9:$U$1179)</f>
        <v>3190.7279999999996</v>
      </c>
      <c r="W121" s="48">
        <f>SUMPRODUCT(--('Input|Historical Data'!$Q$9:$Q$1179=$E121),--('Input|Historical Data'!$AA$9:$AA$1179="SCS"),--('Input|Historical Data'!$Z$9:$Z$1179=W$5),'Input|Historical Data'!$U$9:$U$1179)</f>
        <v>1639.5149999999999</v>
      </c>
      <c r="X121" s="48">
        <f>SUMPRODUCT(--('Input|Historical Data'!$Q$9:$Q$1179=$E121),--('Input|Historical Data'!$AA$9:$AA$1179="SCS"),--('Input|Historical Data'!$Y$9:$Y$1179=X$5),'Input|Historical Data'!$U$9:$U$1179)</f>
        <v>1300.7360000000001</v>
      </c>
      <c r="Y121" s="49">
        <f t="shared" si="73"/>
        <v>0.53979698350669647</v>
      </c>
      <c r="Z121" s="49">
        <f t="shared" si="74"/>
        <v>0.30399767680624884</v>
      </c>
      <c r="AA121" s="49">
        <f t="shared" si="75"/>
        <v>0.15620533968705483</v>
      </c>
      <c r="AB121" s="49">
        <f t="shared" si="76"/>
        <v>0.12392805721398155</v>
      </c>
      <c r="AC121" s="38"/>
      <c r="AD121" s="48">
        <f>SUMPRODUCT(--('Input|Historical Data'!$AC$9:$AC$1180=$E121),--('Input|Historical Data'!$AM$9:$AM$1180="SCS"),--('Input|Historical Data'!$AK$9:$AK$1180=AD$5),'Input|Historical Data'!$AG$9:$AG$1180)</f>
        <v>7468.4620000000004</v>
      </c>
      <c r="AE121" s="48">
        <f>SUMPRODUCT(--('Input|Historical Data'!$AC$9:$AC$1180=$E121),--('Input|Historical Data'!$AM$9:$AM$1180="SCS"),--('Input|Historical Data'!$AL$9:$AL$1180=AE$5),'Input|Historical Data'!$AG$9:$AG$1180)</f>
        <v>3991.8810000000003</v>
      </c>
      <c r="AF121" s="48">
        <f>SUMPRODUCT(--('Input|Historical Data'!$AC$9:$AC$1180=$E121),--('Input|Historical Data'!$AM$9:$AM$1180="SCS"),--('Input|Historical Data'!$AL$9:$AL$1180=AF$5),'Input|Historical Data'!$AG$9:$AG$1180)</f>
        <v>2173.7959999999998</v>
      </c>
      <c r="AG121" s="48">
        <f>SUMPRODUCT(--('Input|Historical Data'!$AC$9:$AC$1180=$E121),--('Input|Historical Data'!$AM$9:$AM$1180="SCS"),--('Input|Historical Data'!$AL$9:$AL$1180=AG$5),'Input|Historical Data'!$AG$9:$AG$1180)</f>
        <v>1302.7850000000001</v>
      </c>
      <c r="AH121" s="48">
        <f>SUMPRODUCT(--('Input|Historical Data'!$AC$9:$AC$1180=$E121),--('Input|Historical Data'!$AM$9:$AM$1180="SCS"),--('Input|Historical Data'!$AK$9:$AK$1180=AH$5),'Input|Historical Data'!$AG$9:$AG$1180)</f>
        <v>873.19299999999998</v>
      </c>
      <c r="AI121" s="49">
        <f t="shared" si="81"/>
        <v>0.53449840141116078</v>
      </c>
      <c r="AJ121" s="49">
        <f t="shared" si="82"/>
        <v>0.2910634077002735</v>
      </c>
      <c r="AK121" s="49">
        <f t="shared" si="83"/>
        <v>0.17443819088856582</v>
      </c>
      <c r="AL121" s="49">
        <f t="shared" si="84"/>
        <v>0.11691737870528095</v>
      </c>
      <c r="AM121" s="38"/>
      <c r="AN121" s="48"/>
      <c r="AO121" s="48"/>
      <c r="AP121" s="48"/>
      <c r="AQ121" s="48"/>
      <c r="AR121" s="48"/>
      <c r="AS121" s="49"/>
      <c r="AT121" s="49"/>
      <c r="AU121" s="49"/>
      <c r="AV121" s="49"/>
      <c r="AW121" s="38"/>
      <c r="AX121" s="49">
        <f t="shared" si="85"/>
        <v>0.53759416284177819</v>
      </c>
      <c r="AY121" s="49">
        <f t="shared" si="86"/>
        <v>0.29862041270831946</v>
      </c>
      <c r="AZ121" s="49">
        <f t="shared" si="87"/>
        <v>0.16378542444990246</v>
      </c>
      <c r="BA121" s="49">
        <f t="shared" si="88"/>
        <v>0.12101345341703834</v>
      </c>
      <c r="BB121" s="44"/>
    </row>
    <row r="122" spans="3:54" s="7" customFormat="1" outlineLevel="1" x14ac:dyDescent="0.3">
      <c r="C122" s="38"/>
      <c r="D122" s="38"/>
      <c r="E122" s="38" t="s">
        <v>193</v>
      </c>
      <c r="F122" s="38" t="s">
        <v>374</v>
      </c>
      <c r="G122" s="38" t="str">
        <f>VLOOKUP(E122,Mapping!$E$11:$G$204,3,0)</f>
        <v>VBRC</v>
      </c>
      <c r="H122" s="38" t="str">
        <f>VLOOKUP(E122,Mapping!$E$11:$K$204,7,0)</f>
        <v>SCS</v>
      </c>
      <c r="I122" s="38"/>
      <c r="J122" s="48">
        <f>SUMPRODUCT(--('Input|Historical Data'!$E$9:$E$1179=$E122),--('Input|Historical Data'!$O$9:$O$1179="SCS"),--('Input|Historical Data'!$M$9:$M$1179=J$5),'Input|Historical Data'!$I$9:$I$1179)</f>
        <v>13.866999999999999</v>
      </c>
      <c r="K122" s="48">
        <f>SUMPRODUCT(--('Input|Historical Data'!$E$9:$E$1179=$E122),--('Input|Historical Data'!$O$9:$O$1179="SCS"),--('Input|Historical Data'!$N$9:$N$1179=K$5),'Input|Historical Data'!$I$9:$I$1179)</f>
        <v>8.4849999999999994</v>
      </c>
      <c r="L122" s="48">
        <f>SUMPRODUCT(--('Input|Historical Data'!$E$9:$E$1179=$E122),--('Input|Historical Data'!$O$9:$O$1179="SCS"),--('Input|Historical Data'!$N$9:$N$1179=L$5),'Input|Historical Data'!$I$9:$I$1179)</f>
        <v>2.5460000000000003</v>
      </c>
      <c r="M122" s="48">
        <f>SUMPRODUCT(--('Input|Historical Data'!$E$9:$E$1179=$E122),--('Input|Historical Data'!$O$9:$O$1179="SCS"),--('Input|Historical Data'!$N$9:$N$1179=M$5),'Input|Historical Data'!$I$9:$I$1179)</f>
        <v>2.8359999999999999</v>
      </c>
      <c r="N122" s="48">
        <f>SUMPRODUCT(--('Input|Historical Data'!$E$9:$E$1179=$E122),--('Input|Historical Data'!$O$9:$O$1179="SCS"),--('Input|Historical Data'!$M$9:$M$1179=N$5),'Input|Historical Data'!$I$9:$I$1179)</f>
        <v>1.2589999999999999</v>
      </c>
      <c r="O122" s="49">
        <f t="shared" si="77"/>
        <v>0.61188432970361284</v>
      </c>
      <c r="P122" s="49">
        <f t="shared" si="78"/>
        <v>0.18360135573664096</v>
      </c>
      <c r="Q122" s="49">
        <f t="shared" si="79"/>
        <v>0.20451431455974617</v>
      </c>
      <c r="R122" s="49">
        <f t="shared" si="80"/>
        <v>9.0791086752722294E-2</v>
      </c>
      <c r="S122" s="38"/>
      <c r="T122" s="48">
        <f>SUMPRODUCT(--('Input|Historical Data'!$Q$9:$Q$1179=$E122),--('Input|Historical Data'!$AA$9:$AA$1179="SCS"),--('Input|Historical Data'!$Y$9:$Y$1179=T$5),'Input|Historical Data'!$U$9:$U$1179)</f>
        <v>1.4730000000000001</v>
      </c>
      <c r="U122" s="48">
        <f>SUMPRODUCT(--('Input|Historical Data'!$Q$9:$Q$1179=$E122),--('Input|Historical Data'!$AA$9:$AA$1179="SCS"),--('Input|Historical Data'!$Z$9:$Z$1179=U$5),'Input|Historical Data'!$U$9:$U$1179)</f>
        <v>0.95899999999999996</v>
      </c>
      <c r="V122" s="48">
        <f>SUMPRODUCT(--('Input|Historical Data'!$Q$9:$Q$1179=$E122),--('Input|Historical Data'!$AA$9:$AA$1179="SCS"),--('Input|Historical Data'!$Z$9:$Z$1179=V$5),'Input|Historical Data'!$U$9:$U$1179)</f>
        <v>0.245</v>
      </c>
      <c r="W122" s="48">
        <f>SUMPRODUCT(--('Input|Historical Data'!$Q$9:$Q$1179=$E122),--('Input|Historical Data'!$AA$9:$AA$1179="SCS"),--('Input|Historical Data'!$Z$9:$Z$1179=W$5),'Input|Historical Data'!$U$9:$U$1179)</f>
        <v>0.26900000000000002</v>
      </c>
      <c r="X122" s="48">
        <f>SUMPRODUCT(--('Input|Historical Data'!$Q$9:$Q$1179=$E122),--('Input|Historical Data'!$AA$9:$AA$1179="SCS"),--('Input|Historical Data'!$Y$9:$Y$1179=X$5),'Input|Historical Data'!$U$9:$U$1179)</f>
        <v>0.20399999999999999</v>
      </c>
      <c r="Y122" s="49">
        <f t="shared" si="73"/>
        <v>0.65105227427019696</v>
      </c>
      <c r="Z122" s="49">
        <f t="shared" si="74"/>
        <v>0.16632722335369995</v>
      </c>
      <c r="AA122" s="49">
        <f t="shared" si="75"/>
        <v>0.18262050237610322</v>
      </c>
      <c r="AB122" s="49">
        <f t="shared" si="76"/>
        <v>0.13849287169042768</v>
      </c>
      <c r="AC122" s="38"/>
      <c r="AD122" s="48">
        <f>SUMPRODUCT(--('Input|Historical Data'!$AC$9:$AC$1180=$E122),--('Input|Historical Data'!$AM$9:$AM$1180="SCS"),--('Input|Historical Data'!$AK$9:$AK$1180=AD$5),'Input|Historical Data'!$AG$9:$AG$1180)</f>
        <v>16.245999999999999</v>
      </c>
      <c r="AE122" s="48">
        <f>SUMPRODUCT(--('Input|Historical Data'!$AC$9:$AC$1180=$E122),--('Input|Historical Data'!$AM$9:$AM$1180="SCS"),--('Input|Historical Data'!$AL$9:$AL$1180=AE$5),'Input|Historical Data'!$AG$9:$AG$1180)</f>
        <v>9.8979999999999997</v>
      </c>
      <c r="AF122" s="48">
        <f>SUMPRODUCT(--('Input|Historical Data'!$AC$9:$AC$1180=$E122),--('Input|Historical Data'!$AM$9:$AM$1180="SCS"),--('Input|Historical Data'!$AL$9:$AL$1180=AF$5),'Input|Historical Data'!$AG$9:$AG$1180)</f>
        <v>3.1550000000000002</v>
      </c>
      <c r="AG122" s="48">
        <f>SUMPRODUCT(--('Input|Historical Data'!$AC$9:$AC$1180=$E122),--('Input|Historical Data'!$AM$9:$AM$1180="SCS"),--('Input|Historical Data'!$AL$9:$AL$1180=AG$5),'Input|Historical Data'!$AG$9:$AG$1180)</f>
        <v>3.1930000000000001</v>
      </c>
      <c r="AH122" s="48">
        <f>SUMPRODUCT(--('Input|Historical Data'!$AC$9:$AC$1180=$E122),--('Input|Historical Data'!$AM$9:$AM$1180="SCS"),--('Input|Historical Data'!$AK$9:$AK$1180=AH$5),'Input|Historical Data'!$AG$9:$AG$1180)</f>
        <v>1.6990000000000001</v>
      </c>
      <c r="AI122" s="49">
        <f t="shared" si="81"/>
        <v>0.60925766342484289</v>
      </c>
      <c r="AJ122" s="49">
        <f t="shared" si="82"/>
        <v>0.19420164963683367</v>
      </c>
      <c r="AK122" s="49">
        <f t="shared" si="83"/>
        <v>0.19654068693832324</v>
      </c>
      <c r="AL122" s="49">
        <f t="shared" si="84"/>
        <v>0.10457958882186386</v>
      </c>
      <c r="AM122" s="38"/>
      <c r="AN122" s="48"/>
      <c r="AO122" s="48"/>
      <c r="AP122" s="48"/>
      <c r="AQ122" s="48"/>
      <c r="AR122" s="48"/>
      <c r="AS122" s="49"/>
      <c r="AT122" s="49"/>
      <c r="AU122" s="49"/>
      <c r="AV122" s="49"/>
      <c r="AW122" s="38"/>
      <c r="AX122" s="49">
        <f t="shared" si="85"/>
        <v>0.61273209549071606</v>
      </c>
      <c r="AY122" s="49">
        <f t="shared" si="86"/>
        <v>0.19188441785653818</v>
      </c>
      <c r="AZ122" s="49">
        <f t="shared" si="87"/>
        <v>0.19538348665274563</v>
      </c>
      <c r="BA122" s="49">
        <f t="shared" si="88"/>
        <v>0.10739883740617417</v>
      </c>
      <c r="BB122" s="44"/>
    </row>
    <row r="123" spans="3:54" s="7" customFormat="1" outlineLevel="1" x14ac:dyDescent="0.3">
      <c r="C123" s="38"/>
      <c r="D123" s="38"/>
      <c r="E123" s="38" t="s">
        <v>194</v>
      </c>
      <c r="F123" s="38" t="s">
        <v>375</v>
      </c>
      <c r="G123" s="38" t="str">
        <f>VLOOKUP(E123,Mapping!$E$11:$G$204,3,0)</f>
        <v>Replacement</v>
      </c>
      <c r="H123" s="38" t="str">
        <f>VLOOKUP(E123,Mapping!$E$11:$K$204,7,0)</f>
        <v>SCS</v>
      </c>
      <c r="I123" s="38"/>
      <c r="J123" s="48">
        <f>SUMPRODUCT(--('Input|Historical Data'!$E$9:$E$1179=$E123),--('Input|Historical Data'!$O$9:$O$1179="SCS"),--('Input|Historical Data'!$M$9:$M$1179=J$5),'Input|Historical Data'!$I$9:$I$1179)</f>
        <v>397.87800000000004</v>
      </c>
      <c r="K123" s="48">
        <f>SUMPRODUCT(--('Input|Historical Data'!$E$9:$E$1179=$E123),--('Input|Historical Data'!$O$9:$O$1179="SCS"),--('Input|Historical Data'!$N$9:$N$1179=K$5),'Input|Historical Data'!$I$9:$I$1179)</f>
        <v>237.21100000000001</v>
      </c>
      <c r="L123" s="48">
        <f>SUMPRODUCT(--('Input|Historical Data'!$E$9:$E$1179=$E123),--('Input|Historical Data'!$O$9:$O$1179="SCS"),--('Input|Historical Data'!$N$9:$N$1179=L$5),'Input|Historical Data'!$I$9:$I$1179)</f>
        <v>87.085999999999999</v>
      </c>
      <c r="M123" s="48">
        <f>SUMPRODUCT(--('Input|Historical Data'!$E$9:$E$1179=$E123),--('Input|Historical Data'!$O$9:$O$1179="SCS"),--('Input|Historical Data'!$N$9:$N$1179=M$5),'Input|Historical Data'!$I$9:$I$1179)</f>
        <v>73.581000000000003</v>
      </c>
      <c r="N123" s="48">
        <f>SUMPRODUCT(--('Input|Historical Data'!$E$9:$E$1179=$E123),--('Input|Historical Data'!$O$9:$O$1179="SCS"),--('Input|Historical Data'!$M$9:$M$1179=N$5),'Input|Historical Data'!$I$9:$I$1179)</f>
        <v>35.579000000000001</v>
      </c>
      <c r="O123" s="49">
        <f t="shared" si="77"/>
        <v>0.59619028948572172</v>
      </c>
      <c r="P123" s="49">
        <f t="shared" si="78"/>
        <v>0.21887613791162111</v>
      </c>
      <c r="Q123" s="49">
        <f t="shared" si="79"/>
        <v>0.18493357260265708</v>
      </c>
      <c r="R123" s="49">
        <f t="shared" si="80"/>
        <v>8.9421883089791335E-2</v>
      </c>
      <c r="S123" s="38"/>
      <c r="T123" s="48">
        <f>SUMPRODUCT(--('Input|Historical Data'!$Q$9:$Q$1179=$E123),--('Input|Historical Data'!$AA$9:$AA$1179="SCS"),--('Input|Historical Data'!$Y$9:$Y$1179=T$5),'Input|Historical Data'!$U$9:$U$1179)</f>
        <v>335.86600000000004</v>
      </c>
      <c r="U123" s="48">
        <f>SUMPRODUCT(--('Input|Historical Data'!$Q$9:$Q$1179=$E123),--('Input|Historical Data'!$AA$9:$AA$1179="SCS"),--('Input|Historical Data'!$Z$9:$Z$1179=U$5),'Input|Historical Data'!$U$9:$U$1179)</f>
        <v>201.30399999999997</v>
      </c>
      <c r="V123" s="48">
        <f>SUMPRODUCT(--('Input|Historical Data'!$Q$9:$Q$1179=$E123),--('Input|Historical Data'!$AA$9:$AA$1179="SCS"),--('Input|Historical Data'!$Z$9:$Z$1179=V$5),'Input|Historical Data'!$U$9:$U$1179)</f>
        <v>73.620999999999995</v>
      </c>
      <c r="W123" s="48">
        <f>SUMPRODUCT(--('Input|Historical Data'!$Q$9:$Q$1179=$E123),--('Input|Historical Data'!$AA$9:$AA$1179="SCS"),--('Input|Historical Data'!$Z$9:$Z$1179=W$5),'Input|Historical Data'!$U$9:$U$1179)</f>
        <v>60.941000000000003</v>
      </c>
      <c r="X123" s="48">
        <f>SUMPRODUCT(--('Input|Historical Data'!$Q$9:$Q$1179=$E123),--('Input|Historical Data'!$AA$9:$AA$1179="SCS"),--('Input|Historical Data'!$Y$9:$Y$1179=X$5),'Input|Historical Data'!$U$9:$U$1179)</f>
        <v>42.116999999999997</v>
      </c>
      <c r="Y123" s="49">
        <f t="shared" si="73"/>
        <v>0.59935807732845836</v>
      </c>
      <c r="Z123" s="49">
        <f t="shared" si="74"/>
        <v>0.21919753711301532</v>
      </c>
      <c r="AA123" s="49">
        <f t="shared" si="75"/>
        <v>0.18144438555852632</v>
      </c>
      <c r="AB123" s="49">
        <f t="shared" si="76"/>
        <v>0.12539822429183065</v>
      </c>
      <c r="AC123" s="38"/>
      <c r="AD123" s="48">
        <f>SUMPRODUCT(--('Input|Historical Data'!$AC$9:$AC$1180=$E123),--('Input|Historical Data'!$AM$9:$AM$1180="SCS"),--('Input|Historical Data'!$AK$9:$AK$1180=AD$5),'Input|Historical Data'!$AG$9:$AG$1180)</f>
        <v>96.421000000000006</v>
      </c>
      <c r="AE123" s="48">
        <f>SUMPRODUCT(--('Input|Historical Data'!$AC$9:$AC$1180=$E123),--('Input|Historical Data'!$AM$9:$AM$1180="SCS"),--('Input|Historical Data'!$AL$9:$AL$1180=AE$5),'Input|Historical Data'!$AG$9:$AG$1180)</f>
        <v>38.152999999999999</v>
      </c>
      <c r="AF123" s="48">
        <f>SUMPRODUCT(--('Input|Historical Data'!$AC$9:$AC$1180=$E123),--('Input|Historical Data'!$AM$9:$AM$1180="SCS"),--('Input|Historical Data'!$AL$9:$AL$1180=AF$5),'Input|Historical Data'!$AG$9:$AG$1180)</f>
        <v>42.907999999999994</v>
      </c>
      <c r="AG123" s="48">
        <f>SUMPRODUCT(--('Input|Historical Data'!$AC$9:$AC$1180=$E123),--('Input|Historical Data'!$AM$9:$AM$1180="SCS"),--('Input|Historical Data'!$AL$9:$AL$1180=AG$5),'Input|Historical Data'!$AG$9:$AG$1180)</f>
        <v>15.36</v>
      </c>
      <c r="AH123" s="48">
        <f>SUMPRODUCT(--('Input|Historical Data'!$AC$9:$AC$1180=$E123),--('Input|Historical Data'!$AM$9:$AM$1180="SCS"),--('Input|Historical Data'!$AK$9:$AK$1180=AH$5),'Input|Historical Data'!$AG$9:$AG$1180)</f>
        <v>29.856999999999999</v>
      </c>
      <c r="AI123" s="49">
        <f t="shared" si="81"/>
        <v>0.39569180987544211</v>
      </c>
      <c r="AJ123" s="49">
        <f t="shared" si="82"/>
        <v>0.44500679312597874</v>
      </c>
      <c r="AK123" s="49">
        <f t="shared" si="83"/>
        <v>0.15930139699857915</v>
      </c>
      <c r="AL123" s="49">
        <f t="shared" si="84"/>
        <v>0.3096524616006886</v>
      </c>
      <c r="AM123" s="38"/>
      <c r="AN123" s="48"/>
      <c r="AO123" s="48"/>
      <c r="AP123" s="48"/>
      <c r="AQ123" s="48"/>
      <c r="AR123" s="48"/>
      <c r="AS123" s="49"/>
      <c r="AT123" s="49"/>
      <c r="AU123" s="49"/>
      <c r="AV123" s="49"/>
      <c r="AW123" s="38"/>
      <c r="AX123" s="49">
        <f t="shared" si="85"/>
        <v>0.55393060628702673</v>
      </c>
      <c r="AY123" s="49">
        <f t="shared" si="86"/>
        <v>0.26956397023273887</v>
      </c>
      <c r="AZ123" s="49">
        <f t="shared" si="87"/>
        <v>0.17650542348023418</v>
      </c>
      <c r="BA123" s="49">
        <f t="shared" si="88"/>
        <v>0.16649586964215898</v>
      </c>
      <c r="BB123" s="44"/>
    </row>
    <row r="124" spans="3:54" s="7" customFormat="1" outlineLevel="1" x14ac:dyDescent="0.3">
      <c r="C124" s="38"/>
      <c r="D124" s="38"/>
      <c r="E124" s="38" t="s">
        <v>195</v>
      </c>
      <c r="F124" s="38" t="s">
        <v>376</v>
      </c>
      <c r="G124" s="38" t="str">
        <f>VLOOKUP(E124,Mapping!$E$11:$G$204,3,0)</f>
        <v>VBRC</v>
      </c>
      <c r="H124" s="38" t="str">
        <f>VLOOKUP(E124,Mapping!$E$11:$K$204,7,0)</f>
        <v>SCS</v>
      </c>
      <c r="I124" s="38"/>
      <c r="J124" s="48">
        <f>SUMPRODUCT(--('Input|Historical Data'!$E$9:$E$1179=$E124),--('Input|Historical Data'!$O$9:$O$1179="SCS"),--('Input|Historical Data'!$M$9:$M$1179=J$5),'Input|Historical Data'!$I$9:$I$1179)</f>
        <v>3.766</v>
      </c>
      <c r="K124" s="48">
        <f>SUMPRODUCT(--('Input|Historical Data'!$E$9:$E$1179=$E124),--('Input|Historical Data'!$O$9:$O$1179="SCS"),--('Input|Historical Data'!$N$9:$N$1179=K$5),'Input|Historical Data'!$I$9:$I$1179)</f>
        <v>0.68799999999999994</v>
      </c>
      <c r="L124" s="48">
        <f>SUMPRODUCT(--('Input|Historical Data'!$E$9:$E$1179=$E124),--('Input|Historical Data'!$O$9:$O$1179="SCS"),--('Input|Historical Data'!$N$9:$N$1179=L$5),'Input|Historical Data'!$I$9:$I$1179)</f>
        <v>1.3760000000000001</v>
      </c>
      <c r="M124" s="48">
        <f>SUMPRODUCT(--('Input|Historical Data'!$E$9:$E$1179=$E124),--('Input|Historical Data'!$O$9:$O$1179="SCS"),--('Input|Historical Data'!$N$9:$N$1179=M$5),'Input|Historical Data'!$I$9:$I$1179)</f>
        <v>1.702</v>
      </c>
      <c r="N124" s="48">
        <f>SUMPRODUCT(--('Input|Historical Data'!$E$9:$E$1179=$E124),--('Input|Historical Data'!$O$9:$O$1179="SCS"),--('Input|Historical Data'!$M$9:$M$1179=N$5),'Input|Historical Data'!$I$9:$I$1179)</f>
        <v>0.373</v>
      </c>
      <c r="O124" s="49">
        <f t="shared" si="77"/>
        <v>0.18268720127456187</v>
      </c>
      <c r="P124" s="49">
        <f t="shared" si="78"/>
        <v>0.36537440254912379</v>
      </c>
      <c r="Q124" s="49">
        <f t="shared" si="79"/>
        <v>0.45193839617631437</v>
      </c>
      <c r="R124" s="49">
        <f t="shared" si="80"/>
        <v>9.9044078597981949E-2</v>
      </c>
      <c r="S124" s="38"/>
      <c r="T124" s="48">
        <f>SUMPRODUCT(--('Input|Historical Data'!$Q$9:$Q$1179=$E124),--('Input|Historical Data'!$AA$9:$AA$1179="SCS"),--('Input|Historical Data'!$Y$9:$Y$1179=T$5),'Input|Historical Data'!$U$9:$U$1179)</f>
        <v>0.64700000000000002</v>
      </c>
      <c r="U124" s="48">
        <f>SUMPRODUCT(--('Input|Historical Data'!$Q$9:$Q$1179=$E124),--('Input|Historical Data'!$AA$9:$AA$1179="SCS"),--('Input|Historical Data'!$Z$9:$Z$1179=U$5),'Input|Historical Data'!$U$9:$U$1179)</f>
        <v>0.45800000000000002</v>
      </c>
      <c r="V124" s="48">
        <f>SUMPRODUCT(--('Input|Historical Data'!$Q$9:$Q$1179=$E124),--('Input|Historical Data'!$AA$9:$AA$1179="SCS"),--('Input|Historical Data'!$Z$9:$Z$1179=V$5),'Input|Historical Data'!$U$9:$U$1179)</f>
        <v>0</v>
      </c>
      <c r="W124" s="48">
        <f>SUMPRODUCT(--('Input|Historical Data'!$Q$9:$Q$1179=$E124),--('Input|Historical Data'!$AA$9:$AA$1179="SCS"),--('Input|Historical Data'!$Z$9:$Z$1179=W$5),'Input|Historical Data'!$U$9:$U$1179)</f>
        <v>0.189</v>
      </c>
      <c r="X124" s="48">
        <f>SUMPRODUCT(--('Input|Historical Data'!$Q$9:$Q$1179=$E124),--('Input|Historical Data'!$AA$9:$AA$1179="SCS"),--('Input|Historical Data'!$Y$9:$Y$1179=X$5),'Input|Historical Data'!$U$9:$U$1179)</f>
        <v>7.4999999999999997E-2</v>
      </c>
      <c r="Y124" s="49">
        <f t="shared" si="73"/>
        <v>0.70788253477588869</v>
      </c>
      <c r="Z124" s="49">
        <f t="shared" si="74"/>
        <v>0</v>
      </c>
      <c r="AA124" s="49">
        <f t="shared" si="75"/>
        <v>0.29211746522411125</v>
      </c>
      <c r="AB124" s="49">
        <f t="shared" si="76"/>
        <v>0.11591962905718702</v>
      </c>
      <c r="AC124" s="38"/>
      <c r="AD124" s="48">
        <f>SUMPRODUCT(--('Input|Historical Data'!$AC$9:$AC$1180=$E124),--('Input|Historical Data'!$AM$9:$AM$1180="SCS"),--('Input|Historical Data'!$AK$9:$AK$1180=AD$5),'Input|Historical Data'!$AG$9:$AG$1180)</f>
        <v>0</v>
      </c>
      <c r="AE124" s="48">
        <f>SUMPRODUCT(--('Input|Historical Data'!$AC$9:$AC$1180=$E124),--('Input|Historical Data'!$AM$9:$AM$1180="SCS"),--('Input|Historical Data'!$AL$9:$AL$1180=AE$5),'Input|Historical Data'!$AG$9:$AG$1180)</f>
        <v>0</v>
      </c>
      <c r="AF124" s="48">
        <f>SUMPRODUCT(--('Input|Historical Data'!$AC$9:$AC$1180=$E124),--('Input|Historical Data'!$AM$9:$AM$1180="SCS"),--('Input|Historical Data'!$AL$9:$AL$1180=AF$5),'Input|Historical Data'!$AG$9:$AG$1180)</f>
        <v>0</v>
      </c>
      <c r="AG124" s="48">
        <f>SUMPRODUCT(--('Input|Historical Data'!$AC$9:$AC$1180=$E124),--('Input|Historical Data'!$AM$9:$AM$1180="SCS"),--('Input|Historical Data'!$AL$9:$AL$1180=AG$5),'Input|Historical Data'!$AG$9:$AG$1180)</f>
        <v>0</v>
      </c>
      <c r="AH124" s="48">
        <f>SUMPRODUCT(--('Input|Historical Data'!$AC$9:$AC$1180=$E124),--('Input|Historical Data'!$AM$9:$AM$1180="SCS"),--('Input|Historical Data'!$AK$9:$AK$1180=AH$5),'Input|Historical Data'!$AG$9:$AG$1180)</f>
        <v>0</v>
      </c>
      <c r="AI124" s="49">
        <f t="shared" si="81"/>
        <v>0</v>
      </c>
      <c r="AJ124" s="49">
        <f t="shared" si="82"/>
        <v>0</v>
      </c>
      <c r="AK124" s="49">
        <f t="shared" si="83"/>
        <v>0</v>
      </c>
      <c r="AL124" s="49">
        <f t="shared" si="84"/>
        <v>0</v>
      </c>
      <c r="AM124" s="38"/>
      <c r="AN124" s="48"/>
      <c r="AO124" s="48"/>
      <c r="AP124" s="48"/>
      <c r="AQ124" s="48"/>
      <c r="AR124" s="48"/>
      <c r="AS124" s="49"/>
      <c r="AT124" s="49"/>
      <c r="AU124" s="49"/>
      <c r="AV124" s="49"/>
      <c r="AW124" s="38"/>
      <c r="AX124" s="49">
        <f t="shared" si="85"/>
        <v>0.70788253477588869</v>
      </c>
      <c r="AY124" s="49">
        <f t="shared" si="86"/>
        <v>0</v>
      </c>
      <c r="AZ124" s="49">
        <f t="shared" si="87"/>
        <v>0.29211746522411125</v>
      </c>
      <c r="BA124" s="49">
        <f t="shared" si="88"/>
        <v>0.11591962905718702</v>
      </c>
      <c r="BB124" s="44"/>
    </row>
    <row r="125" spans="3:54" s="7" customFormat="1" outlineLevel="1" x14ac:dyDescent="0.3">
      <c r="C125" s="38"/>
      <c r="D125" s="38"/>
      <c r="E125" s="38" t="s">
        <v>196</v>
      </c>
      <c r="F125" s="38" t="s">
        <v>377</v>
      </c>
      <c r="G125" s="38" t="str">
        <f>VLOOKUP(E125,Mapping!$E$11:$G$204,3,0)</f>
        <v>Replacement</v>
      </c>
      <c r="H125" s="38" t="str">
        <f>VLOOKUP(E125,Mapping!$E$11:$K$204,7,0)</f>
        <v>SCS</v>
      </c>
      <c r="I125" s="38"/>
      <c r="J125" s="48">
        <f>SUMPRODUCT(--('Input|Historical Data'!$E$9:$E$1179=$E125),--('Input|Historical Data'!$O$9:$O$1179="SCS"),--('Input|Historical Data'!$M$9:$M$1179=J$5),'Input|Historical Data'!$I$9:$I$1179)</f>
        <v>0</v>
      </c>
      <c r="K125" s="48">
        <f>SUMPRODUCT(--('Input|Historical Data'!$E$9:$E$1179=$E125),--('Input|Historical Data'!$O$9:$O$1179="SCS"),--('Input|Historical Data'!$N$9:$N$1179=K$5),'Input|Historical Data'!$I$9:$I$1179)</f>
        <v>0</v>
      </c>
      <c r="L125" s="48">
        <f>SUMPRODUCT(--('Input|Historical Data'!$E$9:$E$1179=$E125),--('Input|Historical Data'!$O$9:$O$1179="SCS"),--('Input|Historical Data'!$N$9:$N$1179=L$5),'Input|Historical Data'!$I$9:$I$1179)</f>
        <v>0</v>
      </c>
      <c r="M125" s="48">
        <f>SUMPRODUCT(--('Input|Historical Data'!$E$9:$E$1179=$E125),--('Input|Historical Data'!$O$9:$O$1179="SCS"),--('Input|Historical Data'!$N$9:$N$1179=M$5),'Input|Historical Data'!$I$9:$I$1179)</f>
        <v>0</v>
      </c>
      <c r="N125" s="48">
        <f>SUMPRODUCT(--('Input|Historical Data'!$E$9:$E$1179=$E125),--('Input|Historical Data'!$O$9:$O$1179="SCS"),--('Input|Historical Data'!$M$9:$M$1179=N$5),'Input|Historical Data'!$I$9:$I$1179)</f>
        <v>0</v>
      </c>
      <c r="O125" s="49">
        <f t="shared" si="77"/>
        <v>0</v>
      </c>
      <c r="P125" s="49">
        <f t="shared" si="78"/>
        <v>0</v>
      </c>
      <c r="Q125" s="49">
        <f t="shared" si="79"/>
        <v>0</v>
      </c>
      <c r="R125" s="49">
        <f t="shared" si="80"/>
        <v>0</v>
      </c>
      <c r="S125" s="38"/>
      <c r="T125" s="48">
        <f>SUMPRODUCT(--('Input|Historical Data'!$Q$9:$Q$1179=$E125),--('Input|Historical Data'!$AA$9:$AA$1179="SCS"),--('Input|Historical Data'!$Y$9:$Y$1179=T$5),'Input|Historical Data'!$U$9:$U$1179)</f>
        <v>0</v>
      </c>
      <c r="U125" s="48">
        <f>SUMPRODUCT(--('Input|Historical Data'!$Q$9:$Q$1179=$E125),--('Input|Historical Data'!$AA$9:$AA$1179="SCS"),--('Input|Historical Data'!$Z$9:$Z$1179=U$5),'Input|Historical Data'!$U$9:$U$1179)</f>
        <v>0</v>
      </c>
      <c r="V125" s="48">
        <f>SUMPRODUCT(--('Input|Historical Data'!$Q$9:$Q$1179=$E125),--('Input|Historical Data'!$AA$9:$AA$1179="SCS"),--('Input|Historical Data'!$Z$9:$Z$1179=V$5),'Input|Historical Data'!$U$9:$U$1179)</f>
        <v>0</v>
      </c>
      <c r="W125" s="48">
        <f>SUMPRODUCT(--('Input|Historical Data'!$Q$9:$Q$1179=$E125),--('Input|Historical Data'!$AA$9:$AA$1179="SCS"),--('Input|Historical Data'!$Z$9:$Z$1179=W$5),'Input|Historical Data'!$U$9:$U$1179)</f>
        <v>0</v>
      </c>
      <c r="X125" s="48">
        <f>SUMPRODUCT(--('Input|Historical Data'!$Q$9:$Q$1179=$E125),--('Input|Historical Data'!$AA$9:$AA$1179="SCS"),--('Input|Historical Data'!$Y$9:$Y$1179=X$5),'Input|Historical Data'!$U$9:$U$1179)</f>
        <v>0</v>
      </c>
      <c r="Y125" s="49">
        <f t="shared" si="73"/>
        <v>0</v>
      </c>
      <c r="Z125" s="49">
        <f t="shared" si="74"/>
        <v>0</v>
      </c>
      <c r="AA125" s="49">
        <f t="shared" si="75"/>
        <v>0</v>
      </c>
      <c r="AB125" s="49">
        <f t="shared" si="76"/>
        <v>0</v>
      </c>
      <c r="AC125" s="38"/>
      <c r="AD125" s="48">
        <f>SUMPRODUCT(--('Input|Historical Data'!$AC$9:$AC$1180=$E125),--('Input|Historical Data'!$AM$9:$AM$1180="SCS"),--('Input|Historical Data'!$AK$9:$AK$1180=AD$5),'Input|Historical Data'!$AG$9:$AG$1180)</f>
        <v>0</v>
      </c>
      <c r="AE125" s="48">
        <f>SUMPRODUCT(--('Input|Historical Data'!$AC$9:$AC$1180=$E125),--('Input|Historical Data'!$AM$9:$AM$1180="SCS"),--('Input|Historical Data'!$AL$9:$AL$1180=AE$5),'Input|Historical Data'!$AG$9:$AG$1180)</f>
        <v>0</v>
      </c>
      <c r="AF125" s="48">
        <f>SUMPRODUCT(--('Input|Historical Data'!$AC$9:$AC$1180=$E125),--('Input|Historical Data'!$AM$9:$AM$1180="SCS"),--('Input|Historical Data'!$AL$9:$AL$1180=AF$5),'Input|Historical Data'!$AG$9:$AG$1180)</f>
        <v>0</v>
      </c>
      <c r="AG125" s="48">
        <f>SUMPRODUCT(--('Input|Historical Data'!$AC$9:$AC$1180=$E125),--('Input|Historical Data'!$AM$9:$AM$1180="SCS"),--('Input|Historical Data'!$AL$9:$AL$1180=AG$5),'Input|Historical Data'!$AG$9:$AG$1180)</f>
        <v>0</v>
      </c>
      <c r="AH125" s="48">
        <f>SUMPRODUCT(--('Input|Historical Data'!$AC$9:$AC$1180=$E125),--('Input|Historical Data'!$AM$9:$AM$1180="SCS"),--('Input|Historical Data'!$AK$9:$AK$1180=AH$5),'Input|Historical Data'!$AG$9:$AG$1180)</f>
        <v>0</v>
      </c>
      <c r="AI125" s="49">
        <f t="shared" si="81"/>
        <v>0</v>
      </c>
      <c r="AJ125" s="49">
        <f t="shared" si="82"/>
        <v>0</v>
      </c>
      <c r="AK125" s="49">
        <f t="shared" si="83"/>
        <v>0</v>
      </c>
      <c r="AL125" s="49">
        <f t="shared" si="84"/>
        <v>0</v>
      </c>
      <c r="AM125" s="38"/>
      <c r="AN125" s="48"/>
      <c r="AO125" s="48"/>
      <c r="AP125" s="48"/>
      <c r="AQ125" s="48"/>
      <c r="AR125" s="48"/>
      <c r="AS125" s="49"/>
      <c r="AT125" s="49"/>
      <c r="AU125" s="49"/>
      <c r="AV125" s="49"/>
      <c r="AW125" s="38"/>
      <c r="AX125" s="49">
        <f t="shared" si="85"/>
        <v>0</v>
      </c>
      <c r="AY125" s="49">
        <f t="shared" si="86"/>
        <v>0</v>
      </c>
      <c r="AZ125" s="49">
        <f t="shared" si="87"/>
        <v>0</v>
      </c>
      <c r="BA125" s="49">
        <f t="shared" si="88"/>
        <v>0</v>
      </c>
      <c r="BB125" s="44"/>
    </row>
    <row r="126" spans="3:54" s="7" customFormat="1" outlineLevel="1" x14ac:dyDescent="0.3">
      <c r="C126" s="38"/>
      <c r="D126" s="38"/>
      <c r="E126" s="38" t="s">
        <v>197</v>
      </c>
      <c r="F126" s="38" t="s">
        <v>378</v>
      </c>
      <c r="G126" s="38" t="str">
        <f>VLOOKUP(E126,Mapping!$E$11:$G$204,3,0)</f>
        <v>Replacement</v>
      </c>
      <c r="H126" s="38" t="str">
        <f>VLOOKUP(E126,Mapping!$E$11:$K$204,7,0)</f>
        <v>SCS</v>
      </c>
      <c r="I126" s="38"/>
      <c r="J126" s="48">
        <f>SUMPRODUCT(--('Input|Historical Data'!$E$9:$E$1179=$E126),--('Input|Historical Data'!$O$9:$O$1179="SCS"),--('Input|Historical Data'!$M$9:$M$1179=J$5),'Input|Historical Data'!$I$9:$I$1179)</f>
        <v>280.07099999999997</v>
      </c>
      <c r="K126" s="48">
        <f>SUMPRODUCT(--('Input|Historical Data'!$E$9:$E$1179=$E126),--('Input|Historical Data'!$O$9:$O$1179="SCS"),--('Input|Historical Data'!$N$9:$N$1179=K$5),'Input|Historical Data'!$I$9:$I$1179)</f>
        <v>159.20699999999999</v>
      </c>
      <c r="L126" s="48">
        <f>SUMPRODUCT(--('Input|Historical Data'!$E$9:$E$1179=$E126),--('Input|Historical Data'!$O$9:$O$1179="SCS"),--('Input|Historical Data'!$N$9:$N$1179=L$5),'Input|Historical Data'!$I$9:$I$1179)</f>
        <v>44.673000000000002</v>
      </c>
      <c r="M126" s="48">
        <f>SUMPRODUCT(--('Input|Historical Data'!$E$9:$E$1179=$E126),--('Input|Historical Data'!$O$9:$O$1179="SCS"),--('Input|Historical Data'!$N$9:$N$1179=M$5),'Input|Historical Data'!$I$9:$I$1179)</f>
        <v>76.191000000000003</v>
      </c>
      <c r="N126" s="48">
        <f>SUMPRODUCT(--('Input|Historical Data'!$E$9:$E$1179=$E126),--('Input|Historical Data'!$O$9:$O$1179="SCS"),--('Input|Historical Data'!$M$9:$M$1179=N$5),'Input|Historical Data'!$I$9:$I$1179)</f>
        <v>25.891999999999999</v>
      </c>
      <c r="O126" s="49">
        <f t="shared" si="77"/>
        <v>0.56845228531336689</v>
      </c>
      <c r="P126" s="49">
        <f t="shared" si="78"/>
        <v>0.15950598241160277</v>
      </c>
      <c r="Q126" s="49">
        <f t="shared" si="79"/>
        <v>0.27204173227503026</v>
      </c>
      <c r="R126" s="49">
        <f t="shared" si="80"/>
        <v>9.2447986403447702E-2</v>
      </c>
      <c r="S126" s="38"/>
      <c r="T126" s="48">
        <f>SUMPRODUCT(--('Input|Historical Data'!$Q$9:$Q$1179=$E126),--('Input|Historical Data'!$AA$9:$AA$1179="SCS"),--('Input|Historical Data'!$Y$9:$Y$1179=T$5),'Input|Historical Data'!$U$9:$U$1179)</f>
        <v>162.10499999999999</v>
      </c>
      <c r="U126" s="48">
        <f>SUMPRODUCT(--('Input|Historical Data'!$Q$9:$Q$1179=$E126),--('Input|Historical Data'!$AA$9:$AA$1179="SCS"),--('Input|Historical Data'!$Z$9:$Z$1179=U$5),'Input|Historical Data'!$U$9:$U$1179)</f>
        <v>85.260999999999996</v>
      </c>
      <c r="V126" s="48">
        <f>SUMPRODUCT(--('Input|Historical Data'!$Q$9:$Q$1179=$E126),--('Input|Historical Data'!$AA$9:$AA$1179="SCS"),--('Input|Historical Data'!$Z$9:$Z$1179=V$5),'Input|Historical Data'!$U$9:$U$1179)</f>
        <v>58.814999999999998</v>
      </c>
      <c r="W126" s="48">
        <f>SUMPRODUCT(--('Input|Historical Data'!$Q$9:$Q$1179=$E126),--('Input|Historical Data'!$AA$9:$AA$1179="SCS"),--('Input|Historical Data'!$Z$9:$Z$1179=W$5),'Input|Historical Data'!$U$9:$U$1179)</f>
        <v>18.029</v>
      </c>
      <c r="X126" s="48">
        <f>SUMPRODUCT(--('Input|Historical Data'!$Q$9:$Q$1179=$E126),--('Input|Historical Data'!$AA$9:$AA$1179="SCS"),--('Input|Historical Data'!$Y$9:$Y$1179=X$5),'Input|Historical Data'!$U$9:$U$1179)</f>
        <v>21.626999999999999</v>
      </c>
      <c r="Y126" s="49">
        <f t="shared" si="73"/>
        <v>0.52596156811942874</v>
      </c>
      <c r="Z126" s="49">
        <f t="shared" si="74"/>
        <v>0.36282039418895162</v>
      </c>
      <c r="AA126" s="49">
        <f t="shared" si="75"/>
        <v>0.11121803769161964</v>
      </c>
      <c r="AB126" s="49">
        <f t="shared" si="76"/>
        <v>0.13341352826871472</v>
      </c>
      <c r="AC126" s="38"/>
      <c r="AD126" s="48">
        <f>SUMPRODUCT(--('Input|Historical Data'!$AC$9:$AC$1180=$E126),--('Input|Historical Data'!$AM$9:$AM$1180="SCS"),--('Input|Historical Data'!$AK$9:$AK$1180=AD$5),'Input|Historical Data'!$AG$9:$AG$1180)</f>
        <v>86.050999999999988</v>
      </c>
      <c r="AE126" s="48">
        <f>SUMPRODUCT(--('Input|Historical Data'!$AC$9:$AC$1180=$E126),--('Input|Historical Data'!$AM$9:$AM$1180="SCS"),--('Input|Historical Data'!$AL$9:$AL$1180=AE$5),'Input|Historical Data'!$AG$9:$AG$1180)</f>
        <v>67.210999999999999</v>
      </c>
      <c r="AF126" s="48">
        <f>SUMPRODUCT(--('Input|Historical Data'!$AC$9:$AC$1180=$E126),--('Input|Historical Data'!$AM$9:$AM$1180="SCS"),--('Input|Historical Data'!$AL$9:$AL$1180=AF$5),'Input|Historical Data'!$AG$9:$AG$1180)</f>
        <v>27.548000000000002</v>
      </c>
      <c r="AG126" s="48">
        <f>SUMPRODUCT(--('Input|Historical Data'!$AC$9:$AC$1180=$E126),--('Input|Historical Data'!$AM$9:$AM$1180="SCS"),--('Input|Historical Data'!$AL$9:$AL$1180=AG$5),'Input|Historical Data'!$AG$9:$AG$1180)</f>
        <v>-8.7080000000000002</v>
      </c>
      <c r="AH126" s="48">
        <f>SUMPRODUCT(--('Input|Historical Data'!$AC$9:$AC$1180=$E126),--('Input|Historical Data'!$AM$9:$AM$1180="SCS"),--('Input|Historical Data'!$AK$9:$AK$1180=AH$5),'Input|Historical Data'!$AG$9:$AG$1180)</f>
        <v>12.343999999999999</v>
      </c>
      <c r="AI126" s="49">
        <f t="shared" si="81"/>
        <v>0.78106006902883174</v>
      </c>
      <c r="AJ126" s="49">
        <f t="shared" si="82"/>
        <v>0.32013573346038976</v>
      </c>
      <c r="AK126" s="49">
        <f t="shared" si="83"/>
        <v>-0.10119580248922151</v>
      </c>
      <c r="AL126" s="49">
        <f t="shared" si="84"/>
        <v>0.14344981464480366</v>
      </c>
      <c r="AM126" s="38"/>
      <c r="AN126" s="48"/>
      <c r="AO126" s="48"/>
      <c r="AP126" s="48"/>
      <c r="AQ126" s="48"/>
      <c r="AR126" s="48"/>
      <c r="AS126" s="49"/>
      <c r="AT126" s="49"/>
      <c r="AU126" s="49"/>
      <c r="AV126" s="49"/>
      <c r="AW126" s="38"/>
      <c r="AX126" s="49">
        <f t="shared" si="85"/>
        <v>0.61441996163703472</v>
      </c>
      <c r="AY126" s="49">
        <f t="shared" si="86"/>
        <v>0.34801898805590037</v>
      </c>
      <c r="AZ126" s="49">
        <f t="shared" si="87"/>
        <v>3.7561050307064914E-2</v>
      </c>
      <c r="BA126" s="49">
        <f t="shared" si="88"/>
        <v>0.13689372813875142</v>
      </c>
      <c r="BB126" s="44"/>
    </row>
    <row r="127" spans="3:54" s="7" customFormat="1" outlineLevel="1" x14ac:dyDescent="0.3">
      <c r="C127" s="38"/>
      <c r="D127" s="38"/>
      <c r="E127" s="38" t="s">
        <v>198</v>
      </c>
      <c r="F127" s="38" t="s">
        <v>379</v>
      </c>
      <c r="G127" s="38" t="str">
        <f>VLOOKUP(E127,Mapping!$E$11:$G$204,3,0)</f>
        <v>Replacement</v>
      </c>
      <c r="H127" s="38" t="str">
        <f>VLOOKUP(E127,Mapping!$E$11:$K$204,7,0)</f>
        <v>SCS</v>
      </c>
      <c r="I127" s="38"/>
      <c r="J127" s="48">
        <f>SUMPRODUCT(--('Input|Historical Data'!$E$9:$E$1179=$E127),--('Input|Historical Data'!$O$9:$O$1179="SCS"),--('Input|Historical Data'!$M$9:$M$1179=J$5),'Input|Historical Data'!$I$9:$I$1179)</f>
        <v>0</v>
      </c>
      <c r="K127" s="48">
        <f>SUMPRODUCT(--('Input|Historical Data'!$E$9:$E$1179=$E127),--('Input|Historical Data'!$O$9:$O$1179="SCS"),--('Input|Historical Data'!$N$9:$N$1179=K$5),'Input|Historical Data'!$I$9:$I$1179)</f>
        <v>0</v>
      </c>
      <c r="L127" s="48">
        <f>SUMPRODUCT(--('Input|Historical Data'!$E$9:$E$1179=$E127),--('Input|Historical Data'!$O$9:$O$1179="SCS"),--('Input|Historical Data'!$N$9:$N$1179=L$5),'Input|Historical Data'!$I$9:$I$1179)</f>
        <v>0</v>
      </c>
      <c r="M127" s="48">
        <f>SUMPRODUCT(--('Input|Historical Data'!$E$9:$E$1179=$E127),--('Input|Historical Data'!$O$9:$O$1179="SCS"),--('Input|Historical Data'!$N$9:$N$1179=M$5),'Input|Historical Data'!$I$9:$I$1179)</f>
        <v>0</v>
      </c>
      <c r="N127" s="48">
        <f>SUMPRODUCT(--('Input|Historical Data'!$E$9:$E$1179=$E127),--('Input|Historical Data'!$O$9:$O$1179="SCS"),--('Input|Historical Data'!$M$9:$M$1179=N$5),'Input|Historical Data'!$I$9:$I$1179)</f>
        <v>0</v>
      </c>
      <c r="O127" s="49">
        <f t="shared" si="77"/>
        <v>0</v>
      </c>
      <c r="P127" s="49">
        <f t="shared" si="78"/>
        <v>0</v>
      </c>
      <c r="Q127" s="49">
        <f t="shared" si="79"/>
        <v>0</v>
      </c>
      <c r="R127" s="49">
        <f t="shared" si="80"/>
        <v>0</v>
      </c>
      <c r="S127" s="38"/>
      <c r="T127" s="48">
        <f>SUMPRODUCT(--('Input|Historical Data'!$Q$9:$Q$1179=$E127),--('Input|Historical Data'!$AA$9:$AA$1179="SCS"),--('Input|Historical Data'!$Y$9:$Y$1179=T$5),'Input|Historical Data'!$U$9:$U$1179)</f>
        <v>0</v>
      </c>
      <c r="U127" s="48">
        <f>SUMPRODUCT(--('Input|Historical Data'!$Q$9:$Q$1179=$E127),--('Input|Historical Data'!$AA$9:$AA$1179="SCS"),--('Input|Historical Data'!$Z$9:$Z$1179=U$5),'Input|Historical Data'!$U$9:$U$1179)</f>
        <v>0</v>
      </c>
      <c r="V127" s="48">
        <f>SUMPRODUCT(--('Input|Historical Data'!$Q$9:$Q$1179=$E127),--('Input|Historical Data'!$AA$9:$AA$1179="SCS"),--('Input|Historical Data'!$Z$9:$Z$1179=V$5),'Input|Historical Data'!$U$9:$U$1179)</f>
        <v>0</v>
      </c>
      <c r="W127" s="48">
        <f>SUMPRODUCT(--('Input|Historical Data'!$Q$9:$Q$1179=$E127),--('Input|Historical Data'!$AA$9:$AA$1179="SCS"),--('Input|Historical Data'!$Z$9:$Z$1179=W$5),'Input|Historical Data'!$U$9:$U$1179)</f>
        <v>0</v>
      </c>
      <c r="X127" s="48">
        <f>SUMPRODUCT(--('Input|Historical Data'!$Q$9:$Q$1179=$E127),--('Input|Historical Data'!$AA$9:$AA$1179="SCS"),--('Input|Historical Data'!$Y$9:$Y$1179=X$5),'Input|Historical Data'!$U$9:$U$1179)</f>
        <v>0</v>
      </c>
      <c r="Y127" s="49">
        <f t="shared" si="73"/>
        <v>0</v>
      </c>
      <c r="Z127" s="49">
        <f t="shared" si="74"/>
        <v>0</v>
      </c>
      <c r="AA127" s="49">
        <f t="shared" si="75"/>
        <v>0</v>
      </c>
      <c r="AB127" s="49">
        <f t="shared" si="76"/>
        <v>0</v>
      </c>
      <c r="AC127" s="38"/>
      <c r="AD127" s="48">
        <f>SUMPRODUCT(--('Input|Historical Data'!$AC$9:$AC$1180=$E127),--('Input|Historical Data'!$AM$9:$AM$1180="SCS"),--('Input|Historical Data'!$AK$9:$AK$1180=AD$5),'Input|Historical Data'!$AG$9:$AG$1180)</f>
        <v>0</v>
      </c>
      <c r="AE127" s="48">
        <f>SUMPRODUCT(--('Input|Historical Data'!$AC$9:$AC$1180=$E127),--('Input|Historical Data'!$AM$9:$AM$1180="SCS"),--('Input|Historical Data'!$AL$9:$AL$1180=AE$5),'Input|Historical Data'!$AG$9:$AG$1180)</f>
        <v>0</v>
      </c>
      <c r="AF127" s="48">
        <f>SUMPRODUCT(--('Input|Historical Data'!$AC$9:$AC$1180=$E127),--('Input|Historical Data'!$AM$9:$AM$1180="SCS"),--('Input|Historical Data'!$AL$9:$AL$1180=AF$5),'Input|Historical Data'!$AG$9:$AG$1180)</f>
        <v>0</v>
      </c>
      <c r="AG127" s="48">
        <f>SUMPRODUCT(--('Input|Historical Data'!$AC$9:$AC$1180=$E127),--('Input|Historical Data'!$AM$9:$AM$1180="SCS"),--('Input|Historical Data'!$AL$9:$AL$1180=AG$5),'Input|Historical Data'!$AG$9:$AG$1180)</f>
        <v>0</v>
      </c>
      <c r="AH127" s="48">
        <f>SUMPRODUCT(--('Input|Historical Data'!$AC$9:$AC$1180=$E127),--('Input|Historical Data'!$AM$9:$AM$1180="SCS"),--('Input|Historical Data'!$AK$9:$AK$1180=AH$5),'Input|Historical Data'!$AG$9:$AG$1180)</f>
        <v>0</v>
      </c>
      <c r="AI127" s="49">
        <f t="shared" si="81"/>
        <v>0</v>
      </c>
      <c r="AJ127" s="49">
        <f t="shared" si="82"/>
        <v>0</v>
      </c>
      <c r="AK127" s="49">
        <f t="shared" si="83"/>
        <v>0</v>
      </c>
      <c r="AL127" s="49">
        <f t="shared" si="84"/>
        <v>0</v>
      </c>
      <c r="AM127" s="38"/>
      <c r="AN127" s="48"/>
      <c r="AO127" s="48"/>
      <c r="AP127" s="48"/>
      <c r="AQ127" s="48"/>
      <c r="AR127" s="48"/>
      <c r="AS127" s="49"/>
      <c r="AT127" s="49"/>
      <c r="AU127" s="49"/>
      <c r="AV127" s="49"/>
      <c r="AW127" s="38"/>
      <c r="AX127" s="49">
        <f t="shared" si="85"/>
        <v>0</v>
      </c>
      <c r="AY127" s="49">
        <f t="shared" si="86"/>
        <v>0</v>
      </c>
      <c r="AZ127" s="49">
        <f t="shared" si="87"/>
        <v>0</v>
      </c>
      <c r="BA127" s="49">
        <f t="shared" si="88"/>
        <v>0</v>
      </c>
      <c r="BB127" s="44"/>
    </row>
    <row r="128" spans="3:54" s="7" customFormat="1" outlineLevel="1" x14ac:dyDescent="0.3">
      <c r="C128" s="38"/>
      <c r="D128" s="38"/>
      <c r="E128" s="38" t="s">
        <v>199</v>
      </c>
      <c r="F128" s="38" t="s">
        <v>380</v>
      </c>
      <c r="G128" s="38" t="str">
        <f>VLOOKUP(E128,Mapping!$E$11:$G$204,3,0)</f>
        <v>Public Lighting</v>
      </c>
      <c r="H128" s="38" t="str">
        <f>VLOOKUP(E128,Mapping!$E$11:$K$204,7,0)</f>
        <v>Public Lighting</v>
      </c>
      <c r="I128" s="38"/>
      <c r="J128" s="48">
        <f>SUMPRODUCT(--('Input|Historical Data'!$E$9:$E$1179=$E128),--('Input|Historical Data'!$O$9:$O$1179="SCS"),--('Input|Historical Data'!$M$9:$M$1179=J$5),'Input|Historical Data'!$I$9:$I$1179)</f>
        <v>0</v>
      </c>
      <c r="K128" s="48">
        <f>SUMPRODUCT(--('Input|Historical Data'!$E$9:$E$1179=$E128),--('Input|Historical Data'!$O$9:$O$1179="SCS"),--('Input|Historical Data'!$N$9:$N$1179=K$5),'Input|Historical Data'!$I$9:$I$1179)</f>
        <v>0</v>
      </c>
      <c r="L128" s="48">
        <f>SUMPRODUCT(--('Input|Historical Data'!$E$9:$E$1179=$E128),--('Input|Historical Data'!$O$9:$O$1179="SCS"),--('Input|Historical Data'!$N$9:$N$1179=L$5),'Input|Historical Data'!$I$9:$I$1179)</f>
        <v>0</v>
      </c>
      <c r="M128" s="48">
        <f>SUMPRODUCT(--('Input|Historical Data'!$E$9:$E$1179=$E128),--('Input|Historical Data'!$O$9:$O$1179="SCS"),--('Input|Historical Data'!$N$9:$N$1179=M$5),'Input|Historical Data'!$I$9:$I$1179)</f>
        <v>0</v>
      </c>
      <c r="N128" s="48">
        <f>SUMPRODUCT(--('Input|Historical Data'!$E$9:$E$1179=$E128),--('Input|Historical Data'!$O$9:$O$1179="SCS"),--('Input|Historical Data'!$M$9:$M$1179=N$5),'Input|Historical Data'!$I$9:$I$1179)</f>
        <v>0</v>
      </c>
      <c r="O128" s="49">
        <f t="shared" si="77"/>
        <v>0</v>
      </c>
      <c r="P128" s="49">
        <f t="shared" si="78"/>
        <v>0</v>
      </c>
      <c r="Q128" s="49">
        <f t="shared" si="79"/>
        <v>0</v>
      </c>
      <c r="R128" s="49">
        <f t="shared" si="80"/>
        <v>0</v>
      </c>
      <c r="S128" s="38"/>
      <c r="T128" s="48">
        <f>SUMPRODUCT(--('Input|Historical Data'!$Q$9:$Q$1179=$E128),--('Input|Historical Data'!$AA$9:$AA$1179="SCS"),--('Input|Historical Data'!$Y$9:$Y$1179=T$5),'Input|Historical Data'!$U$9:$U$1179)</f>
        <v>0</v>
      </c>
      <c r="U128" s="48">
        <f>SUMPRODUCT(--('Input|Historical Data'!$Q$9:$Q$1179=$E128),--('Input|Historical Data'!$AA$9:$AA$1179="SCS"),--('Input|Historical Data'!$Z$9:$Z$1179=U$5),'Input|Historical Data'!$U$9:$U$1179)</f>
        <v>0</v>
      </c>
      <c r="V128" s="48">
        <f>SUMPRODUCT(--('Input|Historical Data'!$Q$9:$Q$1179=$E128),--('Input|Historical Data'!$AA$9:$AA$1179="SCS"),--('Input|Historical Data'!$Z$9:$Z$1179=V$5),'Input|Historical Data'!$U$9:$U$1179)</f>
        <v>0</v>
      </c>
      <c r="W128" s="48">
        <f>SUMPRODUCT(--('Input|Historical Data'!$Q$9:$Q$1179=$E128),--('Input|Historical Data'!$AA$9:$AA$1179="SCS"),--('Input|Historical Data'!$Z$9:$Z$1179=W$5),'Input|Historical Data'!$U$9:$U$1179)</f>
        <v>0</v>
      </c>
      <c r="X128" s="48">
        <f>SUMPRODUCT(--('Input|Historical Data'!$Q$9:$Q$1179=$E128),--('Input|Historical Data'!$AA$9:$AA$1179="SCS"),--('Input|Historical Data'!$Y$9:$Y$1179=X$5),'Input|Historical Data'!$U$9:$U$1179)</f>
        <v>0</v>
      </c>
      <c r="Y128" s="49">
        <f t="shared" si="73"/>
        <v>0</v>
      </c>
      <c r="Z128" s="49">
        <f t="shared" si="74"/>
        <v>0</v>
      </c>
      <c r="AA128" s="49">
        <f t="shared" si="75"/>
        <v>0</v>
      </c>
      <c r="AB128" s="49">
        <f t="shared" si="76"/>
        <v>0</v>
      </c>
      <c r="AC128" s="38"/>
      <c r="AD128" s="48">
        <f>SUMPRODUCT(--('Input|Historical Data'!$AC$9:$AC$1180=$E128),--('Input|Historical Data'!$AM$9:$AM$1180="SCS"),--('Input|Historical Data'!$AK$9:$AK$1180=AD$5),'Input|Historical Data'!$AG$9:$AG$1180)</f>
        <v>0</v>
      </c>
      <c r="AE128" s="48">
        <f>SUMPRODUCT(--('Input|Historical Data'!$AC$9:$AC$1180=$E128),--('Input|Historical Data'!$AM$9:$AM$1180="SCS"),--('Input|Historical Data'!$AL$9:$AL$1180=AE$5),'Input|Historical Data'!$AG$9:$AG$1180)</f>
        <v>0</v>
      </c>
      <c r="AF128" s="48">
        <f>SUMPRODUCT(--('Input|Historical Data'!$AC$9:$AC$1180=$E128),--('Input|Historical Data'!$AM$9:$AM$1180="SCS"),--('Input|Historical Data'!$AL$9:$AL$1180=AF$5),'Input|Historical Data'!$AG$9:$AG$1180)</f>
        <v>0</v>
      </c>
      <c r="AG128" s="48">
        <f>SUMPRODUCT(--('Input|Historical Data'!$AC$9:$AC$1180=$E128),--('Input|Historical Data'!$AM$9:$AM$1180="SCS"),--('Input|Historical Data'!$AL$9:$AL$1180=AG$5),'Input|Historical Data'!$AG$9:$AG$1180)</f>
        <v>0</v>
      </c>
      <c r="AH128" s="48">
        <f>SUMPRODUCT(--('Input|Historical Data'!$AC$9:$AC$1180=$E128),--('Input|Historical Data'!$AM$9:$AM$1180="SCS"),--('Input|Historical Data'!$AK$9:$AK$1180=AH$5),'Input|Historical Data'!$AG$9:$AG$1180)</f>
        <v>0</v>
      </c>
      <c r="AI128" s="49">
        <f t="shared" si="81"/>
        <v>0</v>
      </c>
      <c r="AJ128" s="49">
        <f t="shared" si="82"/>
        <v>0</v>
      </c>
      <c r="AK128" s="49">
        <f t="shared" si="83"/>
        <v>0</v>
      </c>
      <c r="AL128" s="49">
        <f t="shared" si="84"/>
        <v>0</v>
      </c>
      <c r="AM128" s="38"/>
      <c r="AN128" s="48"/>
      <c r="AO128" s="48"/>
      <c r="AP128" s="48"/>
      <c r="AQ128" s="48"/>
      <c r="AR128" s="48"/>
      <c r="AS128" s="49"/>
      <c r="AT128" s="49"/>
      <c r="AU128" s="49"/>
      <c r="AV128" s="49"/>
      <c r="AW128" s="38"/>
      <c r="AX128" s="49">
        <f t="shared" si="85"/>
        <v>0</v>
      </c>
      <c r="AY128" s="49">
        <f t="shared" si="86"/>
        <v>0</v>
      </c>
      <c r="AZ128" s="49">
        <f t="shared" si="87"/>
        <v>0</v>
      </c>
      <c r="BA128" s="49">
        <f t="shared" si="88"/>
        <v>0</v>
      </c>
      <c r="BB128" s="44"/>
    </row>
    <row r="129" spans="3:54" s="7" customFormat="1" outlineLevel="1" x14ac:dyDescent="0.3">
      <c r="C129" s="38"/>
      <c r="D129" s="38"/>
      <c r="E129" s="38" t="s">
        <v>200</v>
      </c>
      <c r="F129" s="38" t="s">
        <v>381</v>
      </c>
      <c r="G129" s="38" t="str">
        <f>VLOOKUP(E129,Mapping!$E$11:$G$204,3,0)</f>
        <v>Public Lighting</v>
      </c>
      <c r="H129" s="38" t="str">
        <f>VLOOKUP(E129,Mapping!$E$11:$K$204,7,0)</f>
        <v>Public Lighting</v>
      </c>
      <c r="I129" s="38"/>
      <c r="J129" s="48">
        <f>SUMPRODUCT(--('Input|Historical Data'!$E$9:$E$1179=$E129),--('Input|Historical Data'!$O$9:$O$1179="SCS"),--('Input|Historical Data'!$M$9:$M$1179=J$5),'Input|Historical Data'!$I$9:$I$1179)</f>
        <v>0</v>
      </c>
      <c r="K129" s="48">
        <f>SUMPRODUCT(--('Input|Historical Data'!$E$9:$E$1179=$E129),--('Input|Historical Data'!$O$9:$O$1179="SCS"),--('Input|Historical Data'!$N$9:$N$1179=K$5),'Input|Historical Data'!$I$9:$I$1179)</f>
        <v>0</v>
      </c>
      <c r="L129" s="48">
        <f>SUMPRODUCT(--('Input|Historical Data'!$E$9:$E$1179=$E129),--('Input|Historical Data'!$O$9:$O$1179="SCS"),--('Input|Historical Data'!$N$9:$N$1179=L$5),'Input|Historical Data'!$I$9:$I$1179)</f>
        <v>0</v>
      </c>
      <c r="M129" s="48">
        <f>SUMPRODUCT(--('Input|Historical Data'!$E$9:$E$1179=$E129),--('Input|Historical Data'!$O$9:$O$1179="SCS"),--('Input|Historical Data'!$N$9:$N$1179=M$5),'Input|Historical Data'!$I$9:$I$1179)</f>
        <v>0</v>
      </c>
      <c r="N129" s="48">
        <f>SUMPRODUCT(--('Input|Historical Data'!$E$9:$E$1179=$E129),--('Input|Historical Data'!$O$9:$O$1179="SCS"),--('Input|Historical Data'!$M$9:$M$1179=N$5),'Input|Historical Data'!$I$9:$I$1179)</f>
        <v>0</v>
      </c>
      <c r="O129" s="49">
        <f t="shared" si="77"/>
        <v>0</v>
      </c>
      <c r="P129" s="49">
        <f t="shared" si="78"/>
        <v>0</v>
      </c>
      <c r="Q129" s="49">
        <f t="shared" si="79"/>
        <v>0</v>
      </c>
      <c r="R129" s="49">
        <f t="shared" si="80"/>
        <v>0</v>
      </c>
      <c r="S129" s="38"/>
      <c r="T129" s="48">
        <f>SUMPRODUCT(--('Input|Historical Data'!$Q$9:$Q$1179=$E129),--('Input|Historical Data'!$AA$9:$AA$1179="SCS"),--('Input|Historical Data'!$Y$9:$Y$1179=T$5),'Input|Historical Data'!$U$9:$U$1179)</f>
        <v>0</v>
      </c>
      <c r="U129" s="48">
        <f>SUMPRODUCT(--('Input|Historical Data'!$Q$9:$Q$1179=$E129),--('Input|Historical Data'!$AA$9:$AA$1179="SCS"),--('Input|Historical Data'!$Z$9:$Z$1179=U$5),'Input|Historical Data'!$U$9:$U$1179)</f>
        <v>0</v>
      </c>
      <c r="V129" s="48">
        <f>SUMPRODUCT(--('Input|Historical Data'!$Q$9:$Q$1179=$E129),--('Input|Historical Data'!$AA$9:$AA$1179="SCS"),--('Input|Historical Data'!$Z$9:$Z$1179=V$5),'Input|Historical Data'!$U$9:$U$1179)</f>
        <v>0</v>
      </c>
      <c r="W129" s="48">
        <f>SUMPRODUCT(--('Input|Historical Data'!$Q$9:$Q$1179=$E129),--('Input|Historical Data'!$AA$9:$AA$1179="SCS"),--('Input|Historical Data'!$Z$9:$Z$1179=W$5),'Input|Historical Data'!$U$9:$U$1179)</f>
        <v>0</v>
      </c>
      <c r="X129" s="48">
        <f>SUMPRODUCT(--('Input|Historical Data'!$Q$9:$Q$1179=$E129),--('Input|Historical Data'!$AA$9:$AA$1179="SCS"),--('Input|Historical Data'!$Y$9:$Y$1179=X$5),'Input|Historical Data'!$U$9:$U$1179)</f>
        <v>0</v>
      </c>
      <c r="Y129" s="49">
        <f t="shared" si="73"/>
        <v>0</v>
      </c>
      <c r="Z129" s="49">
        <f t="shared" si="74"/>
        <v>0</v>
      </c>
      <c r="AA129" s="49">
        <f t="shared" si="75"/>
        <v>0</v>
      </c>
      <c r="AB129" s="49">
        <f t="shared" si="76"/>
        <v>0</v>
      </c>
      <c r="AC129" s="38"/>
      <c r="AD129" s="48">
        <f>SUMPRODUCT(--('Input|Historical Data'!$AC$9:$AC$1180=$E129),--('Input|Historical Data'!$AM$9:$AM$1180="SCS"),--('Input|Historical Data'!$AK$9:$AK$1180=AD$5),'Input|Historical Data'!$AG$9:$AG$1180)</f>
        <v>0</v>
      </c>
      <c r="AE129" s="48">
        <f>SUMPRODUCT(--('Input|Historical Data'!$AC$9:$AC$1180=$E129),--('Input|Historical Data'!$AM$9:$AM$1180="SCS"),--('Input|Historical Data'!$AL$9:$AL$1180=AE$5),'Input|Historical Data'!$AG$9:$AG$1180)</f>
        <v>0</v>
      </c>
      <c r="AF129" s="48">
        <f>SUMPRODUCT(--('Input|Historical Data'!$AC$9:$AC$1180=$E129),--('Input|Historical Data'!$AM$9:$AM$1180="SCS"),--('Input|Historical Data'!$AL$9:$AL$1180=AF$5),'Input|Historical Data'!$AG$9:$AG$1180)</f>
        <v>0</v>
      </c>
      <c r="AG129" s="48">
        <f>SUMPRODUCT(--('Input|Historical Data'!$AC$9:$AC$1180=$E129),--('Input|Historical Data'!$AM$9:$AM$1180="SCS"),--('Input|Historical Data'!$AL$9:$AL$1180=AG$5),'Input|Historical Data'!$AG$9:$AG$1180)</f>
        <v>0</v>
      </c>
      <c r="AH129" s="48">
        <f>SUMPRODUCT(--('Input|Historical Data'!$AC$9:$AC$1180=$E129),--('Input|Historical Data'!$AM$9:$AM$1180="SCS"),--('Input|Historical Data'!$AK$9:$AK$1180=AH$5),'Input|Historical Data'!$AG$9:$AG$1180)</f>
        <v>0</v>
      </c>
      <c r="AI129" s="49">
        <f t="shared" si="81"/>
        <v>0</v>
      </c>
      <c r="AJ129" s="49">
        <f t="shared" si="82"/>
        <v>0</v>
      </c>
      <c r="AK129" s="49">
        <f t="shared" si="83"/>
        <v>0</v>
      </c>
      <c r="AL129" s="49">
        <f t="shared" si="84"/>
        <v>0</v>
      </c>
      <c r="AM129" s="38"/>
      <c r="AN129" s="48"/>
      <c r="AO129" s="48"/>
      <c r="AP129" s="48"/>
      <c r="AQ129" s="48"/>
      <c r="AR129" s="48"/>
      <c r="AS129" s="49"/>
      <c r="AT129" s="49"/>
      <c r="AU129" s="49"/>
      <c r="AV129" s="49"/>
      <c r="AW129" s="38"/>
      <c r="AX129" s="49">
        <f t="shared" si="85"/>
        <v>0</v>
      </c>
      <c r="AY129" s="49">
        <f t="shared" si="86"/>
        <v>0</v>
      </c>
      <c r="AZ129" s="49">
        <f t="shared" si="87"/>
        <v>0</v>
      </c>
      <c r="BA129" s="49">
        <f t="shared" si="88"/>
        <v>0</v>
      </c>
      <c r="BB129" s="44"/>
    </row>
    <row r="130" spans="3:54" s="7" customFormat="1" outlineLevel="1" x14ac:dyDescent="0.3">
      <c r="C130" s="38"/>
      <c r="D130" s="38"/>
      <c r="E130" s="38" t="s">
        <v>201</v>
      </c>
      <c r="F130" s="38" t="s">
        <v>382</v>
      </c>
      <c r="G130" s="38" t="str">
        <f>VLOOKUP(E130,Mapping!$E$11:$G$204,3,0)</f>
        <v>Replacement</v>
      </c>
      <c r="H130" s="38" t="str">
        <f>VLOOKUP(E130,Mapping!$E$11:$K$204,7,0)</f>
        <v>SCS</v>
      </c>
      <c r="I130" s="38"/>
      <c r="J130" s="48">
        <f>SUMPRODUCT(--('Input|Historical Data'!$E$9:$E$1179=$E130),--('Input|Historical Data'!$O$9:$O$1179="SCS"),--('Input|Historical Data'!$M$9:$M$1179=J$5),'Input|Historical Data'!$I$9:$I$1179)</f>
        <v>5618.9989999999998</v>
      </c>
      <c r="K130" s="48">
        <f>SUMPRODUCT(--('Input|Historical Data'!$E$9:$E$1179=$E130),--('Input|Historical Data'!$O$9:$O$1179="SCS"),--('Input|Historical Data'!$N$9:$N$1179=K$5),'Input|Historical Data'!$I$9:$I$1179)</f>
        <v>3028.0309999999999</v>
      </c>
      <c r="L130" s="48">
        <f>SUMPRODUCT(--('Input|Historical Data'!$E$9:$E$1179=$E130),--('Input|Historical Data'!$O$9:$O$1179="SCS"),--('Input|Historical Data'!$N$9:$N$1179=L$5),'Input|Historical Data'!$I$9:$I$1179)</f>
        <v>1317.4190000000001</v>
      </c>
      <c r="M130" s="48">
        <f>SUMPRODUCT(--('Input|Historical Data'!$E$9:$E$1179=$E130),--('Input|Historical Data'!$O$9:$O$1179="SCS"),--('Input|Historical Data'!$N$9:$N$1179=M$5),'Input|Historical Data'!$I$9:$I$1179)</f>
        <v>1273.549</v>
      </c>
      <c r="N130" s="48">
        <f>SUMPRODUCT(--('Input|Historical Data'!$E$9:$E$1179=$E130),--('Input|Historical Data'!$O$9:$O$1179="SCS"),--('Input|Historical Data'!$M$9:$M$1179=N$5),'Input|Historical Data'!$I$9:$I$1179)</f>
        <v>538.55399999999997</v>
      </c>
      <c r="O130" s="49">
        <f t="shared" si="77"/>
        <v>0.53889153566320269</v>
      </c>
      <c r="P130" s="49">
        <f t="shared" si="78"/>
        <v>0.23445795238618128</v>
      </c>
      <c r="Q130" s="49">
        <f t="shared" si="79"/>
        <v>0.22665051195061611</v>
      </c>
      <c r="R130" s="49">
        <f t="shared" si="80"/>
        <v>9.5845185236729885E-2</v>
      </c>
      <c r="S130" s="38"/>
      <c r="T130" s="48">
        <f>SUMPRODUCT(--('Input|Historical Data'!$Q$9:$Q$1179=$E130),--('Input|Historical Data'!$AA$9:$AA$1179="SCS"),--('Input|Historical Data'!$Y$9:$Y$1179=T$5),'Input|Historical Data'!$U$9:$U$1179)</f>
        <v>5880.0789999999997</v>
      </c>
      <c r="U130" s="48">
        <f>SUMPRODUCT(--('Input|Historical Data'!$Q$9:$Q$1179=$E130),--('Input|Historical Data'!$AA$9:$AA$1179="SCS"),--('Input|Historical Data'!$Z$9:$Z$1179=U$5),'Input|Historical Data'!$U$9:$U$1179)</f>
        <v>3450.9090000000001</v>
      </c>
      <c r="V130" s="48">
        <f>SUMPRODUCT(--('Input|Historical Data'!$Q$9:$Q$1179=$E130),--('Input|Historical Data'!$AA$9:$AA$1179="SCS"),--('Input|Historical Data'!$Z$9:$Z$1179=V$5),'Input|Historical Data'!$U$9:$U$1179)</f>
        <v>1432.0550000000001</v>
      </c>
      <c r="W130" s="48">
        <f>SUMPRODUCT(--('Input|Historical Data'!$Q$9:$Q$1179=$E130),--('Input|Historical Data'!$AA$9:$AA$1179="SCS"),--('Input|Historical Data'!$Z$9:$Z$1179=W$5),'Input|Historical Data'!$U$9:$U$1179)</f>
        <v>997.11500000000001</v>
      </c>
      <c r="X130" s="48">
        <f>SUMPRODUCT(--('Input|Historical Data'!$Q$9:$Q$1179=$E130),--('Input|Historical Data'!$AA$9:$AA$1179="SCS"),--('Input|Historical Data'!$Y$9:$Y$1179=X$5),'Input|Historical Data'!$U$9:$U$1179)</f>
        <v>743.43100000000004</v>
      </c>
      <c r="Y130" s="49">
        <f t="shared" si="73"/>
        <v>0.58688140074308526</v>
      </c>
      <c r="Z130" s="49">
        <f t="shared" si="74"/>
        <v>0.24354349660948435</v>
      </c>
      <c r="AA130" s="49">
        <f t="shared" si="75"/>
        <v>0.16957510264743042</v>
      </c>
      <c r="AB130" s="49">
        <f t="shared" si="76"/>
        <v>0.12643214487424406</v>
      </c>
      <c r="AC130" s="38"/>
      <c r="AD130" s="48">
        <f>SUMPRODUCT(--('Input|Historical Data'!$AC$9:$AC$1180=$E130),--('Input|Historical Data'!$AM$9:$AM$1180="SCS"),--('Input|Historical Data'!$AK$9:$AK$1180=AD$5),'Input|Historical Data'!$AG$9:$AG$1180)</f>
        <v>4340.7439999999997</v>
      </c>
      <c r="AE130" s="48">
        <f>SUMPRODUCT(--('Input|Historical Data'!$AC$9:$AC$1180=$E130),--('Input|Historical Data'!$AM$9:$AM$1180="SCS"),--('Input|Historical Data'!$AL$9:$AL$1180=AE$5),'Input|Historical Data'!$AG$9:$AG$1180)</f>
        <v>2285.002</v>
      </c>
      <c r="AF130" s="48">
        <f>SUMPRODUCT(--('Input|Historical Data'!$AC$9:$AC$1180=$E130),--('Input|Historical Data'!$AM$9:$AM$1180="SCS"),--('Input|Historical Data'!$AL$9:$AL$1180=AF$5),'Input|Historical Data'!$AG$9:$AG$1180)</f>
        <v>1308.2849999999999</v>
      </c>
      <c r="AG130" s="48">
        <f>SUMPRODUCT(--('Input|Historical Data'!$AC$9:$AC$1180=$E130),--('Input|Historical Data'!$AM$9:$AM$1180="SCS"),--('Input|Historical Data'!$AL$9:$AL$1180=AG$5),'Input|Historical Data'!$AG$9:$AG$1180)</f>
        <v>747.45700000000011</v>
      </c>
      <c r="AH130" s="48">
        <f>SUMPRODUCT(--('Input|Historical Data'!$AC$9:$AC$1180=$E130),--('Input|Historical Data'!$AM$9:$AM$1180="SCS"),--('Input|Historical Data'!$AK$9:$AK$1180=AH$5),'Input|Historical Data'!$AG$9:$AG$1180)</f>
        <v>433.99400000000003</v>
      </c>
      <c r="AI130" s="49">
        <f t="shared" si="81"/>
        <v>0.52640791532511477</v>
      </c>
      <c r="AJ130" s="49">
        <f t="shared" si="82"/>
        <v>0.30139648871253405</v>
      </c>
      <c r="AK130" s="49">
        <f t="shared" si="83"/>
        <v>0.17219559596235118</v>
      </c>
      <c r="AL130" s="49">
        <f t="shared" si="84"/>
        <v>9.9981477829607104E-2</v>
      </c>
      <c r="AM130" s="38"/>
      <c r="AN130" s="48"/>
      <c r="AO130" s="48"/>
      <c r="AP130" s="48"/>
      <c r="AQ130" s="48"/>
      <c r="AR130" s="48"/>
      <c r="AS130" s="49"/>
      <c r="AT130" s="49"/>
      <c r="AU130" s="49"/>
      <c r="AV130" s="49"/>
      <c r="AW130" s="38"/>
      <c r="AX130" s="49">
        <f t="shared" si="85"/>
        <v>0.56119854536175806</v>
      </c>
      <c r="AY130" s="49">
        <f t="shared" si="86"/>
        <v>0.26811343861448339</v>
      </c>
      <c r="AZ130" s="49">
        <f t="shared" si="87"/>
        <v>0.17068801602375855</v>
      </c>
      <c r="BA130" s="49">
        <f t="shared" si="88"/>
        <v>0.11519864887592712</v>
      </c>
      <c r="BB130" s="44"/>
    </row>
    <row r="131" spans="3:54" s="7" customFormat="1" outlineLevel="1" x14ac:dyDescent="0.3">
      <c r="C131" s="38"/>
      <c r="D131" s="38"/>
      <c r="E131" s="38" t="s">
        <v>202</v>
      </c>
      <c r="F131" s="38" t="s">
        <v>383</v>
      </c>
      <c r="G131" s="38" t="str">
        <f>VLOOKUP(E131,Mapping!$E$11:$G$204,3,0)</f>
        <v>Replacement</v>
      </c>
      <c r="H131" s="38" t="str">
        <f>VLOOKUP(E131,Mapping!$E$11:$K$204,7,0)</f>
        <v>SCS</v>
      </c>
      <c r="I131" s="38"/>
      <c r="J131" s="48">
        <f>SUMPRODUCT(--('Input|Historical Data'!$E$9:$E$1179=$E131),--('Input|Historical Data'!$O$9:$O$1179="SCS"),--('Input|Historical Data'!$M$9:$M$1179=J$5),'Input|Historical Data'!$I$9:$I$1179)</f>
        <v>3379.9469999999997</v>
      </c>
      <c r="K131" s="48">
        <f>SUMPRODUCT(--('Input|Historical Data'!$E$9:$E$1179=$E131),--('Input|Historical Data'!$O$9:$O$1179="SCS"),--('Input|Historical Data'!$N$9:$N$1179=K$5),'Input|Historical Data'!$I$9:$I$1179)</f>
        <v>1817.98</v>
      </c>
      <c r="L131" s="48">
        <f>SUMPRODUCT(--('Input|Historical Data'!$E$9:$E$1179=$E131),--('Input|Historical Data'!$O$9:$O$1179="SCS"),--('Input|Historical Data'!$N$9:$N$1179=L$5),'Input|Historical Data'!$I$9:$I$1179)</f>
        <v>657.10500000000002</v>
      </c>
      <c r="M131" s="48">
        <f>SUMPRODUCT(--('Input|Historical Data'!$E$9:$E$1179=$E131),--('Input|Historical Data'!$O$9:$O$1179="SCS"),--('Input|Historical Data'!$N$9:$N$1179=M$5),'Input|Historical Data'!$I$9:$I$1179)</f>
        <v>904.86199999999997</v>
      </c>
      <c r="N131" s="48">
        <f>SUMPRODUCT(--('Input|Historical Data'!$E$9:$E$1179=$E131),--('Input|Historical Data'!$O$9:$O$1179="SCS"),--('Input|Historical Data'!$M$9:$M$1179=N$5),'Input|Historical Data'!$I$9:$I$1179)</f>
        <v>334.93200000000002</v>
      </c>
      <c r="O131" s="49">
        <f t="shared" si="77"/>
        <v>0.53787233941834001</v>
      </c>
      <c r="P131" s="49">
        <f t="shared" si="78"/>
        <v>0.19441281179852821</v>
      </c>
      <c r="Q131" s="49">
        <f t="shared" si="79"/>
        <v>0.26771484878313179</v>
      </c>
      <c r="R131" s="49">
        <f t="shared" si="80"/>
        <v>9.9093861530964847E-2</v>
      </c>
      <c r="S131" s="38"/>
      <c r="T131" s="48">
        <f>SUMPRODUCT(--('Input|Historical Data'!$Q$9:$Q$1179=$E131),--('Input|Historical Data'!$AA$9:$AA$1179="SCS"),--('Input|Historical Data'!$Y$9:$Y$1179=T$5),'Input|Historical Data'!$U$9:$U$1179)</f>
        <v>2620.8199999999997</v>
      </c>
      <c r="U131" s="48">
        <f>SUMPRODUCT(--('Input|Historical Data'!$Q$9:$Q$1179=$E131),--('Input|Historical Data'!$AA$9:$AA$1179="SCS"),--('Input|Historical Data'!$Z$9:$Z$1179=U$5),'Input|Historical Data'!$U$9:$U$1179)</f>
        <v>1542.9880000000001</v>
      </c>
      <c r="V131" s="48">
        <f>SUMPRODUCT(--('Input|Historical Data'!$Q$9:$Q$1179=$E131),--('Input|Historical Data'!$AA$9:$AA$1179="SCS"),--('Input|Historical Data'!$Z$9:$Z$1179=V$5),'Input|Historical Data'!$U$9:$U$1179)</f>
        <v>600.41399999999999</v>
      </c>
      <c r="W131" s="48">
        <f>SUMPRODUCT(--('Input|Historical Data'!$Q$9:$Q$1179=$E131),--('Input|Historical Data'!$AA$9:$AA$1179="SCS"),--('Input|Historical Data'!$Z$9:$Z$1179=W$5),'Input|Historical Data'!$U$9:$U$1179)</f>
        <v>477.41800000000001</v>
      </c>
      <c r="X131" s="48">
        <f>SUMPRODUCT(--('Input|Historical Data'!$Q$9:$Q$1179=$E131),--('Input|Historical Data'!$AA$9:$AA$1179="SCS"),--('Input|Historical Data'!$Y$9:$Y$1179=X$5),'Input|Historical Data'!$U$9:$U$1179)</f>
        <v>332.45400000000001</v>
      </c>
      <c r="Y131" s="49">
        <f t="shared" si="73"/>
        <v>0.58874245465159758</v>
      </c>
      <c r="Z131" s="49">
        <f t="shared" si="74"/>
        <v>0.22909394769575933</v>
      </c>
      <c r="AA131" s="49">
        <f t="shared" si="75"/>
        <v>0.18216359765264306</v>
      </c>
      <c r="AB131" s="49">
        <f t="shared" si="76"/>
        <v>0.12685113819338986</v>
      </c>
      <c r="AC131" s="38"/>
      <c r="AD131" s="48">
        <f>SUMPRODUCT(--('Input|Historical Data'!$AC$9:$AC$1180=$E131),--('Input|Historical Data'!$AM$9:$AM$1180="SCS"),--('Input|Historical Data'!$AK$9:$AK$1180=AD$5),'Input|Historical Data'!$AG$9:$AG$1180)</f>
        <v>3325.2159999999994</v>
      </c>
      <c r="AE131" s="48">
        <f>SUMPRODUCT(--('Input|Historical Data'!$AC$9:$AC$1180=$E131),--('Input|Historical Data'!$AM$9:$AM$1180="SCS"),--('Input|Historical Data'!$AL$9:$AL$1180=AE$5),'Input|Historical Data'!$AG$9:$AG$1180)</f>
        <v>1752.606</v>
      </c>
      <c r="AF131" s="48">
        <f>SUMPRODUCT(--('Input|Historical Data'!$AC$9:$AC$1180=$E131),--('Input|Historical Data'!$AM$9:$AM$1180="SCS"),--('Input|Historical Data'!$AL$9:$AL$1180=AF$5),'Input|Historical Data'!$AG$9:$AG$1180)</f>
        <v>952.22400000000005</v>
      </c>
      <c r="AG131" s="48">
        <f>SUMPRODUCT(--('Input|Historical Data'!$AC$9:$AC$1180=$E131),--('Input|Historical Data'!$AM$9:$AM$1180="SCS"),--('Input|Historical Data'!$AL$9:$AL$1180=AG$5),'Input|Historical Data'!$AG$9:$AG$1180)</f>
        <v>620.38599999999997</v>
      </c>
      <c r="AH131" s="48">
        <f>SUMPRODUCT(--('Input|Historical Data'!$AC$9:$AC$1180=$E131),--('Input|Historical Data'!$AM$9:$AM$1180="SCS"),--('Input|Historical Data'!$AK$9:$AK$1180=AH$5),'Input|Historical Data'!$AG$9:$AG$1180)</f>
        <v>356.738</v>
      </c>
      <c r="AI131" s="49">
        <f t="shared" si="81"/>
        <v>0.52706530944155205</v>
      </c>
      <c r="AJ131" s="49">
        <f t="shared" si="82"/>
        <v>0.28636455496424895</v>
      </c>
      <c r="AK131" s="49">
        <f t="shared" si="83"/>
        <v>0.18657013559419899</v>
      </c>
      <c r="AL131" s="49">
        <f t="shared" si="84"/>
        <v>0.10728265472077606</v>
      </c>
      <c r="AM131" s="38"/>
      <c r="AN131" s="48"/>
      <c r="AO131" s="48"/>
      <c r="AP131" s="48"/>
      <c r="AQ131" s="48"/>
      <c r="AR131" s="48"/>
      <c r="AS131" s="49"/>
      <c r="AT131" s="49"/>
      <c r="AU131" s="49"/>
      <c r="AV131" s="49"/>
      <c r="AW131" s="38"/>
      <c r="AX131" s="49">
        <f t="shared" si="85"/>
        <v>0.55425059653187436</v>
      </c>
      <c r="AY131" s="49">
        <f t="shared" si="86"/>
        <v>0.26112152701396357</v>
      </c>
      <c r="AZ131" s="49">
        <f t="shared" si="87"/>
        <v>0.18462787645416209</v>
      </c>
      <c r="BA131" s="49">
        <f t="shared" si="88"/>
        <v>0.1159078081599237</v>
      </c>
      <c r="BB131" s="44"/>
    </row>
    <row r="132" spans="3:54" s="7" customFormat="1" outlineLevel="1" x14ac:dyDescent="0.3">
      <c r="C132" s="38"/>
      <c r="D132" s="38"/>
      <c r="E132" s="38" t="s">
        <v>203</v>
      </c>
      <c r="F132" s="38" t="s">
        <v>384</v>
      </c>
      <c r="G132" s="38" t="str">
        <f>VLOOKUP(E132,Mapping!$E$11:$G$204,3,0)</f>
        <v>Replacement</v>
      </c>
      <c r="H132" s="38" t="str">
        <f>VLOOKUP(E132,Mapping!$E$11:$K$204,7,0)</f>
        <v>SCS</v>
      </c>
      <c r="I132" s="38"/>
      <c r="J132" s="48">
        <f>SUMPRODUCT(--('Input|Historical Data'!$E$9:$E$1179=$E132),--('Input|Historical Data'!$O$9:$O$1179="SCS"),--('Input|Historical Data'!$M$9:$M$1179=J$5),'Input|Historical Data'!$I$9:$I$1179)</f>
        <v>1141.5609999999999</v>
      </c>
      <c r="K132" s="48">
        <f>SUMPRODUCT(--('Input|Historical Data'!$E$9:$E$1179=$E132),--('Input|Historical Data'!$O$9:$O$1179="SCS"),--('Input|Historical Data'!$N$9:$N$1179=K$5),'Input|Historical Data'!$I$9:$I$1179)</f>
        <v>628.59100000000001</v>
      </c>
      <c r="L132" s="48">
        <f>SUMPRODUCT(--('Input|Historical Data'!$E$9:$E$1179=$E132),--('Input|Historical Data'!$O$9:$O$1179="SCS"),--('Input|Historical Data'!$N$9:$N$1179=L$5),'Input|Historical Data'!$I$9:$I$1179)</f>
        <v>249.70499999999998</v>
      </c>
      <c r="M132" s="48">
        <f>SUMPRODUCT(--('Input|Historical Data'!$E$9:$E$1179=$E132),--('Input|Historical Data'!$O$9:$O$1179="SCS"),--('Input|Historical Data'!$N$9:$N$1179=M$5),'Input|Historical Data'!$I$9:$I$1179)</f>
        <v>263.26499999999999</v>
      </c>
      <c r="N132" s="48">
        <f>SUMPRODUCT(--('Input|Historical Data'!$E$9:$E$1179=$E132),--('Input|Historical Data'!$O$9:$O$1179="SCS"),--('Input|Historical Data'!$M$9:$M$1179=N$5),'Input|Historical Data'!$I$9:$I$1179)</f>
        <v>110.441</v>
      </c>
      <c r="O132" s="49">
        <f t="shared" si="77"/>
        <v>0.55064162142890294</v>
      </c>
      <c r="P132" s="49">
        <f t="shared" si="78"/>
        <v>0.21873995344970609</v>
      </c>
      <c r="Q132" s="49">
        <f t="shared" si="79"/>
        <v>0.23061842512139075</v>
      </c>
      <c r="R132" s="49">
        <f t="shared" si="80"/>
        <v>9.6745596599743688E-2</v>
      </c>
      <c r="S132" s="38"/>
      <c r="T132" s="48">
        <f>SUMPRODUCT(--('Input|Historical Data'!$Q$9:$Q$1179=$E132),--('Input|Historical Data'!$AA$9:$AA$1179="SCS"),--('Input|Historical Data'!$Y$9:$Y$1179=T$5),'Input|Historical Data'!$U$9:$U$1179)</f>
        <v>654.35599999999999</v>
      </c>
      <c r="U132" s="48">
        <f>SUMPRODUCT(--('Input|Historical Data'!$Q$9:$Q$1179=$E132),--('Input|Historical Data'!$AA$9:$AA$1179="SCS"),--('Input|Historical Data'!$Z$9:$Z$1179=U$5),'Input|Historical Data'!$U$9:$U$1179)</f>
        <v>394.488</v>
      </c>
      <c r="V132" s="48">
        <f>SUMPRODUCT(--('Input|Historical Data'!$Q$9:$Q$1179=$E132),--('Input|Historical Data'!$AA$9:$AA$1179="SCS"),--('Input|Historical Data'!$Z$9:$Z$1179=V$5),'Input|Historical Data'!$U$9:$U$1179)</f>
        <v>176.613</v>
      </c>
      <c r="W132" s="48">
        <f>SUMPRODUCT(--('Input|Historical Data'!$Q$9:$Q$1179=$E132),--('Input|Historical Data'!$AA$9:$AA$1179="SCS"),--('Input|Historical Data'!$Z$9:$Z$1179=W$5),'Input|Historical Data'!$U$9:$U$1179)</f>
        <v>83.254999999999995</v>
      </c>
      <c r="X132" s="48">
        <f>SUMPRODUCT(--('Input|Historical Data'!$Q$9:$Q$1179=$E132),--('Input|Historical Data'!$AA$9:$AA$1179="SCS"),--('Input|Historical Data'!$Y$9:$Y$1179=X$5),'Input|Historical Data'!$U$9:$U$1179)</f>
        <v>87.483000000000004</v>
      </c>
      <c r="Y132" s="49">
        <f t="shared" si="73"/>
        <v>0.6028644957790561</v>
      </c>
      <c r="Z132" s="49">
        <f t="shared" si="74"/>
        <v>0.26990353874649275</v>
      </c>
      <c r="AA132" s="49">
        <f t="shared" si="75"/>
        <v>0.1272319654744512</v>
      </c>
      <c r="AB132" s="49">
        <f t="shared" si="76"/>
        <v>0.1336932801105209</v>
      </c>
      <c r="AC132" s="38"/>
      <c r="AD132" s="48">
        <f>SUMPRODUCT(--('Input|Historical Data'!$AC$9:$AC$1180=$E132),--('Input|Historical Data'!$AM$9:$AM$1180="SCS"),--('Input|Historical Data'!$AK$9:$AK$1180=AD$5),'Input|Historical Data'!$AG$9:$AG$1180)</f>
        <v>876.18299999999988</v>
      </c>
      <c r="AE132" s="48">
        <f>SUMPRODUCT(--('Input|Historical Data'!$AC$9:$AC$1180=$E132),--('Input|Historical Data'!$AM$9:$AM$1180="SCS"),--('Input|Historical Data'!$AL$9:$AL$1180=AE$5),'Input|Historical Data'!$AG$9:$AG$1180)</f>
        <v>456.68299999999999</v>
      </c>
      <c r="AF132" s="48">
        <f>SUMPRODUCT(--('Input|Historical Data'!$AC$9:$AC$1180=$E132),--('Input|Historical Data'!$AM$9:$AM$1180="SCS"),--('Input|Historical Data'!$AL$9:$AL$1180=AF$5),'Input|Historical Data'!$AG$9:$AG$1180)</f>
        <v>266.11599999999999</v>
      </c>
      <c r="AG132" s="48">
        <f>SUMPRODUCT(--('Input|Historical Data'!$AC$9:$AC$1180=$E132),--('Input|Historical Data'!$AM$9:$AM$1180="SCS"),--('Input|Historical Data'!$AL$9:$AL$1180=AG$5),'Input|Historical Data'!$AG$9:$AG$1180)</f>
        <v>153.38400000000001</v>
      </c>
      <c r="AH132" s="48">
        <f>SUMPRODUCT(--('Input|Historical Data'!$AC$9:$AC$1180=$E132),--('Input|Historical Data'!$AM$9:$AM$1180="SCS"),--('Input|Historical Data'!$AK$9:$AK$1180=AH$5),'Input|Historical Data'!$AG$9:$AG$1180)</f>
        <v>81.23</v>
      </c>
      <c r="AI132" s="49">
        <f t="shared" si="81"/>
        <v>0.52121874083382125</v>
      </c>
      <c r="AJ132" s="49">
        <f t="shared" si="82"/>
        <v>0.30372193936654784</v>
      </c>
      <c r="AK132" s="49">
        <f t="shared" si="83"/>
        <v>0.17505931979963091</v>
      </c>
      <c r="AL132" s="49">
        <f t="shared" si="84"/>
        <v>9.2708943223048165E-2</v>
      </c>
      <c r="AM132" s="38"/>
      <c r="AN132" s="48"/>
      <c r="AO132" s="48"/>
      <c r="AP132" s="48"/>
      <c r="AQ132" s="48"/>
      <c r="AR132" s="48"/>
      <c r="AS132" s="49"/>
      <c r="AT132" s="49"/>
      <c r="AU132" s="49"/>
      <c r="AV132" s="49"/>
      <c r="AW132" s="38"/>
      <c r="AX132" s="49">
        <f t="shared" si="85"/>
        <v>0.55612499910162372</v>
      </c>
      <c r="AY132" s="49">
        <f t="shared" si="86"/>
        <v>0.2892634555538931</v>
      </c>
      <c r="AZ132" s="49">
        <f t="shared" si="87"/>
        <v>0.15461154534448324</v>
      </c>
      <c r="BA132" s="49">
        <f t="shared" si="88"/>
        <v>0.11023110159231489</v>
      </c>
      <c r="BB132" s="44"/>
    </row>
    <row r="133" spans="3:54" s="7" customFormat="1" outlineLevel="1" x14ac:dyDescent="0.3">
      <c r="C133" s="38"/>
      <c r="D133" s="38"/>
      <c r="E133" s="38" t="s">
        <v>204</v>
      </c>
      <c r="F133" s="38" t="s">
        <v>385</v>
      </c>
      <c r="G133" s="38" t="str">
        <f>VLOOKUP(E133,Mapping!$E$11:$G$204,3,0)</f>
        <v>Replacement</v>
      </c>
      <c r="H133" s="38" t="str">
        <f>VLOOKUP(E133,Mapping!$E$11:$K$204,7,0)</f>
        <v>SCS</v>
      </c>
      <c r="I133" s="38"/>
      <c r="J133" s="48">
        <f>SUMPRODUCT(--('Input|Historical Data'!$E$9:$E$1179=$E133),--('Input|Historical Data'!$O$9:$O$1179="SCS"),--('Input|Historical Data'!$M$9:$M$1179=J$5),'Input|Historical Data'!$I$9:$I$1179)</f>
        <v>0</v>
      </c>
      <c r="K133" s="48">
        <f>SUMPRODUCT(--('Input|Historical Data'!$E$9:$E$1179=$E133),--('Input|Historical Data'!$O$9:$O$1179="SCS"),--('Input|Historical Data'!$N$9:$N$1179=K$5),'Input|Historical Data'!$I$9:$I$1179)</f>
        <v>0</v>
      </c>
      <c r="L133" s="48">
        <f>SUMPRODUCT(--('Input|Historical Data'!$E$9:$E$1179=$E133),--('Input|Historical Data'!$O$9:$O$1179="SCS"),--('Input|Historical Data'!$N$9:$N$1179=L$5),'Input|Historical Data'!$I$9:$I$1179)</f>
        <v>0</v>
      </c>
      <c r="M133" s="48">
        <f>SUMPRODUCT(--('Input|Historical Data'!$E$9:$E$1179=$E133),--('Input|Historical Data'!$O$9:$O$1179="SCS"),--('Input|Historical Data'!$N$9:$N$1179=M$5),'Input|Historical Data'!$I$9:$I$1179)</f>
        <v>0</v>
      </c>
      <c r="N133" s="48">
        <f>SUMPRODUCT(--('Input|Historical Data'!$E$9:$E$1179=$E133),--('Input|Historical Data'!$O$9:$O$1179="SCS"),--('Input|Historical Data'!$M$9:$M$1179=N$5),'Input|Historical Data'!$I$9:$I$1179)</f>
        <v>0</v>
      </c>
      <c r="O133" s="49">
        <f t="shared" si="77"/>
        <v>0</v>
      </c>
      <c r="P133" s="49">
        <f t="shared" si="78"/>
        <v>0</v>
      </c>
      <c r="Q133" s="49">
        <f t="shared" si="79"/>
        <v>0</v>
      </c>
      <c r="R133" s="49">
        <f t="shared" si="80"/>
        <v>0</v>
      </c>
      <c r="S133" s="38"/>
      <c r="T133" s="48">
        <f>SUMPRODUCT(--('Input|Historical Data'!$Q$9:$Q$1179=$E133),--('Input|Historical Data'!$AA$9:$AA$1179="SCS"),--('Input|Historical Data'!$Y$9:$Y$1179=T$5),'Input|Historical Data'!$U$9:$U$1179)</f>
        <v>3.5829999999999997</v>
      </c>
      <c r="U133" s="48">
        <f>SUMPRODUCT(--('Input|Historical Data'!$Q$9:$Q$1179=$E133),--('Input|Historical Data'!$AA$9:$AA$1179="SCS"),--('Input|Historical Data'!$Z$9:$Z$1179=U$5),'Input|Historical Data'!$U$9:$U$1179)</f>
        <v>2.6629999999999998</v>
      </c>
      <c r="V133" s="48">
        <f>SUMPRODUCT(--('Input|Historical Data'!$Q$9:$Q$1179=$E133),--('Input|Historical Data'!$AA$9:$AA$1179="SCS"),--('Input|Historical Data'!$Z$9:$Z$1179=V$5),'Input|Historical Data'!$U$9:$U$1179)</f>
        <v>0</v>
      </c>
      <c r="W133" s="48">
        <f>SUMPRODUCT(--('Input|Historical Data'!$Q$9:$Q$1179=$E133),--('Input|Historical Data'!$AA$9:$AA$1179="SCS"),--('Input|Historical Data'!$Z$9:$Z$1179=W$5),'Input|Historical Data'!$U$9:$U$1179)</f>
        <v>0.92</v>
      </c>
      <c r="X133" s="48">
        <f>SUMPRODUCT(--('Input|Historical Data'!$Q$9:$Q$1179=$E133),--('Input|Historical Data'!$AA$9:$AA$1179="SCS"),--('Input|Historical Data'!$Y$9:$Y$1179=X$5),'Input|Historical Data'!$U$9:$U$1179)</f>
        <v>0.38100000000000001</v>
      </c>
      <c r="Y133" s="49">
        <f t="shared" si="73"/>
        <v>0.74323192855149312</v>
      </c>
      <c r="Z133" s="49">
        <f t="shared" si="74"/>
        <v>0</v>
      </c>
      <c r="AA133" s="49">
        <f t="shared" si="75"/>
        <v>0.25676807144850688</v>
      </c>
      <c r="AB133" s="49">
        <f t="shared" si="76"/>
        <v>0.10633547306726208</v>
      </c>
      <c r="AC133" s="38"/>
      <c r="AD133" s="48">
        <f>SUMPRODUCT(--('Input|Historical Data'!$AC$9:$AC$1180=$E133),--('Input|Historical Data'!$AM$9:$AM$1180="SCS"),--('Input|Historical Data'!$AK$9:$AK$1180=AD$5),'Input|Historical Data'!$AG$9:$AG$1180)</f>
        <v>36.225999999999992</v>
      </c>
      <c r="AE133" s="48">
        <f>SUMPRODUCT(--('Input|Historical Data'!$AC$9:$AC$1180=$E133),--('Input|Historical Data'!$AM$9:$AM$1180="SCS"),--('Input|Historical Data'!$AL$9:$AL$1180=AE$5),'Input|Historical Data'!$AG$9:$AG$1180)</f>
        <v>28.386999999999997</v>
      </c>
      <c r="AF133" s="48">
        <f>SUMPRODUCT(--('Input|Historical Data'!$AC$9:$AC$1180=$E133),--('Input|Historical Data'!$AM$9:$AM$1180="SCS"),--('Input|Historical Data'!$AL$9:$AL$1180=AF$5),'Input|Historical Data'!$AG$9:$AG$1180)</f>
        <v>0.153</v>
      </c>
      <c r="AG133" s="48">
        <f>SUMPRODUCT(--('Input|Historical Data'!$AC$9:$AC$1180=$E133),--('Input|Historical Data'!$AM$9:$AM$1180="SCS"),--('Input|Historical Data'!$AL$9:$AL$1180=AG$5),'Input|Historical Data'!$AG$9:$AG$1180)</f>
        <v>7.6859999999999999</v>
      </c>
      <c r="AH133" s="48">
        <f>SUMPRODUCT(--('Input|Historical Data'!$AC$9:$AC$1180=$E133),--('Input|Historical Data'!$AM$9:$AM$1180="SCS"),--('Input|Historical Data'!$AK$9:$AK$1180=AH$5),'Input|Historical Data'!$AG$9:$AG$1180)</f>
        <v>4.1420000000000003</v>
      </c>
      <c r="AI133" s="49">
        <f t="shared" si="81"/>
        <v>0.78360845801358137</v>
      </c>
      <c r="AJ133" s="49">
        <f t="shared" si="82"/>
        <v>4.2234858941092033E-3</v>
      </c>
      <c r="AK133" s="49">
        <f t="shared" si="83"/>
        <v>0.2121680560923094</v>
      </c>
      <c r="AL133" s="49">
        <f t="shared" si="84"/>
        <v>0.1143377684535969</v>
      </c>
      <c r="AM133" s="38"/>
      <c r="AN133" s="48"/>
      <c r="AO133" s="48"/>
      <c r="AP133" s="48"/>
      <c r="AQ133" s="48"/>
      <c r="AR133" s="48"/>
      <c r="AS133" s="49"/>
      <c r="AT133" s="49"/>
      <c r="AU133" s="49"/>
      <c r="AV133" s="49"/>
      <c r="AW133" s="38"/>
      <c r="AX133" s="49">
        <f t="shared" si="85"/>
        <v>0.77997437765329447</v>
      </c>
      <c r="AY133" s="49">
        <f t="shared" si="86"/>
        <v>3.8433520058278282E-3</v>
      </c>
      <c r="AZ133" s="49">
        <f t="shared" si="87"/>
        <v>0.2161822703408777</v>
      </c>
      <c r="BA133" s="49">
        <f t="shared" si="88"/>
        <v>0.11361752367555079</v>
      </c>
      <c r="BB133" s="44"/>
    </row>
    <row r="134" spans="3:54" s="7" customFormat="1" outlineLevel="1" x14ac:dyDescent="0.3">
      <c r="C134" s="38"/>
      <c r="D134" s="38"/>
      <c r="E134" s="38" t="s">
        <v>205</v>
      </c>
      <c r="F134" s="38" t="s">
        <v>386</v>
      </c>
      <c r="G134" s="38" t="str">
        <f>VLOOKUP(E134,Mapping!$E$11:$G$204,3,0)</f>
        <v>Replacement</v>
      </c>
      <c r="H134" s="38" t="str">
        <f>VLOOKUP(E134,Mapping!$E$11:$K$204,7,0)</f>
        <v>SCS</v>
      </c>
      <c r="I134" s="38"/>
      <c r="J134" s="48">
        <f>SUMPRODUCT(--('Input|Historical Data'!$E$9:$E$1179=$E134),--('Input|Historical Data'!$O$9:$O$1179="SCS"),--('Input|Historical Data'!$M$9:$M$1179=J$5),'Input|Historical Data'!$I$9:$I$1179)</f>
        <v>600.17600000000004</v>
      </c>
      <c r="K134" s="48">
        <f>SUMPRODUCT(--('Input|Historical Data'!$E$9:$E$1179=$E134),--('Input|Historical Data'!$O$9:$O$1179="SCS"),--('Input|Historical Data'!$N$9:$N$1179=K$5),'Input|Historical Data'!$I$9:$I$1179)</f>
        <v>435.34800000000001</v>
      </c>
      <c r="L134" s="48">
        <f>SUMPRODUCT(--('Input|Historical Data'!$E$9:$E$1179=$E134),--('Input|Historical Data'!$O$9:$O$1179="SCS"),--('Input|Historical Data'!$N$9:$N$1179=L$5),'Input|Historical Data'!$I$9:$I$1179)</f>
        <v>5.8559999999999999</v>
      </c>
      <c r="M134" s="48">
        <f>SUMPRODUCT(--('Input|Historical Data'!$E$9:$E$1179=$E134),--('Input|Historical Data'!$O$9:$O$1179="SCS"),--('Input|Historical Data'!$N$9:$N$1179=M$5),'Input|Historical Data'!$I$9:$I$1179)</f>
        <v>158.97200000000001</v>
      </c>
      <c r="N134" s="48">
        <f>SUMPRODUCT(--('Input|Historical Data'!$E$9:$E$1179=$E134),--('Input|Historical Data'!$O$9:$O$1179="SCS"),--('Input|Historical Data'!$M$9:$M$1179=N$5),'Input|Historical Data'!$I$9:$I$1179)</f>
        <v>58.405000000000001</v>
      </c>
      <c r="O134" s="49">
        <f t="shared" si="77"/>
        <v>0.72536722561381994</v>
      </c>
      <c r="P134" s="49">
        <f t="shared" si="78"/>
        <v>9.7571379062141757E-3</v>
      </c>
      <c r="Q134" s="49">
        <f t="shared" si="79"/>
        <v>0.26487563647996587</v>
      </c>
      <c r="R134" s="49">
        <f t="shared" si="80"/>
        <v>9.7313121484364579E-2</v>
      </c>
      <c r="S134" s="38"/>
      <c r="T134" s="48">
        <f>SUMPRODUCT(--('Input|Historical Data'!$Q$9:$Q$1179=$E134),--('Input|Historical Data'!$AA$9:$AA$1179="SCS"),--('Input|Historical Data'!$Y$9:$Y$1179=T$5),'Input|Historical Data'!$U$9:$U$1179)</f>
        <v>316.83699999999993</v>
      </c>
      <c r="U134" s="48">
        <f>SUMPRODUCT(--('Input|Historical Data'!$Q$9:$Q$1179=$E134),--('Input|Historical Data'!$AA$9:$AA$1179="SCS"),--('Input|Historical Data'!$Z$9:$Z$1179=U$5),'Input|Historical Data'!$U$9:$U$1179)</f>
        <v>264.62899999999996</v>
      </c>
      <c r="V134" s="48">
        <f>SUMPRODUCT(--('Input|Historical Data'!$Q$9:$Q$1179=$E134),--('Input|Historical Data'!$AA$9:$AA$1179="SCS"),--('Input|Historical Data'!$Z$9:$Z$1179=V$5),'Input|Historical Data'!$U$9:$U$1179)</f>
        <v>6.8000000000000005E-2</v>
      </c>
      <c r="W134" s="48">
        <f>SUMPRODUCT(--('Input|Historical Data'!$Q$9:$Q$1179=$E134),--('Input|Historical Data'!$AA$9:$AA$1179="SCS"),--('Input|Historical Data'!$Z$9:$Z$1179=W$5),'Input|Historical Data'!$U$9:$U$1179)</f>
        <v>52.14</v>
      </c>
      <c r="X134" s="48">
        <f>SUMPRODUCT(--('Input|Historical Data'!$Q$9:$Q$1179=$E134),--('Input|Historical Data'!$AA$9:$AA$1179="SCS"),--('Input|Historical Data'!$Y$9:$Y$1179=X$5),'Input|Historical Data'!$U$9:$U$1179)</f>
        <v>39.156999999999996</v>
      </c>
      <c r="Y134" s="49">
        <f t="shared" ref="Y134:Y193" si="89">IFERROR(U134/SUM($U134:$W134),0)</f>
        <v>0.83522126519314355</v>
      </c>
      <c r="Z134" s="49">
        <f t="shared" ref="Z134:Z193" si="90">IFERROR(V134/SUM($U134:$W134),0)</f>
        <v>2.1462139838465842E-4</v>
      </c>
      <c r="AA134" s="49">
        <f t="shared" ref="AA134:AA193" si="91">IFERROR(W134/SUM($U134:$W134),0)</f>
        <v>0.16456411340847191</v>
      </c>
      <c r="AB134" s="49">
        <f t="shared" ref="AB134:AB193" si="92">IFERROR(X134/T134,0)</f>
        <v>0.12358720730217748</v>
      </c>
      <c r="AC134" s="38"/>
      <c r="AD134" s="48">
        <f>SUMPRODUCT(--('Input|Historical Data'!$AC$9:$AC$1180=$E134),--('Input|Historical Data'!$AM$9:$AM$1180="SCS"),--('Input|Historical Data'!$AK$9:$AK$1180=AD$5),'Input|Historical Data'!$AG$9:$AG$1180)</f>
        <v>492.27199999999999</v>
      </c>
      <c r="AE134" s="48">
        <f>SUMPRODUCT(--('Input|Historical Data'!$AC$9:$AC$1180=$E134),--('Input|Historical Data'!$AM$9:$AM$1180="SCS"),--('Input|Historical Data'!$AL$9:$AL$1180=AE$5),'Input|Historical Data'!$AG$9:$AG$1180)</f>
        <v>391.27199999999999</v>
      </c>
      <c r="AF134" s="48">
        <f>SUMPRODUCT(--('Input|Historical Data'!$AC$9:$AC$1180=$E134),--('Input|Historical Data'!$AM$9:$AM$1180="SCS"),--('Input|Historical Data'!$AL$9:$AL$1180=AF$5),'Input|Historical Data'!$AG$9:$AG$1180)</f>
        <v>0</v>
      </c>
      <c r="AG134" s="48">
        <f>SUMPRODUCT(--('Input|Historical Data'!$AC$9:$AC$1180=$E134),--('Input|Historical Data'!$AM$9:$AM$1180="SCS"),--('Input|Historical Data'!$AL$9:$AL$1180=AG$5),'Input|Historical Data'!$AG$9:$AG$1180)</f>
        <v>101</v>
      </c>
      <c r="AH134" s="48">
        <f>SUMPRODUCT(--('Input|Historical Data'!$AC$9:$AC$1180=$E134),--('Input|Historical Data'!$AM$9:$AM$1180="SCS"),--('Input|Historical Data'!$AK$9:$AK$1180=AH$5),'Input|Historical Data'!$AG$9:$AG$1180)</f>
        <v>24.068999999999999</v>
      </c>
      <c r="AI134" s="49">
        <f t="shared" si="81"/>
        <v>0.79482887509344424</v>
      </c>
      <c r="AJ134" s="49">
        <f t="shared" si="82"/>
        <v>0</v>
      </c>
      <c r="AK134" s="49">
        <f t="shared" si="83"/>
        <v>0.20517112490655573</v>
      </c>
      <c r="AL134" s="49">
        <f t="shared" si="84"/>
        <v>4.8893701043325639E-2</v>
      </c>
      <c r="AM134" s="38"/>
      <c r="AN134" s="48"/>
      <c r="AO134" s="48"/>
      <c r="AP134" s="48"/>
      <c r="AQ134" s="48"/>
      <c r="AR134" s="48"/>
      <c r="AS134" s="49"/>
      <c r="AT134" s="49"/>
      <c r="AU134" s="49"/>
      <c r="AV134" s="49"/>
      <c r="AW134" s="38"/>
      <c r="AX134" s="49">
        <f t="shared" si="85"/>
        <v>0.81064603162243898</v>
      </c>
      <c r="AY134" s="49">
        <f t="shared" si="86"/>
        <v>8.4043064655071209E-5</v>
      </c>
      <c r="AZ134" s="49">
        <f t="shared" si="87"/>
        <v>0.18926992531290593</v>
      </c>
      <c r="BA134" s="49">
        <f t="shared" si="88"/>
        <v>7.8142747145316646E-2</v>
      </c>
      <c r="BB134" s="44"/>
    </row>
    <row r="135" spans="3:54" s="7" customFormat="1" outlineLevel="1" x14ac:dyDescent="0.3">
      <c r="C135" s="38"/>
      <c r="D135" s="38"/>
      <c r="E135" s="38" t="s">
        <v>206</v>
      </c>
      <c r="F135" s="38" t="s">
        <v>387</v>
      </c>
      <c r="G135" s="38" t="str">
        <f>VLOOKUP(E135,Mapping!$E$11:$G$204,3,0)</f>
        <v>Replacement</v>
      </c>
      <c r="H135" s="38" t="str">
        <f>VLOOKUP(E135,Mapping!$E$11:$K$204,7,0)</f>
        <v>SCS</v>
      </c>
      <c r="I135" s="38"/>
      <c r="J135" s="48">
        <f>SUMPRODUCT(--('Input|Historical Data'!$E$9:$E$1179=$E135),--('Input|Historical Data'!$O$9:$O$1179="SCS"),--('Input|Historical Data'!$M$9:$M$1179=J$5),'Input|Historical Data'!$I$9:$I$1179)</f>
        <v>827.68200000000002</v>
      </c>
      <c r="K135" s="48">
        <f>SUMPRODUCT(--('Input|Historical Data'!$E$9:$E$1179=$E135),--('Input|Historical Data'!$O$9:$O$1179="SCS"),--('Input|Historical Data'!$N$9:$N$1179=K$5),'Input|Historical Data'!$I$9:$I$1179)</f>
        <v>605.83600000000001</v>
      </c>
      <c r="L135" s="48">
        <f>SUMPRODUCT(--('Input|Historical Data'!$E$9:$E$1179=$E135),--('Input|Historical Data'!$O$9:$O$1179="SCS"),--('Input|Historical Data'!$N$9:$N$1179=L$5),'Input|Historical Data'!$I$9:$I$1179)</f>
        <v>0.53100000000000003</v>
      </c>
      <c r="M135" s="48">
        <f>SUMPRODUCT(--('Input|Historical Data'!$E$9:$E$1179=$E135),--('Input|Historical Data'!$O$9:$O$1179="SCS"),--('Input|Historical Data'!$N$9:$N$1179=M$5),'Input|Historical Data'!$I$9:$I$1179)</f>
        <v>221.315</v>
      </c>
      <c r="N135" s="48">
        <f>SUMPRODUCT(--('Input|Historical Data'!$E$9:$E$1179=$E135),--('Input|Historical Data'!$O$9:$O$1179="SCS"),--('Input|Historical Data'!$M$9:$M$1179=N$5),'Input|Historical Data'!$I$9:$I$1179)</f>
        <v>80.536000000000001</v>
      </c>
      <c r="O135" s="49">
        <f t="shared" si="77"/>
        <v>0.73196710814056609</v>
      </c>
      <c r="P135" s="49">
        <f t="shared" si="78"/>
        <v>6.415507405017869E-4</v>
      </c>
      <c r="Q135" s="49">
        <f t="shared" si="79"/>
        <v>0.26739134111893215</v>
      </c>
      <c r="R135" s="49">
        <f t="shared" si="80"/>
        <v>9.7303070502922626E-2</v>
      </c>
      <c r="S135" s="38"/>
      <c r="T135" s="48">
        <f>SUMPRODUCT(--('Input|Historical Data'!$Q$9:$Q$1179=$E135),--('Input|Historical Data'!$AA$9:$AA$1179="SCS"),--('Input|Historical Data'!$Y$9:$Y$1179=T$5),'Input|Historical Data'!$U$9:$U$1179)</f>
        <v>446.62199999999996</v>
      </c>
      <c r="U135" s="48">
        <f>SUMPRODUCT(--('Input|Historical Data'!$Q$9:$Q$1179=$E135),--('Input|Historical Data'!$AA$9:$AA$1179="SCS"),--('Input|Historical Data'!$Z$9:$Z$1179=U$5),'Input|Historical Data'!$U$9:$U$1179)</f>
        <v>366.91199999999998</v>
      </c>
      <c r="V135" s="48">
        <f>SUMPRODUCT(--('Input|Historical Data'!$Q$9:$Q$1179=$E135),--('Input|Historical Data'!$AA$9:$AA$1179="SCS"),--('Input|Historical Data'!$Z$9:$Z$1179=V$5),'Input|Historical Data'!$U$9:$U$1179)</f>
        <v>0.28899999999999998</v>
      </c>
      <c r="W135" s="48">
        <f>SUMPRODUCT(--('Input|Historical Data'!$Q$9:$Q$1179=$E135),--('Input|Historical Data'!$AA$9:$AA$1179="SCS"),--('Input|Historical Data'!$Z$9:$Z$1179=W$5),'Input|Historical Data'!$U$9:$U$1179)</f>
        <v>79.420999999999992</v>
      </c>
      <c r="X135" s="48">
        <f>SUMPRODUCT(--('Input|Historical Data'!$Q$9:$Q$1179=$E135),--('Input|Historical Data'!$AA$9:$AA$1179="SCS"),--('Input|Historical Data'!$Y$9:$Y$1179=X$5),'Input|Historical Data'!$U$9:$U$1179)</f>
        <v>54.801000000000002</v>
      </c>
      <c r="Y135" s="49">
        <f t="shared" si="89"/>
        <v>0.82152692881228429</v>
      </c>
      <c r="Z135" s="49">
        <f t="shared" si="90"/>
        <v>6.4707963333646796E-4</v>
      </c>
      <c r="AA135" s="49">
        <f t="shared" si="91"/>
        <v>0.17782599155437931</v>
      </c>
      <c r="AB135" s="49">
        <f t="shared" si="92"/>
        <v>0.12270107607775704</v>
      </c>
      <c r="AC135" s="38"/>
      <c r="AD135" s="48">
        <f>SUMPRODUCT(--('Input|Historical Data'!$AC$9:$AC$1180=$E135),--('Input|Historical Data'!$AM$9:$AM$1180="SCS"),--('Input|Historical Data'!$AK$9:$AK$1180=AD$5),'Input|Historical Data'!$AG$9:$AG$1180)</f>
        <v>620.78399999999988</v>
      </c>
      <c r="AE135" s="48">
        <f>SUMPRODUCT(--('Input|Historical Data'!$AC$9:$AC$1180=$E135),--('Input|Historical Data'!$AM$9:$AM$1180="SCS"),--('Input|Historical Data'!$AL$9:$AL$1180=AE$5),'Input|Historical Data'!$AG$9:$AG$1180)</f>
        <v>458.11799999999999</v>
      </c>
      <c r="AF135" s="48">
        <f>SUMPRODUCT(--('Input|Historical Data'!$AC$9:$AC$1180=$E135),--('Input|Historical Data'!$AM$9:$AM$1180="SCS"),--('Input|Historical Data'!$AL$9:$AL$1180=AF$5),'Input|Historical Data'!$AG$9:$AG$1180)</f>
        <v>41.900999999999996</v>
      </c>
      <c r="AG135" s="48">
        <f>SUMPRODUCT(--('Input|Historical Data'!$AC$9:$AC$1180=$E135),--('Input|Historical Data'!$AM$9:$AM$1180="SCS"),--('Input|Historical Data'!$AL$9:$AL$1180=AG$5),'Input|Historical Data'!$AG$9:$AG$1180)</f>
        <v>120.765</v>
      </c>
      <c r="AH135" s="48">
        <f>SUMPRODUCT(--('Input|Historical Data'!$AC$9:$AC$1180=$E135),--('Input|Historical Data'!$AM$9:$AM$1180="SCS"),--('Input|Historical Data'!$AK$9:$AK$1180=AH$5),'Input|Historical Data'!$AG$9:$AG$1180)</f>
        <v>53.692999999999998</v>
      </c>
      <c r="AI135" s="49">
        <f t="shared" si="81"/>
        <v>0.73796682904198563</v>
      </c>
      <c r="AJ135" s="49">
        <f t="shared" si="82"/>
        <v>6.7496907136781872E-2</v>
      </c>
      <c r="AK135" s="49">
        <f t="shared" si="83"/>
        <v>0.19453626382123251</v>
      </c>
      <c r="AL135" s="49">
        <f t="shared" si="84"/>
        <v>8.6492242068094555E-2</v>
      </c>
      <c r="AM135" s="38"/>
      <c r="AN135" s="48"/>
      <c r="AO135" s="48"/>
      <c r="AP135" s="48"/>
      <c r="AQ135" s="48"/>
      <c r="AR135" s="48"/>
      <c r="AS135" s="49"/>
      <c r="AT135" s="49"/>
      <c r="AU135" s="49"/>
      <c r="AV135" s="49"/>
      <c r="AW135" s="38"/>
      <c r="AX135" s="49">
        <f t="shared" si="85"/>
        <v>0.77292988797139983</v>
      </c>
      <c r="AY135" s="49">
        <f t="shared" si="86"/>
        <v>3.9525728729274519E-2</v>
      </c>
      <c r="AZ135" s="49">
        <f t="shared" si="87"/>
        <v>0.18754438329932566</v>
      </c>
      <c r="BA135" s="49">
        <f t="shared" si="88"/>
        <v>0.10164267392163807</v>
      </c>
      <c r="BB135" s="44"/>
    </row>
    <row r="136" spans="3:54" s="7" customFormat="1" outlineLevel="1" x14ac:dyDescent="0.3">
      <c r="C136" s="38"/>
      <c r="D136" s="38"/>
      <c r="E136" s="38" t="s">
        <v>207</v>
      </c>
      <c r="F136" s="38" t="s">
        <v>388</v>
      </c>
      <c r="G136" s="38" t="str">
        <f>VLOOKUP(E136,Mapping!$E$11:$G$204,3,0)</f>
        <v>Replacement</v>
      </c>
      <c r="H136" s="38" t="str">
        <f>VLOOKUP(E136,Mapping!$E$11:$K$204,7,0)</f>
        <v>SCS</v>
      </c>
      <c r="I136" s="38"/>
      <c r="J136" s="48">
        <f>SUMPRODUCT(--('Input|Historical Data'!$E$9:$E$1179=$E136),--('Input|Historical Data'!$O$9:$O$1179="SCS"),--('Input|Historical Data'!$M$9:$M$1179=J$5),'Input|Historical Data'!$I$9:$I$1179)</f>
        <v>0</v>
      </c>
      <c r="K136" s="48">
        <f>SUMPRODUCT(--('Input|Historical Data'!$E$9:$E$1179=$E136),--('Input|Historical Data'!$O$9:$O$1179="SCS"),--('Input|Historical Data'!$N$9:$N$1179=K$5),'Input|Historical Data'!$I$9:$I$1179)</f>
        <v>0</v>
      </c>
      <c r="L136" s="48">
        <f>SUMPRODUCT(--('Input|Historical Data'!$E$9:$E$1179=$E136),--('Input|Historical Data'!$O$9:$O$1179="SCS"),--('Input|Historical Data'!$N$9:$N$1179=L$5),'Input|Historical Data'!$I$9:$I$1179)</f>
        <v>0</v>
      </c>
      <c r="M136" s="48">
        <f>SUMPRODUCT(--('Input|Historical Data'!$E$9:$E$1179=$E136),--('Input|Historical Data'!$O$9:$O$1179="SCS"),--('Input|Historical Data'!$N$9:$N$1179=M$5),'Input|Historical Data'!$I$9:$I$1179)</f>
        <v>0</v>
      </c>
      <c r="N136" s="48">
        <f>SUMPRODUCT(--('Input|Historical Data'!$E$9:$E$1179=$E136),--('Input|Historical Data'!$O$9:$O$1179="SCS"),--('Input|Historical Data'!$M$9:$M$1179=N$5),'Input|Historical Data'!$I$9:$I$1179)</f>
        <v>0</v>
      </c>
      <c r="O136" s="49">
        <f t="shared" si="77"/>
        <v>0</v>
      </c>
      <c r="P136" s="49">
        <f t="shared" si="78"/>
        <v>0</v>
      </c>
      <c r="Q136" s="49">
        <f t="shared" si="79"/>
        <v>0</v>
      </c>
      <c r="R136" s="49">
        <f t="shared" si="80"/>
        <v>0</v>
      </c>
      <c r="S136" s="38"/>
      <c r="T136" s="48">
        <f>SUMPRODUCT(--('Input|Historical Data'!$Q$9:$Q$1179=$E136),--('Input|Historical Data'!$AA$9:$AA$1179="SCS"),--('Input|Historical Data'!$Y$9:$Y$1179=T$5),'Input|Historical Data'!$U$9:$U$1179)</f>
        <v>0</v>
      </c>
      <c r="U136" s="48">
        <f>SUMPRODUCT(--('Input|Historical Data'!$Q$9:$Q$1179=$E136),--('Input|Historical Data'!$AA$9:$AA$1179="SCS"),--('Input|Historical Data'!$Z$9:$Z$1179=U$5),'Input|Historical Data'!$U$9:$U$1179)</f>
        <v>0</v>
      </c>
      <c r="V136" s="48">
        <f>SUMPRODUCT(--('Input|Historical Data'!$Q$9:$Q$1179=$E136),--('Input|Historical Data'!$AA$9:$AA$1179="SCS"),--('Input|Historical Data'!$Z$9:$Z$1179=V$5),'Input|Historical Data'!$U$9:$U$1179)</f>
        <v>0</v>
      </c>
      <c r="W136" s="48">
        <f>SUMPRODUCT(--('Input|Historical Data'!$Q$9:$Q$1179=$E136),--('Input|Historical Data'!$AA$9:$AA$1179="SCS"),--('Input|Historical Data'!$Z$9:$Z$1179=W$5),'Input|Historical Data'!$U$9:$U$1179)</f>
        <v>0</v>
      </c>
      <c r="X136" s="48">
        <f>SUMPRODUCT(--('Input|Historical Data'!$Q$9:$Q$1179=$E136),--('Input|Historical Data'!$AA$9:$AA$1179="SCS"),--('Input|Historical Data'!$Y$9:$Y$1179=X$5),'Input|Historical Data'!$U$9:$U$1179)</f>
        <v>0</v>
      </c>
      <c r="Y136" s="49">
        <f t="shared" si="89"/>
        <v>0</v>
      </c>
      <c r="Z136" s="49">
        <f t="shared" si="90"/>
        <v>0</v>
      </c>
      <c r="AA136" s="49">
        <f t="shared" si="91"/>
        <v>0</v>
      </c>
      <c r="AB136" s="49">
        <f t="shared" si="92"/>
        <v>0</v>
      </c>
      <c r="AC136" s="38"/>
      <c r="AD136" s="48">
        <f>SUMPRODUCT(--('Input|Historical Data'!$AC$9:$AC$1180=$E136),--('Input|Historical Data'!$AM$9:$AM$1180="SCS"),--('Input|Historical Data'!$AK$9:$AK$1180=AD$5),'Input|Historical Data'!$AG$9:$AG$1180)</f>
        <v>0</v>
      </c>
      <c r="AE136" s="48">
        <f>SUMPRODUCT(--('Input|Historical Data'!$AC$9:$AC$1180=$E136),--('Input|Historical Data'!$AM$9:$AM$1180="SCS"),--('Input|Historical Data'!$AL$9:$AL$1180=AE$5),'Input|Historical Data'!$AG$9:$AG$1180)</f>
        <v>0</v>
      </c>
      <c r="AF136" s="48">
        <f>SUMPRODUCT(--('Input|Historical Data'!$AC$9:$AC$1180=$E136),--('Input|Historical Data'!$AM$9:$AM$1180="SCS"),--('Input|Historical Data'!$AL$9:$AL$1180=AF$5),'Input|Historical Data'!$AG$9:$AG$1180)</f>
        <v>0</v>
      </c>
      <c r="AG136" s="48">
        <f>SUMPRODUCT(--('Input|Historical Data'!$AC$9:$AC$1180=$E136),--('Input|Historical Data'!$AM$9:$AM$1180="SCS"),--('Input|Historical Data'!$AL$9:$AL$1180=AG$5),'Input|Historical Data'!$AG$9:$AG$1180)</f>
        <v>0</v>
      </c>
      <c r="AH136" s="48">
        <f>SUMPRODUCT(--('Input|Historical Data'!$AC$9:$AC$1180=$E136),--('Input|Historical Data'!$AM$9:$AM$1180="SCS"),--('Input|Historical Data'!$AK$9:$AK$1180=AH$5),'Input|Historical Data'!$AG$9:$AG$1180)</f>
        <v>0</v>
      </c>
      <c r="AI136" s="49">
        <f t="shared" si="81"/>
        <v>0</v>
      </c>
      <c r="AJ136" s="49">
        <f t="shared" si="82"/>
        <v>0</v>
      </c>
      <c r="AK136" s="49">
        <f t="shared" si="83"/>
        <v>0</v>
      </c>
      <c r="AL136" s="49">
        <f t="shared" si="84"/>
        <v>0</v>
      </c>
      <c r="AM136" s="38"/>
      <c r="AN136" s="48"/>
      <c r="AO136" s="48"/>
      <c r="AP136" s="48"/>
      <c r="AQ136" s="48"/>
      <c r="AR136" s="48"/>
      <c r="AS136" s="49"/>
      <c r="AT136" s="49"/>
      <c r="AU136" s="49"/>
      <c r="AV136" s="49"/>
      <c r="AW136" s="38"/>
      <c r="AX136" s="49">
        <f t="shared" si="85"/>
        <v>0</v>
      </c>
      <c r="AY136" s="49">
        <f t="shared" si="86"/>
        <v>0</v>
      </c>
      <c r="AZ136" s="49">
        <f t="shared" si="87"/>
        <v>0</v>
      </c>
      <c r="BA136" s="49">
        <f t="shared" si="88"/>
        <v>0</v>
      </c>
      <c r="BB136" s="44"/>
    </row>
    <row r="137" spans="3:54" s="7" customFormat="1" outlineLevel="1" x14ac:dyDescent="0.3">
      <c r="C137" s="38"/>
      <c r="D137" s="38"/>
      <c r="E137" s="38" t="s">
        <v>208</v>
      </c>
      <c r="F137" s="38" t="s">
        <v>389</v>
      </c>
      <c r="G137" s="38" t="str">
        <f>VLOOKUP(E137,Mapping!$E$11:$G$204,3,0)</f>
        <v>Replacement</v>
      </c>
      <c r="H137" s="38" t="str">
        <f>VLOOKUP(E137,Mapping!$E$11:$K$204,7,0)</f>
        <v>SCS</v>
      </c>
      <c r="I137" s="38"/>
      <c r="J137" s="48">
        <f>SUMPRODUCT(--('Input|Historical Data'!$E$9:$E$1179=$E137),--('Input|Historical Data'!$O$9:$O$1179="SCS"),--('Input|Historical Data'!$M$9:$M$1179=J$5),'Input|Historical Data'!$I$9:$I$1179)</f>
        <v>0</v>
      </c>
      <c r="K137" s="48">
        <f>SUMPRODUCT(--('Input|Historical Data'!$E$9:$E$1179=$E137),--('Input|Historical Data'!$O$9:$O$1179="SCS"),--('Input|Historical Data'!$N$9:$N$1179=K$5),'Input|Historical Data'!$I$9:$I$1179)</f>
        <v>0</v>
      </c>
      <c r="L137" s="48">
        <f>SUMPRODUCT(--('Input|Historical Data'!$E$9:$E$1179=$E137),--('Input|Historical Data'!$O$9:$O$1179="SCS"),--('Input|Historical Data'!$N$9:$N$1179=L$5),'Input|Historical Data'!$I$9:$I$1179)</f>
        <v>0</v>
      </c>
      <c r="M137" s="48">
        <f>SUMPRODUCT(--('Input|Historical Data'!$E$9:$E$1179=$E137),--('Input|Historical Data'!$O$9:$O$1179="SCS"),--('Input|Historical Data'!$N$9:$N$1179=M$5),'Input|Historical Data'!$I$9:$I$1179)</f>
        <v>0</v>
      </c>
      <c r="N137" s="48">
        <f>SUMPRODUCT(--('Input|Historical Data'!$E$9:$E$1179=$E137),--('Input|Historical Data'!$O$9:$O$1179="SCS"),--('Input|Historical Data'!$M$9:$M$1179=N$5),'Input|Historical Data'!$I$9:$I$1179)</f>
        <v>0</v>
      </c>
      <c r="O137" s="49">
        <f t="shared" si="77"/>
        <v>0</v>
      </c>
      <c r="P137" s="49">
        <f t="shared" si="78"/>
        <v>0</v>
      </c>
      <c r="Q137" s="49">
        <f t="shared" si="79"/>
        <v>0</v>
      </c>
      <c r="R137" s="49">
        <f t="shared" si="80"/>
        <v>0</v>
      </c>
      <c r="S137" s="38"/>
      <c r="T137" s="48">
        <f>SUMPRODUCT(--('Input|Historical Data'!$Q$9:$Q$1179=$E137),--('Input|Historical Data'!$AA$9:$AA$1179="SCS"),--('Input|Historical Data'!$Y$9:$Y$1179=T$5),'Input|Historical Data'!$U$9:$U$1179)</f>
        <v>0</v>
      </c>
      <c r="U137" s="48">
        <f>SUMPRODUCT(--('Input|Historical Data'!$Q$9:$Q$1179=$E137),--('Input|Historical Data'!$AA$9:$AA$1179="SCS"),--('Input|Historical Data'!$Z$9:$Z$1179=U$5),'Input|Historical Data'!$U$9:$U$1179)</f>
        <v>0</v>
      </c>
      <c r="V137" s="48">
        <f>SUMPRODUCT(--('Input|Historical Data'!$Q$9:$Q$1179=$E137),--('Input|Historical Data'!$AA$9:$AA$1179="SCS"),--('Input|Historical Data'!$Z$9:$Z$1179=V$5),'Input|Historical Data'!$U$9:$U$1179)</f>
        <v>0</v>
      </c>
      <c r="W137" s="48">
        <f>SUMPRODUCT(--('Input|Historical Data'!$Q$9:$Q$1179=$E137),--('Input|Historical Data'!$AA$9:$AA$1179="SCS"),--('Input|Historical Data'!$Z$9:$Z$1179=W$5),'Input|Historical Data'!$U$9:$U$1179)</f>
        <v>0</v>
      </c>
      <c r="X137" s="48">
        <f>SUMPRODUCT(--('Input|Historical Data'!$Q$9:$Q$1179=$E137),--('Input|Historical Data'!$AA$9:$AA$1179="SCS"),--('Input|Historical Data'!$Y$9:$Y$1179=X$5),'Input|Historical Data'!$U$9:$U$1179)</f>
        <v>0</v>
      </c>
      <c r="Y137" s="49">
        <f t="shared" si="89"/>
        <v>0</v>
      </c>
      <c r="Z137" s="49">
        <f t="shared" si="90"/>
        <v>0</v>
      </c>
      <c r="AA137" s="49">
        <f t="shared" si="91"/>
        <v>0</v>
      </c>
      <c r="AB137" s="49">
        <f t="shared" si="92"/>
        <v>0</v>
      </c>
      <c r="AC137" s="38"/>
      <c r="AD137" s="48">
        <f>SUMPRODUCT(--('Input|Historical Data'!$AC$9:$AC$1180=$E137),--('Input|Historical Data'!$AM$9:$AM$1180="SCS"),--('Input|Historical Data'!$AK$9:$AK$1180=AD$5),'Input|Historical Data'!$AG$9:$AG$1180)</f>
        <v>0</v>
      </c>
      <c r="AE137" s="48">
        <f>SUMPRODUCT(--('Input|Historical Data'!$AC$9:$AC$1180=$E137),--('Input|Historical Data'!$AM$9:$AM$1180="SCS"),--('Input|Historical Data'!$AL$9:$AL$1180=AE$5),'Input|Historical Data'!$AG$9:$AG$1180)</f>
        <v>0</v>
      </c>
      <c r="AF137" s="48">
        <f>SUMPRODUCT(--('Input|Historical Data'!$AC$9:$AC$1180=$E137),--('Input|Historical Data'!$AM$9:$AM$1180="SCS"),--('Input|Historical Data'!$AL$9:$AL$1180=AF$5),'Input|Historical Data'!$AG$9:$AG$1180)</f>
        <v>0</v>
      </c>
      <c r="AG137" s="48">
        <f>SUMPRODUCT(--('Input|Historical Data'!$AC$9:$AC$1180=$E137),--('Input|Historical Data'!$AM$9:$AM$1180="SCS"),--('Input|Historical Data'!$AL$9:$AL$1180=AG$5),'Input|Historical Data'!$AG$9:$AG$1180)</f>
        <v>0</v>
      </c>
      <c r="AH137" s="48">
        <f>SUMPRODUCT(--('Input|Historical Data'!$AC$9:$AC$1180=$E137),--('Input|Historical Data'!$AM$9:$AM$1180="SCS"),--('Input|Historical Data'!$AK$9:$AK$1180=AH$5),'Input|Historical Data'!$AG$9:$AG$1180)</f>
        <v>0</v>
      </c>
      <c r="AI137" s="49">
        <f t="shared" si="81"/>
        <v>0</v>
      </c>
      <c r="AJ137" s="49">
        <f t="shared" si="82"/>
        <v>0</v>
      </c>
      <c r="AK137" s="49">
        <f t="shared" si="83"/>
        <v>0</v>
      </c>
      <c r="AL137" s="49">
        <f t="shared" si="84"/>
        <v>0</v>
      </c>
      <c r="AM137" s="38"/>
      <c r="AN137" s="48"/>
      <c r="AO137" s="48"/>
      <c r="AP137" s="48"/>
      <c r="AQ137" s="48"/>
      <c r="AR137" s="48"/>
      <c r="AS137" s="49"/>
      <c r="AT137" s="49"/>
      <c r="AU137" s="49"/>
      <c r="AV137" s="49"/>
      <c r="AW137" s="38"/>
      <c r="AX137" s="49">
        <f t="shared" si="85"/>
        <v>0</v>
      </c>
      <c r="AY137" s="49">
        <f t="shared" si="86"/>
        <v>0</v>
      </c>
      <c r="AZ137" s="49">
        <f t="shared" si="87"/>
        <v>0</v>
      </c>
      <c r="BA137" s="49">
        <f t="shared" si="88"/>
        <v>0</v>
      </c>
      <c r="BB137" s="44"/>
    </row>
    <row r="138" spans="3:54" s="7" customFormat="1" outlineLevel="1" x14ac:dyDescent="0.3">
      <c r="C138" s="38"/>
      <c r="D138" s="38"/>
      <c r="E138" s="38" t="s">
        <v>209</v>
      </c>
      <c r="F138" s="38" t="s">
        <v>390</v>
      </c>
      <c r="G138" s="38" t="str">
        <f>VLOOKUP(E138,Mapping!$E$11:$G$204,3,0)</f>
        <v>Replacement</v>
      </c>
      <c r="H138" s="38" t="str">
        <f>VLOOKUP(E138,Mapping!$E$11:$K$204,7,0)</f>
        <v>SCS</v>
      </c>
      <c r="I138" s="38"/>
      <c r="J138" s="48">
        <f>SUMPRODUCT(--('Input|Historical Data'!$E$9:$E$1179=$E138),--('Input|Historical Data'!$O$9:$O$1179="SCS"),--('Input|Historical Data'!$M$9:$M$1179=J$5),'Input|Historical Data'!$I$9:$I$1179)</f>
        <v>70.585000000000008</v>
      </c>
      <c r="K138" s="48">
        <f>SUMPRODUCT(--('Input|Historical Data'!$E$9:$E$1179=$E138),--('Input|Historical Data'!$O$9:$O$1179="SCS"),--('Input|Historical Data'!$N$9:$N$1179=K$5),'Input|Historical Data'!$I$9:$I$1179)</f>
        <v>53.13</v>
      </c>
      <c r="L138" s="48">
        <f>SUMPRODUCT(--('Input|Historical Data'!$E$9:$E$1179=$E138),--('Input|Historical Data'!$O$9:$O$1179="SCS"),--('Input|Historical Data'!$N$9:$N$1179=L$5),'Input|Historical Data'!$I$9:$I$1179)</f>
        <v>0.27900000000000003</v>
      </c>
      <c r="M138" s="48">
        <f>SUMPRODUCT(--('Input|Historical Data'!$E$9:$E$1179=$E138),--('Input|Historical Data'!$O$9:$O$1179="SCS"),--('Input|Historical Data'!$N$9:$N$1179=M$5),'Input|Historical Data'!$I$9:$I$1179)</f>
        <v>17.175999999999998</v>
      </c>
      <c r="N138" s="48">
        <f>SUMPRODUCT(--('Input|Historical Data'!$E$9:$E$1179=$E138),--('Input|Historical Data'!$O$9:$O$1179="SCS"),--('Input|Historical Data'!$M$9:$M$1179=N$5),'Input|Historical Data'!$I$9:$I$1179)</f>
        <v>6.6870000000000003</v>
      </c>
      <c r="O138" s="49">
        <f t="shared" ref="O138:O198" si="93">IFERROR(K138/SUM($K138:$M138),0)</f>
        <v>0.75270949918537933</v>
      </c>
      <c r="P138" s="49">
        <f t="shared" ref="P138:P198" si="94">IFERROR(L138/SUM($K138:$M138),0)</f>
        <v>3.9526811645533757E-3</v>
      </c>
      <c r="Q138" s="49">
        <f t="shared" ref="Q138:Q198" si="95">IFERROR(M138/SUM($K138:$M138),0)</f>
        <v>0.24333781965006723</v>
      </c>
      <c r="R138" s="49">
        <f t="shared" ref="R138:R198" si="96">IFERROR(N138/J138,0)</f>
        <v>9.4736842105263147E-2</v>
      </c>
      <c r="S138" s="38"/>
      <c r="T138" s="48">
        <f>SUMPRODUCT(--('Input|Historical Data'!$Q$9:$Q$1179=$E138),--('Input|Historical Data'!$AA$9:$AA$1179="SCS"),--('Input|Historical Data'!$Y$9:$Y$1179=T$5),'Input|Historical Data'!$U$9:$U$1179)</f>
        <v>30.240000000000002</v>
      </c>
      <c r="U138" s="48">
        <f>SUMPRODUCT(--('Input|Historical Data'!$Q$9:$Q$1179=$E138),--('Input|Historical Data'!$AA$9:$AA$1179="SCS"),--('Input|Historical Data'!$Z$9:$Z$1179=U$5),'Input|Historical Data'!$U$9:$U$1179)</f>
        <v>25.033999999999999</v>
      </c>
      <c r="V138" s="48">
        <f>SUMPRODUCT(--('Input|Historical Data'!$Q$9:$Q$1179=$E138),--('Input|Historical Data'!$AA$9:$AA$1179="SCS"),--('Input|Historical Data'!$Z$9:$Z$1179=V$5),'Input|Historical Data'!$U$9:$U$1179)</f>
        <v>0</v>
      </c>
      <c r="W138" s="48">
        <f>SUMPRODUCT(--('Input|Historical Data'!$Q$9:$Q$1179=$E138),--('Input|Historical Data'!$AA$9:$AA$1179="SCS"),--('Input|Historical Data'!$Z$9:$Z$1179=W$5),'Input|Historical Data'!$U$9:$U$1179)</f>
        <v>5.2060000000000004</v>
      </c>
      <c r="X138" s="48">
        <f>SUMPRODUCT(--('Input|Historical Data'!$Q$9:$Q$1179=$E138),--('Input|Historical Data'!$AA$9:$AA$1179="SCS"),--('Input|Historical Data'!$Y$9:$Y$1179=X$5),'Input|Historical Data'!$U$9:$U$1179)</f>
        <v>4.3929999999999998</v>
      </c>
      <c r="Y138" s="49">
        <f t="shared" si="89"/>
        <v>0.82784391534391533</v>
      </c>
      <c r="Z138" s="49">
        <f t="shared" si="90"/>
        <v>0</v>
      </c>
      <c r="AA138" s="49">
        <f t="shared" si="91"/>
        <v>0.17215608465608467</v>
      </c>
      <c r="AB138" s="49">
        <f t="shared" si="92"/>
        <v>0.145271164021164</v>
      </c>
      <c r="AC138" s="38"/>
      <c r="AD138" s="48">
        <f>SUMPRODUCT(--('Input|Historical Data'!$AC$9:$AC$1180=$E138),--('Input|Historical Data'!$AM$9:$AM$1180="SCS"),--('Input|Historical Data'!$AK$9:$AK$1180=AD$5),'Input|Historical Data'!$AG$9:$AG$1180)</f>
        <v>82.777000000000015</v>
      </c>
      <c r="AE138" s="48">
        <f>SUMPRODUCT(--('Input|Historical Data'!$AC$9:$AC$1180=$E138),--('Input|Historical Data'!$AM$9:$AM$1180="SCS"),--('Input|Historical Data'!$AL$9:$AL$1180=AE$5),'Input|Historical Data'!$AG$9:$AG$1180)</f>
        <v>62.783999999999999</v>
      </c>
      <c r="AF138" s="48">
        <f>SUMPRODUCT(--('Input|Historical Data'!$AC$9:$AC$1180=$E138),--('Input|Historical Data'!$AM$9:$AM$1180="SCS"),--('Input|Historical Data'!$AL$9:$AL$1180=AF$5),'Input|Historical Data'!$AG$9:$AG$1180)</f>
        <v>4.4000000000000004</v>
      </c>
      <c r="AG138" s="48">
        <f>SUMPRODUCT(--('Input|Historical Data'!$AC$9:$AC$1180=$E138),--('Input|Historical Data'!$AM$9:$AM$1180="SCS"),--('Input|Historical Data'!$AL$9:$AL$1180=AG$5),'Input|Historical Data'!$AG$9:$AG$1180)</f>
        <v>15.593</v>
      </c>
      <c r="AH138" s="48">
        <f>SUMPRODUCT(--('Input|Historical Data'!$AC$9:$AC$1180=$E138),--('Input|Historical Data'!$AM$9:$AM$1180="SCS"),--('Input|Historical Data'!$AK$9:$AK$1180=AH$5),'Input|Historical Data'!$AG$9:$AG$1180)</f>
        <v>6.7</v>
      </c>
      <c r="AI138" s="49">
        <f t="shared" si="81"/>
        <v>0.75847155610858086</v>
      </c>
      <c r="AJ138" s="49">
        <f t="shared" si="82"/>
        <v>5.3154861857762428E-2</v>
      </c>
      <c r="AK138" s="49">
        <f t="shared" si="83"/>
        <v>0.1883735820336567</v>
      </c>
      <c r="AL138" s="49">
        <f t="shared" si="84"/>
        <v>8.0940357828865495E-2</v>
      </c>
      <c r="AM138" s="38"/>
      <c r="AN138" s="48"/>
      <c r="AO138" s="48"/>
      <c r="AP138" s="48"/>
      <c r="AQ138" s="48"/>
      <c r="AR138" s="48"/>
      <c r="AS138" s="49"/>
      <c r="AT138" s="49"/>
      <c r="AU138" s="49"/>
      <c r="AV138" s="49"/>
      <c r="AW138" s="38"/>
      <c r="AX138" s="49">
        <f t="shared" si="85"/>
        <v>0.77703354362618005</v>
      </c>
      <c r="AY138" s="49">
        <f t="shared" si="86"/>
        <v>3.8932196041303518E-2</v>
      </c>
      <c r="AZ138" s="49">
        <f t="shared" si="87"/>
        <v>0.18403426033251633</v>
      </c>
      <c r="BA138" s="49">
        <f t="shared" si="88"/>
        <v>9.8153375155949962E-2</v>
      </c>
      <c r="BB138" s="44"/>
    </row>
    <row r="139" spans="3:54" s="7" customFormat="1" outlineLevel="1" x14ac:dyDescent="0.3">
      <c r="C139" s="38"/>
      <c r="D139" s="38"/>
      <c r="E139" s="38" t="s">
        <v>210</v>
      </c>
      <c r="F139" s="38" t="s">
        <v>391</v>
      </c>
      <c r="G139" s="38" t="str">
        <f>VLOOKUP(E139,Mapping!$E$11:$G$204,3,0)</f>
        <v>Replacement</v>
      </c>
      <c r="H139" s="38" t="str">
        <f>VLOOKUP(E139,Mapping!$E$11:$K$204,7,0)</f>
        <v>SCS</v>
      </c>
      <c r="I139" s="38"/>
      <c r="J139" s="48">
        <f>SUMPRODUCT(--('Input|Historical Data'!$E$9:$E$1179=$E139),--('Input|Historical Data'!$O$9:$O$1179="SCS"),--('Input|Historical Data'!$M$9:$M$1179=J$5),'Input|Historical Data'!$I$9:$I$1179)</f>
        <v>3549.3690000000001</v>
      </c>
      <c r="K139" s="48">
        <f>SUMPRODUCT(--('Input|Historical Data'!$E$9:$E$1179=$E139),--('Input|Historical Data'!$O$9:$O$1179="SCS"),--('Input|Historical Data'!$N$9:$N$1179=K$5),'Input|Historical Data'!$I$9:$I$1179)</f>
        <v>1823.816</v>
      </c>
      <c r="L139" s="48">
        <f>SUMPRODUCT(--('Input|Historical Data'!$E$9:$E$1179=$E139),--('Input|Historical Data'!$O$9:$O$1179="SCS"),--('Input|Historical Data'!$N$9:$N$1179=L$5),'Input|Historical Data'!$I$9:$I$1179)</f>
        <v>1100.299</v>
      </c>
      <c r="M139" s="48">
        <f>SUMPRODUCT(--('Input|Historical Data'!$E$9:$E$1179=$E139),--('Input|Historical Data'!$O$9:$O$1179="SCS"),--('Input|Historical Data'!$N$9:$N$1179=M$5),'Input|Historical Data'!$I$9:$I$1179)</f>
        <v>625.25400000000002</v>
      </c>
      <c r="N139" s="48">
        <f>SUMPRODUCT(--('Input|Historical Data'!$E$9:$E$1179=$E139),--('Input|Historical Data'!$O$9:$O$1179="SCS"),--('Input|Historical Data'!$M$9:$M$1179=N$5),'Input|Historical Data'!$I$9:$I$1179)</f>
        <v>281.02</v>
      </c>
      <c r="O139" s="49">
        <f t="shared" si="93"/>
        <v>0.51384231957849413</v>
      </c>
      <c r="P139" s="49">
        <f t="shared" si="94"/>
        <v>0.30999848142021863</v>
      </c>
      <c r="Q139" s="49">
        <f t="shared" si="95"/>
        <v>0.17615919900128729</v>
      </c>
      <c r="R139" s="49">
        <f t="shared" si="96"/>
        <v>7.9174636393116629E-2</v>
      </c>
      <c r="S139" s="38"/>
      <c r="T139" s="48">
        <f>SUMPRODUCT(--('Input|Historical Data'!$Q$9:$Q$1179=$E139),--('Input|Historical Data'!$AA$9:$AA$1179="SCS"),--('Input|Historical Data'!$Y$9:$Y$1179=T$5),'Input|Historical Data'!$U$9:$U$1179)</f>
        <v>8133.5260000000007</v>
      </c>
      <c r="U139" s="48">
        <f>SUMPRODUCT(--('Input|Historical Data'!$Q$9:$Q$1179=$E139),--('Input|Historical Data'!$AA$9:$AA$1179="SCS"),--('Input|Historical Data'!$Z$9:$Z$1179=U$5),'Input|Historical Data'!$U$9:$U$1179)</f>
        <v>3897.6279999999997</v>
      </c>
      <c r="V139" s="48">
        <f>SUMPRODUCT(--('Input|Historical Data'!$Q$9:$Q$1179=$E139),--('Input|Historical Data'!$AA$9:$AA$1179="SCS"),--('Input|Historical Data'!$Z$9:$Z$1179=V$5),'Input|Historical Data'!$U$9:$U$1179)</f>
        <v>3529.9070000000002</v>
      </c>
      <c r="W139" s="48">
        <f>SUMPRODUCT(--('Input|Historical Data'!$Q$9:$Q$1179=$E139),--('Input|Historical Data'!$AA$9:$AA$1179="SCS"),--('Input|Historical Data'!$Z$9:$Z$1179=W$5),'Input|Historical Data'!$U$9:$U$1179)</f>
        <v>705.99099999999999</v>
      </c>
      <c r="X139" s="48">
        <f>SUMPRODUCT(--('Input|Historical Data'!$Q$9:$Q$1179=$E139),--('Input|Historical Data'!$AA$9:$AA$1179="SCS"),--('Input|Historical Data'!$Y$9:$Y$1179=X$5),'Input|Historical Data'!$U$9:$U$1179)</f>
        <v>720.21900000000005</v>
      </c>
      <c r="Y139" s="49">
        <f t="shared" si="89"/>
        <v>0.47920520571274988</v>
      </c>
      <c r="Z139" s="49">
        <f t="shared" si="90"/>
        <v>0.43399467832278404</v>
      </c>
      <c r="AA139" s="49">
        <f t="shared" si="91"/>
        <v>8.6800115964466087E-2</v>
      </c>
      <c r="AB139" s="49">
        <f t="shared" si="92"/>
        <v>8.8549418788358203E-2</v>
      </c>
      <c r="AC139" s="38"/>
      <c r="AD139" s="48">
        <f>SUMPRODUCT(--('Input|Historical Data'!$AC$9:$AC$1180=$E139),--('Input|Historical Data'!$AM$9:$AM$1180="SCS"),--('Input|Historical Data'!$AK$9:$AK$1180=AD$5),'Input|Historical Data'!$AG$9:$AG$1180)</f>
        <v>8792.3399999999983</v>
      </c>
      <c r="AE139" s="48">
        <f>SUMPRODUCT(--('Input|Historical Data'!$AC$9:$AC$1180=$E139),--('Input|Historical Data'!$AM$9:$AM$1180="SCS"),--('Input|Historical Data'!$AL$9:$AL$1180=AE$5),'Input|Historical Data'!$AG$9:$AG$1180)</f>
        <v>3905.924</v>
      </c>
      <c r="AF139" s="48">
        <f>SUMPRODUCT(--('Input|Historical Data'!$AC$9:$AC$1180=$E139),--('Input|Historical Data'!$AM$9:$AM$1180="SCS"),--('Input|Historical Data'!$AL$9:$AL$1180=AF$5),'Input|Historical Data'!$AG$9:$AG$1180)</f>
        <v>3940.6369999999997</v>
      </c>
      <c r="AG139" s="48">
        <f>SUMPRODUCT(--('Input|Historical Data'!$AC$9:$AC$1180=$E139),--('Input|Historical Data'!$AM$9:$AM$1180="SCS"),--('Input|Historical Data'!$AL$9:$AL$1180=AG$5),'Input|Historical Data'!$AG$9:$AG$1180)</f>
        <v>945.779</v>
      </c>
      <c r="AH139" s="48">
        <f>SUMPRODUCT(--('Input|Historical Data'!$AC$9:$AC$1180=$E139),--('Input|Historical Data'!$AM$9:$AM$1180="SCS"),--('Input|Historical Data'!$AK$9:$AK$1180=AH$5),'Input|Historical Data'!$AG$9:$AG$1180)</f>
        <v>558.65899999999999</v>
      </c>
      <c r="AI139" s="49">
        <f t="shared" si="81"/>
        <v>0.44424169220025611</v>
      </c>
      <c r="AJ139" s="49">
        <f t="shared" si="82"/>
        <v>0.44818978792903819</v>
      </c>
      <c r="AK139" s="49">
        <f t="shared" si="83"/>
        <v>0.10756851987070563</v>
      </c>
      <c r="AL139" s="49">
        <f t="shared" si="84"/>
        <v>6.3539285332459852E-2</v>
      </c>
      <c r="AM139" s="38"/>
      <c r="AN139" s="48"/>
      <c r="AO139" s="48"/>
      <c r="AP139" s="48"/>
      <c r="AQ139" s="48"/>
      <c r="AR139" s="48"/>
      <c r="AS139" s="49"/>
      <c r="AT139" s="49"/>
      <c r="AU139" s="49"/>
      <c r="AV139" s="49"/>
      <c r="AW139" s="38"/>
      <c r="AX139" s="49">
        <f t="shared" si="85"/>
        <v>0.46104299774085417</v>
      </c>
      <c r="AY139" s="49">
        <f t="shared" si="86"/>
        <v>0.44136849482324869</v>
      </c>
      <c r="AZ139" s="49">
        <f t="shared" si="87"/>
        <v>9.758850743589724E-2</v>
      </c>
      <c r="BA139" s="49">
        <f t="shared" si="88"/>
        <v>7.555761105517439E-2</v>
      </c>
      <c r="BB139" s="44"/>
    </row>
    <row r="140" spans="3:54" s="7" customFormat="1" outlineLevel="1" x14ac:dyDescent="0.3">
      <c r="C140" s="38"/>
      <c r="D140" s="38"/>
      <c r="E140" s="38" t="s">
        <v>211</v>
      </c>
      <c r="F140" s="38" t="s">
        <v>392</v>
      </c>
      <c r="G140" s="38" t="str">
        <f>VLOOKUP(E140,Mapping!$E$11:$G$204,3,0)</f>
        <v>Replacement</v>
      </c>
      <c r="H140" s="38" t="str">
        <f>VLOOKUP(E140,Mapping!$E$11:$K$204,7,0)</f>
        <v>SCS</v>
      </c>
      <c r="I140" s="38"/>
      <c r="J140" s="48">
        <f>SUMPRODUCT(--('Input|Historical Data'!$E$9:$E$1179=$E140),--('Input|Historical Data'!$O$9:$O$1179="SCS"),--('Input|Historical Data'!$M$9:$M$1179=J$5),'Input|Historical Data'!$I$9:$I$1179)</f>
        <v>0</v>
      </c>
      <c r="K140" s="48">
        <f>SUMPRODUCT(--('Input|Historical Data'!$E$9:$E$1179=$E140),--('Input|Historical Data'!$O$9:$O$1179="SCS"),--('Input|Historical Data'!$N$9:$N$1179=K$5),'Input|Historical Data'!$I$9:$I$1179)</f>
        <v>0</v>
      </c>
      <c r="L140" s="48">
        <f>SUMPRODUCT(--('Input|Historical Data'!$E$9:$E$1179=$E140),--('Input|Historical Data'!$O$9:$O$1179="SCS"),--('Input|Historical Data'!$N$9:$N$1179=L$5),'Input|Historical Data'!$I$9:$I$1179)</f>
        <v>0</v>
      </c>
      <c r="M140" s="48">
        <f>SUMPRODUCT(--('Input|Historical Data'!$E$9:$E$1179=$E140),--('Input|Historical Data'!$O$9:$O$1179="SCS"),--('Input|Historical Data'!$N$9:$N$1179=M$5),'Input|Historical Data'!$I$9:$I$1179)</f>
        <v>0</v>
      </c>
      <c r="N140" s="48">
        <f>SUMPRODUCT(--('Input|Historical Data'!$E$9:$E$1179=$E140),--('Input|Historical Data'!$O$9:$O$1179="SCS"),--('Input|Historical Data'!$M$9:$M$1179=N$5),'Input|Historical Data'!$I$9:$I$1179)</f>
        <v>0</v>
      </c>
      <c r="O140" s="49">
        <f t="shared" si="93"/>
        <v>0</v>
      </c>
      <c r="P140" s="49">
        <f t="shared" si="94"/>
        <v>0</v>
      </c>
      <c r="Q140" s="49">
        <f t="shared" si="95"/>
        <v>0</v>
      </c>
      <c r="R140" s="49">
        <f t="shared" si="96"/>
        <v>0</v>
      </c>
      <c r="S140" s="38"/>
      <c r="T140" s="48">
        <f>SUMPRODUCT(--('Input|Historical Data'!$Q$9:$Q$1179=$E140),--('Input|Historical Data'!$AA$9:$AA$1179="SCS"),--('Input|Historical Data'!$Y$9:$Y$1179=T$5),'Input|Historical Data'!$U$9:$U$1179)</f>
        <v>0</v>
      </c>
      <c r="U140" s="48">
        <f>SUMPRODUCT(--('Input|Historical Data'!$Q$9:$Q$1179=$E140),--('Input|Historical Data'!$AA$9:$AA$1179="SCS"),--('Input|Historical Data'!$Z$9:$Z$1179=U$5),'Input|Historical Data'!$U$9:$U$1179)</f>
        <v>0</v>
      </c>
      <c r="V140" s="48">
        <f>SUMPRODUCT(--('Input|Historical Data'!$Q$9:$Q$1179=$E140),--('Input|Historical Data'!$AA$9:$AA$1179="SCS"),--('Input|Historical Data'!$Z$9:$Z$1179=V$5),'Input|Historical Data'!$U$9:$U$1179)</f>
        <v>0</v>
      </c>
      <c r="W140" s="48">
        <f>SUMPRODUCT(--('Input|Historical Data'!$Q$9:$Q$1179=$E140),--('Input|Historical Data'!$AA$9:$AA$1179="SCS"),--('Input|Historical Data'!$Z$9:$Z$1179=W$5),'Input|Historical Data'!$U$9:$U$1179)</f>
        <v>0</v>
      </c>
      <c r="X140" s="48">
        <f>SUMPRODUCT(--('Input|Historical Data'!$Q$9:$Q$1179=$E140),--('Input|Historical Data'!$AA$9:$AA$1179="SCS"),--('Input|Historical Data'!$Y$9:$Y$1179=X$5),'Input|Historical Data'!$U$9:$U$1179)</f>
        <v>0</v>
      </c>
      <c r="Y140" s="49">
        <f t="shared" si="89"/>
        <v>0</v>
      </c>
      <c r="Z140" s="49">
        <f t="shared" si="90"/>
        <v>0</v>
      </c>
      <c r="AA140" s="49">
        <f t="shared" si="91"/>
        <v>0</v>
      </c>
      <c r="AB140" s="49">
        <f t="shared" si="92"/>
        <v>0</v>
      </c>
      <c r="AC140" s="38"/>
      <c r="AD140" s="48">
        <f>SUMPRODUCT(--('Input|Historical Data'!$AC$9:$AC$1180=$E140),--('Input|Historical Data'!$AM$9:$AM$1180="SCS"),--('Input|Historical Data'!$AK$9:$AK$1180=AD$5),'Input|Historical Data'!$AG$9:$AG$1180)</f>
        <v>0</v>
      </c>
      <c r="AE140" s="48">
        <f>SUMPRODUCT(--('Input|Historical Data'!$AC$9:$AC$1180=$E140),--('Input|Historical Data'!$AM$9:$AM$1180="SCS"),--('Input|Historical Data'!$AL$9:$AL$1180=AE$5),'Input|Historical Data'!$AG$9:$AG$1180)</f>
        <v>0</v>
      </c>
      <c r="AF140" s="48">
        <f>SUMPRODUCT(--('Input|Historical Data'!$AC$9:$AC$1180=$E140),--('Input|Historical Data'!$AM$9:$AM$1180="SCS"),--('Input|Historical Data'!$AL$9:$AL$1180=AF$5),'Input|Historical Data'!$AG$9:$AG$1180)</f>
        <v>0</v>
      </c>
      <c r="AG140" s="48">
        <f>SUMPRODUCT(--('Input|Historical Data'!$AC$9:$AC$1180=$E140),--('Input|Historical Data'!$AM$9:$AM$1180="SCS"),--('Input|Historical Data'!$AL$9:$AL$1180=AG$5),'Input|Historical Data'!$AG$9:$AG$1180)</f>
        <v>0</v>
      </c>
      <c r="AH140" s="48">
        <f>SUMPRODUCT(--('Input|Historical Data'!$AC$9:$AC$1180=$E140),--('Input|Historical Data'!$AM$9:$AM$1180="SCS"),--('Input|Historical Data'!$AK$9:$AK$1180=AH$5),'Input|Historical Data'!$AG$9:$AG$1180)</f>
        <v>0</v>
      </c>
      <c r="AI140" s="49">
        <f t="shared" si="81"/>
        <v>0</v>
      </c>
      <c r="AJ140" s="49">
        <f t="shared" si="82"/>
        <v>0</v>
      </c>
      <c r="AK140" s="49">
        <f t="shared" si="83"/>
        <v>0</v>
      </c>
      <c r="AL140" s="49">
        <f t="shared" si="84"/>
        <v>0</v>
      </c>
      <c r="AM140" s="38"/>
      <c r="AN140" s="48"/>
      <c r="AO140" s="48"/>
      <c r="AP140" s="48"/>
      <c r="AQ140" s="48"/>
      <c r="AR140" s="48"/>
      <c r="AS140" s="49"/>
      <c r="AT140" s="49"/>
      <c r="AU140" s="49"/>
      <c r="AV140" s="49"/>
      <c r="AW140" s="38"/>
      <c r="AX140" s="49">
        <f t="shared" si="85"/>
        <v>0</v>
      </c>
      <c r="AY140" s="49">
        <f t="shared" si="86"/>
        <v>0</v>
      </c>
      <c r="AZ140" s="49">
        <f t="shared" si="87"/>
        <v>0</v>
      </c>
      <c r="BA140" s="49">
        <f t="shared" si="88"/>
        <v>0</v>
      </c>
      <c r="BB140" s="44"/>
    </row>
    <row r="141" spans="3:54" s="7" customFormat="1" outlineLevel="1" x14ac:dyDescent="0.3">
      <c r="C141" s="38"/>
      <c r="D141" s="38"/>
      <c r="E141" s="38" t="s">
        <v>212</v>
      </c>
      <c r="F141" s="38" t="s">
        <v>393</v>
      </c>
      <c r="G141" s="38" t="str">
        <f>VLOOKUP(E141,Mapping!$E$11:$G$204,3,0)</f>
        <v>Replacement</v>
      </c>
      <c r="H141" s="38" t="str">
        <f>VLOOKUP(E141,Mapping!$E$11:$K$204,7,0)</f>
        <v>SCS</v>
      </c>
      <c r="I141" s="38"/>
      <c r="J141" s="48">
        <f>SUMPRODUCT(--('Input|Historical Data'!$E$9:$E$1179=$E141),--('Input|Historical Data'!$O$9:$O$1179="SCS"),--('Input|Historical Data'!$M$9:$M$1179=J$5),'Input|Historical Data'!$I$9:$I$1179)</f>
        <v>0</v>
      </c>
      <c r="K141" s="48">
        <f>SUMPRODUCT(--('Input|Historical Data'!$E$9:$E$1179=$E141),--('Input|Historical Data'!$O$9:$O$1179="SCS"),--('Input|Historical Data'!$N$9:$N$1179=K$5),'Input|Historical Data'!$I$9:$I$1179)</f>
        <v>0</v>
      </c>
      <c r="L141" s="48">
        <f>SUMPRODUCT(--('Input|Historical Data'!$E$9:$E$1179=$E141),--('Input|Historical Data'!$O$9:$O$1179="SCS"),--('Input|Historical Data'!$N$9:$N$1179=L$5),'Input|Historical Data'!$I$9:$I$1179)</f>
        <v>0</v>
      </c>
      <c r="M141" s="48">
        <f>SUMPRODUCT(--('Input|Historical Data'!$E$9:$E$1179=$E141),--('Input|Historical Data'!$O$9:$O$1179="SCS"),--('Input|Historical Data'!$N$9:$N$1179=M$5),'Input|Historical Data'!$I$9:$I$1179)</f>
        <v>0</v>
      </c>
      <c r="N141" s="48">
        <f>SUMPRODUCT(--('Input|Historical Data'!$E$9:$E$1179=$E141),--('Input|Historical Data'!$O$9:$O$1179="SCS"),--('Input|Historical Data'!$M$9:$M$1179=N$5),'Input|Historical Data'!$I$9:$I$1179)</f>
        <v>0</v>
      </c>
      <c r="O141" s="49">
        <f t="shared" si="93"/>
        <v>0</v>
      </c>
      <c r="P141" s="49">
        <f t="shared" si="94"/>
        <v>0</v>
      </c>
      <c r="Q141" s="49">
        <f t="shared" si="95"/>
        <v>0</v>
      </c>
      <c r="R141" s="49">
        <f t="shared" si="96"/>
        <v>0</v>
      </c>
      <c r="S141" s="38"/>
      <c r="T141" s="48">
        <f>SUMPRODUCT(--('Input|Historical Data'!$Q$9:$Q$1179=$E141),--('Input|Historical Data'!$AA$9:$AA$1179="SCS"),--('Input|Historical Data'!$Y$9:$Y$1179=T$5),'Input|Historical Data'!$U$9:$U$1179)</f>
        <v>0</v>
      </c>
      <c r="U141" s="48">
        <f>SUMPRODUCT(--('Input|Historical Data'!$Q$9:$Q$1179=$E141),--('Input|Historical Data'!$AA$9:$AA$1179="SCS"),--('Input|Historical Data'!$Z$9:$Z$1179=U$5),'Input|Historical Data'!$U$9:$U$1179)</f>
        <v>0</v>
      </c>
      <c r="V141" s="48">
        <f>SUMPRODUCT(--('Input|Historical Data'!$Q$9:$Q$1179=$E141),--('Input|Historical Data'!$AA$9:$AA$1179="SCS"),--('Input|Historical Data'!$Z$9:$Z$1179=V$5),'Input|Historical Data'!$U$9:$U$1179)</f>
        <v>0</v>
      </c>
      <c r="W141" s="48">
        <f>SUMPRODUCT(--('Input|Historical Data'!$Q$9:$Q$1179=$E141),--('Input|Historical Data'!$AA$9:$AA$1179="SCS"),--('Input|Historical Data'!$Z$9:$Z$1179=W$5),'Input|Historical Data'!$U$9:$U$1179)</f>
        <v>0</v>
      </c>
      <c r="X141" s="48">
        <f>SUMPRODUCT(--('Input|Historical Data'!$Q$9:$Q$1179=$E141),--('Input|Historical Data'!$AA$9:$AA$1179="SCS"),--('Input|Historical Data'!$Y$9:$Y$1179=X$5),'Input|Historical Data'!$U$9:$U$1179)</f>
        <v>0</v>
      </c>
      <c r="Y141" s="49">
        <f t="shared" si="89"/>
        <v>0</v>
      </c>
      <c r="Z141" s="49">
        <f t="shared" si="90"/>
        <v>0</v>
      </c>
      <c r="AA141" s="49">
        <f t="shared" si="91"/>
        <v>0</v>
      </c>
      <c r="AB141" s="49">
        <f t="shared" si="92"/>
        <v>0</v>
      </c>
      <c r="AC141" s="38"/>
      <c r="AD141" s="48">
        <f>SUMPRODUCT(--('Input|Historical Data'!$AC$9:$AC$1180=$E141),--('Input|Historical Data'!$AM$9:$AM$1180="SCS"),--('Input|Historical Data'!$AK$9:$AK$1180=AD$5),'Input|Historical Data'!$AG$9:$AG$1180)</f>
        <v>0</v>
      </c>
      <c r="AE141" s="48">
        <f>SUMPRODUCT(--('Input|Historical Data'!$AC$9:$AC$1180=$E141),--('Input|Historical Data'!$AM$9:$AM$1180="SCS"),--('Input|Historical Data'!$AL$9:$AL$1180=AE$5),'Input|Historical Data'!$AG$9:$AG$1180)</f>
        <v>0</v>
      </c>
      <c r="AF141" s="48">
        <f>SUMPRODUCT(--('Input|Historical Data'!$AC$9:$AC$1180=$E141),--('Input|Historical Data'!$AM$9:$AM$1180="SCS"),--('Input|Historical Data'!$AL$9:$AL$1180=AF$5),'Input|Historical Data'!$AG$9:$AG$1180)</f>
        <v>0</v>
      </c>
      <c r="AG141" s="48">
        <f>SUMPRODUCT(--('Input|Historical Data'!$AC$9:$AC$1180=$E141),--('Input|Historical Data'!$AM$9:$AM$1180="SCS"),--('Input|Historical Data'!$AL$9:$AL$1180=AG$5),'Input|Historical Data'!$AG$9:$AG$1180)</f>
        <v>0</v>
      </c>
      <c r="AH141" s="48">
        <f>SUMPRODUCT(--('Input|Historical Data'!$AC$9:$AC$1180=$E141),--('Input|Historical Data'!$AM$9:$AM$1180="SCS"),--('Input|Historical Data'!$AK$9:$AK$1180=AH$5),'Input|Historical Data'!$AG$9:$AG$1180)</f>
        <v>0</v>
      </c>
      <c r="AI141" s="49">
        <f t="shared" si="81"/>
        <v>0</v>
      </c>
      <c r="AJ141" s="49">
        <f t="shared" si="82"/>
        <v>0</v>
      </c>
      <c r="AK141" s="49">
        <f t="shared" si="83"/>
        <v>0</v>
      </c>
      <c r="AL141" s="49">
        <f t="shared" si="84"/>
        <v>0</v>
      </c>
      <c r="AM141" s="38"/>
      <c r="AN141" s="48"/>
      <c r="AO141" s="48"/>
      <c r="AP141" s="48"/>
      <c r="AQ141" s="48"/>
      <c r="AR141" s="48"/>
      <c r="AS141" s="49"/>
      <c r="AT141" s="49"/>
      <c r="AU141" s="49"/>
      <c r="AV141" s="49"/>
      <c r="AW141" s="38"/>
      <c r="AX141" s="49">
        <f t="shared" si="85"/>
        <v>0</v>
      </c>
      <c r="AY141" s="49">
        <f t="shared" si="86"/>
        <v>0</v>
      </c>
      <c r="AZ141" s="49">
        <f t="shared" si="87"/>
        <v>0</v>
      </c>
      <c r="BA141" s="49">
        <f t="shared" si="88"/>
        <v>0</v>
      </c>
      <c r="BB141" s="44"/>
    </row>
    <row r="142" spans="3:54" s="7" customFormat="1" outlineLevel="1" x14ac:dyDescent="0.3">
      <c r="C142" s="38"/>
      <c r="D142" s="38"/>
      <c r="E142" s="38" t="s">
        <v>213</v>
      </c>
      <c r="F142" s="38" t="s">
        <v>394</v>
      </c>
      <c r="G142" s="38" t="str">
        <f>VLOOKUP(E142,Mapping!$E$11:$G$204,3,0)</f>
        <v>Replacement</v>
      </c>
      <c r="H142" s="38" t="str">
        <f>VLOOKUP(E142,Mapping!$E$11:$K$204,7,0)</f>
        <v>SCS</v>
      </c>
      <c r="I142" s="38"/>
      <c r="J142" s="48">
        <f>SUMPRODUCT(--('Input|Historical Data'!$E$9:$E$1179=$E142),--('Input|Historical Data'!$O$9:$O$1179="SCS"),--('Input|Historical Data'!$M$9:$M$1179=J$5),'Input|Historical Data'!$I$9:$I$1179)</f>
        <v>0</v>
      </c>
      <c r="K142" s="48">
        <f>SUMPRODUCT(--('Input|Historical Data'!$E$9:$E$1179=$E142),--('Input|Historical Data'!$O$9:$O$1179="SCS"),--('Input|Historical Data'!$N$9:$N$1179=K$5),'Input|Historical Data'!$I$9:$I$1179)</f>
        <v>0</v>
      </c>
      <c r="L142" s="48">
        <f>SUMPRODUCT(--('Input|Historical Data'!$E$9:$E$1179=$E142),--('Input|Historical Data'!$O$9:$O$1179="SCS"),--('Input|Historical Data'!$N$9:$N$1179=L$5),'Input|Historical Data'!$I$9:$I$1179)</f>
        <v>0</v>
      </c>
      <c r="M142" s="48">
        <f>SUMPRODUCT(--('Input|Historical Data'!$E$9:$E$1179=$E142),--('Input|Historical Data'!$O$9:$O$1179="SCS"),--('Input|Historical Data'!$N$9:$N$1179=M$5),'Input|Historical Data'!$I$9:$I$1179)</f>
        <v>0</v>
      </c>
      <c r="N142" s="48">
        <f>SUMPRODUCT(--('Input|Historical Data'!$E$9:$E$1179=$E142),--('Input|Historical Data'!$O$9:$O$1179="SCS"),--('Input|Historical Data'!$M$9:$M$1179=N$5),'Input|Historical Data'!$I$9:$I$1179)</f>
        <v>0</v>
      </c>
      <c r="O142" s="49">
        <f t="shared" si="93"/>
        <v>0</v>
      </c>
      <c r="P142" s="49">
        <f t="shared" si="94"/>
        <v>0</v>
      </c>
      <c r="Q142" s="49">
        <f t="shared" si="95"/>
        <v>0</v>
      </c>
      <c r="R142" s="49">
        <f t="shared" si="96"/>
        <v>0</v>
      </c>
      <c r="S142" s="38"/>
      <c r="T142" s="48">
        <f>SUMPRODUCT(--('Input|Historical Data'!$Q$9:$Q$1179=$E142),--('Input|Historical Data'!$AA$9:$AA$1179="SCS"),--('Input|Historical Data'!$Y$9:$Y$1179=T$5),'Input|Historical Data'!$U$9:$U$1179)</f>
        <v>0</v>
      </c>
      <c r="U142" s="48">
        <f>SUMPRODUCT(--('Input|Historical Data'!$Q$9:$Q$1179=$E142),--('Input|Historical Data'!$AA$9:$AA$1179="SCS"),--('Input|Historical Data'!$Z$9:$Z$1179=U$5),'Input|Historical Data'!$U$9:$U$1179)</f>
        <v>0</v>
      </c>
      <c r="V142" s="48">
        <f>SUMPRODUCT(--('Input|Historical Data'!$Q$9:$Q$1179=$E142),--('Input|Historical Data'!$AA$9:$AA$1179="SCS"),--('Input|Historical Data'!$Z$9:$Z$1179=V$5),'Input|Historical Data'!$U$9:$U$1179)</f>
        <v>0</v>
      </c>
      <c r="W142" s="48">
        <f>SUMPRODUCT(--('Input|Historical Data'!$Q$9:$Q$1179=$E142),--('Input|Historical Data'!$AA$9:$AA$1179="SCS"),--('Input|Historical Data'!$Z$9:$Z$1179=W$5),'Input|Historical Data'!$U$9:$U$1179)</f>
        <v>0</v>
      </c>
      <c r="X142" s="48">
        <f>SUMPRODUCT(--('Input|Historical Data'!$Q$9:$Q$1179=$E142),--('Input|Historical Data'!$AA$9:$AA$1179="SCS"),--('Input|Historical Data'!$Y$9:$Y$1179=X$5),'Input|Historical Data'!$U$9:$U$1179)</f>
        <v>0</v>
      </c>
      <c r="Y142" s="49">
        <f t="shared" si="89"/>
        <v>0</v>
      </c>
      <c r="Z142" s="49">
        <f t="shared" si="90"/>
        <v>0</v>
      </c>
      <c r="AA142" s="49">
        <f t="shared" si="91"/>
        <v>0</v>
      </c>
      <c r="AB142" s="49">
        <f t="shared" si="92"/>
        <v>0</v>
      </c>
      <c r="AC142" s="38"/>
      <c r="AD142" s="48">
        <f>SUMPRODUCT(--('Input|Historical Data'!$AC$9:$AC$1180=$E142),--('Input|Historical Data'!$AM$9:$AM$1180="SCS"),--('Input|Historical Data'!$AK$9:$AK$1180=AD$5),'Input|Historical Data'!$AG$9:$AG$1180)</f>
        <v>0</v>
      </c>
      <c r="AE142" s="48">
        <f>SUMPRODUCT(--('Input|Historical Data'!$AC$9:$AC$1180=$E142),--('Input|Historical Data'!$AM$9:$AM$1180="SCS"),--('Input|Historical Data'!$AL$9:$AL$1180=AE$5),'Input|Historical Data'!$AG$9:$AG$1180)</f>
        <v>0</v>
      </c>
      <c r="AF142" s="48">
        <f>SUMPRODUCT(--('Input|Historical Data'!$AC$9:$AC$1180=$E142),--('Input|Historical Data'!$AM$9:$AM$1180="SCS"),--('Input|Historical Data'!$AL$9:$AL$1180=AF$5),'Input|Historical Data'!$AG$9:$AG$1180)</f>
        <v>0</v>
      </c>
      <c r="AG142" s="48">
        <f>SUMPRODUCT(--('Input|Historical Data'!$AC$9:$AC$1180=$E142),--('Input|Historical Data'!$AM$9:$AM$1180="SCS"),--('Input|Historical Data'!$AL$9:$AL$1180=AG$5),'Input|Historical Data'!$AG$9:$AG$1180)</f>
        <v>0</v>
      </c>
      <c r="AH142" s="48">
        <f>SUMPRODUCT(--('Input|Historical Data'!$AC$9:$AC$1180=$E142),--('Input|Historical Data'!$AM$9:$AM$1180="SCS"),--('Input|Historical Data'!$AK$9:$AK$1180=AH$5),'Input|Historical Data'!$AG$9:$AG$1180)</f>
        <v>0</v>
      </c>
      <c r="AI142" s="49">
        <f t="shared" si="81"/>
        <v>0</v>
      </c>
      <c r="AJ142" s="49">
        <f t="shared" si="82"/>
        <v>0</v>
      </c>
      <c r="AK142" s="49">
        <f t="shared" si="83"/>
        <v>0</v>
      </c>
      <c r="AL142" s="49">
        <f t="shared" si="84"/>
        <v>0</v>
      </c>
      <c r="AM142" s="38"/>
      <c r="AN142" s="48"/>
      <c r="AO142" s="48"/>
      <c r="AP142" s="48"/>
      <c r="AQ142" s="48"/>
      <c r="AR142" s="48"/>
      <c r="AS142" s="49"/>
      <c r="AT142" s="49"/>
      <c r="AU142" s="49"/>
      <c r="AV142" s="49"/>
      <c r="AW142" s="38"/>
      <c r="AX142" s="49">
        <f t="shared" si="85"/>
        <v>0</v>
      </c>
      <c r="AY142" s="49">
        <f t="shared" si="86"/>
        <v>0</v>
      </c>
      <c r="AZ142" s="49">
        <f t="shared" si="87"/>
        <v>0</v>
      </c>
      <c r="BA142" s="49">
        <f t="shared" si="88"/>
        <v>0</v>
      </c>
      <c r="BB142" s="44"/>
    </row>
    <row r="143" spans="3:54" s="7" customFormat="1" outlineLevel="1" x14ac:dyDescent="0.3">
      <c r="C143" s="38"/>
      <c r="D143" s="38"/>
      <c r="E143" s="38" t="s">
        <v>214</v>
      </c>
      <c r="F143" s="38" t="s">
        <v>395</v>
      </c>
      <c r="G143" s="38" t="str">
        <f>VLOOKUP(E143,Mapping!$E$11:$G$204,3,0)</f>
        <v>Replacement</v>
      </c>
      <c r="H143" s="38" t="str">
        <f>VLOOKUP(E143,Mapping!$E$11:$K$204,7,0)</f>
        <v>SCS</v>
      </c>
      <c r="I143" s="38"/>
      <c r="J143" s="48">
        <f>SUMPRODUCT(--('Input|Historical Data'!$E$9:$E$1179=$E143),--('Input|Historical Data'!$O$9:$O$1179="SCS"),--('Input|Historical Data'!$M$9:$M$1179=J$5),'Input|Historical Data'!$I$9:$I$1179)</f>
        <v>0</v>
      </c>
      <c r="K143" s="48">
        <f>SUMPRODUCT(--('Input|Historical Data'!$E$9:$E$1179=$E143),--('Input|Historical Data'!$O$9:$O$1179="SCS"),--('Input|Historical Data'!$N$9:$N$1179=K$5),'Input|Historical Data'!$I$9:$I$1179)</f>
        <v>0</v>
      </c>
      <c r="L143" s="48">
        <f>SUMPRODUCT(--('Input|Historical Data'!$E$9:$E$1179=$E143),--('Input|Historical Data'!$O$9:$O$1179="SCS"),--('Input|Historical Data'!$N$9:$N$1179=L$5),'Input|Historical Data'!$I$9:$I$1179)</f>
        <v>0</v>
      </c>
      <c r="M143" s="48">
        <f>SUMPRODUCT(--('Input|Historical Data'!$E$9:$E$1179=$E143),--('Input|Historical Data'!$O$9:$O$1179="SCS"),--('Input|Historical Data'!$N$9:$N$1179=M$5),'Input|Historical Data'!$I$9:$I$1179)</f>
        <v>0</v>
      </c>
      <c r="N143" s="48">
        <f>SUMPRODUCT(--('Input|Historical Data'!$E$9:$E$1179=$E143),--('Input|Historical Data'!$O$9:$O$1179="SCS"),--('Input|Historical Data'!$M$9:$M$1179=N$5),'Input|Historical Data'!$I$9:$I$1179)</f>
        <v>0</v>
      </c>
      <c r="O143" s="49">
        <f t="shared" si="93"/>
        <v>0</v>
      </c>
      <c r="P143" s="49">
        <f t="shared" si="94"/>
        <v>0</v>
      </c>
      <c r="Q143" s="49">
        <f t="shared" si="95"/>
        <v>0</v>
      </c>
      <c r="R143" s="49">
        <f t="shared" si="96"/>
        <v>0</v>
      </c>
      <c r="S143" s="38"/>
      <c r="T143" s="48">
        <f>SUMPRODUCT(--('Input|Historical Data'!$Q$9:$Q$1179=$E143),--('Input|Historical Data'!$AA$9:$AA$1179="SCS"),--('Input|Historical Data'!$Y$9:$Y$1179=T$5),'Input|Historical Data'!$U$9:$U$1179)</f>
        <v>0</v>
      </c>
      <c r="U143" s="48">
        <f>SUMPRODUCT(--('Input|Historical Data'!$Q$9:$Q$1179=$E143),--('Input|Historical Data'!$AA$9:$AA$1179="SCS"),--('Input|Historical Data'!$Z$9:$Z$1179=U$5),'Input|Historical Data'!$U$9:$U$1179)</f>
        <v>0</v>
      </c>
      <c r="V143" s="48">
        <f>SUMPRODUCT(--('Input|Historical Data'!$Q$9:$Q$1179=$E143),--('Input|Historical Data'!$AA$9:$AA$1179="SCS"),--('Input|Historical Data'!$Z$9:$Z$1179=V$5),'Input|Historical Data'!$U$9:$U$1179)</f>
        <v>0</v>
      </c>
      <c r="W143" s="48">
        <f>SUMPRODUCT(--('Input|Historical Data'!$Q$9:$Q$1179=$E143),--('Input|Historical Data'!$AA$9:$AA$1179="SCS"),--('Input|Historical Data'!$Z$9:$Z$1179=W$5),'Input|Historical Data'!$U$9:$U$1179)</f>
        <v>0</v>
      </c>
      <c r="X143" s="48">
        <f>SUMPRODUCT(--('Input|Historical Data'!$Q$9:$Q$1179=$E143),--('Input|Historical Data'!$AA$9:$AA$1179="SCS"),--('Input|Historical Data'!$Y$9:$Y$1179=X$5),'Input|Historical Data'!$U$9:$U$1179)</f>
        <v>0</v>
      </c>
      <c r="Y143" s="49">
        <f t="shared" si="89"/>
        <v>0</v>
      </c>
      <c r="Z143" s="49">
        <f t="shared" si="90"/>
        <v>0</v>
      </c>
      <c r="AA143" s="49">
        <f t="shared" si="91"/>
        <v>0</v>
      </c>
      <c r="AB143" s="49">
        <f t="shared" si="92"/>
        <v>0</v>
      </c>
      <c r="AC143" s="38"/>
      <c r="AD143" s="48">
        <f>SUMPRODUCT(--('Input|Historical Data'!$AC$9:$AC$1180=$E143),--('Input|Historical Data'!$AM$9:$AM$1180="SCS"),--('Input|Historical Data'!$AK$9:$AK$1180=AD$5),'Input|Historical Data'!$AG$9:$AG$1180)</f>
        <v>0</v>
      </c>
      <c r="AE143" s="48">
        <f>SUMPRODUCT(--('Input|Historical Data'!$AC$9:$AC$1180=$E143),--('Input|Historical Data'!$AM$9:$AM$1180="SCS"),--('Input|Historical Data'!$AL$9:$AL$1180=AE$5),'Input|Historical Data'!$AG$9:$AG$1180)</f>
        <v>0</v>
      </c>
      <c r="AF143" s="48">
        <f>SUMPRODUCT(--('Input|Historical Data'!$AC$9:$AC$1180=$E143),--('Input|Historical Data'!$AM$9:$AM$1180="SCS"),--('Input|Historical Data'!$AL$9:$AL$1180=AF$5),'Input|Historical Data'!$AG$9:$AG$1180)</f>
        <v>0</v>
      </c>
      <c r="AG143" s="48">
        <f>SUMPRODUCT(--('Input|Historical Data'!$AC$9:$AC$1180=$E143),--('Input|Historical Data'!$AM$9:$AM$1180="SCS"),--('Input|Historical Data'!$AL$9:$AL$1180=AG$5),'Input|Historical Data'!$AG$9:$AG$1180)</f>
        <v>0</v>
      </c>
      <c r="AH143" s="48">
        <f>SUMPRODUCT(--('Input|Historical Data'!$AC$9:$AC$1180=$E143),--('Input|Historical Data'!$AM$9:$AM$1180="SCS"),--('Input|Historical Data'!$AK$9:$AK$1180=AH$5),'Input|Historical Data'!$AG$9:$AG$1180)</f>
        <v>0</v>
      </c>
      <c r="AI143" s="49">
        <f t="shared" ref="AI143:AI196" si="97">IFERROR(AE143/SUM($AE143:$AG143),0)</f>
        <v>0</v>
      </c>
      <c r="AJ143" s="49">
        <f t="shared" ref="AJ143:AJ196" si="98">IFERROR(AF143/SUM($AE143:$AG143),0)</f>
        <v>0</v>
      </c>
      <c r="AK143" s="49">
        <f t="shared" ref="AK143:AK196" si="99">IFERROR(AG143/SUM($AE143:$AG143),0)</f>
        <v>0</v>
      </c>
      <c r="AL143" s="49">
        <f t="shared" ref="AL143:AL196" si="100">IFERROR(AH143/AD143,0)</f>
        <v>0</v>
      </c>
      <c r="AM143" s="38"/>
      <c r="AN143" s="48"/>
      <c r="AO143" s="48"/>
      <c r="AP143" s="48"/>
      <c r="AQ143" s="48"/>
      <c r="AR143" s="48"/>
      <c r="AS143" s="49"/>
      <c r="AT143" s="49"/>
      <c r="AU143" s="49"/>
      <c r="AV143" s="49"/>
      <c r="AW143" s="38"/>
      <c r="AX143" s="49">
        <f t="shared" ref="AX143:AX198" si="101">IFERROR(SUM(U143,AE143)/SUM($U143:$W143,$AE143:$AG143),0)</f>
        <v>0</v>
      </c>
      <c r="AY143" s="49">
        <f t="shared" ref="AY143:AY198" si="102">IFERROR(SUM(V143,AF143)/SUM($U143:$W143,$AE143:$AG143),0)</f>
        <v>0</v>
      </c>
      <c r="AZ143" s="49">
        <f t="shared" ref="AZ143:AZ198" si="103">IFERROR(SUM(W143,AG143)/SUM($U143:$W143,$AE143:$AG143),0)</f>
        <v>0</v>
      </c>
      <c r="BA143" s="49">
        <f t="shared" ref="BA143:BA198" si="104">IFERROR(SUM(X143,AH143)/SUM(T143,AD143),0)</f>
        <v>0</v>
      </c>
      <c r="BB143" s="44"/>
    </row>
    <row r="144" spans="3:54" s="7" customFormat="1" outlineLevel="1" x14ac:dyDescent="0.3">
      <c r="C144" s="38"/>
      <c r="D144" s="38"/>
      <c r="E144" s="38" t="s">
        <v>215</v>
      </c>
      <c r="F144" s="38" t="s">
        <v>396</v>
      </c>
      <c r="G144" s="38" t="str">
        <f>VLOOKUP(E144,Mapping!$E$11:$G$204,3,0)</f>
        <v>Replacement</v>
      </c>
      <c r="H144" s="38" t="str">
        <f>VLOOKUP(E144,Mapping!$E$11:$K$204,7,0)</f>
        <v>SCS</v>
      </c>
      <c r="I144" s="38"/>
      <c r="J144" s="48">
        <f>SUMPRODUCT(--('Input|Historical Data'!$E$9:$E$1179=$E144),--('Input|Historical Data'!$O$9:$O$1179="SCS"),--('Input|Historical Data'!$M$9:$M$1179=J$5),'Input|Historical Data'!$I$9:$I$1179)</f>
        <v>0</v>
      </c>
      <c r="K144" s="48">
        <f>SUMPRODUCT(--('Input|Historical Data'!$E$9:$E$1179=$E144),--('Input|Historical Data'!$O$9:$O$1179="SCS"),--('Input|Historical Data'!$N$9:$N$1179=K$5),'Input|Historical Data'!$I$9:$I$1179)</f>
        <v>0</v>
      </c>
      <c r="L144" s="48">
        <f>SUMPRODUCT(--('Input|Historical Data'!$E$9:$E$1179=$E144),--('Input|Historical Data'!$O$9:$O$1179="SCS"),--('Input|Historical Data'!$N$9:$N$1179=L$5),'Input|Historical Data'!$I$9:$I$1179)</f>
        <v>0</v>
      </c>
      <c r="M144" s="48">
        <f>SUMPRODUCT(--('Input|Historical Data'!$E$9:$E$1179=$E144),--('Input|Historical Data'!$O$9:$O$1179="SCS"),--('Input|Historical Data'!$N$9:$N$1179=M$5),'Input|Historical Data'!$I$9:$I$1179)</f>
        <v>0</v>
      </c>
      <c r="N144" s="48">
        <f>SUMPRODUCT(--('Input|Historical Data'!$E$9:$E$1179=$E144),--('Input|Historical Data'!$O$9:$O$1179="SCS"),--('Input|Historical Data'!$M$9:$M$1179=N$5),'Input|Historical Data'!$I$9:$I$1179)</f>
        <v>0</v>
      </c>
      <c r="O144" s="49">
        <f t="shared" si="93"/>
        <v>0</v>
      </c>
      <c r="P144" s="49">
        <f t="shared" si="94"/>
        <v>0</v>
      </c>
      <c r="Q144" s="49">
        <f t="shared" si="95"/>
        <v>0</v>
      </c>
      <c r="R144" s="49">
        <f t="shared" si="96"/>
        <v>0</v>
      </c>
      <c r="S144" s="38"/>
      <c r="T144" s="48">
        <f>SUMPRODUCT(--('Input|Historical Data'!$Q$9:$Q$1179=$E144),--('Input|Historical Data'!$AA$9:$AA$1179="SCS"),--('Input|Historical Data'!$Y$9:$Y$1179=T$5),'Input|Historical Data'!$U$9:$U$1179)</f>
        <v>0</v>
      </c>
      <c r="U144" s="48">
        <f>SUMPRODUCT(--('Input|Historical Data'!$Q$9:$Q$1179=$E144),--('Input|Historical Data'!$AA$9:$AA$1179="SCS"),--('Input|Historical Data'!$Z$9:$Z$1179=U$5),'Input|Historical Data'!$U$9:$U$1179)</f>
        <v>0</v>
      </c>
      <c r="V144" s="48">
        <f>SUMPRODUCT(--('Input|Historical Data'!$Q$9:$Q$1179=$E144),--('Input|Historical Data'!$AA$9:$AA$1179="SCS"),--('Input|Historical Data'!$Z$9:$Z$1179=V$5),'Input|Historical Data'!$U$9:$U$1179)</f>
        <v>0</v>
      </c>
      <c r="W144" s="48">
        <f>SUMPRODUCT(--('Input|Historical Data'!$Q$9:$Q$1179=$E144),--('Input|Historical Data'!$AA$9:$AA$1179="SCS"),--('Input|Historical Data'!$Z$9:$Z$1179=W$5),'Input|Historical Data'!$U$9:$U$1179)</f>
        <v>0</v>
      </c>
      <c r="X144" s="48">
        <f>SUMPRODUCT(--('Input|Historical Data'!$Q$9:$Q$1179=$E144),--('Input|Historical Data'!$AA$9:$AA$1179="SCS"),--('Input|Historical Data'!$Y$9:$Y$1179=X$5),'Input|Historical Data'!$U$9:$U$1179)</f>
        <v>0</v>
      </c>
      <c r="Y144" s="49">
        <f t="shared" si="89"/>
        <v>0</v>
      </c>
      <c r="Z144" s="49">
        <f t="shared" si="90"/>
        <v>0</v>
      </c>
      <c r="AA144" s="49">
        <f t="shared" si="91"/>
        <v>0</v>
      </c>
      <c r="AB144" s="49">
        <f t="shared" si="92"/>
        <v>0</v>
      </c>
      <c r="AC144" s="38"/>
      <c r="AD144" s="48">
        <f>SUMPRODUCT(--('Input|Historical Data'!$AC$9:$AC$1180=$E144),--('Input|Historical Data'!$AM$9:$AM$1180="SCS"),--('Input|Historical Data'!$AK$9:$AK$1180=AD$5),'Input|Historical Data'!$AG$9:$AG$1180)</f>
        <v>0</v>
      </c>
      <c r="AE144" s="48">
        <f>SUMPRODUCT(--('Input|Historical Data'!$AC$9:$AC$1180=$E144),--('Input|Historical Data'!$AM$9:$AM$1180="SCS"),--('Input|Historical Data'!$AL$9:$AL$1180=AE$5),'Input|Historical Data'!$AG$9:$AG$1180)</f>
        <v>0</v>
      </c>
      <c r="AF144" s="48">
        <f>SUMPRODUCT(--('Input|Historical Data'!$AC$9:$AC$1180=$E144),--('Input|Historical Data'!$AM$9:$AM$1180="SCS"),--('Input|Historical Data'!$AL$9:$AL$1180=AF$5),'Input|Historical Data'!$AG$9:$AG$1180)</f>
        <v>0</v>
      </c>
      <c r="AG144" s="48">
        <f>SUMPRODUCT(--('Input|Historical Data'!$AC$9:$AC$1180=$E144),--('Input|Historical Data'!$AM$9:$AM$1180="SCS"),--('Input|Historical Data'!$AL$9:$AL$1180=AG$5),'Input|Historical Data'!$AG$9:$AG$1180)</f>
        <v>0</v>
      </c>
      <c r="AH144" s="48">
        <f>SUMPRODUCT(--('Input|Historical Data'!$AC$9:$AC$1180=$E144),--('Input|Historical Data'!$AM$9:$AM$1180="SCS"),--('Input|Historical Data'!$AK$9:$AK$1180=AH$5),'Input|Historical Data'!$AG$9:$AG$1180)</f>
        <v>0</v>
      </c>
      <c r="AI144" s="49">
        <f t="shared" si="97"/>
        <v>0</v>
      </c>
      <c r="AJ144" s="49">
        <f t="shared" si="98"/>
        <v>0</v>
      </c>
      <c r="AK144" s="49">
        <f t="shared" si="99"/>
        <v>0</v>
      </c>
      <c r="AL144" s="49">
        <f t="shared" si="100"/>
        <v>0</v>
      </c>
      <c r="AM144" s="38"/>
      <c r="AN144" s="48"/>
      <c r="AO144" s="48"/>
      <c r="AP144" s="48"/>
      <c r="AQ144" s="48"/>
      <c r="AR144" s="48"/>
      <c r="AS144" s="49"/>
      <c r="AT144" s="49"/>
      <c r="AU144" s="49"/>
      <c r="AV144" s="49"/>
      <c r="AW144" s="38"/>
      <c r="AX144" s="49">
        <f t="shared" si="101"/>
        <v>0</v>
      </c>
      <c r="AY144" s="49">
        <f t="shared" si="102"/>
        <v>0</v>
      </c>
      <c r="AZ144" s="49">
        <f t="shared" si="103"/>
        <v>0</v>
      </c>
      <c r="BA144" s="49">
        <f t="shared" si="104"/>
        <v>0</v>
      </c>
      <c r="BB144" s="44"/>
    </row>
    <row r="145" spans="3:54" s="7" customFormat="1" outlineLevel="1" x14ac:dyDescent="0.3">
      <c r="C145" s="38"/>
      <c r="D145" s="38"/>
      <c r="E145" s="38" t="s">
        <v>216</v>
      </c>
      <c r="F145" s="38" t="s">
        <v>397</v>
      </c>
      <c r="G145" s="38" t="str">
        <f>VLOOKUP(E145,Mapping!$E$11:$G$204,3,0)</f>
        <v>Replacement</v>
      </c>
      <c r="H145" s="38" t="str">
        <f>VLOOKUP(E145,Mapping!$E$11:$K$204,7,0)</f>
        <v>SCS</v>
      </c>
      <c r="I145" s="38"/>
      <c r="J145" s="48">
        <f>SUMPRODUCT(--('Input|Historical Data'!$E$9:$E$1179=$E145),--('Input|Historical Data'!$O$9:$O$1179="SCS"),--('Input|Historical Data'!$M$9:$M$1179=J$5),'Input|Historical Data'!$I$9:$I$1179)</f>
        <v>0</v>
      </c>
      <c r="K145" s="48">
        <f>SUMPRODUCT(--('Input|Historical Data'!$E$9:$E$1179=$E145),--('Input|Historical Data'!$O$9:$O$1179="SCS"),--('Input|Historical Data'!$N$9:$N$1179=K$5),'Input|Historical Data'!$I$9:$I$1179)</f>
        <v>0</v>
      </c>
      <c r="L145" s="48">
        <f>SUMPRODUCT(--('Input|Historical Data'!$E$9:$E$1179=$E145),--('Input|Historical Data'!$O$9:$O$1179="SCS"),--('Input|Historical Data'!$N$9:$N$1179=L$5),'Input|Historical Data'!$I$9:$I$1179)</f>
        <v>0</v>
      </c>
      <c r="M145" s="48">
        <f>SUMPRODUCT(--('Input|Historical Data'!$E$9:$E$1179=$E145),--('Input|Historical Data'!$O$9:$O$1179="SCS"),--('Input|Historical Data'!$N$9:$N$1179=M$5),'Input|Historical Data'!$I$9:$I$1179)</f>
        <v>0</v>
      </c>
      <c r="N145" s="48">
        <f>SUMPRODUCT(--('Input|Historical Data'!$E$9:$E$1179=$E145),--('Input|Historical Data'!$O$9:$O$1179="SCS"),--('Input|Historical Data'!$M$9:$M$1179=N$5),'Input|Historical Data'!$I$9:$I$1179)</f>
        <v>0</v>
      </c>
      <c r="O145" s="49">
        <f t="shared" si="93"/>
        <v>0</v>
      </c>
      <c r="P145" s="49">
        <f t="shared" si="94"/>
        <v>0</v>
      </c>
      <c r="Q145" s="49">
        <f t="shared" si="95"/>
        <v>0</v>
      </c>
      <c r="R145" s="49">
        <f t="shared" si="96"/>
        <v>0</v>
      </c>
      <c r="S145" s="38"/>
      <c r="T145" s="48">
        <f>SUMPRODUCT(--('Input|Historical Data'!$Q$9:$Q$1179=$E145),--('Input|Historical Data'!$AA$9:$AA$1179="SCS"),--('Input|Historical Data'!$Y$9:$Y$1179=T$5),'Input|Historical Data'!$U$9:$U$1179)</f>
        <v>0</v>
      </c>
      <c r="U145" s="48">
        <f>SUMPRODUCT(--('Input|Historical Data'!$Q$9:$Q$1179=$E145),--('Input|Historical Data'!$AA$9:$AA$1179="SCS"),--('Input|Historical Data'!$Z$9:$Z$1179=U$5),'Input|Historical Data'!$U$9:$U$1179)</f>
        <v>0</v>
      </c>
      <c r="V145" s="48">
        <f>SUMPRODUCT(--('Input|Historical Data'!$Q$9:$Q$1179=$E145),--('Input|Historical Data'!$AA$9:$AA$1179="SCS"),--('Input|Historical Data'!$Z$9:$Z$1179=V$5),'Input|Historical Data'!$U$9:$U$1179)</f>
        <v>0</v>
      </c>
      <c r="W145" s="48">
        <f>SUMPRODUCT(--('Input|Historical Data'!$Q$9:$Q$1179=$E145),--('Input|Historical Data'!$AA$9:$AA$1179="SCS"),--('Input|Historical Data'!$Z$9:$Z$1179=W$5),'Input|Historical Data'!$U$9:$U$1179)</f>
        <v>0</v>
      </c>
      <c r="X145" s="48">
        <f>SUMPRODUCT(--('Input|Historical Data'!$Q$9:$Q$1179=$E145),--('Input|Historical Data'!$AA$9:$AA$1179="SCS"),--('Input|Historical Data'!$Y$9:$Y$1179=X$5),'Input|Historical Data'!$U$9:$U$1179)</f>
        <v>0</v>
      </c>
      <c r="Y145" s="49">
        <f t="shared" si="89"/>
        <v>0</v>
      </c>
      <c r="Z145" s="49">
        <f t="shared" si="90"/>
        <v>0</v>
      </c>
      <c r="AA145" s="49">
        <f t="shared" si="91"/>
        <v>0</v>
      </c>
      <c r="AB145" s="49">
        <f t="shared" si="92"/>
        <v>0</v>
      </c>
      <c r="AC145" s="38"/>
      <c r="AD145" s="48">
        <f>SUMPRODUCT(--('Input|Historical Data'!$AC$9:$AC$1180=$E145),--('Input|Historical Data'!$AM$9:$AM$1180="SCS"),--('Input|Historical Data'!$AK$9:$AK$1180=AD$5),'Input|Historical Data'!$AG$9:$AG$1180)</f>
        <v>0</v>
      </c>
      <c r="AE145" s="48">
        <f>SUMPRODUCT(--('Input|Historical Data'!$AC$9:$AC$1180=$E145),--('Input|Historical Data'!$AM$9:$AM$1180="SCS"),--('Input|Historical Data'!$AL$9:$AL$1180=AE$5),'Input|Historical Data'!$AG$9:$AG$1180)</f>
        <v>0</v>
      </c>
      <c r="AF145" s="48">
        <f>SUMPRODUCT(--('Input|Historical Data'!$AC$9:$AC$1180=$E145),--('Input|Historical Data'!$AM$9:$AM$1180="SCS"),--('Input|Historical Data'!$AL$9:$AL$1180=AF$5),'Input|Historical Data'!$AG$9:$AG$1180)</f>
        <v>0</v>
      </c>
      <c r="AG145" s="48">
        <f>SUMPRODUCT(--('Input|Historical Data'!$AC$9:$AC$1180=$E145),--('Input|Historical Data'!$AM$9:$AM$1180="SCS"),--('Input|Historical Data'!$AL$9:$AL$1180=AG$5),'Input|Historical Data'!$AG$9:$AG$1180)</f>
        <v>0</v>
      </c>
      <c r="AH145" s="48">
        <f>SUMPRODUCT(--('Input|Historical Data'!$AC$9:$AC$1180=$E145),--('Input|Historical Data'!$AM$9:$AM$1180="SCS"),--('Input|Historical Data'!$AK$9:$AK$1180=AH$5),'Input|Historical Data'!$AG$9:$AG$1180)</f>
        <v>0</v>
      </c>
      <c r="AI145" s="49">
        <f t="shared" si="97"/>
        <v>0</v>
      </c>
      <c r="AJ145" s="49">
        <f t="shared" si="98"/>
        <v>0</v>
      </c>
      <c r="AK145" s="49">
        <f t="shared" si="99"/>
        <v>0</v>
      </c>
      <c r="AL145" s="49">
        <f t="shared" si="100"/>
        <v>0</v>
      </c>
      <c r="AM145" s="38"/>
      <c r="AN145" s="48"/>
      <c r="AO145" s="48"/>
      <c r="AP145" s="48"/>
      <c r="AQ145" s="48"/>
      <c r="AR145" s="48"/>
      <c r="AS145" s="49"/>
      <c r="AT145" s="49"/>
      <c r="AU145" s="49"/>
      <c r="AV145" s="49"/>
      <c r="AW145" s="38"/>
      <c r="AX145" s="49">
        <f t="shared" si="101"/>
        <v>0</v>
      </c>
      <c r="AY145" s="49">
        <f t="shared" si="102"/>
        <v>0</v>
      </c>
      <c r="AZ145" s="49">
        <f t="shared" si="103"/>
        <v>0</v>
      </c>
      <c r="BA145" s="49">
        <f t="shared" si="104"/>
        <v>0</v>
      </c>
      <c r="BB145" s="44"/>
    </row>
    <row r="146" spans="3:54" s="7" customFormat="1" outlineLevel="1" x14ac:dyDescent="0.3">
      <c r="C146" s="38"/>
      <c r="D146" s="38"/>
      <c r="E146" s="38" t="s">
        <v>217</v>
      </c>
      <c r="F146" s="38" t="s">
        <v>398</v>
      </c>
      <c r="G146" s="38" t="str">
        <f>VLOOKUP(E146,Mapping!$E$11:$G$204,3,0)</f>
        <v>Replacement</v>
      </c>
      <c r="H146" s="38" t="str">
        <f>VLOOKUP(E146,Mapping!$E$11:$K$204,7,0)</f>
        <v>SCS</v>
      </c>
      <c r="I146" s="38"/>
      <c r="J146" s="48">
        <f>SUMPRODUCT(--('Input|Historical Data'!$E$9:$E$1179=$E146),--('Input|Historical Data'!$O$9:$O$1179="SCS"),--('Input|Historical Data'!$M$9:$M$1179=J$5),'Input|Historical Data'!$I$9:$I$1179)</f>
        <v>627.46800000000007</v>
      </c>
      <c r="K146" s="48">
        <f>SUMPRODUCT(--('Input|Historical Data'!$E$9:$E$1179=$E146),--('Input|Historical Data'!$O$9:$O$1179="SCS"),--('Input|Historical Data'!$N$9:$N$1179=K$5),'Input|Historical Data'!$I$9:$I$1179)</f>
        <v>321.97500000000002</v>
      </c>
      <c r="L146" s="48">
        <f>SUMPRODUCT(--('Input|Historical Data'!$E$9:$E$1179=$E146),--('Input|Historical Data'!$O$9:$O$1179="SCS"),--('Input|Historical Data'!$N$9:$N$1179=L$5),'Input|Historical Data'!$I$9:$I$1179)</f>
        <v>62.844999999999999</v>
      </c>
      <c r="M146" s="48">
        <f>SUMPRODUCT(--('Input|Historical Data'!$E$9:$E$1179=$E146),--('Input|Historical Data'!$O$9:$O$1179="SCS"),--('Input|Historical Data'!$N$9:$N$1179=M$5),'Input|Historical Data'!$I$9:$I$1179)</f>
        <v>242.648</v>
      </c>
      <c r="N146" s="48">
        <f>SUMPRODUCT(--('Input|Historical Data'!$E$9:$E$1179=$E146),--('Input|Historical Data'!$O$9:$O$1179="SCS"),--('Input|Historical Data'!$M$9:$M$1179=N$5),'Input|Historical Data'!$I$9:$I$1179)</f>
        <v>66.534999999999997</v>
      </c>
      <c r="O146" s="49">
        <f t="shared" si="93"/>
        <v>0.51313373749737035</v>
      </c>
      <c r="P146" s="49">
        <f t="shared" si="94"/>
        <v>0.1001565020048831</v>
      </c>
      <c r="Q146" s="49">
        <f t="shared" si="95"/>
        <v>0.38670976049774647</v>
      </c>
      <c r="R146" s="49">
        <f t="shared" si="96"/>
        <v>0.10603727998878029</v>
      </c>
      <c r="S146" s="38"/>
      <c r="T146" s="48">
        <f>SUMPRODUCT(--('Input|Historical Data'!$Q$9:$Q$1179=$E146),--('Input|Historical Data'!$AA$9:$AA$1179="SCS"),--('Input|Historical Data'!$Y$9:$Y$1179=T$5),'Input|Historical Data'!$U$9:$U$1179)</f>
        <v>745.63</v>
      </c>
      <c r="U146" s="48">
        <f>SUMPRODUCT(--('Input|Historical Data'!$Q$9:$Q$1179=$E146),--('Input|Historical Data'!$AA$9:$AA$1179="SCS"),--('Input|Historical Data'!$Z$9:$Z$1179=U$5),'Input|Historical Data'!$U$9:$U$1179)</f>
        <v>505.755</v>
      </c>
      <c r="V146" s="48">
        <f>SUMPRODUCT(--('Input|Historical Data'!$Q$9:$Q$1179=$E146),--('Input|Historical Data'!$AA$9:$AA$1179="SCS"),--('Input|Historical Data'!$Z$9:$Z$1179=V$5),'Input|Historical Data'!$U$9:$U$1179)</f>
        <v>76.506</v>
      </c>
      <c r="W146" s="48">
        <f>SUMPRODUCT(--('Input|Historical Data'!$Q$9:$Q$1179=$E146),--('Input|Historical Data'!$AA$9:$AA$1179="SCS"),--('Input|Historical Data'!$Z$9:$Z$1179=W$5),'Input|Historical Data'!$U$9:$U$1179)</f>
        <v>163.369</v>
      </c>
      <c r="X146" s="48">
        <f>SUMPRODUCT(--('Input|Historical Data'!$Q$9:$Q$1179=$E146),--('Input|Historical Data'!$AA$9:$AA$1179="SCS"),--('Input|Historical Data'!$Y$9:$Y$1179=X$5),'Input|Historical Data'!$U$9:$U$1179)</f>
        <v>112.46</v>
      </c>
      <c r="Y146" s="49">
        <f t="shared" si="89"/>
        <v>0.67829218244974043</v>
      </c>
      <c r="Z146" s="49">
        <f t="shared" si="90"/>
        <v>0.10260585008650402</v>
      </c>
      <c r="AA146" s="49">
        <f t="shared" si="91"/>
        <v>0.21910196746375549</v>
      </c>
      <c r="AB146" s="49">
        <f t="shared" si="92"/>
        <v>0.15082547644273969</v>
      </c>
      <c r="AC146" s="38"/>
      <c r="AD146" s="48">
        <f>SUMPRODUCT(--('Input|Historical Data'!$AC$9:$AC$1180=$E146),--('Input|Historical Data'!$AM$9:$AM$1180="SCS"),--('Input|Historical Data'!$AK$9:$AK$1180=AD$5),'Input|Historical Data'!$AG$9:$AG$1180)</f>
        <v>1005.1169999999998</v>
      </c>
      <c r="AE146" s="48">
        <f>SUMPRODUCT(--('Input|Historical Data'!$AC$9:$AC$1180=$E146),--('Input|Historical Data'!$AM$9:$AM$1180="SCS"),--('Input|Historical Data'!$AL$9:$AL$1180=AE$5),'Input|Historical Data'!$AG$9:$AG$1180)</f>
        <v>700.89699999999993</v>
      </c>
      <c r="AF146" s="48">
        <f>SUMPRODUCT(--('Input|Historical Data'!$AC$9:$AC$1180=$E146),--('Input|Historical Data'!$AM$9:$AM$1180="SCS"),--('Input|Historical Data'!$AL$9:$AL$1180=AF$5),'Input|Historical Data'!$AG$9:$AG$1180)</f>
        <v>114.565</v>
      </c>
      <c r="AG146" s="48">
        <f>SUMPRODUCT(--('Input|Historical Data'!$AC$9:$AC$1180=$E146),--('Input|Historical Data'!$AM$9:$AM$1180="SCS"),--('Input|Historical Data'!$AL$9:$AL$1180=AG$5),'Input|Historical Data'!$AG$9:$AG$1180)</f>
        <v>189.65499999999997</v>
      </c>
      <c r="AH146" s="48">
        <f>SUMPRODUCT(--('Input|Historical Data'!$AC$9:$AC$1180=$E146),--('Input|Historical Data'!$AM$9:$AM$1180="SCS"),--('Input|Historical Data'!$AK$9:$AK$1180=AH$5),'Input|Historical Data'!$AG$9:$AG$1180)</f>
        <v>129.011</v>
      </c>
      <c r="AI146" s="49">
        <f t="shared" si="97"/>
        <v>0.69732876869061011</v>
      </c>
      <c r="AJ146" s="49">
        <f t="shared" si="98"/>
        <v>0.11398175535783396</v>
      </c>
      <c r="AK146" s="49">
        <f t="shared" si="99"/>
        <v>0.18868947595155586</v>
      </c>
      <c r="AL146" s="49">
        <f t="shared" si="100"/>
        <v>0.12835421149975576</v>
      </c>
      <c r="AM146" s="38"/>
      <c r="AN146" s="48"/>
      <c r="AO146" s="48"/>
      <c r="AP146" s="48"/>
      <c r="AQ146" s="48"/>
      <c r="AR146" s="48"/>
      <c r="AS146" s="49"/>
      <c r="AT146" s="49"/>
      <c r="AU146" s="49"/>
      <c r="AV146" s="49"/>
      <c r="AW146" s="38"/>
      <c r="AX146" s="49">
        <f t="shared" si="101"/>
        <v>0.68922122956657927</v>
      </c>
      <c r="AY146" s="49">
        <f t="shared" si="102"/>
        <v>0.10913684273056015</v>
      </c>
      <c r="AZ146" s="49">
        <f t="shared" si="103"/>
        <v>0.20164192770286055</v>
      </c>
      <c r="BA146" s="49">
        <f t="shared" si="104"/>
        <v>0.13792455449016908</v>
      </c>
      <c r="BB146" s="44"/>
    </row>
    <row r="147" spans="3:54" s="7" customFormat="1" outlineLevel="1" x14ac:dyDescent="0.3">
      <c r="C147" s="38"/>
      <c r="D147" s="38"/>
      <c r="E147" s="38" t="s">
        <v>218</v>
      </c>
      <c r="F147" s="38" t="s">
        <v>399</v>
      </c>
      <c r="G147" s="38" t="str">
        <f>VLOOKUP(E147,Mapping!$E$11:$G$204,3,0)</f>
        <v>Replacement</v>
      </c>
      <c r="H147" s="38" t="str">
        <f>VLOOKUP(E147,Mapping!$E$11:$K$204,7,0)</f>
        <v>SCS</v>
      </c>
      <c r="I147" s="38"/>
      <c r="J147" s="48">
        <f>SUMPRODUCT(--('Input|Historical Data'!$E$9:$E$1179=$E147),--('Input|Historical Data'!$O$9:$O$1179="SCS"),--('Input|Historical Data'!$M$9:$M$1179=J$5),'Input|Historical Data'!$I$9:$I$1179)</f>
        <v>164.97299999999998</v>
      </c>
      <c r="K147" s="48">
        <f>SUMPRODUCT(--('Input|Historical Data'!$E$9:$E$1179=$E147),--('Input|Historical Data'!$O$9:$O$1179="SCS"),--('Input|Historical Data'!$N$9:$N$1179=K$5),'Input|Historical Data'!$I$9:$I$1179)</f>
        <v>93.263999999999996</v>
      </c>
      <c r="L147" s="48">
        <f>SUMPRODUCT(--('Input|Historical Data'!$E$9:$E$1179=$E147),--('Input|Historical Data'!$O$9:$O$1179="SCS"),--('Input|Historical Data'!$N$9:$N$1179=L$5),'Input|Historical Data'!$I$9:$I$1179)</f>
        <v>29.225999999999999</v>
      </c>
      <c r="M147" s="48">
        <f>SUMPRODUCT(--('Input|Historical Data'!$E$9:$E$1179=$E147),--('Input|Historical Data'!$O$9:$O$1179="SCS"),--('Input|Historical Data'!$N$9:$N$1179=M$5),'Input|Historical Data'!$I$9:$I$1179)</f>
        <v>42.483000000000004</v>
      </c>
      <c r="N147" s="48">
        <f>SUMPRODUCT(--('Input|Historical Data'!$E$9:$E$1179=$E147),--('Input|Historical Data'!$O$9:$O$1179="SCS"),--('Input|Historical Data'!$M$9:$M$1179=N$5),'Input|Historical Data'!$I$9:$I$1179)</f>
        <v>16.55</v>
      </c>
      <c r="O147" s="49">
        <f t="shared" si="93"/>
        <v>0.5653288719972358</v>
      </c>
      <c r="P147" s="49">
        <f t="shared" si="94"/>
        <v>0.17715626193377096</v>
      </c>
      <c r="Q147" s="49">
        <f t="shared" si="95"/>
        <v>0.2575148660689931</v>
      </c>
      <c r="R147" s="49">
        <f t="shared" si="96"/>
        <v>0.10031944621241053</v>
      </c>
      <c r="S147" s="38"/>
      <c r="T147" s="48">
        <f>SUMPRODUCT(--('Input|Historical Data'!$Q$9:$Q$1179=$E147),--('Input|Historical Data'!$AA$9:$AA$1179="SCS"),--('Input|Historical Data'!$Y$9:$Y$1179=T$5),'Input|Historical Data'!$U$9:$U$1179)</f>
        <v>338.74599999999998</v>
      </c>
      <c r="U147" s="48">
        <f>SUMPRODUCT(--('Input|Historical Data'!$Q$9:$Q$1179=$E147),--('Input|Historical Data'!$AA$9:$AA$1179="SCS"),--('Input|Historical Data'!$Z$9:$Z$1179=U$5),'Input|Historical Data'!$U$9:$U$1179)</f>
        <v>208.24</v>
      </c>
      <c r="V147" s="48">
        <f>SUMPRODUCT(--('Input|Historical Data'!$Q$9:$Q$1179=$E147),--('Input|Historical Data'!$AA$9:$AA$1179="SCS"),--('Input|Historical Data'!$Z$9:$Z$1179=V$5),'Input|Historical Data'!$U$9:$U$1179)</f>
        <v>61.872</v>
      </c>
      <c r="W147" s="48">
        <f>SUMPRODUCT(--('Input|Historical Data'!$Q$9:$Q$1179=$E147),--('Input|Historical Data'!$AA$9:$AA$1179="SCS"),--('Input|Historical Data'!$Z$9:$Z$1179=W$5),'Input|Historical Data'!$U$9:$U$1179)</f>
        <v>68.634</v>
      </c>
      <c r="X147" s="48">
        <f>SUMPRODUCT(--('Input|Historical Data'!$Q$9:$Q$1179=$E147),--('Input|Historical Data'!$AA$9:$AA$1179="SCS"),--('Input|Historical Data'!$Y$9:$Y$1179=X$5),'Input|Historical Data'!$U$9:$U$1179)</f>
        <v>45.087000000000003</v>
      </c>
      <c r="Y147" s="49">
        <f t="shared" si="89"/>
        <v>0.6147378862038223</v>
      </c>
      <c r="Z147" s="49">
        <f t="shared" si="90"/>
        <v>0.1826501272339747</v>
      </c>
      <c r="AA147" s="49">
        <f t="shared" si="91"/>
        <v>0.20261198656220292</v>
      </c>
      <c r="AB147" s="49">
        <f t="shared" si="92"/>
        <v>0.13309972663883857</v>
      </c>
      <c r="AC147" s="38"/>
      <c r="AD147" s="48">
        <f>SUMPRODUCT(--('Input|Historical Data'!$AC$9:$AC$1180=$E147),--('Input|Historical Data'!$AM$9:$AM$1180="SCS"),--('Input|Historical Data'!$AK$9:$AK$1180=AD$5),'Input|Historical Data'!$AG$9:$AG$1180)</f>
        <v>114.697</v>
      </c>
      <c r="AE147" s="48">
        <f>SUMPRODUCT(--('Input|Historical Data'!$AC$9:$AC$1180=$E147),--('Input|Historical Data'!$AM$9:$AM$1180="SCS"),--('Input|Historical Data'!$AL$9:$AL$1180=AE$5),'Input|Historical Data'!$AG$9:$AG$1180)</f>
        <v>61.195999999999998</v>
      </c>
      <c r="AF147" s="48">
        <f>SUMPRODUCT(--('Input|Historical Data'!$AC$9:$AC$1180=$E147),--('Input|Historical Data'!$AM$9:$AM$1180="SCS"),--('Input|Historical Data'!$AL$9:$AL$1180=AF$5),'Input|Historical Data'!$AG$9:$AG$1180)</f>
        <v>29.113999999999997</v>
      </c>
      <c r="AG147" s="48">
        <f>SUMPRODUCT(--('Input|Historical Data'!$AC$9:$AC$1180=$E147),--('Input|Historical Data'!$AM$9:$AM$1180="SCS"),--('Input|Historical Data'!$AL$9:$AL$1180=AG$5),'Input|Historical Data'!$AG$9:$AG$1180)</f>
        <v>24.387</v>
      </c>
      <c r="AH147" s="48">
        <f>SUMPRODUCT(--('Input|Historical Data'!$AC$9:$AC$1180=$E147),--('Input|Historical Data'!$AM$9:$AM$1180="SCS"),--('Input|Historical Data'!$AK$9:$AK$1180=AH$5),'Input|Historical Data'!$AG$9:$AG$1180)</f>
        <v>11.648999999999999</v>
      </c>
      <c r="AI147" s="49">
        <f t="shared" si="97"/>
        <v>0.53354490527215181</v>
      </c>
      <c r="AJ147" s="49">
        <f t="shared" si="98"/>
        <v>0.25383401483909779</v>
      </c>
      <c r="AK147" s="49">
        <f t="shared" si="99"/>
        <v>0.21262107988875037</v>
      </c>
      <c r="AL147" s="49">
        <f t="shared" si="100"/>
        <v>0.10156324925673731</v>
      </c>
      <c r="AM147" s="38"/>
      <c r="AN147" s="48"/>
      <c r="AO147" s="48"/>
      <c r="AP147" s="48"/>
      <c r="AQ147" s="48"/>
      <c r="AR147" s="48"/>
      <c r="AS147" s="49"/>
      <c r="AT147" s="49"/>
      <c r="AU147" s="49"/>
      <c r="AV147" s="49"/>
      <c r="AW147" s="38"/>
      <c r="AX147" s="49">
        <f t="shared" si="101"/>
        <v>0.59420037358609579</v>
      </c>
      <c r="AY147" s="49">
        <f t="shared" si="102"/>
        <v>0.20065587074891439</v>
      </c>
      <c r="AZ147" s="49">
        <f t="shared" si="103"/>
        <v>0.20514375566498988</v>
      </c>
      <c r="BA147" s="49">
        <f t="shared" si="104"/>
        <v>0.12512267252995415</v>
      </c>
      <c r="BB147" s="44"/>
    </row>
    <row r="148" spans="3:54" s="7" customFormat="1" outlineLevel="1" x14ac:dyDescent="0.3">
      <c r="C148" s="38"/>
      <c r="D148" s="38"/>
      <c r="E148" s="38" t="s">
        <v>219</v>
      </c>
      <c r="F148" s="38" t="s">
        <v>400</v>
      </c>
      <c r="G148" s="38" t="str">
        <f>VLOOKUP(E148,Mapping!$E$11:$G$204,3,0)</f>
        <v>Replacement</v>
      </c>
      <c r="H148" s="38" t="str">
        <f>VLOOKUP(E148,Mapping!$E$11:$K$204,7,0)</f>
        <v>SCS</v>
      </c>
      <c r="I148" s="38"/>
      <c r="J148" s="48">
        <f>SUMPRODUCT(--('Input|Historical Data'!$E$9:$E$1179=$E148),--('Input|Historical Data'!$O$9:$O$1179="SCS"),--('Input|Historical Data'!$M$9:$M$1179=J$5),'Input|Historical Data'!$I$9:$I$1179)</f>
        <v>58.139999999999993</v>
      </c>
      <c r="K148" s="48">
        <f>SUMPRODUCT(--('Input|Historical Data'!$E$9:$E$1179=$E148),--('Input|Historical Data'!$O$9:$O$1179="SCS"),--('Input|Historical Data'!$N$9:$N$1179=K$5),'Input|Historical Data'!$I$9:$I$1179)</f>
        <v>41.802999999999997</v>
      </c>
      <c r="L148" s="48">
        <f>SUMPRODUCT(--('Input|Historical Data'!$E$9:$E$1179=$E148),--('Input|Historical Data'!$O$9:$O$1179="SCS"),--('Input|Historical Data'!$N$9:$N$1179=L$5),'Input|Historical Data'!$I$9:$I$1179)</f>
        <v>7.2210000000000001</v>
      </c>
      <c r="M148" s="48">
        <f>SUMPRODUCT(--('Input|Historical Data'!$E$9:$E$1179=$E148),--('Input|Historical Data'!$O$9:$O$1179="SCS"),--('Input|Historical Data'!$N$9:$N$1179=M$5),'Input|Historical Data'!$I$9:$I$1179)</f>
        <v>9.1159999999999997</v>
      </c>
      <c r="N148" s="48">
        <f>SUMPRODUCT(--('Input|Historical Data'!$E$9:$E$1179=$E148),--('Input|Historical Data'!$O$9:$O$1179="SCS"),--('Input|Historical Data'!$M$9:$M$1179=N$5),'Input|Historical Data'!$I$9:$I$1179)</f>
        <v>6.0709999999999997</v>
      </c>
      <c r="O148" s="49">
        <f t="shared" si="93"/>
        <v>0.71900584795321631</v>
      </c>
      <c r="P148" s="49">
        <f t="shared" si="94"/>
        <v>0.12420020639834882</v>
      </c>
      <c r="Q148" s="49">
        <f t="shared" si="95"/>
        <v>0.1567939456484348</v>
      </c>
      <c r="R148" s="49">
        <f t="shared" si="96"/>
        <v>0.10442036463708292</v>
      </c>
      <c r="S148" s="38"/>
      <c r="T148" s="48">
        <f>SUMPRODUCT(--('Input|Historical Data'!$Q$9:$Q$1179=$E148),--('Input|Historical Data'!$AA$9:$AA$1179="SCS"),--('Input|Historical Data'!$Y$9:$Y$1179=T$5),'Input|Historical Data'!$U$9:$U$1179)</f>
        <v>210.13</v>
      </c>
      <c r="U148" s="48">
        <f>SUMPRODUCT(--('Input|Historical Data'!$Q$9:$Q$1179=$E148),--('Input|Historical Data'!$AA$9:$AA$1179="SCS"),--('Input|Historical Data'!$Z$9:$Z$1179=U$5),'Input|Historical Data'!$U$9:$U$1179)</f>
        <v>144.227</v>
      </c>
      <c r="V148" s="48">
        <f>SUMPRODUCT(--('Input|Historical Data'!$Q$9:$Q$1179=$E148),--('Input|Historical Data'!$AA$9:$AA$1179="SCS"),--('Input|Historical Data'!$Z$9:$Z$1179=V$5),'Input|Historical Data'!$U$9:$U$1179)</f>
        <v>23.48</v>
      </c>
      <c r="W148" s="48">
        <f>SUMPRODUCT(--('Input|Historical Data'!$Q$9:$Q$1179=$E148),--('Input|Historical Data'!$AA$9:$AA$1179="SCS"),--('Input|Historical Data'!$Z$9:$Z$1179=W$5),'Input|Historical Data'!$U$9:$U$1179)</f>
        <v>42.423000000000002</v>
      </c>
      <c r="X148" s="48">
        <f>SUMPRODUCT(--('Input|Historical Data'!$Q$9:$Q$1179=$E148),--('Input|Historical Data'!$AA$9:$AA$1179="SCS"),--('Input|Historical Data'!$Y$9:$Y$1179=X$5),'Input|Historical Data'!$U$9:$U$1179)</f>
        <v>25.16</v>
      </c>
      <c r="Y148" s="49">
        <f t="shared" si="89"/>
        <v>0.6863703421691334</v>
      </c>
      <c r="Z148" s="49">
        <f t="shared" si="90"/>
        <v>0.111740351211155</v>
      </c>
      <c r="AA148" s="49">
        <f t="shared" si="91"/>
        <v>0.20188930661971163</v>
      </c>
      <c r="AB148" s="49">
        <f t="shared" si="92"/>
        <v>0.11973540189406558</v>
      </c>
      <c r="AC148" s="38"/>
      <c r="AD148" s="48">
        <f>SUMPRODUCT(--('Input|Historical Data'!$AC$9:$AC$1180=$E148),--('Input|Historical Data'!$AM$9:$AM$1180="SCS"),--('Input|Historical Data'!$AK$9:$AK$1180=AD$5),'Input|Historical Data'!$AG$9:$AG$1180)</f>
        <v>222.57599999999996</v>
      </c>
      <c r="AE148" s="48">
        <f>SUMPRODUCT(--('Input|Historical Data'!$AC$9:$AC$1180=$E148),--('Input|Historical Data'!$AM$9:$AM$1180="SCS"),--('Input|Historical Data'!$AL$9:$AL$1180=AE$5),'Input|Historical Data'!$AG$9:$AG$1180)</f>
        <v>150.916</v>
      </c>
      <c r="AF148" s="48">
        <f>SUMPRODUCT(--('Input|Historical Data'!$AC$9:$AC$1180=$E148),--('Input|Historical Data'!$AM$9:$AM$1180="SCS"),--('Input|Historical Data'!$AL$9:$AL$1180=AF$5),'Input|Historical Data'!$AG$9:$AG$1180)</f>
        <v>28.454999999999998</v>
      </c>
      <c r="AG148" s="48">
        <f>SUMPRODUCT(--('Input|Historical Data'!$AC$9:$AC$1180=$E148),--('Input|Historical Data'!$AM$9:$AM$1180="SCS"),--('Input|Historical Data'!$AL$9:$AL$1180=AG$5),'Input|Historical Data'!$AG$9:$AG$1180)</f>
        <v>43.204999999999998</v>
      </c>
      <c r="AH148" s="48">
        <f>SUMPRODUCT(--('Input|Historical Data'!$AC$9:$AC$1180=$E148),--('Input|Historical Data'!$AM$9:$AM$1180="SCS"),--('Input|Historical Data'!$AK$9:$AK$1180=AH$5),'Input|Historical Data'!$AG$9:$AG$1180)</f>
        <v>20.605</v>
      </c>
      <c r="AI148" s="49">
        <f t="shared" si="97"/>
        <v>0.6780425562504494</v>
      </c>
      <c r="AJ148" s="49">
        <f t="shared" si="98"/>
        <v>0.12784397239594567</v>
      </c>
      <c r="AK148" s="49">
        <f t="shared" si="99"/>
        <v>0.19411347135360507</v>
      </c>
      <c r="AL148" s="49">
        <f t="shared" si="100"/>
        <v>9.2575120408309994E-2</v>
      </c>
      <c r="AM148" s="38"/>
      <c r="AN148" s="48"/>
      <c r="AO148" s="48"/>
      <c r="AP148" s="48"/>
      <c r="AQ148" s="48"/>
      <c r="AR148" s="48"/>
      <c r="AS148" s="49"/>
      <c r="AT148" s="49"/>
      <c r="AU148" s="49"/>
      <c r="AV148" s="49"/>
      <c r="AW148" s="38"/>
      <c r="AX148" s="49">
        <f t="shared" si="101"/>
        <v>0.68208668241253889</v>
      </c>
      <c r="AY148" s="49">
        <f t="shared" si="102"/>
        <v>0.12002375747043029</v>
      </c>
      <c r="AZ148" s="49">
        <f t="shared" si="103"/>
        <v>0.19788956011703099</v>
      </c>
      <c r="BA148" s="49">
        <f t="shared" si="104"/>
        <v>0.10576465313630966</v>
      </c>
      <c r="BB148" s="44"/>
    </row>
    <row r="149" spans="3:54" s="7" customFormat="1" outlineLevel="1" x14ac:dyDescent="0.3">
      <c r="C149" s="38"/>
      <c r="D149" s="38"/>
      <c r="E149" s="38" t="s">
        <v>220</v>
      </c>
      <c r="F149" s="38" t="s">
        <v>401</v>
      </c>
      <c r="G149" s="38" t="str">
        <f>VLOOKUP(E149,Mapping!$E$11:$G$204,3,0)</f>
        <v>Replacement</v>
      </c>
      <c r="H149" s="38" t="str">
        <f>VLOOKUP(E149,Mapping!$E$11:$K$204,7,0)</f>
        <v>SCS</v>
      </c>
      <c r="I149" s="38"/>
      <c r="J149" s="48">
        <f>SUMPRODUCT(--('Input|Historical Data'!$E$9:$E$1179=$E149),--('Input|Historical Data'!$O$9:$O$1179="SCS"),--('Input|Historical Data'!$M$9:$M$1179=J$5),'Input|Historical Data'!$I$9:$I$1179)</f>
        <v>99.918999999999997</v>
      </c>
      <c r="K149" s="48">
        <f>SUMPRODUCT(--('Input|Historical Data'!$E$9:$E$1179=$E149),--('Input|Historical Data'!$O$9:$O$1179="SCS"),--('Input|Historical Data'!$N$9:$N$1179=K$5),'Input|Historical Data'!$I$9:$I$1179)</f>
        <v>62.885999999999996</v>
      </c>
      <c r="L149" s="48">
        <f>SUMPRODUCT(--('Input|Historical Data'!$E$9:$E$1179=$E149),--('Input|Historical Data'!$O$9:$O$1179="SCS"),--('Input|Historical Data'!$N$9:$N$1179=L$5),'Input|Historical Data'!$I$9:$I$1179)</f>
        <v>8.5709999999999997</v>
      </c>
      <c r="M149" s="48">
        <f>SUMPRODUCT(--('Input|Historical Data'!$E$9:$E$1179=$E149),--('Input|Historical Data'!$O$9:$O$1179="SCS"),--('Input|Historical Data'!$N$9:$N$1179=M$5),'Input|Historical Data'!$I$9:$I$1179)</f>
        <v>28.462</v>
      </c>
      <c r="N149" s="48">
        <f>SUMPRODUCT(--('Input|Historical Data'!$E$9:$E$1179=$E149),--('Input|Historical Data'!$O$9:$O$1179="SCS"),--('Input|Historical Data'!$M$9:$M$1179=N$5),'Input|Historical Data'!$I$9:$I$1179)</f>
        <v>8.8710000000000004</v>
      </c>
      <c r="O149" s="49">
        <f t="shared" si="93"/>
        <v>0.62936978952951894</v>
      </c>
      <c r="P149" s="49">
        <f t="shared" si="94"/>
        <v>8.5779481379917727E-2</v>
      </c>
      <c r="Q149" s="49">
        <f t="shared" si="95"/>
        <v>0.28485072909056336</v>
      </c>
      <c r="R149" s="49">
        <f t="shared" si="96"/>
        <v>8.8781913349813363E-2</v>
      </c>
      <c r="S149" s="38"/>
      <c r="T149" s="48">
        <f>SUMPRODUCT(--('Input|Historical Data'!$Q$9:$Q$1179=$E149),--('Input|Historical Data'!$AA$9:$AA$1179="SCS"),--('Input|Historical Data'!$Y$9:$Y$1179=T$5),'Input|Historical Data'!$U$9:$U$1179)</f>
        <v>7.7540000000000004</v>
      </c>
      <c r="U149" s="48">
        <f>SUMPRODUCT(--('Input|Historical Data'!$Q$9:$Q$1179=$E149),--('Input|Historical Data'!$AA$9:$AA$1179="SCS"),--('Input|Historical Data'!$Z$9:$Z$1179=U$5),'Input|Historical Data'!$U$9:$U$1179)</f>
        <v>3.2860000000000005</v>
      </c>
      <c r="V149" s="48">
        <f>SUMPRODUCT(--('Input|Historical Data'!$Q$9:$Q$1179=$E149),--('Input|Historical Data'!$AA$9:$AA$1179="SCS"),--('Input|Historical Data'!$Z$9:$Z$1179=V$5),'Input|Historical Data'!$U$9:$U$1179)</f>
        <v>2.0059999999999998</v>
      </c>
      <c r="W149" s="48">
        <f>SUMPRODUCT(--('Input|Historical Data'!$Q$9:$Q$1179=$E149),--('Input|Historical Data'!$AA$9:$AA$1179="SCS"),--('Input|Historical Data'!$Z$9:$Z$1179=W$5),'Input|Historical Data'!$U$9:$U$1179)</f>
        <v>2.4619999999999997</v>
      </c>
      <c r="X149" s="48">
        <f>SUMPRODUCT(--('Input|Historical Data'!$Q$9:$Q$1179=$E149),--('Input|Historical Data'!$AA$9:$AA$1179="SCS"),--('Input|Historical Data'!$Y$9:$Y$1179=X$5),'Input|Historical Data'!$U$9:$U$1179)</f>
        <v>0.93600000000000005</v>
      </c>
      <c r="Y149" s="49">
        <f t="shared" si="89"/>
        <v>0.42378127418106792</v>
      </c>
      <c r="Z149" s="49">
        <f t="shared" si="90"/>
        <v>0.25870518442094403</v>
      </c>
      <c r="AA149" s="49">
        <f t="shared" si="91"/>
        <v>0.3175135413979881</v>
      </c>
      <c r="AB149" s="49">
        <f t="shared" si="92"/>
        <v>0.12071189063709054</v>
      </c>
      <c r="AC149" s="38"/>
      <c r="AD149" s="48">
        <f>SUMPRODUCT(--('Input|Historical Data'!$AC$9:$AC$1180=$E149),--('Input|Historical Data'!$AM$9:$AM$1180="SCS"),--('Input|Historical Data'!$AK$9:$AK$1180=AD$5),'Input|Historical Data'!$AG$9:$AG$1180)</f>
        <v>57.683</v>
      </c>
      <c r="AE149" s="48">
        <f>SUMPRODUCT(--('Input|Historical Data'!$AC$9:$AC$1180=$E149),--('Input|Historical Data'!$AM$9:$AM$1180="SCS"),--('Input|Historical Data'!$AL$9:$AL$1180=AE$5),'Input|Historical Data'!$AG$9:$AG$1180)</f>
        <v>41.402999999999999</v>
      </c>
      <c r="AF149" s="48">
        <f>SUMPRODUCT(--('Input|Historical Data'!$AC$9:$AC$1180=$E149),--('Input|Historical Data'!$AM$9:$AM$1180="SCS"),--('Input|Historical Data'!$AL$9:$AL$1180=AF$5),'Input|Historical Data'!$AG$9:$AG$1180)</f>
        <v>4.8559999999999999</v>
      </c>
      <c r="AG149" s="48">
        <f>SUMPRODUCT(--('Input|Historical Data'!$AC$9:$AC$1180=$E149),--('Input|Historical Data'!$AM$9:$AM$1180="SCS"),--('Input|Historical Data'!$AL$9:$AL$1180=AG$5),'Input|Historical Data'!$AG$9:$AG$1180)</f>
        <v>11.423999999999999</v>
      </c>
      <c r="AH149" s="48">
        <f>SUMPRODUCT(--('Input|Historical Data'!$AC$9:$AC$1180=$E149),--('Input|Historical Data'!$AM$9:$AM$1180="SCS"),--('Input|Historical Data'!$AK$9:$AK$1180=AH$5),'Input|Historical Data'!$AG$9:$AG$1180)</f>
        <v>7.33</v>
      </c>
      <c r="AI149" s="49">
        <f t="shared" si="97"/>
        <v>0.71776779987171258</v>
      </c>
      <c r="AJ149" s="49">
        <f t="shared" si="98"/>
        <v>8.4184248392073918E-2</v>
      </c>
      <c r="AK149" s="49">
        <f t="shared" si="99"/>
        <v>0.19804795173621342</v>
      </c>
      <c r="AL149" s="49">
        <f t="shared" si="100"/>
        <v>0.12707383457864535</v>
      </c>
      <c r="AM149" s="38"/>
      <c r="AN149" s="48"/>
      <c r="AO149" s="48"/>
      <c r="AP149" s="48"/>
      <c r="AQ149" s="48"/>
      <c r="AR149" s="48"/>
      <c r="AS149" s="49"/>
      <c r="AT149" s="49"/>
      <c r="AU149" s="49"/>
      <c r="AV149" s="49"/>
      <c r="AW149" s="38"/>
      <c r="AX149" s="49">
        <f t="shared" si="101"/>
        <v>0.68293167474059024</v>
      </c>
      <c r="AY149" s="49">
        <f t="shared" si="102"/>
        <v>0.10486422054800801</v>
      </c>
      <c r="AZ149" s="49">
        <f t="shared" si="103"/>
        <v>0.2122041047114018</v>
      </c>
      <c r="BA149" s="49">
        <f t="shared" si="104"/>
        <v>0.12631997188135152</v>
      </c>
      <c r="BB149" s="44"/>
    </row>
    <row r="150" spans="3:54" s="7" customFormat="1" outlineLevel="1" x14ac:dyDescent="0.3">
      <c r="C150" s="38"/>
      <c r="D150" s="38"/>
      <c r="E150" s="38" t="s">
        <v>221</v>
      </c>
      <c r="F150" s="38" t="s">
        <v>402</v>
      </c>
      <c r="G150" s="38" t="str">
        <f>VLOOKUP(E150,Mapping!$E$11:$G$204,3,0)</f>
        <v>Replacement</v>
      </c>
      <c r="H150" s="38" t="str">
        <f>VLOOKUP(E150,Mapping!$E$11:$K$204,7,0)</f>
        <v>SCS</v>
      </c>
      <c r="I150" s="38"/>
      <c r="J150" s="48">
        <f>SUMPRODUCT(--('Input|Historical Data'!$E$9:$E$1179=$E150),--('Input|Historical Data'!$O$9:$O$1179="SCS"),--('Input|Historical Data'!$M$9:$M$1179=J$5),'Input|Historical Data'!$I$9:$I$1179)</f>
        <v>196.06299999999999</v>
      </c>
      <c r="K150" s="48">
        <f>SUMPRODUCT(--('Input|Historical Data'!$E$9:$E$1179=$E150),--('Input|Historical Data'!$O$9:$O$1179="SCS"),--('Input|Historical Data'!$N$9:$N$1179=K$5),'Input|Historical Data'!$I$9:$I$1179)</f>
        <v>92.564999999999998</v>
      </c>
      <c r="L150" s="48">
        <f>SUMPRODUCT(--('Input|Historical Data'!$E$9:$E$1179=$E150),--('Input|Historical Data'!$O$9:$O$1179="SCS"),--('Input|Historical Data'!$N$9:$N$1179=L$5),'Input|Historical Data'!$I$9:$I$1179)</f>
        <v>61.018000000000001</v>
      </c>
      <c r="M150" s="48">
        <f>SUMPRODUCT(--('Input|Historical Data'!$E$9:$E$1179=$E150),--('Input|Historical Data'!$O$9:$O$1179="SCS"),--('Input|Historical Data'!$N$9:$N$1179=M$5),'Input|Historical Data'!$I$9:$I$1179)</f>
        <v>42.48</v>
      </c>
      <c r="N150" s="48">
        <f>SUMPRODUCT(--('Input|Historical Data'!$E$9:$E$1179=$E150),--('Input|Historical Data'!$O$9:$O$1179="SCS"),--('Input|Historical Data'!$M$9:$M$1179=N$5),'Input|Historical Data'!$I$9:$I$1179)</f>
        <v>17.925000000000001</v>
      </c>
      <c r="O150" s="49">
        <f t="shared" si="93"/>
        <v>0.47211865573820661</v>
      </c>
      <c r="P150" s="49">
        <f t="shared" si="94"/>
        <v>0.31121629272223728</v>
      </c>
      <c r="Q150" s="49">
        <f t="shared" si="95"/>
        <v>0.21666505153955615</v>
      </c>
      <c r="R150" s="49">
        <f t="shared" si="96"/>
        <v>9.1424695123506233E-2</v>
      </c>
      <c r="S150" s="38"/>
      <c r="T150" s="48">
        <f>SUMPRODUCT(--('Input|Historical Data'!$Q$9:$Q$1179=$E150),--('Input|Historical Data'!$AA$9:$AA$1179="SCS"),--('Input|Historical Data'!$Y$9:$Y$1179=T$5),'Input|Historical Data'!$U$9:$U$1179)</f>
        <v>214.88700000000003</v>
      </c>
      <c r="U150" s="48">
        <f>SUMPRODUCT(--('Input|Historical Data'!$Q$9:$Q$1179=$E150),--('Input|Historical Data'!$AA$9:$AA$1179="SCS"),--('Input|Historical Data'!$Z$9:$Z$1179=U$5),'Input|Historical Data'!$U$9:$U$1179)</f>
        <v>129.846</v>
      </c>
      <c r="V150" s="48">
        <f>SUMPRODUCT(--('Input|Historical Data'!$Q$9:$Q$1179=$E150),--('Input|Historical Data'!$AA$9:$AA$1179="SCS"),--('Input|Historical Data'!$Z$9:$Z$1179=V$5),'Input|Historical Data'!$U$9:$U$1179)</f>
        <v>42.363</v>
      </c>
      <c r="W150" s="48">
        <f>SUMPRODUCT(--('Input|Historical Data'!$Q$9:$Q$1179=$E150),--('Input|Historical Data'!$AA$9:$AA$1179="SCS"),--('Input|Historical Data'!$Z$9:$Z$1179=W$5),'Input|Historical Data'!$U$9:$U$1179)</f>
        <v>42.677999999999997</v>
      </c>
      <c r="X150" s="48">
        <f>SUMPRODUCT(--('Input|Historical Data'!$Q$9:$Q$1179=$E150),--('Input|Historical Data'!$AA$9:$AA$1179="SCS"),--('Input|Historical Data'!$Y$9:$Y$1179=X$5),'Input|Historical Data'!$U$9:$U$1179)</f>
        <v>24.562999999999999</v>
      </c>
      <c r="Y150" s="49">
        <f t="shared" si="89"/>
        <v>0.60425246757598183</v>
      </c>
      <c r="Z150" s="49">
        <f t="shared" si="90"/>
        <v>0.19714082285107987</v>
      </c>
      <c r="AA150" s="49">
        <f t="shared" si="91"/>
        <v>0.19860670957293833</v>
      </c>
      <c r="AB150" s="49">
        <f t="shared" si="92"/>
        <v>0.11430658904447452</v>
      </c>
      <c r="AC150" s="38"/>
      <c r="AD150" s="48">
        <f>SUMPRODUCT(--('Input|Historical Data'!$AC$9:$AC$1180=$E150),--('Input|Historical Data'!$AM$9:$AM$1180="SCS"),--('Input|Historical Data'!$AK$9:$AK$1180=AD$5),'Input|Historical Data'!$AG$9:$AG$1180)</f>
        <v>84.186000000000007</v>
      </c>
      <c r="AE150" s="48">
        <f>SUMPRODUCT(--('Input|Historical Data'!$AC$9:$AC$1180=$E150),--('Input|Historical Data'!$AM$9:$AM$1180="SCS"),--('Input|Historical Data'!$AL$9:$AL$1180=AE$5),'Input|Historical Data'!$AG$9:$AG$1180)</f>
        <v>48.613</v>
      </c>
      <c r="AF150" s="48">
        <f>SUMPRODUCT(--('Input|Historical Data'!$AC$9:$AC$1180=$E150),--('Input|Historical Data'!$AM$9:$AM$1180="SCS"),--('Input|Historical Data'!$AL$9:$AL$1180=AF$5),'Input|Historical Data'!$AG$9:$AG$1180)</f>
        <v>17.722999999999999</v>
      </c>
      <c r="AG150" s="48">
        <f>SUMPRODUCT(--('Input|Historical Data'!$AC$9:$AC$1180=$E150),--('Input|Historical Data'!$AM$9:$AM$1180="SCS"),--('Input|Historical Data'!$AL$9:$AL$1180=AG$5),'Input|Historical Data'!$AG$9:$AG$1180)</f>
        <v>17.850000000000001</v>
      </c>
      <c r="AH150" s="48">
        <f>SUMPRODUCT(--('Input|Historical Data'!$AC$9:$AC$1180=$E150),--('Input|Historical Data'!$AM$9:$AM$1180="SCS"),--('Input|Historical Data'!$AK$9:$AK$1180=AH$5),'Input|Historical Data'!$AG$9:$AG$1180)</f>
        <v>7.8410000000000002</v>
      </c>
      <c r="AI150" s="49">
        <f t="shared" si="97"/>
        <v>0.57744755660086</v>
      </c>
      <c r="AJ150" s="49">
        <f t="shared" si="98"/>
        <v>0.21052193951488368</v>
      </c>
      <c r="AK150" s="49">
        <f t="shared" si="99"/>
        <v>0.21203050388425629</v>
      </c>
      <c r="AL150" s="49">
        <f t="shared" si="100"/>
        <v>9.31390017342551E-2</v>
      </c>
      <c r="AM150" s="38"/>
      <c r="AN150" s="48"/>
      <c r="AO150" s="48"/>
      <c r="AP150" s="48"/>
      <c r="AQ150" s="48"/>
      <c r="AR150" s="48"/>
      <c r="AS150" s="49"/>
      <c r="AT150" s="49"/>
      <c r="AU150" s="49"/>
      <c r="AV150" s="49"/>
      <c r="AW150" s="38"/>
      <c r="AX150" s="49">
        <f t="shared" si="101"/>
        <v>0.59670715845295286</v>
      </c>
      <c r="AY150" s="49">
        <f t="shared" si="102"/>
        <v>0.20090747075128812</v>
      </c>
      <c r="AZ150" s="49">
        <f t="shared" si="103"/>
        <v>0.20238537079575886</v>
      </c>
      <c r="BA150" s="49">
        <f t="shared" si="104"/>
        <v>0.10834812905210431</v>
      </c>
      <c r="BB150" s="44"/>
    </row>
    <row r="151" spans="3:54" s="7" customFormat="1" outlineLevel="1" x14ac:dyDescent="0.3">
      <c r="C151" s="38"/>
      <c r="D151" s="38"/>
      <c r="E151" s="38" t="s">
        <v>222</v>
      </c>
      <c r="F151" s="38" t="s">
        <v>403</v>
      </c>
      <c r="G151" s="38" t="str">
        <f>VLOOKUP(E151,Mapping!$E$11:$G$204,3,0)</f>
        <v>Replacement</v>
      </c>
      <c r="H151" s="38" t="str">
        <f>VLOOKUP(E151,Mapping!$E$11:$K$204,7,0)</f>
        <v>SCS</v>
      </c>
      <c r="I151" s="38"/>
      <c r="J151" s="48">
        <f>SUMPRODUCT(--('Input|Historical Data'!$E$9:$E$1179=$E151),--('Input|Historical Data'!$O$9:$O$1179="SCS"),--('Input|Historical Data'!$M$9:$M$1179=J$5),'Input|Historical Data'!$I$9:$I$1179)</f>
        <v>1031.4169999999999</v>
      </c>
      <c r="K151" s="48">
        <f>SUMPRODUCT(--('Input|Historical Data'!$E$9:$E$1179=$E151),--('Input|Historical Data'!$O$9:$O$1179="SCS"),--('Input|Historical Data'!$N$9:$N$1179=K$5),'Input|Historical Data'!$I$9:$I$1179)</f>
        <v>616.63599999999997</v>
      </c>
      <c r="L151" s="48">
        <f>SUMPRODUCT(--('Input|Historical Data'!$E$9:$E$1179=$E151),--('Input|Historical Data'!$O$9:$O$1179="SCS"),--('Input|Historical Data'!$N$9:$N$1179=L$5),'Input|Historical Data'!$I$9:$I$1179)</f>
        <v>200.99900000000002</v>
      </c>
      <c r="M151" s="48">
        <f>SUMPRODUCT(--('Input|Historical Data'!$E$9:$E$1179=$E151),--('Input|Historical Data'!$O$9:$O$1179="SCS"),--('Input|Historical Data'!$N$9:$N$1179=M$5),'Input|Historical Data'!$I$9:$I$1179)</f>
        <v>213.78199999999998</v>
      </c>
      <c r="N151" s="48">
        <f>SUMPRODUCT(--('Input|Historical Data'!$E$9:$E$1179=$E151),--('Input|Historical Data'!$O$9:$O$1179="SCS"),--('Input|Historical Data'!$M$9:$M$1179=N$5),'Input|Historical Data'!$I$9:$I$1179)</f>
        <v>95.289000000000001</v>
      </c>
      <c r="O151" s="49">
        <f t="shared" si="93"/>
        <v>0.59785324461396316</v>
      </c>
      <c r="P151" s="49">
        <f t="shared" si="94"/>
        <v>0.19487656301961287</v>
      </c>
      <c r="Q151" s="49">
        <f t="shared" si="95"/>
        <v>0.20727019236642405</v>
      </c>
      <c r="R151" s="49">
        <f t="shared" si="96"/>
        <v>9.2386493532683689E-2</v>
      </c>
      <c r="S151" s="38"/>
      <c r="T151" s="48">
        <f>SUMPRODUCT(--('Input|Historical Data'!$Q$9:$Q$1179=$E151),--('Input|Historical Data'!$AA$9:$AA$1179="SCS"),--('Input|Historical Data'!$Y$9:$Y$1179=T$5),'Input|Historical Data'!$U$9:$U$1179)</f>
        <v>1298.2340000000002</v>
      </c>
      <c r="U151" s="48">
        <f>SUMPRODUCT(--('Input|Historical Data'!$Q$9:$Q$1179=$E151),--('Input|Historical Data'!$AA$9:$AA$1179="SCS"),--('Input|Historical Data'!$Z$9:$Z$1179=U$5),'Input|Historical Data'!$U$9:$U$1179)</f>
        <v>811.09199999999998</v>
      </c>
      <c r="V151" s="48">
        <f>SUMPRODUCT(--('Input|Historical Data'!$Q$9:$Q$1179=$E151),--('Input|Historical Data'!$AA$9:$AA$1179="SCS"),--('Input|Historical Data'!$Z$9:$Z$1179=V$5),'Input|Historical Data'!$U$9:$U$1179)</f>
        <v>252.75299999999999</v>
      </c>
      <c r="W151" s="48">
        <f>SUMPRODUCT(--('Input|Historical Data'!$Q$9:$Q$1179=$E151),--('Input|Historical Data'!$AA$9:$AA$1179="SCS"),--('Input|Historical Data'!$Z$9:$Z$1179=W$5),'Input|Historical Data'!$U$9:$U$1179)</f>
        <v>234.38900000000001</v>
      </c>
      <c r="X151" s="48">
        <f>SUMPRODUCT(--('Input|Historical Data'!$Q$9:$Q$1179=$E151),--('Input|Historical Data'!$AA$9:$AA$1179="SCS"),--('Input|Historical Data'!$Y$9:$Y$1179=X$5),'Input|Historical Data'!$U$9:$U$1179)</f>
        <v>164.483</v>
      </c>
      <c r="Y151" s="49">
        <f t="shared" si="89"/>
        <v>0.62476564317372685</v>
      </c>
      <c r="Z151" s="49">
        <f t="shared" si="90"/>
        <v>0.19468986330661497</v>
      </c>
      <c r="AA151" s="49">
        <f t="shared" si="91"/>
        <v>0.18054449351965826</v>
      </c>
      <c r="AB151" s="49">
        <f t="shared" si="92"/>
        <v>0.12669749829383609</v>
      </c>
      <c r="AC151" s="38"/>
      <c r="AD151" s="48">
        <f>SUMPRODUCT(--('Input|Historical Data'!$AC$9:$AC$1180=$E151),--('Input|Historical Data'!$AM$9:$AM$1180="SCS"),--('Input|Historical Data'!$AK$9:$AK$1180=AD$5),'Input|Historical Data'!$AG$9:$AG$1180)</f>
        <v>1360.5940000000001</v>
      </c>
      <c r="AE151" s="48">
        <f>SUMPRODUCT(--('Input|Historical Data'!$AC$9:$AC$1180=$E151),--('Input|Historical Data'!$AM$9:$AM$1180="SCS"),--('Input|Historical Data'!$AL$9:$AL$1180=AE$5),'Input|Historical Data'!$AG$9:$AG$1180)</f>
        <v>801.505</v>
      </c>
      <c r="AF151" s="48">
        <f>SUMPRODUCT(--('Input|Historical Data'!$AC$9:$AC$1180=$E151),--('Input|Historical Data'!$AM$9:$AM$1180="SCS"),--('Input|Historical Data'!$AL$9:$AL$1180=AF$5),'Input|Historical Data'!$AG$9:$AG$1180)</f>
        <v>276.42899999999997</v>
      </c>
      <c r="AG151" s="48">
        <f>SUMPRODUCT(--('Input|Historical Data'!$AC$9:$AC$1180=$E151),--('Input|Historical Data'!$AM$9:$AM$1180="SCS"),--('Input|Historical Data'!$AL$9:$AL$1180=AG$5),'Input|Historical Data'!$AG$9:$AG$1180)</f>
        <v>282.66000000000003</v>
      </c>
      <c r="AH151" s="48">
        <f>SUMPRODUCT(--('Input|Historical Data'!$AC$9:$AC$1180=$E151),--('Input|Historical Data'!$AM$9:$AM$1180="SCS"),--('Input|Historical Data'!$AK$9:$AK$1180=AH$5),'Input|Historical Data'!$AG$9:$AG$1180)</f>
        <v>126.328</v>
      </c>
      <c r="AI151" s="49">
        <f t="shared" si="97"/>
        <v>0.58908462039373977</v>
      </c>
      <c r="AJ151" s="49">
        <f t="shared" si="98"/>
        <v>0.20316788108723099</v>
      </c>
      <c r="AK151" s="49">
        <f t="shared" si="99"/>
        <v>0.20774749851902921</v>
      </c>
      <c r="AL151" s="49">
        <f t="shared" si="100"/>
        <v>9.2847682703289885E-2</v>
      </c>
      <c r="AM151" s="38"/>
      <c r="AN151" s="48"/>
      <c r="AO151" s="48"/>
      <c r="AP151" s="48"/>
      <c r="AQ151" s="48"/>
      <c r="AR151" s="48"/>
      <c r="AS151" s="49"/>
      <c r="AT151" s="49"/>
      <c r="AU151" s="49"/>
      <c r="AV151" s="49"/>
      <c r="AW151" s="38"/>
      <c r="AX151" s="49">
        <f t="shared" si="101"/>
        <v>0.60650670144890906</v>
      </c>
      <c r="AY151" s="49">
        <f t="shared" si="102"/>
        <v>0.19902829366924074</v>
      </c>
      <c r="AZ151" s="49">
        <f t="shared" si="103"/>
        <v>0.1944650048818502</v>
      </c>
      <c r="BA151" s="49">
        <f t="shared" si="104"/>
        <v>0.10937563467813638</v>
      </c>
      <c r="BB151" s="44"/>
    </row>
    <row r="152" spans="3:54" s="7" customFormat="1" outlineLevel="1" x14ac:dyDescent="0.3">
      <c r="C152" s="38"/>
      <c r="D152" s="38"/>
      <c r="E152" s="38" t="s">
        <v>223</v>
      </c>
      <c r="F152" s="38" t="s">
        <v>404</v>
      </c>
      <c r="G152" s="38" t="str">
        <f>VLOOKUP(E152,Mapping!$E$11:$G$204,3,0)</f>
        <v>Replacement</v>
      </c>
      <c r="H152" s="38" t="str">
        <f>VLOOKUP(E152,Mapping!$E$11:$K$204,7,0)</f>
        <v>SCS</v>
      </c>
      <c r="I152" s="38"/>
      <c r="J152" s="48">
        <f>SUMPRODUCT(--('Input|Historical Data'!$E$9:$E$1179=$E152),--('Input|Historical Data'!$O$9:$O$1179="SCS"),--('Input|Historical Data'!$M$9:$M$1179=J$5),'Input|Historical Data'!$I$9:$I$1179)</f>
        <v>721.2</v>
      </c>
      <c r="K152" s="48">
        <f>SUMPRODUCT(--('Input|Historical Data'!$E$9:$E$1179=$E152),--('Input|Historical Data'!$O$9:$O$1179="SCS"),--('Input|Historical Data'!$N$9:$N$1179=K$5),'Input|Historical Data'!$I$9:$I$1179)</f>
        <v>409.327</v>
      </c>
      <c r="L152" s="48">
        <f>SUMPRODUCT(--('Input|Historical Data'!$E$9:$E$1179=$E152),--('Input|Historical Data'!$O$9:$O$1179="SCS"),--('Input|Historical Data'!$N$9:$N$1179=L$5),'Input|Historical Data'!$I$9:$I$1179)</f>
        <v>113.66999999999999</v>
      </c>
      <c r="M152" s="48">
        <f>SUMPRODUCT(--('Input|Historical Data'!$E$9:$E$1179=$E152),--('Input|Historical Data'!$O$9:$O$1179="SCS"),--('Input|Historical Data'!$N$9:$N$1179=M$5),'Input|Historical Data'!$I$9:$I$1179)</f>
        <v>198.203</v>
      </c>
      <c r="N152" s="48">
        <f>SUMPRODUCT(--('Input|Historical Data'!$E$9:$E$1179=$E152),--('Input|Historical Data'!$O$9:$O$1179="SCS"),--('Input|Historical Data'!$M$9:$M$1179=N$5),'Input|Historical Data'!$I$9:$I$1179)</f>
        <v>68.394000000000005</v>
      </c>
      <c r="O152" s="49">
        <f t="shared" si="93"/>
        <v>0.56756378258458129</v>
      </c>
      <c r="P152" s="49">
        <f t="shared" si="94"/>
        <v>0.15761231281198004</v>
      </c>
      <c r="Q152" s="49">
        <f t="shared" si="95"/>
        <v>0.27482390460343875</v>
      </c>
      <c r="R152" s="49">
        <f t="shared" si="96"/>
        <v>9.4833610648918473E-2</v>
      </c>
      <c r="S152" s="38"/>
      <c r="T152" s="48">
        <f>SUMPRODUCT(--('Input|Historical Data'!$Q$9:$Q$1179=$E152),--('Input|Historical Data'!$AA$9:$AA$1179="SCS"),--('Input|Historical Data'!$Y$9:$Y$1179=T$5),'Input|Historical Data'!$U$9:$U$1179)</f>
        <v>632.54099999999994</v>
      </c>
      <c r="U152" s="48">
        <f>SUMPRODUCT(--('Input|Historical Data'!$Q$9:$Q$1179=$E152),--('Input|Historical Data'!$AA$9:$AA$1179="SCS"),--('Input|Historical Data'!$Z$9:$Z$1179=U$5),'Input|Historical Data'!$U$9:$U$1179)</f>
        <v>416.85500000000002</v>
      </c>
      <c r="V152" s="48">
        <f>SUMPRODUCT(--('Input|Historical Data'!$Q$9:$Q$1179=$E152),--('Input|Historical Data'!$AA$9:$AA$1179="SCS"),--('Input|Historical Data'!$Z$9:$Z$1179=V$5),'Input|Historical Data'!$U$9:$U$1179)</f>
        <v>99.6</v>
      </c>
      <c r="W152" s="48">
        <f>SUMPRODUCT(--('Input|Historical Data'!$Q$9:$Q$1179=$E152),--('Input|Historical Data'!$AA$9:$AA$1179="SCS"),--('Input|Historical Data'!$Z$9:$Z$1179=W$5),'Input|Historical Data'!$U$9:$U$1179)</f>
        <v>116.08599999999998</v>
      </c>
      <c r="X152" s="48">
        <f>SUMPRODUCT(--('Input|Historical Data'!$Q$9:$Q$1179=$E152),--('Input|Historical Data'!$AA$9:$AA$1179="SCS"),--('Input|Historical Data'!$Y$9:$Y$1179=X$5),'Input|Historical Data'!$U$9:$U$1179)</f>
        <v>85.296999999999997</v>
      </c>
      <c r="Y152" s="49">
        <f t="shared" si="89"/>
        <v>0.65901656967690625</v>
      </c>
      <c r="Z152" s="49">
        <f t="shared" si="90"/>
        <v>0.15746014882829729</v>
      </c>
      <c r="AA152" s="49">
        <f t="shared" si="91"/>
        <v>0.18352328149479635</v>
      </c>
      <c r="AB152" s="49">
        <f t="shared" si="92"/>
        <v>0.13484817584947065</v>
      </c>
      <c r="AC152" s="38"/>
      <c r="AD152" s="48">
        <f>SUMPRODUCT(--('Input|Historical Data'!$AC$9:$AC$1180=$E152),--('Input|Historical Data'!$AM$9:$AM$1180="SCS"),--('Input|Historical Data'!$AK$9:$AK$1180=AD$5),'Input|Historical Data'!$AG$9:$AG$1180)</f>
        <v>786.20900000000006</v>
      </c>
      <c r="AE152" s="48">
        <f>SUMPRODUCT(--('Input|Historical Data'!$AC$9:$AC$1180=$E152),--('Input|Historical Data'!$AM$9:$AM$1180="SCS"),--('Input|Historical Data'!$AL$9:$AL$1180=AE$5),'Input|Historical Data'!$AG$9:$AG$1180)</f>
        <v>487.86599999999999</v>
      </c>
      <c r="AF152" s="48">
        <f>SUMPRODUCT(--('Input|Historical Data'!$AC$9:$AC$1180=$E152),--('Input|Historical Data'!$AM$9:$AM$1180="SCS"),--('Input|Historical Data'!$AL$9:$AL$1180=AF$5),'Input|Historical Data'!$AG$9:$AG$1180)</f>
        <v>141.096</v>
      </c>
      <c r="AG152" s="48">
        <f>SUMPRODUCT(--('Input|Historical Data'!$AC$9:$AC$1180=$E152),--('Input|Historical Data'!$AM$9:$AM$1180="SCS"),--('Input|Historical Data'!$AL$9:$AL$1180=AG$5),'Input|Historical Data'!$AG$9:$AG$1180)</f>
        <v>157.24699999999999</v>
      </c>
      <c r="AH152" s="48">
        <f>SUMPRODUCT(--('Input|Historical Data'!$AC$9:$AC$1180=$E152),--('Input|Historical Data'!$AM$9:$AM$1180="SCS"),--('Input|Historical Data'!$AK$9:$AK$1180=AH$5),'Input|Historical Data'!$AG$9:$AG$1180)</f>
        <v>74.143000000000001</v>
      </c>
      <c r="AI152" s="49">
        <f t="shared" si="97"/>
        <v>0.6205296556004829</v>
      </c>
      <c r="AJ152" s="49">
        <f t="shared" si="98"/>
        <v>0.17946373038212488</v>
      </c>
      <c r="AK152" s="49">
        <f t="shared" si="99"/>
        <v>0.20000661401739231</v>
      </c>
      <c r="AL152" s="49">
        <f t="shared" si="100"/>
        <v>9.4304440676715728E-2</v>
      </c>
      <c r="AM152" s="38"/>
      <c r="AN152" s="48"/>
      <c r="AO152" s="48"/>
      <c r="AP152" s="48"/>
      <c r="AQ152" s="48"/>
      <c r="AR152" s="48"/>
      <c r="AS152" s="49"/>
      <c r="AT152" s="49"/>
      <c r="AU152" s="49"/>
      <c r="AV152" s="49"/>
      <c r="AW152" s="38"/>
      <c r="AX152" s="49">
        <f t="shared" si="101"/>
        <v>0.63768881057268711</v>
      </c>
      <c r="AY152" s="49">
        <f t="shared" si="102"/>
        <v>0.16965356828193831</v>
      </c>
      <c r="AZ152" s="49">
        <f t="shared" si="103"/>
        <v>0.19265762114537441</v>
      </c>
      <c r="BA152" s="49">
        <f t="shared" si="104"/>
        <v>0.1123806167400881</v>
      </c>
      <c r="BB152" s="44"/>
    </row>
    <row r="153" spans="3:54" s="7" customFormat="1" outlineLevel="1" x14ac:dyDescent="0.3">
      <c r="C153" s="38"/>
      <c r="D153" s="38"/>
      <c r="E153" s="38" t="s">
        <v>224</v>
      </c>
      <c r="F153" s="38" t="s">
        <v>405</v>
      </c>
      <c r="G153" s="38" t="str">
        <f>VLOOKUP(E153,Mapping!$E$11:$G$204,3,0)</f>
        <v>Replacement</v>
      </c>
      <c r="H153" s="38" t="str">
        <f>VLOOKUP(E153,Mapping!$E$11:$K$204,7,0)</f>
        <v>SCS</v>
      </c>
      <c r="I153" s="38"/>
      <c r="J153" s="48">
        <f>SUMPRODUCT(--('Input|Historical Data'!$E$9:$E$1179=$E153),--('Input|Historical Data'!$O$9:$O$1179="SCS"),--('Input|Historical Data'!$M$9:$M$1179=J$5),'Input|Historical Data'!$I$9:$I$1179)</f>
        <v>712.88300000000004</v>
      </c>
      <c r="K153" s="48">
        <f>SUMPRODUCT(--('Input|Historical Data'!$E$9:$E$1179=$E153),--('Input|Historical Data'!$O$9:$O$1179="SCS"),--('Input|Historical Data'!$N$9:$N$1179=K$5),'Input|Historical Data'!$I$9:$I$1179)</f>
        <v>389.81100000000004</v>
      </c>
      <c r="L153" s="48">
        <f>SUMPRODUCT(--('Input|Historical Data'!$E$9:$E$1179=$E153),--('Input|Historical Data'!$O$9:$O$1179="SCS"),--('Input|Historical Data'!$N$9:$N$1179=L$5),'Input|Historical Data'!$I$9:$I$1179)</f>
        <v>142.28100000000001</v>
      </c>
      <c r="M153" s="48">
        <f>SUMPRODUCT(--('Input|Historical Data'!$E$9:$E$1179=$E153),--('Input|Historical Data'!$O$9:$O$1179="SCS"),--('Input|Historical Data'!$N$9:$N$1179=M$5),'Input|Historical Data'!$I$9:$I$1179)</f>
        <v>180.791</v>
      </c>
      <c r="N153" s="48">
        <f>SUMPRODUCT(--('Input|Historical Data'!$E$9:$E$1179=$E153),--('Input|Historical Data'!$O$9:$O$1179="SCS"),--('Input|Historical Data'!$M$9:$M$1179=N$5),'Input|Historical Data'!$I$9:$I$1179)</f>
        <v>68.004000000000005</v>
      </c>
      <c r="O153" s="49">
        <f t="shared" si="93"/>
        <v>0.54680922395400089</v>
      </c>
      <c r="P153" s="49">
        <f t="shared" si="94"/>
        <v>0.19958534570188938</v>
      </c>
      <c r="Q153" s="49">
        <f t="shared" si="95"/>
        <v>0.25360543034410976</v>
      </c>
      <c r="R153" s="49">
        <f t="shared" si="96"/>
        <v>9.5392932641120629E-2</v>
      </c>
      <c r="S153" s="38"/>
      <c r="T153" s="48">
        <f>SUMPRODUCT(--('Input|Historical Data'!$Q$9:$Q$1179=$E153),--('Input|Historical Data'!$AA$9:$AA$1179="SCS"),--('Input|Historical Data'!$Y$9:$Y$1179=T$5),'Input|Historical Data'!$U$9:$U$1179)</f>
        <v>688.43299999999988</v>
      </c>
      <c r="U153" s="48">
        <f>SUMPRODUCT(--('Input|Historical Data'!$Q$9:$Q$1179=$E153),--('Input|Historical Data'!$AA$9:$AA$1179="SCS"),--('Input|Historical Data'!$Z$9:$Z$1179=U$5),'Input|Historical Data'!$U$9:$U$1179)</f>
        <v>449.55999999999995</v>
      </c>
      <c r="V153" s="48">
        <f>SUMPRODUCT(--('Input|Historical Data'!$Q$9:$Q$1179=$E153),--('Input|Historical Data'!$AA$9:$AA$1179="SCS"),--('Input|Historical Data'!$Z$9:$Z$1179=V$5),'Input|Historical Data'!$U$9:$U$1179)</f>
        <v>101.35599999999999</v>
      </c>
      <c r="W153" s="48">
        <f>SUMPRODUCT(--('Input|Historical Data'!$Q$9:$Q$1179=$E153),--('Input|Historical Data'!$AA$9:$AA$1179="SCS"),--('Input|Historical Data'!$Z$9:$Z$1179=W$5),'Input|Historical Data'!$U$9:$U$1179)</f>
        <v>137.517</v>
      </c>
      <c r="X153" s="48">
        <f>SUMPRODUCT(--('Input|Historical Data'!$Q$9:$Q$1179=$E153),--('Input|Historical Data'!$AA$9:$AA$1179="SCS"),--('Input|Historical Data'!$Y$9:$Y$1179=X$5),'Input|Historical Data'!$U$9:$U$1179)</f>
        <v>83.587999999999994</v>
      </c>
      <c r="Y153" s="49">
        <f t="shared" si="89"/>
        <v>0.65301924806045031</v>
      </c>
      <c r="Z153" s="49">
        <f t="shared" si="90"/>
        <v>0.14722710852036436</v>
      </c>
      <c r="AA153" s="49">
        <f t="shared" si="91"/>
        <v>0.19975364341918531</v>
      </c>
      <c r="AB153" s="49">
        <f t="shared" si="92"/>
        <v>0.12141777050199512</v>
      </c>
      <c r="AC153" s="38"/>
      <c r="AD153" s="48">
        <f>SUMPRODUCT(--('Input|Historical Data'!$AC$9:$AC$1180=$E153),--('Input|Historical Data'!$AM$9:$AM$1180="SCS"),--('Input|Historical Data'!$AK$9:$AK$1180=AD$5),'Input|Historical Data'!$AG$9:$AG$1180)</f>
        <v>654.61200000000008</v>
      </c>
      <c r="AE153" s="48">
        <f>SUMPRODUCT(--('Input|Historical Data'!$AC$9:$AC$1180=$E153),--('Input|Historical Data'!$AM$9:$AM$1180="SCS"),--('Input|Historical Data'!$AL$9:$AL$1180=AE$5),'Input|Historical Data'!$AG$9:$AG$1180)</f>
        <v>436.02000000000004</v>
      </c>
      <c r="AF153" s="48">
        <f>SUMPRODUCT(--('Input|Historical Data'!$AC$9:$AC$1180=$E153),--('Input|Historical Data'!$AM$9:$AM$1180="SCS"),--('Input|Historical Data'!$AL$9:$AL$1180=AF$5),'Input|Historical Data'!$AG$9:$AG$1180)</f>
        <v>86.981999999999999</v>
      </c>
      <c r="AG153" s="48">
        <f>SUMPRODUCT(--('Input|Historical Data'!$AC$9:$AC$1180=$E153),--('Input|Historical Data'!$AM$9:$AM$1180="SCS"),--('Input|Historical Data'!$AL$9:$AL$1180=AG$5),'Input|Historical Data'!$AG$9:$AG$1180)</f>
        <v>131.61000000000001</v>
      </c>
      <c r="AH153" s="48">
        <f>SUMPRODUCT(--('Input|Historical Data'!$AC$9:$AC$1180=$E153),--('Input|Historical Data'!$AM$9:$AM$1180="SCS"),--('Input|Historical Data'!$AK$9:$AK$1180=AH$5),'Input|Historical Data'!$AG$9:$AG$1180)</f>
        <v>67.98</v>
      </c>
      <c r="AI153" s="49">
        <f t="shared" si="97"/>
        <v>0.66607394914850326</v>
      </c>
      <c r="AJ153" s="49">
        <f t="shared" si="98"/>
        <v>0.1328756576414731</v>
      </c>
      <c r="AK153" s="49">
        <f t="shared" si="99"/>
        <v>0.20105039321002363</v>
      </c>
      <c r="AL153" s="49">
        <f t="shared" si="100"/>
        <v>0.10384777547615992</v>
      </c>
      <c r="AM153" s="38"/>
      <c r="AN153" s="48"/>
      <c r="AO153" s="48"/>
      <c r="AP153" s="48"/>
      <c r="AQ153" s="48"/>
      <c r="AR153" s="48"/>
      <c r="AS153" s="49"/>
      <c r="AT153" s="49"/>
      <c r="AU153" s="49"/>
      <c r="AV153" s="49"/>
      <c r="AW153" s="38"/>
      <c r="AX153" s="49">
        <f t="shared" si="101"/>
        <v>0.65938222472069052</v>
      </c>
      <c r="AY153" s="49">
        <f t="shared" si="102"/>
        <v>0.14023208455412886</v>
      </c>
      <c r="AZ153" s="49">
        <f t="shared" si="103"/>
        <v>0.20038569072518048</v>
      </c>
      <c r="BA153" s="49">
        <f t="shared" si="104"/>
        <v>0.11285399967983201</v>
      </c>
      <c r="BB153" s="44"/>
    </row>
    <row r="154" spans="3:54" s="7" customFormat="1" outlineLevel="1" x14ac:dyDescent="0.3">
      <c r="C154" s="38"/>
      <c r="D154" s="38"/>
      <c r="E154" s="38" t="s">
        <v>225</v>
      </c>
      <c r="F154" s="38" t="s">
        <v>406</v>
      </c>
      <c r="G154" s="38" t="str">
        <f>VLOOKUP(E154,Mapping!$E$11:$G$204,3,0)</f>
        <v>Replacement</v>
      </c>
      <c r="H154" s="38" t="str">
        <f>VLOOKUP(E154,Mapping!$E$11:$K$204,7,0)</f>
        <v>SCS</v>
      </c>
      <c r="I154" s="38"/>
      <c r="J154" s="48">
        <f>SUMPRODUCT(--('Input|Historical Data'!$E$9:$E$1179=$E154),--('Input|Historical Data'!$O$9:$O$1179="SCS"),--('Input|Historical Data'!$M$9:$M$1179=J$5),'Input|Historical Data'!$I$9:$I$1179)</f>
        <v>2186.8589999999999</v>
      </c>
      <c r="K154" s="48">
        <f>SUMPRODUCT(--('Input|Historical Data'!$E$9:$E$1179=$E154),--('Input|Historical Data'!$O$9:$O$1179="SCS"),--('Input|Historical Data'!$N$9:$N$1179=K$5),'Input|Historical Data'!$I$9:$I$1179)</f>
        <v>1290.634</v>
      </c>
      <c r="L154" s="48">
        <f>SUMPRODUCT(--('Input|Historical Data'!$E$9:$E$1179=$E154),--('Input|Historical Data'!$O$9:$O$1179="SCS"),--('Input|Historical Data'!$N$9:$N$1179=L$5),'Input|Historical Data'!$I$9:$I$1179)</f>
        <v>420.59399999999999</v>
      </c>
      <c r="M154" s="48">
        <f>SUMPRODUCT(--('Input|Historical Data'!$E$9:$E$1179=$E154),--('Input|Historical Data'!$O$9:$O$1179="SCS"),--('Input|Historical Data'!$N$9:$N$1179=M$5),'Input|Historical Data'!$I$9:$I$1179)</f>
        <v>475.63099999999997</v>
      </c>
      <c r="N154" s="48">
        <f>SUMPRODUCT(--('Input|Historical Data'!$E$9:$E$1179=$E154),--('Input|Historical Data'!$O$9:$O$1179="SCS"),--('Input|Historical Data'!$M$9:$M$1179=N$5),'Input|Historical Data'!$I$9:$I$1179)</f>
        <v>204.292</v>
      </c>
      <c r="O154" s="49">
        <f t="shared" si="93"/>
        <v>0.590177053024452</v>
      </c>
      <c r="P154" s="49">
        <f t="shared" si="94"/>
        <v>0.19232790042705086</v>
      </c>
      <c r="Q154" s="49">
        <f t="shared" si="95"/>
        <v>0.21749504654849719</v>
      </c>
      <c r="R154" s="49">
        <f t="shared" si="96"/>
        <v>9.341800271530995E-2</v>
      </c>
      <c r="S154" s="38"/>
      <c r="T154" s="48">
        <f>SUMPRODUCT(--('Input|Historical Data'!$Q$9:$Q$1179=$E154),--('Input|Historical Data'!$AA$9:$AA$1179="SCS"),--('Input|Historical Data'!$Y$9:$Y$1179=T$5),'Input|Historical Data'!$U$9:$U$1179)</f>
        <v>3354.6469999999995</v>
      </c>
      <c r="U154" s="48">
        <f>SUMPRODUCT(--('Input|Historical Data'!$Q$9:$Q$1179=$E154),--('Input|Historical Data'!$AA$9:$AA$1179="SCS"),--('Input|Historical Data'!$Z$9:$Z$1179=U$5),'Input|Historical Data'!$U$9:$U$1179)</f>
        <v>2171.0940000000001</v>
      </c>
      <c r="V154" s="48">
        <f>SUMPRODUCT(--('Input|Historical Data'!$Q$9:$Q$1179=$E154),--('Input|Historical Data'!$AA$9:$AA$1179="SCS"),--('Input|Historical Data'!$Z$9:$Z$1179=V$5),'Input|Historical Data'!$U$9:$U$1179)</f>
        <v>503.41800000000001</v>
      </c>
      <c r="W154" s="48">
        <f>SUMPRODUCT(--('Input|Historical Data'!$Q$9:$Q$1179=$E154),--('Input|Historical Data'!$AA$9:$AA$1179="SCS"),--('Input|Historical Data'!$Z$9:$Z$1179=W$5),'Input|Historical Data'!$U$9:$U$1179)</f>
        <v>680.13499999999999</v>
      </c>
      <c r="X154" s="48">
        <f>SUMPRODUCT(--('Input|Historical Data'!$Q$9:$Q$1179=$E154),--('Input|Historical Data'!$AA$9:$AA$1179="SCS"),--('Input|Historical Data'!$Y$9:$Y$1179=X$5),'Input|Historical Data'!$U$9:$U$1179)</f>
        <v>487.43299999999999</v>
      </c>
      <c r="Y154" s="49">
        <f t="shared" si="89"/>
        <v>0.6471900024056183</v>
      </c>
      <c r="Z154" s="49">
        <f t="shared" si="90"/>
        <v>0.15006586385989346</v>
      </c>
      <c r="AA154" s="49">
        <f t="shared" si="91"/>
        <v>0.2027441337344883</v>
      </c>
      <c r="AB154" s="49">
        <f t="shared" si="92"/>
        <v>0.14530083195042581</v>
      </c>
      <c r="AC154" s="38"/>
      <c r="AD154" s="48">
        <f>SUMPRODUCT(--('Input|Historical Data'!$AC$9:$AC$1180=$E154),--('Input|Historical Data'!$AM$9:$AM$1180="SCS"),--('Input|Historical Data'!$AK$9:$AK$1180=AD$5),'Input|Historical Data'!$AG$9:$AG$1180)</f>
        <v>1874.2029999999997</v>
      </c>
      <c r="AE154" s="48">
        <f>SUMPRODUCT(--('Input|Historical Data'!$AC$9:$AC$1180=$E154),--('Input|Historical Data'!$AM$9:$AM$1180="SCS"),--('Input|Historical Data'!$AL$9:$AL$1180=AE$5),'Input|Historical Data'!$AG$9:$AG$1180)</f>
        <v>1171.0029999999999</v>
      </c>
      <c r="AF154" s="48">
        <f>SUMPRODUCT(--('Input|Historical Data'!$AC$9:$AC$1180=$E154),--('Input|Historical Data'!$AM$9:$AM$1180="SCS"),--('Input|Historical Data'!$AL$9:$AL$1180=AF$5),'Input|Historical Data'!$AG$9:$AG$1180)</f>
        <v>174.63900000000001</v>
      </c>
      <c r="AG154" s="48">
        <f>SUMPRODUCT(--('Input|Historical Data'!$AC$9:$AC$1180=$E154),--('Input|Historical Data'!$AM$9:$AM$1180="SCS"),--('Input|Historical Data'!$AL$9:$AL$1180=AG$5),'Input|Historical Data'!$AG$9:$AG$1180)</f>
        <v>528.56100000000004</v>
      </c>
      <c r="AH154" s="48">
        <f>SUMPRODUCT(--('Input|Historical Data'!$AC$9:$AC$1180=$E154),--('Input|Historical Data'!$AM$9:$AM$1180="SCS"),--('Input|Historical Data'!$AK$9:$AK$1180=AH$5),'Input|Historical Data'!$AG$9:$AG$1180)</f>
        <v>209.21799999999999</v>
      </c>
      <c r="AI154" s="49">
        <f t="shared" si="97"/>
        <v>0.62480051520566338</v>
      </c>
      <c r="AJ154" s="49">
        <f t="shared" si="98"/>
        <v>9.3180407885378486E-2</v>
      </c>
      <c r="AK154" s="49">
        <f t="shared" si="99"/>
        <v>0.28201907690895811</v>
      </c>
      <c r="AL154" s="49">
        <f t="shared" si="100"/>
        <v>0.11163038368842651</v>
      </c>
      <c r="AM154" s="38"/>
      <c r="AN154" s="48"/>
      <c r="AO154" s="48"/>
      <c r="AP154" s="48"/>
      <c r="AQ154" s="48"/>
      <c r="AR154" s="48"/>
      <c r="AS154" s="49"/>
      <c r="AT154" s="49"/>
      <c r="AU154" s="49"/>
      <c r="AV154" s="49"/>
      <c r="AW154" s="38"/>
      <c r="AX154" s="49">
        <f t="shared" si="101"/>
        <v>0.63916482591774482</v>
      </c>
      <c r="AY154" s="49">
        <f t="shared" si="102"/>
        <v>0.12967612381307556</v>
      </c>
      <c r="AZ154" s="49">
        <f t="shared" si="103"/>
        <v>0.23115905026917966</v>
      </c>
      <c r="BA154" s="49">
        <f t="shared" si="104"/>
        <v>0.13323216386012221</v>
      </c>
      <c r="BB154" s="44"/>
    </row>
    <row r="155" spans="3:54" s="7" customFormat="1" outlineLevel="1" x14ac:dyDescent="0.3">
      <c r="C155" s="38"/>
      <c r="D155" s="38"/>
      <c r="E155" s="38" t="s">
        <v>226</v>
      </c>
      <c r="F155" s="38" t="s">
        <v>407</v>
      </c>
      <c r="G155" s="38" t="str">
        <f>VLOOKUP(E155,Mapping!$E$11:$G$204,3,0)</f>
        <v>Replacement</v>
      </c>
      <c r="H155" s="38" t="str">
        <f>VLOOKUP(E155,Mapping!$E$11:$K$204,7,0)</f>
        <v>SCS</v>
      </c>
      <c r="I155" s="38"/>
      <c r="J155" s="48">
        <f>SUMPRODUCT(--('Input|Historical Data'!$E$9:$E$1179=$E155),--('Input|Historical Data'!$O$9:$O$1179="SCS"),--('Input|Historical Data'!$M$9:$M$1179=J$5),'Input|Historical Data'!$I$9:$I$1179)</f>
        <v>0</v>
      </c>
      <c r="K155" s="48">
        <f>SUMPRODUCT(--('Input|Historical Data'!$E$9:$E$1179=$E155),--('Input|Historical Data'!$O$9:$O$1179="SCS"),--('Input|Historical Data'!$N$9:$N$1179=K$5),'Input|Historical Data'!$I$9:$I$1179)</f>
        <v>0</v>
      </c>
      <c r="L155" s="48">
        <f>SUMPRODUCT(--('Input|Historical Data'!$E$9:$E$1179=$E155),--('Input|Historical Data'!$O$9:$O$1179="SCS"),--('Input|Historical Data'!$N$9:$N$1179=L$5),'Input|Historical Data'!$I$9:$I$1179)</f>
        <v>0</v>
      </c>
      <c r="M155" s="48">
        <f>SUMPRODUCT(--('Input|Historical Data'!$E$9:$E$1179=$E155),--('Input|Historical Data'!$O$9:$O$1179="SCS"),--('Input|Historical Data'!$N$9:$N$1179=M$5),'Input|Historical Data'!$I$9:$I$1179)</f>
        <v>0</v>
      </c>
      <c r="N155" s="48">
        <f>SUMPRODUCT(--('Input|Historical Data'!$E$9:$E$1179=$E155),--('Input|Historical Data'!$O$9:$O$1179="SCS"),--('Input|Historical Data'!$M$9:$M$1179=N$5),'Input|Historical Data'!$I$9:$I$1179)</f>
        <v>0</v>
      </c>
      <c r="O155" s="49">
        <f t="shared" si="93"/>
        <v>0</v>
      </c>
      <c r="P155" s="49">
        <f t="shared" si="94"/>
        <v>0</v>
      </c>
      <c r="Q155" s="49">
        <f t="shared" si="95"/>
        <v>0</v>
      </c>
      <c r="R155" s="49">
        <f t="shared" si="96"/>
        <v>0</v>
      </c>
      <c r="S155" s="38"/>
      <c r="T155" s="48">
        <f>SUMPRODUCT(--('Input|Historical Data'!$Q$9:$Q$1179=$E155),--('Input|Historical Data'!$AA$9:$AA$1179="SCS"),--('Input|Historical Data'!$Y$9:$Y$1179=T$5),'Input|Historical Data'!$U$9:$U$1179)</f>
        <v>0</v>
      </c>
      <c r="U155" s="48">
        <f>SUMPRODUCT(--('Input|Historical Data'!$Q$9:$Q$1179=$E155),--('Input|Historical Data'!$AA$9:$AA$1179="SCS"),--('Input|Historical Data'!$Z$9:$Z$1179=U$5),'Input|Historical Data'!$U$9:$U$1179)</f>
        <v>0</v>
      </c>
      <c r="V155" s="48">
        <f>SUMPRODUCT(--('Input|Historical Data'!$Q$9:$Q$1179=$E155),--('Input|Historical Data'!$AA$9:$AA$1179="SCS"),--('Input|Historical Data'!$Z$9:$Z$1179=V$5),'Input|Historical Data'!$U$9:$U$1179)</f>
        <v>0</v>
      </c>
      <c r="W155" s="48">
        <f>SUMPRODUCT(--('Input|Historical Data'!$Q$9:$Q$1179=$E155),--('Input|Historical Data'!$AA$9:$AA$1179="SCS"),--('Input|Historical Data'!$Z$9:$Z$1179=W$5),'Input|Historical Data'!$U$9:$U$1179)</f>
        <v>0</v>
      </c>
      <c r="X155" s="48">
        <f>SUMPRODUCT(--('Input|Historical Data'!$Q$9:$Q$1179=$E155),--('Input|Historical Data'!$AA$9:$AA$1179="SCS"),--('Input|Historical Data'!$Y$9:$Y$1179=X$5),'Input|Historical Data'!$U$9:$U$1179)</f>
        <v>0</v>
      </c>
      <c r="Y155" s="49">
        <f t="shared" si="89"/>
        <v>0</v>
      </c>
      <c r="Z155" s="49">
        <f t="shared" si="90"/>
        <v>0</v>
      </c>
      <c r="AA155" s="49">
        <f t="shared" si="91"/>
        <v>0</v>
      </c>
      <c r="AB155" s="49">
        <f t="shared" si="92"/>
        <v>0</v>
      </c>
      <c r="AC155" s="38"/>
      <c r="AD155" s="48">
        <f>SUMPRODUCT(--('Input|Historical Data'!$AC$9:$AC$1180=$E155),--('Input|Historical Data'!$AM$9:$AM$1180="SCS"),--('Input|Historical Data'!$AK$9:$AK$1180=AD$5),'Input|Historical Data'!$AG$9:$AG$1180)</f>
        <v>-10.888</v>
      </c>
      <c r="AE155" s="48">
        <f>SUMPRODUCT(--('Input|Historical Data'!$AC$9:$AC$1180=$E155),--('Input|Historical Data'!$AM$9:$AM$1180="SCS"),--('Input|Historical Data'!$AL$9:$AL$1180=AE$5),'Input|Historical Data'!$AG$9:$AG$1180)</f>
        <v>-7.5390000000000006</v>
      </c>
      <c r="AF155" s="48">
        <f>SUMPRODUCT(--('Input|Historical Data'!$AC$9:$AC$1180=$E155),--('Input|Historical Data'!$AM$9:$AM$1180="SCS"),--('Input|Historical Data'!$AL$9:$AL$1180=AF$5),'Input|Historical Data'!$AG$9:$AG$1180)</f>
        <v>-2.1970000000000001</v>
      </c>
      <c r="AG155" s="48">
        <f>SUMPRODUCT(--('Input|Historical Data'!$AC$9:$AC$1180=$E155),--('Input|Historical Data'!$AM$9:$AM$1180="SCS"),--('Input|Historical Data'!$AL$9:$AL$1180=AG$5),'Input|Historical Data'!$AG$9:$AG$1180)</f>
        <v>-1.1519999999999999</v>
      </c>
      <c r="AH155" s="48">
        <f>SUMPRODUCT(--('Input|Historical Data'!$AC$9:$AC$1180=$E155),--('Input|Historical Data'!$AM$9:$AM$1180="SCS"),--('Input|Historical Data'!$AK$9:$AK$1180=AH$5),'Input|Historical Data'!$AG$9:$AG$1180)</f>
        <v>-0.47</v>
      </c>
      <c r="AI155" s="49">
        <f t="shared" si="97"/>
        <v>0.69241366642174873</v>
      </c>
      <c r="AJ155" s="49">
        <f t="shared" si="98"/>
        <v>0.20178177810433506</v>
      </c>
      <c r="AK155" s="49">
        <f t="shared" si="99"/>
        <v>0.10580455547391623</v>
      </c>
      <c r="AL155" s="49">
        <f t="shared" si="100"/>
        <v>4.316678912564291E-2</v>
      </c>
      <c r="AM155" s="38"/>
      <c r="AN155" s="48"/>
      <c r="AO155" s="48"/>
      <c r="AP155" s="48"/>
      <c r="AQ155" s="48"/>
      <c r="AR155" s="48"/>
      <c r="AS155" s="49"/>
      <c r="AT155" s="49"/>
      <c r="AU155" s="49"/>
      <c r="AV155" s="49"/>
      <c r="AW155" s="38"/>
      <c r="AX155" s="49">
        <f t="shared" si="101"/>
        <v>0.69241366642174873</v>
      </c>
      <c r="AY155" s="49">
        <f t="shared" si="102"/>
        <v>0.20178177810433506</v>
      </c>
      <c r="AZ155" s="49">
        <f t="shared" si="103"/>
        <v>0.10580455547391623</v>
      </c>
      <c r="BA155" s="49">
        <f t="shared" si="104"/>
        <v>4.316678912564291E-2</v>
      </c>
      <c r="BB155" s="44"/>
    </row>
    <row r="156" spans="3:54" s="7" customFormat="1" outlineLevel="1" x14ac:dyDescent="0.3">
      <c r="C156" s="38"/>
      <c r="D156" s="38"/>
      <c r="E156" s="38" t="s">
        <v>227</v>
      </c>
      <c r="F156" s="38" t="s">
        <v>408</v>
      </c>
      <c r="G156" s="38" t="str">
        <f>VLOOKUP(E156,Mapping!$E$11:$G$204,3,0)</f>
        <v>Replacement</v>
      </c>
      <c r="H156" s="38" t="str">
        <f>VLOOKUP(E156,Mapping!$E$11:$K$204,7,0)</f>
        <v>SCS</v>
      </c>
      <c r="I156" s="38"/>
      <c r="J156" s="48">
        <f>SUMPRODUCT(--('Input|Historical Data'!$E$9:$E$1179=$E156),--('Input|Historical Data'!$O$9:$O$1179="SCS"),--('Input|Historical Data'!$M$9:$M$1179=J$5),'Input|Historical Data'!$I$9:$I$1179)</f>
        <v>2166.0070000000001</v>
      </c>
      <c r="K156" s="48">
        <f>SUMPRODUCT(--('Input|Historical Data'!$E$9:$E$1179=$E156),--('Input|Historical Data'!$O$9:$O$1179="SCS"),--('Input|Historical Data'!$N$9:$N$1179=K$5),'Input|Historical Data'!$I$9:$I$1179)</f>
        <v>910.23399999999992</v>
      </c>
      <c r="L156" s="48">
        <f>SUMPRODUCT(--('Input|Historical Data'!$E$9:$E$1179=$E156),--('Input|Historical Data'!$O$9:$O$1179="SCS"),--('Input|Historical Data'!$N$9:$N$1179=L$5),'Input|Historical Data'!$I$9:$I$1179)</f>
        <v>852.029</v>
      </c>
      <c r="M156" s="48">
        <f>SUMPRODUCT(--('Input|Historical Data'!$E$9:$E$1179=$E156),--('Input|Historical Data'!$O$9:$O$1179="SCS"),--('Input|Historical Data'!$N$9:$N$1179=M$5),'Input|Historical Data'!$I$9:$I$1179)</f>
        <v>403.74399999999997</v>
      </c>
      <c r="N156" s="48">
        <f>SUMPRODUCT(--('Input|Historical Data'!$E$9:$E$1179=$E156),--('Input|Historical Data'!$O$9:$O$1179="SCS"),--('Input|Historical Data'!$M$9:$M$1179=N$5),'Input|Historical Data'!$I$9:$I$1179)</f>
        <v>201.792</v>
      </c>
      <c r="O156" s="49">
        <f t="shared" si="93"/>
        <v>0.4202359456825393</v>
      </c>
      <c r="P156" s="49">
        <f t="shared" si="94"/>
        <v>0.39336391802981246</v>
      </c>
      <c r="Q156" s="49">
        <f t="shared" si="95"/>
        <v>0.18640013628764818</v>
      </c>
      <c r="R156" s="49">
        <f t="shared" si="96"/>
        <v>9.3163133821820523E-2</v>
      </c>
      <c r="S156" s="38"/>
      <c r="T156" s="48">
        <f>SUMPRODUCT(--('Input|Historical Data'!$Q$9:$Q$1179=$E156),--('Input|Historical Data'!$AA$9:$AA$1179="SCS"),--('Input|Historical Data'!$Y$9:$Y$1179=T$5),'Input|Historical Data'!$U$9:$U$1179)</f>
        <v>1842.6420000000001</v>
      </c>
      <c r="U156" s="48">
        <f>SUMPRODUCT(--('Input|Historical Data'!$Q$9:$Q$1179=$E156),--('Input|Historical Data'!$AA$9:$AA$1179="SCS"),--('Input|Historical Data'!$Z$9:$Z$1179=U$5),'Input|Historical Data'!$U$9:$U$1179)</f>
        <v>878.596</v>
      </c>
      <c r="V156" s="48">
        <f>SUMPRODUCT(--('Input|Historical Data'!$Q$9:$Q$1179=$E156),--('Input|Historical Data'!$AA$9:$AA$1179="SCS"),--('Input|Historical Data'!$Z$9:$Z$1179=V$5),'Input|Historical Data'!$U$9:$U$1179)</f>
        <v>720.85500000000002</v>
      </c>
      <c r="W156" s="48">
        <f>SUMPRODUCT(--('Input|Historical Data'!$Q$9:$Q$1179=$E156),--('Input|Historical Data'!$AA$9:$AA$1179="SCS"),--('Input|Historical Data'!$Z$9:$Z$1179=W$5),'Input|Historical Data'!$U$9:$U$1179)</f>
        <v>243.19100000000003</v>
      </c>
      <c r="X156" s="48">
        <f>SUMPRODUCT(--('Input|Historical Data'!$Q$9:$Q$1179=$E156),--('Input|Historical Data'!$AA$9:$AA$1179="SCS"),--('Input|Historical Data'!$Y$9:$Y$1179=X$5),'Input|Historical Data'!$U$9:$U$1179)</f>
        <v>243.149</v>
      </c>
      <c r="Y156" s="49">
        <f t="shared" si="89"/>
        <v>0.47681318454697114</v>
      </c>
      <c r="Z156" s="49">
        <f t="shared" si="90"/>
        <v>0.39120729908468382</v>
      </c>
      <c r="AA156" s="49">
        <f t="shared" si="91"/>
        <v>0.13197951636834504</v>
      </c>
      <c r="AB156" s="49">
        <f t="shared" si="92"/>
        <v>0.13195672300967848</v>
      </c>
      <c r="AC156" s="38"/>
      <c r="AD156" s="48">
        <f>SUMPRODUCT(--('Input|Historical Data'!$AC$9:$AC$1180=$E156),--('Input|Historical Data'!$AM$9:$AM$1180="SCS"),--('Input|Historical Data'!$AK$9:$AK$1180=AD$5),'Input|Historical Data'!$AG$9:$AG$1180)</f>
        <v>1476.9820000000004</v>
      </c>
      <c r="AE156" s="48">
        <f>SUMPRODUCT(--('Input|Historical Data'!$AC$9:$AC$1180=$E156),--('Input|Historical Data'!$AM$9:$AM$1180="SCS"),--('Input|Historical Data'!$AL$9:$AL$1180=AE$5),'Input|Historical Data'!$AG$9:$AG$1180)</f>
        <v>600.06799999999998</v>
      </c>
      <c r="AF156" s="48">
        <f>SUMPRODUCT(--('Input|Historical Data'!$AC$9:$AC$1180=$E156),--('Input|Historical Data'!$AM$9:$AM$1180="SCS"),--('Input|Historical Data'!$AL$9:$AL$1180=AF$5),'Input|Historical Data'!$AG$9:$AG$1180)</f>
        <v>606.93799999999999</v>
      </c>
      <c r="AG156" s="48">
        <f>SUMPRODUCT(--('Input|Historical Data'!$AC$9:$AC$1180=$E156),--('Input|Historical Data'!$AM$9:$AM$1180="SCS"),--('Input|Historical Data'!$AL$9:$AL$1180=AG$5),'Input|Historical Data'!$AG$9:$AG$1180)</f>
        <v>269.976</v>
      </c>
      <c r="AH156" s="48">
        <f>SUMPRODUCT(--('Input|Historical Data'!$AC$9:$AC$1180=$E156),--('Input|Historical Data'!$AM$9:$AM$1180="SCS"),--('Input|Historical Data'!$AK$9:$AK$1180=AH$5),'Input|Historical Data'!$AG$9:$AG$1180)</f>
        <v>161.86500000000001</v>
      </c>
      <c r="AI156" s="49">
        <f t="shared" si="97"/>
        <v>0.40627983279417079</v>
      </c>
      <c r="AJ156" s="49">
        <f t="shared" si="98"/>
        <v>0.41093120972361208</v>
      </c>
      <c r="AK156" s="49">
        <f t="shared" si="99"/>
        <v>0.18278895748221713</v>
      </c>
      <c r="AL156" s="49">
        <f t="shared" si="100"/>
        <v>0.10959172149694442</v>
      </c>
      <c r="AM156" s="38"/>
      <c r="AN156" s="48"/>
      <c r="AO156" s="48"/>
      <c r="AP156" s="48"/>
      <c r="AQ156" s="48"/>
      <c r="AR156" s="48"/>
      <c r="AS156" s="49"/>
      <c r="AT156" s="49"/>
      <c r="AU156" s="49"/>
      <c r="AV156" s="49"/>
      <c r="AW156" s="38"/>
      <c r="AX156" s="49">
        <f t="shared" si="101"/>
        <v>0.44543116931315108</v>
      </c>
      <c r="AY156" s="49">
        <f t="shared" si="102"/>
        <v>0.39998294987625105</v>
      </c>
      <c r="AZ156" s="49">
        <f t="shared" si="103"/>
        <v>0.15458588081059782</v>
      </c>
      <c r="BA156" s="49">
        <f t="shared" si="104"/>
        <v>0.12200598622012611</v>
      </c>
      <c r="BB156" s="44"/>
    </row>
    <row r="157" spans="3:54" s="7" customFormat="1" outlineLevel="1" x14ac:dyDescent="0.3">
      <c r="C157" s="38"/>
      <c r="D157" s="38"/>
      <c r="E157" s="38" t="s">
        <v>228</v>
      </c>
      <c r="F157" s="38" t="s">
        <v>409</v>
      </c>
      <c r="G157" s="38" t="str">
        <f>VLOOKUP(E157,Mapping!$E$11:$G$204,3,0)</f>
        <v>Replacement</v>
      </c>
      <c r="H157" s="38" t="str">
        <f>VLOOKUP(E157,Mapping!$E$11:$K$204,7,0)</f>
        <v>SCS</v>
      </c>
      <c r="I157" s="38"/>
      <c r="J157" s="48">
        <f>SUMPRODUCT(--('Input|Historical Data'!$E$9:$E$1179=$E157),--('Input|Historical Data'!$O$9:$O$1179="SCS"),--('Input|Historical Data'!$M$9:$M$1179=J$5),'Input|Historical Data'!$I$9:$I$1179)</f>
        <v>1068.5329999999999</v>
      </c>
      <c r="K157" s="48">
        <f>SUMPRODUCT(--('Input|Historical Data'!$E$9:$E$1179=$E157),--('Input|Historical Data'!$O$9:$O$1179="SCS"),--('Input|Historical Data'!$N$9:$N$1179=K$5),'Input|Historical Data'!$I$9:$I$1179)</f>
        <v>367.012</v>
      </c>
      <c r="L157" s="48">
        <f>SUMPRODUCT(--('Input|Historical Data'!$E$9:$E$1179=$E157),--('Input|Historical Data'!$O$9:$O$1179="SCS"),--('Input|Historical Data'!$N$9:$N$1179=L$5),'Input|Historical Data'!$I$9:$I$1179)</f>
        <v>488.66399999999999</v>
      </c>
      <c r="M157" s="48">
        <f>SUMPRODUCT(--('Input|Historical Data'!$E$9:$E$1179=$E157),--('Input|Historical Data'!$O$9:$O$1179="SCS"),--('Input|Historical Data'!$N$9:$N$1179=M$5),'Input|Historical Data'!$I$9:$I$1179)</f>
        <v>212.85700000000003</v>
      </c>
      <c r="N157" s="48">
        <f>SUMPRODUCT(--('Input|Historical Data'!$E$9:$E$1179=$E157),--('Input|Historical Data'!$O$9:$O$1179="SCS"),--('Input|Historical Data'!$M$9:$M$1179=N$5),'Input|Historical Data'!$I$9:$I$1179)</f>
        <v>99.149000000000001</v>
      </c>
      <c r="O157" s="49">
        <f t="shared" si="93"/>
        <v>0.34347277997029574</v>
      </c>
      <c r="P157" s="49">
        <f t="shared" si="94"/>
        <v>0.45732232883776169</v>
      </c>
      <c r="Q157" s="49">
        <f t="shared" si="95"/>
        <v>0.19920489119194265</v>
      </c>
      <c r="R157" s="49">
        <f t="shared" si="96"/>
        <v>9.2789834286821291E-2</v>
      </c>
      <c r="S157" s="38"/>
      <c r="T157" s="48">
        <f>SUMPRODUCT(--('Input|Historical Data'!$Q$9:$Q$1179=$E157),--('Input|Historical Data'!$AA$9:$AA$1179="SCS"),--('Input|Historical Data'!$Y$9:$Y$1179=T$5),'Input|Historical Data'!$U$9:$U$1179)</f>
        <v>1395.4619999999998</v>
      </c>
      <c r="U157" s="48">
        <f>SUMPRODUCT(--('Input|Historical Data'!$Q$9:$Q$1179=$E157),--('Input|Historical Data'!$AA$9:$AA$1179="SCS"),--('Input|Historical Data'!$Z$9:$Z$1179=U$5),'Input|Historical Data'!$U$9:$U$1179)</f>
        <v>433.666</v>
      </c>
      <c r="V157" s="48">
        <f>SUMPRODUCT(--('Input|Historical Data'!$Q$9:$Q$1179=$E157),--('Input|Historical Data'!$AA$9:$AA$1179="SCS"),--('Input|Historical Data'!$Z$9:$Z$1179=V$5),'Input|Historical Data'!$U$9:$U$1179)</f>
        <v>723.54099999999994</v>
      </c>
      <c r="W157" s="48">
        <f>SUMPRODUCT(--('Input|Historical Data'!$Q$9:$Q$1179=$E157),--('Input|Historical Data'!$AA$9:$AA$1179="SCS"),--('Input|Historical Data'!$Z$9:$Z$1179=W$5),'Input|Historical Data'!$U$9:$U$1179)</f>
        <v>238.255</v>
      </c>
      <c r="X157" s="48">
        <f>SUMPRODUCT(--('Input|Historical Data'!$Q$9:$Q$1179=$E157),--('Input|Historical Data'!$AA$9:$AA$1179="SCS"),--('Input|Historical Data'!$Y$9:$Y$1179=X$5),'Input|Historical Data'!$U$9:$U$1179)</f>
        <v>180.14099999999999</v>
      </c>
      <c r="Y157" s="49">
        <f t="shared" si="89"/>
        <v>0.31076876331996139</v>
      </c>
      <c r="Z157" s="49">
        <f t="shared" si="90"/>
        <v>0.51849566666809987</v>
      </c>
      <c r="AA157" s="49">
        <f t="shared" si="91"/>
        <v>0.1707355700119387</v>
      </c>
      <c r="AB157" s="49">
        <f t="shared" si="92"/>
        <v>0.12909058075390087</v>
      </c>
      <c r="AC157" s="38"/>
      <c r="AD157" s="48">
        <f>SUMPRODUCT(--('Input|Historical Data'!$AC$9:$AC$1180=$E157),--('Input|Historical Data'!$AM$9:$AM$1180="SCS"),--('Input|Historical Data'!$AK$9:$AK$1180=AD$5),'Input|Historical Data'!$AG$9:$AG$1180)</f>
        <v>1263.518</v>
      </c>
      <c r="AE157" s="48">
        <f>SUMPRODUCT(--('Input|Historical Data'!$AC$9:$AC$1180=$E157),--('Input|Historical Data'!$AM$9:$AM$1180="SCS"),--('Input|Historical Data'!$AL$9:$AL$1180=AE$5),'Input|Historical Data'!$AG$9:$AG$1180)</f>
        <v>344.07799999999997</v>
      </c>
      <c r="AF157" s="48">
        <f>SUMPRODUCT(--('Input|Historical Data'!$AC$9:$AC$1180=$E157),--('Input|Historical Data'!$AM$9:$AM$1180="SCS"),--('Input|Historical Data'!$AL$9:$AL$1180=AF$5),'Input|Historical Data'!$AG$9:$AG$1180)</f>
        <v>703.92799999999988</v>
      </c>
      <c r="AG157" s="48">
        <f>SUMPRODUCT(--('Input|Historical Data'!$AC$9:$AC$1180=$E157),--('Input|Historical Data'!$AM$9:$AM$1180="SCS"),--('Input|Historical Data'!$AL$9:$AL$1180=AG$5),'Input|Historical Data'!$AG$9:$AG$1180)</f>
        <v>215.512</v>
      </c>
      <c r="AH157" s="48">
        <f>SUMPRODUCT(--('Input|Historical Data'!$AC$9:$AC$1180=$E157),--('Input|Historical Data'!$AM$9:$AM$1180="SCS"),--('Input|Historical Data'!$AK$9:$AK$1180=AH$5),'Input|Historical Data'!$AG$9:$AG$1180)</f>
        <v>103.477</v>
      </c>
      <c r="AI157" s="49">
        <f t="shared" si="97"/>
        <v>0.27231745016691494</v>
      </c>
      <c r="AJ157" s="49">
        <f t="shared" si="98"/>
        <v>0.55711750841697549</v>
      </c>
      <c r="AK157" s="49">
        <f t="shared" si="99"/>
        <v>0.17056504141610965</v>
      </c>
      <c r="AL157" s="49">
        <f t="shared" si="100"/>
        <v>8.1895944497822754E-2</v>
      </c>
      <c r="AM157" s="38"/>
      <c r="AN157" s="48"/>
      <c r="AO157" s="48"/>
      <c r="AP157" s="48"/>
      <c r="AQ157" s="48"/>
      <c r="AR157" s="48"/>
      <c r="AS157" s="49"/>
      <c r="AT157" s="49"/>
      <c r="AU157" s="49"/>
      <c r="AV157" s="49"/>
      <c r="AW157" s="38"/>
      <c r="AX157" s="49">
        <f t="shared" si="101"/>
        <v>0.29249712295692332</v>
      </c>
      <c r="AY157" s="49">
        <f t="shared" si="102"/>
        <v>0.5368483403410329</v>
      </c>
      <c r="AZ157" s="49">
        <f t="shared" si="103"/>
        <v>0.17065453670204364</v>
      </c>
      <c r="BA157" s="49">
        <f t="shared" si="104"/>
        <v>0.10666420958412626</v>
      </c>
      <c r="BB157" s="44"/>
    </row>
    <row r="158" spans="3:54" s="7" customFormat="1" outlineLevel="1" x14ac:dyDescent="0.3">
      <c r="C158" s="38"/>
      <c r="D158" s="38"/>
      <c r="E158" s="38" t="s">
        <v>229</v>
      </c>
      <c r="F158" s="38" t="s">
        <v>410</v>
      </c>
      <c r="G158" s="38" t="str">
        <f>VLOOKUP(E158,Mapping!$E$11:$G$204,3,0)</f>
        <v>Replacement</v>
      </c>
      <c r="H158" s="38" t="str">
        <f>VLOOKUP(E158,Mapping!$E$11:$K$204,7,0)</f>
        <v>SCS</v>
      </c>
      <c r="I158" s="38"/>
      <c r="J158" s="48">
        <f>SUMPRODUCT(--('Input|Historical Data'!$E$9:$E$1179=$E158),--('Input|Historical Data'!$O$9:$O$1179="SCS"),--('Input|Historical Data'!$M$9:$M$1179=J$5),'Input|Historical Data'!$I$9:$I$1179)</f>
        <v>123.83</v>
      </c>
      <c r="K158" s="48">
        <f>SUMPRODUCT(--('Input|Historical Data'!$E$9:$E$1179=$E158),--('Input|Historical Data'!$O$9:$O$1179="SCS"),--('Input|Historical Data'!$N$9:$N$1179=K$5),'Input|Historical Data'!$I$9:$I$1179)</f>
        <v>66.17</v>
      </c>
      <c r="L158" s="48">
        <f>SUMPRODUCT(--('Input|Historical Data'!$E$9:$E$1179=$E158),--('Input|Historical Data'!$O$9:$O$1179="SCS"),--('Input|Historical Data'!$N$9:$N$1179=L$5),'Input|Historical Data'!$I$9:$I$1179)</f>
        <v>33.523000000000003</v>
      </c>
      <c r="M158" s="48">
        <f>SUMPRODUCT(--('Input|Historical Data'!$E$9:$E$1179=$E158),--('Input|Historical Data'!$O$9:$O$1179="SCS"),--('Input|Historical Data'!$N$9:$N$1179=M$5),'Input|Historical Data'!$I$9:$I$1179)</f>
        <v>24.137</v>
      </c>
      <c r="N158" s="48">
        <f>SUMPRODUCT(--('Input|Historical Data'!$E$9:$E$1179=$E158),--('Input|Historical Data'!$O$9:$O$1179="SCS"),--('Input|Historical Data'!$M$9:$M$1179=N$5),'Input|Historical Data'!$I$9:$I$1179)</f>
        <v>11.968</v>
      </c>
      <c r="O158" s="49">
        <f t="shared" si="93"/>
        <v>0.5343616248082047</v>
      </c>
      <c r="P158" s="49">
        <f t="shared" si="94"/>
        <v>0.27071791972866027</v>
      </c>
      <c r="Q158" s="49">
        <f t="shared" si="95"/>
        <v>0.19492045546313494</v>
      </c>
      <c r="R158" s="49">
        <f t="shared" si="96"/>
        <v>9.6648631187918915E-2</v>
      </c>
      <c r="S158" s="38"/>
      <c r="T158" s="48">
        <f>SUMPRODUCT(--('Input|Historical Data'!$Q$9:$Q$1179=$E158),--('Input|Historical Data'!$AA$9:$AA$1179="SCS"),--('Input|Historical Data'!$Y$9:$Y$1179=T$5),'Input|Historical Data'!$U$9:$U$1179)</f>
        <v>134.97099999999998</v>
      </c>
      <c r="U158" s="48">
        <f>SUMPRODUCT(--('Input|Historical Data'!$Q$9:$Q$1179=$E158),--('Input|Historical Data'!$AA$9:$AA$1179="SCS"),--('Input|Historical Data'!$Z$9:$Z$1179=U$5),'Input|Historical Data'!$U$9:$U$1179)</f>
        <v>82.578000000000003</v>
      </c>
      <c r="V158" s="48">
        <f>SUMPRODUCT(--('Input|Historical Data'!$Q$9:$Q$1179=$E158),--('Input|Historical Data'!$AA$9:$AA$1179="SCS"),--('Input|Historical Data'!$Z$9:$Z$1179=V$5),'Input|Historical Data'!$U$9:$U$1179)</f>
        <v>25.203000000000003</v>
      </c>
      <c r="W158" s="48">
        <f>SUMPRODUCT(--('Input|Historical Data'!$Q$9:$Q$1179=$E158),--('Input|Historical Data'!$AA$9:$AA$1179="SCS"),--('Input|Historical Data'!$Z$9:$Z$1179=W$5),'Input|Historical Data'!$U$9:$U$1179)</f>
        <v>27.19</v>
      </c>
      <c r="X158" s="48">
        <f>SUMPRODUCT(--('Input|Historical Data'!$Q$9:$Q$1179=$E158),--('Input|Historical Data'!$AA$9:$AA$1179="SCS"),--('Input|Historical Data'!$Y$9:$Y$1179=X$5),'Input|Historical Data'!$U$9:$U$1179)</f>
        <v>16.324000000000002</v>
      </c>
      <c r="Y158" s="49">
        <f t="shared" si="89"/>
        <v>0.61182031695697592</v>
      </c>
      <c r="Z158" s="49">
        <f t="shared" si="90"/>
        <v>0.18672900104466889</v>
      </c>
      <c r="AA158" s="49">
        <f t="shared" si="91"/>
        <v>0.2014506819983552</v>
      </c>
      <c r="AB158" s="49">
        <f t="shared" si="92"/>
        <v>0.12094449918871465</v>
      </c>
      <c r="AC158" s="38"/>
      <c r="AD158" s="48">
        <f>SUMPRODUCT(--('Input|Historical Data'!$AC$9:$AC$1180=$E158),--('Input|Historical Data'!$AM$9:$AM$1180="SCS"),--('Input|Historical Data'!$AK$9:$AK$1180=AD$5),'Input|Historical Data'!$AG$9:$AG$1180)</f>
        <v>83.212000000000003</v>
      </c>
      <c r="AE158" s="48">
        <f>SUMPRODUCT(--('Input|Historical Data'!$AC$9:$AC$1180=$E158),--('Input|Historical Data'!$AM$9:$AM$1180="SCS"),--('Input|Historical Data'!$AL$9:$AL$1180=AE$5),'Input|Historical Data'!$AG$9:$AG$1180)</f>
        <v>50.432000000000002</v>
      </c>
      <c r="AF158" s="48">
        <f>SUMPRODUCT(--('Input|Historical Data'!$AC$9:$AC$1180=$E158),--('Input|Historical Data'!$AM$9:$AM$1180="SCS"),--('Input|Historical Data'!$AL$9:$AL$1180=AF$5),'Input|Historical Data'!$AG$9:$AG$1180)</f>
        <v>12.599</v>
      </c>
      <c r="AG158" s="48">
        <f>SUMPRODUCT(--('Input|Historical Data'!$AC$9:$AC$1180=$E158),--('Input|Historical Data'!$AM$9:$AM$1180="SCS"),--('Input|Historical Data'!$AL$9:$AL$1180=AG$5),'Input|Historical Data'!$AG$9:$AG$1180)</f>
        <v>20.180999999999997</v>
      </c>
      <c r="AH158" s="48">
        <f>SUMPRODUCT(--('Input|Historical Data'!$AC$9:$AC$1180=$E158),--('Input|Historical Data'!$AM$9:$AM$1180="SCS"),--('Input|Historical Data'!$AK$9:$AK$1180=AH$5),'Input|Historical Data'!$AG$9:$AG$1180)</f>
        <v>9.6989999999999998</v>
      </c>
      <c r="AI158" s="49">
        <f t="shared" si="97"/>
        <v>0.6060664327260491</v>
      </c>
      <c r="AJ158" s="49">
        <f t="shared" si="98"/>
        <v>0.15140845070422534</v>
      </c>
      <c r="AK158" s="49">
        <f t="shared" si="99"/>
        <v>0.24252511656972547</v>
      </c>
      <c r="AL158" s="49">
        <f t="shared" si="100"/>
        <v>0.1165577080228813</v>
      </c>
      <c r="AM158" s="38"/>
      <c r="AN158" s="48"/>
      <c r="AO158" s="48"/>
      <c r="AP158" s="48"/>
      <c r="AQ158" s="48"/>
      <c r="AR158" s="48"/>
      <c r="AS158" s="49"/>
      <c r="AT158" s="49"/>
      <c r="AU158" s="49"/>
      <c r="AV158" s="49"/>
      <c r="AW158" s="38"/>
      <c r="AX158" s="49">
        <f t="shared" si="101"/>
        <v>0.60962586452656709</v>
      </c>
      <c r="AY158" s="49">
        <f t="shared" si="102"/>
        <v>0.17325822818459738</v>
      </c>
      <c r="AZ158" s="49">
        <f t="shared" si="103"/>
        <v>0.21711590728883551</v>
      </c>
      <c r="BA158" s="49">
        <f t="shared" si="104"/>
        <v>0.11927143727971476</v>
      </c>
      <c r="BB158" s="44"/>
    </row>
    <row r="159" spans="3:54" s="7" customFormat="1" outlineLevel="1" x14ac:dyDescent="0.3">
      <c r="C159" s="38"/>
      <c r="D159" s="38"/>
      <c r="E159" s="38" t="s">
        <v>230</v>
      </c>
      <c r="F159" s="38" t="s">
        <v>411</v>
      </c>
      <c r="G159" s="38" t="str">
        <f>VLOOKUP(E159,Mapping!$E$11:$G$204,3,0)</f>
        <v>Replacement</v>
      </c>
      <c r="H159" s="38" t="str">
        <f>VLOOKUP(E159,Mapping!$E$11:$K$204,7,0)</f>
        <v>SCS</v>
      </c>
      <c r="I159" s="38"/>
      <c r="J159" s="48">
        <f>SUMPRODUCT(--('Input|Historical Data'!$E$9:$E$1179=$E159),--('Input|Historical Data'!$O$9:$O$1179="SCS"),--('Input|Historical Data'!$M$9:$M$1179=J$5),'Input|Historical Data'!$I$9:$I$1179)</f>
        <v>9809.0610000000015</v>
      </c>
      <c r="K159" s="48">
        <f>SUMPRODUCT(--('Input|Historical Data'!$E$9:$E$1179=$E159),--('Input|Historical Data'!$O$9:$O$1179="SCS"),--('Input|Historical Data'!$N$9:$N$1179=K$5),'Input|Historical Data'!$I$9:$I$1179)</f>
        <v>4432.3850000000002</v>
      </c>
      <c r="L159" s="48">
        <f>SUMPRODUCT(--('Input|Historical Data'!$E$9:$E$1179=$E159),--('Input|Historical Data'!$O$9:$O$1179="SCS"),--('Input|Historical Data'!$N$9:$N$1179=L$5),'Input|Historical Data'!$I$9:$I$1179)</f>
        <v>2353.386</v>
      </c>
      <c r="M159" s="48">
        <f>SUMPRODUCT(--('Input|Historical Data'!$E$9:$E$1179=$E159),--('Input|Historical Data'!$O$9:$O$1179="SCS"),--('Input|Historical Data'!$N$9:$N$1179=M$5),'Input|Historical Data'!$I$9:$I$1179)</f>
        <v>3023.29</v>
      </c>
      <c r="N159" s="48">
        <f>SUMPRODUCT(--('Input|Historical Data'!$E$9:$E$1179=$E159),--('Input|Historical Data'!$O$9:$O$1179="SCS"),--('Input|Historical Data'!$M$9:$M$1179=N$5),'Input|Historical Data'!$I$9:$I$1179)</f>
        <v>1226.683</v>
      </c>
      <c r="O159" s="49">
        <f t="shared" si="93"/>
        <v>0.45186639169641207</v>
      </c>
      <c r="P159" s="49">
        <f t="shared" si="94"/>
        <v>0.23991960086699426</v>
      </c>
      <c r="Q159" s="49">
        <f t="shared" si="95"/>
        <v>0.3082140074365935</v>
      </c>
      <c r="R159" s="49">
        <f t="shared" si="96"/>
        <v>0.1250561088365135</v>
      </c>
      <c r="S159" s="38"/>
      <c r="T159" s="48">
        <f>SUMPRODUCT(--('Input|Historical Data'!$Q$9:$Q$1179=$E159),--('Input|Historical Data'!$AA$9:$AA$1179="SCS"),--('Input|Historical Data'!$Y$9:$Y$1179=T$5),'Input|Historical Data'!$U$9:$U$1179)</f>
        <v>9555.9560000000001</v>
      </c>
      <c r="U159" s="48">
        <f>SUMPRODUCT(--('Input|Historical Data'!$Q$9:$Q$1179=$E159),--('Input|Historical Data'!$AA$9:$AA$1179="SCS"),--('Input|Historical Data'!$Z$9:$Z$1179=U$5),'Input|Historical Data'!$U$9:$U$1179)</f>
        <v>5940.85</v>
      </c>
      <c r="V159" s="48">
        <f>SUMPRODUCT(--('Input|Historical Data'!$Q$9:$Q$1179=$E159),--('Input|Historical Data'!$AA$9:$AA$1179="SCS"),--('Input|Historical Data'!$Z$9:$Z$1179=V$5),'Input|Historical Data'!$U$9:$U$1179)</f>
        <v>1951.345</v>
      </c>
      <c r="W159" s="48">
        <f>SUMPRODUCT(--('Input|Historical Data'!$Q$9:$Q$1179=$E159),--('Input|Historical Data'!$AA$9:$AA$1179="SCS"),--('Input|Historical Data'!$Z$9:$Z$1179=W$5),'Input|Historical Data'!$U$9:$U$1179)</f>
        <v>1663.761</v>
      </c>
      <c r="X159" s="48">
        <f>SUMPRODUCT(--('Input|Historical Data'!$Q$9:$Q$1179=$E159),--('Input|Historical Data'!$AA$9:$AA$1179="SCS"),--('Input|Historical Data'!$Y$9:$Y$1179=X$5),'Input|Historical Data'!$U$9:$U$1179)</f>
        <v>1184.577</v>
      </c>
      <c r="Y159" s="49">
        <f t="shared" si="89"/>
        <v>0.62169080728291348</v>
      </c>
      <c r="Z159" s="49">
        <f t="shared" si="90"/>
        <v>0.20420196576878336</v>
      </c>
      <c r="AA159" s="49">
        <f t="shared" si="91"/>
        <v>0.17410722694830322</v>
      </c>
      <c r="AB159" s="49">
        <f t="shared" si="92"/>
        <v>0.12396216558552593</v>
      </c>
      <c r="AC159" s="38"/>
      <c r="AD159" s="48">
        <f>SUMPRODUCT(--('Input|Historical Data'!$AC$9:$AC$1180=$E159),--('Input|Historical Data'!$AM$9:$AM$1180="SCS"),--('Input|Historical Data'!$AK$9:$AK$1180=AD$5),'Input|Historical Data'!$AG$9:$AG$1180)</f>
        <v>2567.7069999999999</v>
      </c>
      <c r="AE159" s="48">
        <f>SUMPRODUCT(--('Input|Historical Data'!$AC$9:$AC$1180=$E159),--('Input|Historical Data'!$AM$9:$AM$1180="SCS"),--('Input|Historical Data'!$AL$9:$AL$1180=AE$5),'Input|Historical Data'!$AG$9:$AG$1180)</f>
        <v>1502.7889999999998</v>
      </c>
      <c r="AF159" s="48">
        <f>SUMPRODUCT(--('Input|Historical Data'!$AC$9:$AC$1180=$E159),--('Input|Historical Data'!$AM$9:$AM$1180="SCS"),--('Input|Historical Data'!$AL$9:$AL$1180=AF$5),'Input|Historical Data'!$AG$9:$AG$1180)</f>
        <v>738.952</v>
      </c>
      <c r="AG159" s="48">
        <f>SUMPRODUCT(--('Input|Historical Data'!$AC$9:$AC$1180=$E159),--('Input|Historical Data'!$AM$9:$AM$1180="SCS"),--('Input|Historical Data'!$AL$9:$AL$1180=AG$5),'Input|Historical Data'!$AG$9:$AG$1180)</f>
        <v>325.96599999999995</v>
      </c>
      <c r="AH159" s="48">
        <f>SUMPRODUCT(--('Input|Historical Data'!$AC$9:$AC$1180=$E159),--('Input|Historical Data'!$AM$9:$AM$1180="SCS"),--('Input|Historical Data'!$AK$9:$AK$1180=AH$5),'Input|Historical Data'!$AG$9:$AG$1180)</f>
        <v>334.90199999999999</v>
      </c>
      <c r="AI159" s="49">
        <f t="shared" si="97"/>
        <v>0.58526498545200045</v>
      </c>
      <c r="AJ159" s="49">
        <f t="shared" si="98"/>
        <v>0.28778672956065471</v>
      </c>
      <c r="AK159" s="49">
        <f t="shared" si="99"/>
        <v>0.12694828498734473</v>
      </c>
      <c r="AL159" s="49">
        <f t="shared" si="100"/>
        <v>0.13042843283910507</v>
      </c>
      <c r="AM159" s="38"/>
      <c r="AN159" s="48"/>
      <c r="AO159" s="48"/>
      <c r="AP159" s="48"/>
      <c r="AQ159" s="48"/>
      <c r="AR159" s="48"/>
      <c r="AS159" s="49"/>
      <c r="AT159" s="49"/>
      <c r="AU159" s="49"/>
      <c r="AV159" s="49"/>
      <c r="AW159" s="38"/>
      <c r="AX159" s="49">
        <f t="shared" si="101"/>
        <v>0.61397607307296487</v>
      </c>
      <c r="AY159" s="49">
        <f t="shared" si="102"/>
        <v>0.2219046339377794</v>
      </c>
      <c r="AZ159" s="49">
        <f t="shared" si="103"/>
        <v>0.16411929298925582</v>
      </c>
      <c r="BA159" s="49">
        <f t="shared" si="104"/>
        <v>0.12533167574849285</v>
      </c>
      <c r="BB159" s="44"/>
    </row>
    <row r="160" spans="3:54" s="7" customFormat="1" outlineLevel="1" x14ac:dyDescent="0.3">
      <c r="C160" s="38"/>
      <c r="D160" s="38"/>
      <c r="E160" s="38" t="s">
        <v>231</v>
      </c>
      <c r="F160" s="38" t="s">
        <v>412</v>
      </c>
      <c r="G160" s="38" t="str">
        <f>VLOOKUP(E160,Mapping!$E$11:$G$204,3,0)</f>
        <v>Replacement</v>
      </c>
      <c r="H160" s="38" t="str">
        <f>VLOOKUP(E160,Mapping!$E$11:$K$204,7,0)</f>
        <v>SCS</v>
      </c>
      <c r="I160" s="38"/>
      <c r="J160" s="48">
        <f>SUMPRODUCT(--('Input|Historical Data'!$E$9:$E$1179=$E160),--('Input|Historical Data'!$O$9:$O$1179="SCS"),--('Input|Historical Data'!$M$9:$M$1179=J$5),'Input|Historical Data'!$I$9:$I$1179)</f>
        <v>855.875</v>
      </c>
      <c r="K160" s="48">
        <f>SUMPRODUCT(--('Input|Historical Data'!$E$9:$E$1179=$E160),--('Input|Historical Data'!$O$9:$O$1179="SCS"),--('Input|Historical Data'!$N$9:$N$1179=K$5),'Input|Historical Data'!$I$9:$I$1179)</f>
        <v>503.44899999999996</v>
      </c>
      <c r="L160" s="48">
        <f>SUMPRODUCT(--('Input|Historical Data'!$E$9:$E$1179=$E160),--('Input|Historical Data'!$O$9:$O$1179="SCS"),--('Input|Historical Data'!$N$9:$N$1179=L$5),'Input|Historical Data'!$I$9:$I$1179)</f>
        <v>180.82900000000001</v>
      </c>
      <c r="M160" s="48">
        <f>SUMPRODUCT(--('Input|Historical Data'!$E$9:$E$1179=$E160),--('Input|Historical Data'!$O$9:$O$1179="SCS"),--('Input|Historical Data'!$N$9:$N$1179=M$5),'Input|Historical Data'!$I$9:$I$1179)</f>
        <v>171.59700000000004</v>
      </c>
      <c r="N160" s="48">
        <f>SUMPRODUCT(--('Input|Historical Data'!$E$9:$E$1179=$E160),--('Input|Historical Data'!$O$9:$O$1179="SCS"),--('Input|Historical Data'!$M$9:$M$1179=N$5),'Input|Historical Data'!$I$9:$I$1179)</f>
        <v>80.83</v>
      </c>
      <c r="O160" s="49">
        <f t="shared" si="93"/>
        <v>0.58822725281145016</v>
      </c>
      <c r="P160" s="49">
        <f t="shared" si="94"/>
        <v>0.21127968453337229</v>
      </c>
      <c r="Q160" s="49">
        <f t="shared" si="95"/>
        <v>0.2004930626551775</v>
      </c>
      <c r="R160" s="49">
        <f t="shared" si="96"/>
        <v>9.444136118007887E-2</v>
      </c>
      <c r="S160" s="38"/>
      <c r="T160" s="48">
        <f>SUMPRODUCT(--('Input|Historical Data'!$Q$9:$Q$1179=$E160),--('Input|Historical Data'!$AA$9:$AA$1179="SCS"),--('Input|Historical Data'!$Y$9:$Y$1179=T$5),'Input|Historical Data'!$U$9:$U$1179)</f>
        <v>793.35399999999993</v>
      </c>
      <c r="U160" s="48">
        <f>SUMPRODUCT(--('Input|Historical Data'!$Q$9:$Q$1179=$E160),--('Input|Historical Data'!$AA$9:$AA$1179="SCS"),--('Input|Historical Data'!$Z$9:$Z$1179=U$5),'Input|Historical Data'!$U$9:$U$1179)</f>
        <v>476.93799999999999</v>
      </c>
      <c r="V160" s="48">
        <f>SUMPRODUCT(--('Input|Historical Data'!$Q$9:$Q$1179=$E160),--('Input|Historical Data'!$AA$9:$AA$1179="SCS"),--('Input|Historical Data'!$Z$9:$Z$1179=V$5),'Input|Historical Data'!$U$9:$U$1179)</f>
        <v>182.73000000000002</v>
      </c>
      <c r="W160" s="48">
        <f>SUMPRODUCT(--('Input|Historical Data'!$Q$9:$Q$1179=$E160),--('Input|Historical Data'!$AA$9:$AA$1179="SCS"),--('Input|Historical Data'!$Z$9:$Z$1179=W$5),'Input|Historical Data'!$U$9:$U$1179)</f>
        <v>133.68600000000001</v>
      </c>
      <c r="X160" s="48">
        <f>SUMPRODUCT(--('Input|Historical Data'!$Q$9:$Q$1179=$E160),--('Input|Historical Data'!$AA$9:$AA$1179="SCS"),--('Input|Historical Data'!$Y$9:$Y$1179=X$5),'Input|Historical Data'!$U$9:$U$1179)</f>
        <v>100.86799999999999</v>
      </c>
      <c r="Y160" s="49">
        <f t="shared" si="89"/>
        <v>0.60116669229625108</v>
      </c>
      <c r="Z160" s="49">
        <f t="shared" si="90"/>
        <v>0.23032593268578719</v>
      </c>
      <c r="AA160" s="49">
        <f t="shared" si="91"/>
        <v>0.16850737501796173</v>
      </c>
      <c r="AB160" s="49">
        <f t="shared" si="92"/>
        <v>0.12714122573277503</v>
      </c>
      <c r="AC160" s="38"/>
      <c r="AD160" s="48">
        <f>SUMPRODUCT(--('Input|Historical Data'!$AC$9:$AC$1180=$E160),--('Input|Historical Data'!$AM$9:$AM$1180="SCS"),--('Input|Historical Data'!$AK$9:$AK$1180=AD$5),'Input|Historical Data'!$AG$9:$AG$1180)</f>
        <v>407.15000000000003</v>
      </c>
      <c r="AE160" s="48">
        <f>SUMPRODUCT(--('Input|Historical Data'!$AC$9:$AC$1180=$E160),--('Input|Historical Data'!$AM$9:$AM$1180="SCS"),--('Input|Historical Data'!$AL$9:$AL$1180=AE$5),'Input|Historical Data'!$AG$9:$AG$1180)</f>
        <v>215.339</v>
      </c>
      <c r="AF160" s="48">
        <f>SUMPRODUCT(--('Input|Historical Data'!$AC$9:$AC$1180=$E160),--('Input|Historical Data'!$AM$9:$AM$1180="SCS"),--('Input|Historical Data'!$AL$9:$AL$1180=AF$5),'Input|Historical Data'!$AG$9:$AG$1180)</f>
        <v>113.15299999999999</v>
      </c>
      <c r="AG160" s="48">
        <f>SUMPRODUCT(--('Input|Historical Data'!$AC$9:$AC$1180=$E160),--('Input|Historical Data'!$AM$9:$AM$1180="SCS"),--('Input|Historical Data'!$AL$9:$AL$1180=AG$5),'Input|Historical Data'!$AG$9:$AG$1180)</f>
        <v>78.658000000000001</v>
      </c>
      <c r="AH160" s="48">
        <f>SUMPRODUCT(--('Input|Historical Data'!$AC$9:$AC$1180=$E160),--('Input|Historical Data'!$AM$9:$AM$1180="SCS"),--('Input|Historical Data'!$AK$9:$AK$1180=AH$5),'Input|Historical Data'!$AG$9:$AG$1180)</f>
        <v>39.68</v>
      </c>
      <c r="AI160" s="49">
        <f t="shared" si="97"/>
        <v>0.52889352818371616</v>
      </c>
      <c r="AJ160" s="49">
        <f t="shared" si="98"/>
        <v>0.27791477342502763</v>
      </c>
      <c r="AK160" s="49">
        <f t="shared" si="99"/>
        <v>0.1931916983912563</v>
      </c>
      <c r="AL160" s="49">
        <f t="shared" si="100"/>
        <v>9.7457939334397628E-2</v>
      </c>
      <c r="AM160" s="38"/>
      <c r="AN160" s="48"/>
      <c r="AO160" s="48"/>
      <c r="AP160" s="48"/>
      <c r="AQ160" s="48"/>
      <c r="AR160" s="48"/>
      <c r="AS160" s="49"/>
      <c r="AT160" s="49"/>
      <c r="AU160" s="49"/>
      <c r="AV160" s="49"/>
      <c r="AW160" s="38"/>
      <c r="AX160" s="49">
        <f t="shared" si="101"/>
        <v>0.57665530477199589</v>
      </c>
      <c r="AY160" s="49">
        <f t="shared" si="102"/>
        <v>0.24646565109320756</v>
      </c>
      <c r="AZ160" s="49">
        <f t="shared" si="103"/>
        <v>0.17687904413479671</v>
      </c>
      <c r="BA160" s="49">
        <f t="shared" si="104"/>
        <v>0.11707416218521555</v>
      </c>
      <c r="BB160" s="44"/>
    </row>
    <row r="161" spans="3:54" s="7" customFormat="1" outlineLevel="1" x14ac:dyDescent="0.3">
      <c r="C161" s="38"/>
      <c r="D161" s="38"/>
      <c r="E161" s="38" t="s">
        <v>232</v>
      </c>
      <c r="F161" s="38" t="s">
        <v>413</v>
      </c>
      <c r="G161" s="38" t="str">
        <f>VLOOKUP(E161,Mapping!$E$11:$G$204,3,0)</f>
        <v>Replacement</v>
      </c>
      <c r="H161" s="38" t="str">
        <f>VLOOKUP(E161,Mapping!$E$11:$K$204,7,0)</f>
        <v>SCS</v>
      </c>
      <c r="I161" s="38"/>
      <c r="J161" s="48">
        <f>SUMPRODUCT(--('Input|Historical Data'!$E$9:$E$1179=$E161),--('Input|Historical Data'!$O$9:$O$1179="SCS"),--('Input|Historical Data'!$M$9:$M$1179=J$5),'Input|Historical Data'!$I$9:$I$1179)</f>
        <v>0</v>
      </c>
      <c r="K161" s="48">
        <f>SUMPRODUCT(--('Input|Historical Data'!$E$9:$E$1179=$E161),--('Input|Historical Data'!$O$9:$O$1179="SCS"),--('Input|Historical Data'!$N$9:$N$1179=K$5),'Input|Historical Data'!$I$9:$I$1179)</f>
        <v>0</v>
      </c>
      <c r="L161" s="48">
        <f>SUMPRODUCT(--('Input|Historical Data'!$E$9:$E$1179=$E161),--('Input|Historical Data'!$O$9:$O$1179="SCS"),--('Input|Historical Data'!$N$9:$N$1179=L$5),'Input|Historical Data'!$I$9:$I$1179)</f>
        <v>0</v>
      </c>
      <c r="M161" s="48">
        <f>SUMPRODUCT(--('Input|Historical Data'!$E$9:$E$1179=$E161),--('Input|Historical Data'!$O$9:$O$1179="SCS"),--('Input|Historical Data'!$N$9:$N$1179=M$5),'Input|Historical Data'!$I$9:$I$1179)</f>
        <v>0</v>
      </c>
      <c r="N161" s="48">
        <f>SUMPRODUCT(--('Input|Historical Data'!$E$9:$E$1179=$E161),--('Input|Historical Data'!$O$9:$O$1179="SCS"),--('Input|Historical Data'!$M$9:$M$1179=N$5),'Input|Historical Data'!$I$9:$I$1179)</f>
        <v>0</v>
      </c>
      <c r="O161" s="49">
        <f t="shared" si="93"/>
        <v>0</v>
      </c>
      <c r="P161" s="49">
        <f t="shared" si="94"/>
        <v>0</v>
      </c>
      <c r="Q161" s="49">
        <f t="shared" si="95"/>
        <v>0</v>
      </c>
      <c r="R161" s="49">
        <f t="shared" si="96"/>
        <v>0</v>
      </c>
      <c r="S161" s="38"/>
      <c r="T161" s="48">
        <f>SUMPRODUCT(--('Input|Historical Data'!$Q$9:$Q$1179=$E161),--('Input|Historical Data'!$AA$9:$AA$1179="SCS"),--('Input|Historical Data'!$Y$9:$Y$1179=T$5),'Input|Historical Data'!$U$9:$U$1179)</f>
        <v>0</v>
      </c>
      <c r="U161" s="48">
        <f>SUMPRODUCT(--('Input|Historical Data'!$Q$9:$Q$1179=$E161),--('Input|Historical Data'!$AA$9:$AA$1179="SCS"),--('Input|Historical Data'!$Z$9:$Z$1179=U$5),'Input|Historical Data'!$U$9:$U$1179)</f>
        <v>0</v>
      </c>
      <c r="V161" s="48">
        <f>SUMPRODUCT(--('Input|Historical Data'!$Q$9:$Q$1179=$E161),--('Input|Historical Data'!$AA$9:$AA$1179="SCS"),--('Input|Historical Data'!$Z$9:$Z$1179=V$5),'Input|Historical Data'!$U$9:$U$1179)</f>
        <v>0</v>
      </c>
      <c r="W161" s="48">
        <f>SUMPRODUCT(--('Input|Historical Data'!$Q$9:$Q$1179=$E161),--('Input|Historical Data'!$AA$9:$AA$1179="SCS"),--('Input|Historical Data'!$Z$9:$Z$1179=W$5),'Input|Historical Data'!$U$9:$U$1179)</f>
        <v>0</v>
      </c>
      <c r="X161" s="48">
        <f>SUMPRODUCT(--('Input|Historical Data'!$Q$9:$Q$1179=$E161),--('Input|Historical Data'!$AA$9:$AA$1179="SCS"),--('Input|Historical Data'!$Y$9:$Y$1179=X$5),'Input|Historical Data'!$U$9:$U$1179)</f>
        <v>0</v>
      </c>
      <c r="Y161" s="49">
        <f t="shared" si="89"/>
        <v>0</v>
      </c>
      <c r="Z161" s="49">
        <f t="shared" si="90"/>
        <v>0</v>
      </c>
      <c r="AA161" s="49">
        <f t="shared" si="91"/>
        <v>0</v>
      </c>
      <c r="AB161" s="49">
        <f t="shared" si="92"/>
        <v>0</v>
      </c>
      <c r="AC161" s="38"/>
      <c r="AD161" s="48">
        <f>SUMPRODUCT(--('Input|Historical Data'!$AC$9:$AC$1180=$E161),--('Input|Historical Data'!$AM$9:$AM$1180="SCS"),--('Input|Historical Data'!$AK$9:$AK$1180=AD$5),'Input|Historical Data'!$AG$9:$AG$1180)</f>
        <v>0</v>
      </c>
      <c r="AE161" s="48">
        <f>SUMPRODUCT(--('Input|Historical Data'!$AC$9:$AC$1180=$E161),--('Input|Historical Data'!$AM$9:$AM$1180="SCS"),--('Input|Historical Data'!$AL$9:$AL$1180=AE$5),'Input|Historical Data'!$AG$9:$AG$1180)</f>
        <v>0</v>
      </c>
      <c r="AF161" s="48">
        <f>SUMPRODUCT(--('Input|Historical Data'!$AC$9:$AC$1180=$E161),--('Input|Historical Data'!$AM$9:$AM$1180="SCS"),--('Input|Historical Data'!$AL$9:$AL$1180=AF$5),'Input|Historical Data'!$AG$9:$AG$1180)</f>
        <v>0</v>
      </c>
      <c r="AG161" s="48">
        <f>SUMPRODUCT(--('Input|Historical Data'!$AC$9:$AC$1180=$E161),--('Input|Historical Data'!$AM$9:$AM$1180="SCS"),--('Input|Historical Data'!$AL$9:$AL$1180=AG$5),'Input|Historical Data'!$AG$9:$AG$1180)</f>
        <v>0</v>
      </c>
      <c r="AH161" s="48">
        <f>SUMPRODUCT(--('Input|Historical Data'!$AC$9:$AC$1180=$E161),--('Input|Historical Data'!$AM$9:$AM$1180="SCS"),--('Input|Historical Data'!$AK$9:$AK$1180=AH$5),'Input|Historical Data'!$AG$9:$AG$1180)</f>
        <v>0</v>
      </c>
      <c r="AI161" s="49">
        <f t="shared" si="97"/>
        <v>0</v>
      </c>
      <c r="AJ161" s="49">
        <f t="shared" si="98"/>
        <v>0</v>
      </c>
      <c r="AK161" s="49">
        <f t="shared" si="99"/>
        <v>0</v>
      </c>
      <c r="AL161" s="49">
        <f t="shared" si="100"/>
        <v>0</v>
      </c>
      <c r="AM161" s="38"/>
      <c r="AN161" s="48"/>
      <c r="AO161" s="48"/>
      <c r="AP161" s="48"/>
      <c r="AQ161" s="48"/>
      <c r="AR161" s="48"/>
      <c r="AS161" s="49"/>
      <c r="AT161" s="49"/>
      <c r="AU161" s="49"/>
      <c r="AV161" s="49"/>
      <c r="AW161" s="38"/>
      <c r="AX161" s="49">
        <f t="shared" si="101"/>
        <v>0</v>
      </c>
      <c r="AY161" s="49">
        <f t="shared" si="102"/>
        <v>0</v>
      </c>
      <c r="AZ161" s="49">
        <f t="shared" si="103"/>
        <v>0</v>
      </c>
      <c r="BA161" s="49">
        <f t="shared" si="104"/>
        <v>0</v>
      </c>
      <c r="BB161" s="44"/>
    </row>
    <row r="162" spans="3:54" s="7" customFormat="1" outlineLevel="1" x14ac:dyDescent="0.3">
      <c r="C162" s="38"/>
      <c r="D162" s="38"/>
      <c r="E162" s="38" t="s">
        <v>233</v>
      </c>
      <c r="F162" s="38" t="s">
        <v>414</v>
      </c>
      <c r="G162" s="38" t="str">
        <f>VLOOKUP(E162,Mapping!$E$11:$G$204,3,0)</f>
        <v>Replacement</v>
      </c>
      <c r="H162" s="38" t="str">
        <f>VLOOKUP(E162,Mapping!$E$11:$K$204,7,0)</f>
        <v>SCS</v>
      </c>
      <c r="I162" s="38"/>
      <c r="J162" s="48">
        <f>SUMPRODUCT(--('Input|Historical Data'!$E$9:$E$1179=$E162),--('Input|Historical Data'!$O$9:$O$1179="SCS"),--('Input|Historical Data'!$M$9:$M$1179=J$5),'Input|Historical Data'!$I$9:$I$1179)</f>
        <v>0</v>
      </c>
      <c r="K162" s="48">
        <f>SUMPRODUCT(--('Input|Historical Data'!$E$9:$E$1179=$E162),--('Input|Historical Data'!$O$9:$O$1179="SCS"),--('Input|Historical Data'!$N$9:$N$1179=K$5),'Input|Historical Data'!$I$9:$I$1179)</f>
        <v>0</v>
      </c>
      <c r="L162" s="48">
        <f>SUMPRODUCT(--('Input|Historical Data'!$E$9:$E$1179=$E162),--('Input|Historical Data'!$O$9:$O$1179="SCS"),--('Input|Historical Data'!$N$9:$N$1179=L$5),'Input|Historical Data'!$I$9:$I$1179)</f>
        <v>0</v>
      </c>
      <c r="M162" s="48">
        <f>SUMPRODUCT(--('Input|Historical Data'!$E$9:$E$1179=$E162),--('Input|Historical Data'!$O$9:$O$1179="SCS"),--('Input|Historical Data'!$N$9:$N$1179=M$5),'Input|Historical Data'!$I$9:$I$1179)</f>
        <v>0</v>
      </c>
      <c r="N162" s="48">
        <f>SUMPRODUCT(--('Input|Historical Data'!$E$9:$E$1179=$E162),--('Input|Historical Data'!$O$9:$O$1179="SCS"),--('Input|Historical Data'!$M$9:$M$1179=N$5),'Input|Historical Data'!$I$9:$I$1179)</f>
        <v>0</v>
      </c>
      <c r="O162" s="49">
        <f t="shared" si="93"/>
        <v>0</v>
      </c>
      <c r="P162" s="49">
        <f t="shared" si="94"/>
        <v>0</v>
      </c>
      <c r="Q162" s="49">
        <f t="shared" si="95"/>
        <v>0</v>
      </c>
      <c r="R162" s="49">
        <f t="shared" si="96"/>
        <v>0</v>
      </c>
      <c r="S162" s="38"/>
      <c r="T162" s="48">
        <f>SUMPRODUCT(--('Input|Historical Data'!$Q$9:$Q$1179=$E162),--('Input|Historical Data'!$AA$9:$AA$1179="SCS"),--('Input|Historical Data'!$Y$9:$Y$1179=T$5),'Input|Historical Data'!$U$9:$U$1179)</f>
        <v>0</v>
      </c>
      <c r="U162" s="48">
        <f>SUMPRODUCT(--('Input|Historical Data'!$Q$9:$Q$1179=$E162),--('Input|Historical Data'!$AA$9:$AA$1179="SCS"),--('Input|Historical Data'!$Z$9:$Z$1179=U$5),'Input|Historical Data'!$U$9:$U$1179)</f>
        <v>0</v>
      </c>
      <c r="V162" s="48">
        <f>SUMPRODUCT(--('Input|Historical Data'!$Q$9:$Q$1179=$E162),--('Input|Historical Data'!$AA$9:$AA$1179="SCS"),--('Input|Historical Data'!$Z$9:$Z$1179=V$5),'Input|Historical Data'!$U$9:$U$1179)</f>
        <v>0</v>
      </c>
      <c r="W162" s="48">
        <f>SUMPRODUCT(--('Input|Historical Data'!$Q$9:$Q$1179=$E162),--('Input|Historical Data'!$AA$9:$AA$1179="SCS"),--('Input|Historical Data'!$Z$9:$Z$1179=W$5),'Input|Historical Data'!$U$9:$U$1179)</f>
        <v>0</v>
      </c>
      <c r="X162" s="48">
        <f>SUMPRODUCT(--('Input|Historical Data'!$Q$9:$Q$1179=$E162),--('Input|Historical Data'!$AA$9:$AA$1179="SCS"),--('Input|Historical Data'!$Y$9:$Y$1179=X$5),'Input|Historical Data'!$U$9:$U$1179)</f>
        <v>0</v>
      </c>
      <c r="Y162" s="49">
        <f t="shared" si="89"/>
        <v>0</v>
      </c>
      <c r="Z162" s="49">
        <f t="shared" si="90"/>
        <v>0</v>
      </c>
      <c r="AA162" s="49">
        <f t="shared" si="91"/>
        <v>0</v>
      </c>
      <c r="AB162" s="49">
        <f t="shared" si="92"/>
        <v>0</v>
      </c>
      <c r="AC162" s="38"/>
      <c r="AD162" s="48">
        <f>SUMPRODUCT(--('Input|Historical Data'!$AC$9:$AC$1180=$E162),--('Input|Historical Data'!$AM$9:$AM$1180="SCS"),--('Input|Historical Data'!$AK$9:$AK$1180=AD$5),'Input|Historical Data'!$AG$9:$AG$1180)</f>
        <v>0</v>
      </c>
      <c r="AE162" s="48">
        <f>SUMPRODUCT(--('Input|Historical Data'!$AC$9:$AC$1180=$E162),--('Input|Historical Data'!$AM$9:$AM$1180="SCS"),--('Input|Historical Data'!$AL$9:$AL$1180=AE$5),'Input|Historical Data'!$AG$9:$AG$1180)</f>
        <v>0</v>
      </c>
      <c r="AF162" s="48">
        <f>SUMPRODUCT(--('Input|Historical Data'!$AC$9:$AC$1180=$E162),--('Input|Historical Data'!$AM$9:$AM$1180="SCS"),--('Input|Historical Data'!$AL$9:$AL$1180=AF$5),'Input|Historical Data'!$AG$9:$AG$1180)</f>
        <v>0</v>
      </c>
      <c r="AG162" s="48">
        <f>SUMPRODUCT(--('Input|Historical Data'!$AC$9:$AC$1180=$E162),--('Input|Historical Data'!$AM$9:$AM$1180="SCS"),--('Input|Historical Data'!$AL$9:$AL$1180=AG$5),'Input|Historical Data'!$AG$9:$AG$1180)</f>
        <v>0</v>
      </c>
      <c r="AH162" s="48">
        <f>SUMPRODUCT(--('Input|Historical Data'!$AC$9:$AC$1180=$E162),--('Input|Historical Data'!$AM$9:$AM$1180="SCS"),--('Input|Historical Data'!$AK$9:$AK$1180=AH$5),'Input|Historical Data'!$AG$9:$AG$1180)</f>
        <v>0</v>
      </c>
      <c r="AI162" s="49">
        <f t="shared" si="97"/>
        <v>0</v>
      </c>
      <c r="AJ162" s="49">
        <f t="shared" si="98"/>
        <v>0</v>
      </c>
      <c r="AK162" s="49">
        <f t="shared" si="99"/>
        <v>0</v>
      </c>
      <c r="AL162" s="49">
        <f t="shared" si="100"/>
        <v>0</v>
      </c>
      <c r="AM162" s="38"/>
      <c r="AN162" s="48"/>
      <c r="AO162" s="48"/>
      <c r="AP162" s="48"/>
      <c r="AQ162" s="48"/>
      <c r="AR162" s="48"/>
      <c r="AS162" s="49"/>
      <c r="AT162" s="49"/>
      <c r="AU162" s="49"/>
      <c r="AV162" s="49"/>
      <c r="AW162" s="38"/>
      <c r="AX162" s="49">
        <f t="shared" si="101"/>
        <v>0</v>
      </c>
      <c r="AY162" s="49">
        <f t="shared" si="102"/>
        <v>0</v>
      </c>
      <c r="AZ162" s="49">
        <f t="shared" si="103"/>
        <v>0</v>
      </c>
      <c r="BA162" s="49">
        <f t="shared" si="104"/>
        <v>0</v>
      </c>
      <c r="BB162" s="44"/>
    </row>
    <row r="163" spans="3:54" s="7" customFormat="1" outlineLevel="1" x14ac:dyDescent="0.3">
      <c r="C163" s="38"/>
      <c r="D163" s="38"/>
      <c r="E163" s="38" t="s">
        <v>234</v>
      </c>
      <c r="F163" s="38" t="s">
        <v>415</v>
      </c>
      <c r="G163" s="38" t="str">
        <f>VLOOKUP(E163,Mapping!$E$11:$G$204,3,0)</f>
        <v>Replacement</v>
      </c>
      <c r="H163" s="38" t="str">
        <f>VLOOKUP(E163,Mapping!$E$11:$K$204,7,0)</f>
        <v>SCS</v>
      </c>
      <c r="I163" s="38"/>
      <c r="J163" s="48">
        <f>SUMPRODUCT(--('Input|Historical Data'!$E$9:$E$1179=$E163),--('Input|Historical Data'!$O$9:$O$1179="SCS"),--('Input|Historical Data'!$M$9:$M$1179=J$5),'Input|Historical Data'!$I$9:$I$1179)</f>
        <v>8309.0110000000004</v>
      </c>
      <c r="K163" s="48">
        <f>SUMPRODUCT(--('Input|Historical Data'!$E$9:$E$1179=$E163),--('Input|Historical Data'!$O$9:$O$1179="SCS"),--('Input|Historical Data'!$N$9:$N$1179=K$5),'Input|Historical Data'!$I$9:$I$1179)</f>
        <v>1761.0839999999998</v>
      </c>
      <c r="L163" s="48">
        <f>SUMPRODUCT(--('Input|Historical Data'!$E$9:$E$1179=$E163),--('Input|Historical Data'!$O$9:$O$1179="SCS"),--('Input|Historical Data'!$N$9:$N$1179=L$5),'Input|Historical Data'!$I$9:$I$1179)</f>
        <v>2797.8419999999996</v>
      </c>
      <c r="M163" s="48">
        <f>SUMPRODUCT(--('Input|Historical Data'!$E$9:$E$1179=$E163),--('Input|Historical Data'!$O$9:$O$1179="SCS"),--('Input|Historical Data'!$N$9:$N$1179=M$5),'Input|Historical Data'!$I$9:$I$1179)</f>
        <v>3750.085</v>
      </c>
      <c r="N163" s="48">
        <f>SUMPRODUCT(--('Input|Historical Data'!$E$9:$E$1179=$E163),--('Input|Historical Data'!$O$9:$O$1179="SCS"),--('Input|Historical Data'!$M$9:$M$1179=N$5),'Input|Historical Data'!$I$9:$I$1179)</f>
        <v>1488.4559999999999</v>
      </c>
      <c r="O163" s="49">
        <f t="shared" si="93"/>
        <v>0.21194869040370751</v>
      </c>
      <c r="P163" s="49">
        <f t="shared" si="94"/>
        <v>0.33672382910553378</v>
      </c>
      <c r="Q163" s="49">
        <f t="shared" si="95"/>
        <v>0.45132748049075883</v>
      </c>
      <c r="R163" s="49">
        <f t="shared" si="96"/>
        <v>0.17913756522888222</v>
      </c>
      <c r="S163" s="38"/>
      <c r="T163" s="48">
        <f>SUMPRODUCT(--('Input|Historical Data'!$Q$9:$Q$1179=$E163),--('Input|Historical Data'!$AA$9:$AA$1179="SCS"),--('Input|Historical Data'!$Y$9:$Y$1179=T$5),'Input|Historical Data'!$U$9:$U$1179)</f>
        <v>6904.2179999999989</v>
      </c>
      <c r="U163" s="48">
        <f>SUMPRODUCT(--('Input|Historical Data'!$Q$9:$Q$1179=$E163),--('Input|Historical Data'!$AA$9:$AA$1179="SCS"),--('Input|Historical Data'!$Z$9:$Z$1179=U$5),'Input|Historical Data'!$U$9:$U$1179)</f>
        <v>4448.442</v>
      </c>
      <c r="V163" s="48">
        <f>SUMPRODUCT(--('Input|Historical Data'!$Q$9:$Q$1179=$E163),--('Input|Historical Data'!$AA$9:$AA$1179="SCS"),--('Input|Historical Data'!$Z$9:$Z$1179=V$5),'Input|Historical Data'!$U$9:$U$1179)</f>
        <v>1191.9009999999998</v>
      </c>
      <c r="W163" s="48">
        <f>SUMPRODUCT(--('Input|Historical Data'!$Q$9:$Q$1179=$E163),--('Input|Historical Data'!$AA$9:$AA$1179="SCS"),--('Input|Historical Data'!$Z$9:$Z$1179=W$5),'Input|Historical Data'!$U$9:$U$1179)</f>
        <v>1263.875</v>
      </c>
      <c r="X163" s="48">
        <f>SUMPRODUCT(--('Input|Historical Data'!$Q$9:$Q$1179=$E163),--('Input|Historical Data'!$AA$9:$AA$1179="SCS"),--('Input|Historical Data'!$Y$9:$Y$1179=X$5),'Input|Historical Data'!$U$9:$U$1179)</f>
        <v>878.73800000000006</v>
      </c>
      <c r="Y163" s="49">
        <f t="shared" si="89"/>
        <v>0.64430787092759823</v>
      </c>
      <c r="Z163" s="49">
        <f t="shared" si="90"/>
        <v>0.17263374360427203</v>
      </c>
      <c r="AA163" s="49">
        <f t="shared" si="91"/>
        <v>0.18305838546812978</v>
      </c>
      <c r="AB163" s="49">
        <f t="shared" si="92"/>
        <v>0.12727552924893162</v>
      </c>
      <c r="AC163" s="38"/>
      <c r="AD163" s="48">
        <f>SUMPRODUCT(--('Input|Historical Data'!$AC$9:$AC$1180=$E163),--('Input|Historical Data'!$AM$9:$AM$1180="SCS"),--('Input|Historical Data'!$AK$9:$AK$1180=AD$5),'Input|Historical Data'!$AG$9:$AG$1180)</f>
        <v>6407.7179999999998</v>
      </c>
      <c r="AE163" s="48">
        <f>SUMPRODUCT(--('Input|Historical Data'!$AC$9:$AC$1180=$E163),--('Input|Historical Data'!$AM$9:$AM$1180="SCS"),--('Input|Historical Data'!$AL$9:$AL$1180=AE$5),'Input|Historical Data'!$AG$9:$AG$1180)</f>
        <v>3615.444</v>
      </c>
      <c r="AF163" s="48">
        <f>SUMPRODUCT(--('Input|Historical Data'!$AC$9:$AC$1180=$E163),--('Input|Historical Data'!$AM$9:$AM$1180="SCS"),--('Input|Historical Data'!$AL$9:$AL$1180=AF$5),'Input|Historical Data'!$AG$9:$AG$1180)</f>
        <v>1663.9290000000001</v>
      </c>
      <c r="AG163" s="48">
        <f>SUMPRODUCT(--('Input|Historical Data'!$AC$9:$AC$1180=$E163),--('Input|Historical Data'!$AM$9:$AM$1180="SCS"),--('Input|Historical Data'!$AL$9:$AL$1180=AG$5),'Input|Historical Data'!$AG$9:$AG$1180)</f>
        <v>1128.345</v>
      </c>
      <c r="AH163" s="48">
        <f>SUMPRODUCT(--('Input|Historical Data'!$AC$9:$AC$1180=$E163),--('Input|Historical Data'!$AM$9:$AM$1180="SCS"),--('Input|Historical Data'!$AK$9:$AK$1180=AH$5),'Input|Historical Data'!$AG$9:$AG$1180)</f>
        <v>639.13699999999994</v>
      </c>
      <c r="AI163" s="49">
        <f t="shared" si="97"/>
        <v>0.56423269563360934</v>
      </c>
      <c r="AJ163" s="49">
        <f t="shared" si="98"/>
        <v>0.25967575352098832</v>
      </c>
      <c r="AK163" s="49">
        <f t="shared" si="99"/>
        <v>0.17609155084540237</v>
      </c>
      <c r="AL163" s="49">
        <f t="shared" si="100"/>
        <v>9.9744870170628608E-2</v>
      </c>
      <c r="AM163" s="38"/>
      <c r="AN163" s="48"/>
      <c r="AO163" s="48"/>
      <c r="AP163" s="48"/>
      <c r="AQ163" s="48"/>
      <c r="AR163" s="48"/>
      <c r="AS163" s="49"/>
      <c r="AT163" s="49"/>
      <c r="AU163" s="49"/>
      <c r="AV163" s="49"/>
      <c r="AW163" s="38"/>
      <c r="AX163" s="49">
        <f t="shared" si="101"/>
        <v>0.60576357939220871</v>
      </c>
      <c r="AY163" s="49">
        <f t="shared" si="102"/>
        <v>0.21453153019966442</v>
      </c>
      <c r="AZ163" s="49">
        <f t="shared" si="103"/>
        <v>0.17970489040812698</v>
      </c>
      <c r="BA163" s="49">
        <f t="shared" si="104"/>
        <v>0.11402361008947161</v>
      </c>
      <c r="BB163" s="44"/>
    </row>
    <row r="164" spans="3:54" s="7" customFormat="1" outlineLevel="1" x14ac:dyDescent="0.3">
      <c r="C164" s="38"/>
      <c r="D164" s="38"/>
      <c r="E164" s="38" t="s">
        <v>235</v>
      </c>
      <c r="F164" s="38" t="s">
        <v>416</v>
      </c>
      <c r="G164" s="38" t="str">
        <f>VLOOKUP(E164,Mapping!$E$11:$G$204,3,0)</f>
        <v>Replacement</v>
      </c>
      <c r="H164" s="38" t="str">
        <f>VLOOKUP(E164,Mapping!$E$11:$K$204,7,0)</f>
        <v>SCS</v>
      </c>
      <c r="I164" s="38"/>
      <c r="J164" s="48">
        <f>SUMPRODUCT(--('Input|Historical Data'!$E$9:$E$1179=$E164),--('Input|Historical Data'!$O$9:$O$1179="SCS"),--('Input|Historical Data'!$M$9:$M$1179=J$5),'Input|Historical Data'!$I$9:$I$1179)</f>
        <v>0</v>
      </c>
      <c r="K164" s="48">
        <f>SUMPRODUCT(--('Input|Historical Data'!$E$9:$E$1179=$E164),--('Input|Historical Data'!$O$9:$O$1179="SCS"),--('Input|Historical Data'!$N$9:$N$1179=K$5),'Input|Historical Data'!$I$9:$I$1179)</f>
        <v>0</v>
      </c>
      <c r="L164" s="48">
        <f>SUMPRODUCT(--('Input|Historical Data'!$E$9:$E$1179=$E164),--('Input|Historical Data'!$O$9:$O$1179="SCS"),--('Input|Historical Data'!$N$9:$N$1179=L$5),'Input|Historical Data'!$I$9:$I$1179)</f>
        <v>0</v>
      </c>
      <c r="M164" s="48">
        <f>SUMPRODUCT(--('Input|Historical Data'!$E$9:$E$1179=$E164),--('Input|Historical Data'!$O$9:$O$1179="SCS"),--('Input|Historical Data'!$N$9:$N$1179=M$5),'Input|Historical Data'!$I$9:$I$1179)</f>
        <v>0</v>
      </c>
      <c r="N164" s="48">
        <f>SUMPRODUCT(--('Input|Historical Data'!$E$9:$E$1179=$E164),--('Input|Historical Data'!$O$9:$O$1179="SCS"),--('Input|Historical Data'!$M$9:$M$1179=N$5),'Input|Historical Data'!$I$9:$I$1179)</f>
        <v>0</v>
      </c>
      <c r="O164" s="49">
        <f t="shared" si="93"/>
        <v>0</v>
      </c>
      <c r="P164" s="49">
        <f t="shared" si="94"/>
        <v>0</v>
      </c>
      <c r="Q164" s="49">
        <f t="shared" si="95"/>
        <v>0</v>
      </c>
      <c r="R164" s="49">
        <f t="shared" si="96"/>
        <v>0</v>
      </c>
      <c r="S164" s="38"/>
      <c r="T164" s="48">
        <f>SUMPRODUCT(--('Input|Historical Data'!$Q$9:$Q$1179=$E164),--('Input|Historical Data'!$AA$9:$AA$1179="SCS"),--('Input|Historical Data'!$Y$9:$Y$1179=T$5),'Input|Historical Data'!$U$9:$U$1179)</f>
        <v>0</v>
      </c>
      <c r="U164" s="48">
        <f>SUMPRODUCT(--('Input|Historical Data'!$Q$9:$Q$1179=$E164),--('Input|Historical Data'!$AA$9:$AA$1179="SCS"),--('Input|Historical Data'!$Z$9:$Z$1179=U$5),'Input|Historical Data'!$U$9:$U$1179)</f>
        <v>0</v>
      </c>
      <c r="V164" s="48">
        <f>SUMPRODUCT(--('Input|Historical Data'!$Q$9:$Q$1179=$E164),--('Input|Historical Data'!$AA$9:$AA$1179="SCS"),--('Input|Historical Data'!$Z$9:$Z$1179=V$5),'Input|Historical Data'!$U$9:$U$1179)</f>
        <v>0</v>
      </c>
      <c r="W164" s="48">
        <f>SUMPRODUCT(--('Input|Historical Data'!$Q$9:$Q$1179=$E164),--('Input|Historical Data'!$AA$9:$AA$1179="SCS"),--('Input|Historical Data'!$Z$9:$Z$1179=W$5),'Input|Historical Data'!$U$9:$U$1179)</f>
        <v>0</v>
      </c>
      <c r="X164" s="48">
        <f>SUMPRODUCT(--('Input|Historical Data'!$Q$9:$Q$1179=$E164),--('Input|Historical Data'!$AA$9:$AA$1179="SCS"),--('Input|Historical Data'!$Y$9:$Y$1179=X$5),'Input|Historical Data'!$U$9:$U$1179)</f>
        <v>0</v>
      </c>
      <c r="Y164" s="49">
        <f t="shared" si="89"/>
        <v>0</v>
      </c>
      <c r="Z164" s="49">
        <f t="shared" si="90"/>
        <v>0</v>
      </c>
      <c r="AA164" s="49">
        <f t="shared" si="91"/>
        <v>0</v>
      </c>
      <c r="AB164" s="49">
        <f t="shared" si="92"/>
        <v>0</v>
      </c>
      <c r="AC164" s="38"/>
      <c r="AD164" s="48">
        <f>SUMPRODUCT(--('Input|Historical Data'!$AC$9:$AC$1180=$E164),--('Input|Historical Data'!$AM$9:$AM$1180="SCS"),--('Input|Historical Data'!$AK$9:$AK$1180=AD$5),'Input|Historical Data'!$AG$9:$AG$1180)</f>
        <v>0</v>
      </c>
      <c r="AE164" s="48">
        <f>SUMPRODUCT(--('Input|Historical Data'!$AC$9:$AC$1180=$E164),--('Input|Historical Data'!$AM$9:$AM$1180="SCS"),--('Input|Historical Data'!$AL$9:$AL$1180=AE$5),'Input|Historical Data'!$AG$9:$AG$1180)</f>
        <v>0</v>
      </c>
      <c r="AF164" s="48">
        <f>SUMPRODUCT(--('Input|Historical Data'!$AC$9:$AC$1180=$E164),--('Input|Historical Data'!$AM$9:$AM$1180="SCS"),--('Input|Historical Data'!$AL$9:$AL$1180=AF$5),'Input|Historical Data'!$AG$9:$AG$1180)</f>
        <v>0</v>
      </c>
      <c r="AG164" s="48">
        <f>SUMPRODUCT(--('Input|Historical Data'!$AC$9:$AC$1180=$E164),--('Input|Historical Data'!$AM$9:$AM$1180="SCS"),--('Input|Historical Data'!$AL$9:$AL$1180=AG$5),'Input|Historical Data'!$AG$9:$AG$1180)</f>
        <v>0</v>
      </c>
      <c r="AH164" s="48">
        <f>SUMPRODUCT(--('Input|Historical Data'!$AC$9:$AC$1180=$E164),--('Input|Historical Data'!$AM$9:$AM$1180="SCS"),--('Input|Historical Data'!$AK$9:$AK$1180=AH$5),'Input|Historical Data'!$AG$9:$AG$1180)</f>
        <v>0</v>
      </c>
      <c r="AI164" s="49">
        <f t="shared" si="97"/>
        <v>0</v>
      </c>
      <c r="AJ164" s="49">
        <f t="shared" si="98"/>
        <v>0</v>
      </c>
      <c r="AK164" s="49">
        <f t="shared" si="99"/>
        <v>0</v>
      </c>
      <c r="AL164" s="49">
        <f t="shared" si="100"/>
        <v>0</v>
      </c>
      <c r="AM164" s="38"/>
      <c r="AN164" s="48"/>
      <c r="AO164" s="48"/>
      <c r="AP164" s="48"/>
      <c r="AQ164" s="48"/>
      <c r="AR164" s="48"/>
      <c r="AS164" s="49"/>
      <c r="AT164" s="49"/>
      <c r="AU164" s="49"/>
      <c r="AV164" s="49"/>
      <c r="AW164" s="38"/>
      <c r="AX164" s="49">
        <f t="shared" si="101"/>
        <v>0</v>
      </c>
      <c r="AY164" s="49">
        <f t="shared" si="102"/>
        <v>0</v>
      </c>
      <c r="AZ164" s="49">
        <f t="shared" si="103"/>
        <v>0</v>
      </c>
      <c r="BA164" s="49">
        <f t="shared" si="104"/>
        <v>0</v>
      </c>
      <c r="BB164" s="44"/>
    </row>
    <row r="165" spans="3:54" s="7" customFormat="1" outlineLevel="1" x14ac:dyDescent="0.3">
      <c r="C165" s="38"/>
      <c r="D165" s="38"/>
      <c r="E165" s="38" t="s">
        <v>236</v>
      </c>
      <c r="F165" s="38" t="s">
        <v>417</v>
      </c>
      <c r="G165" s="38" t="str">
        <f>VLOOKUP(E165,Mapping!$E$11:$G$204,3,0)</f>
        <v>Replacement</v>
      </c>
      <c r="H165" s="38" t="str">
        <f>VLOOKUP(E165,Mapping!$E$11:$K$204,7,0)</f>
        <v>SCS</v>
      </c>
      <c r="I165" s="38"/>
      <c r="J165" s="48">
        <f>SUMPRODUCT(--('Input|Historical Data'!$E$9:$E$1179=$E165),--('Input|Historical Data'!$O$9:$O$1179="SCS"),--('Input|Historical Data'!$M$9:$M$1179=J$5),'Input|Historical Data'!$I$9:$I$1179)</f>
        <v>0</v>
      </c>
      <c r="K165" s="48">
        <f>SUMPRODUCT(--('Input|Historical Data'!$E$9:$E$1179=$E165),--('Input|Historical Data'!$O$9:$O$1179="SCS"),--('Input|Historical Data'!$N$9:$N$1179=K$5),'Input|Historical Data'!$I$9:$I$1179)</f>
        <v>0</v>
      </c>
      <c r="L165" s="48">
        <f>SUMPRODUCT(--('Input|Historical Data'!$E$9:$E$1179=$E165),--('Input|Historical Data'!$O$9:$O$1179="SCS"),--('Input|Historical Data'!$N$9:$N$1179=L$5),'Input|Historical Data'!$I$9:$I$1179)</f>
        <v>0</v>
      </c>
      <c r="M165" s="48">
        <f>SUMPRODUCT(--('Input|Historical Data'!$E$9:$E$1179=$E165),--('Input|Historical Data'!$O$9:$O$1179="SCS"),--('Input|Historical Data'!$N$9:$N$1179=M$5),'Input|Historical Data'!$I$9:$I$1179)</f>
        <v>0</v>
      </c>
      <c r="N165" s="48">
        <f>SUMPRODUCT(--('Input|Historical Data'!$E$9:$E$1179=$E165),--('Input|Historical Data'!$O$9:$O$1179="SCS"),--('Input|Historical Data'!$M$9:$M$1179=N$5),'Input|Historical Data'!$I$9:$I$1179)</f>
        <v>0</v>
      </c>
      <c r="O165" s="49">
        <f t="shared" si="93"/>
        <v>0</v>
      </c>
      <c r="P165" s="49">
        <f t="shared" si="94"/>
        <v>0</v>
      </c>
      <c r="Q165" s="49">
        <f t="shared" si="95"/>
        <v>0</v>
      </c>
      <c r="R165" s="49">
        <f t="shared" si="96"/>
        <v>0</v>
      </c>
      <c r="S165" s="38"/>
      <c r="T165" s="48">
        <f>SUMPRODUCT(--('Input|Historical Data'!$Q$9:$Q$1179=$E165),--('Input|Historical Data'!$AA$9:$AA$1179="SCS"),--('Input|Historical Data'!$Y$9:$Y$1179=T$5),'Input|Historical Data'!$U$9:$U$1179)</f>
        <v>0</v>
      </c>
      <c r="U165" s="48">
        <f>SUMPRODUCT(--('Input|Historical Data'!$Q$9:$Q$1179=$E165),--('Input|Historical Data'!$AA$9:$AA$1179="SCS"),--('Input|Historical Data'!$Z$9:$Z$1179=U$5),'Input|Historical Data'!$U$9:$U$1179)</f>
        <v>0</v>
      </c>
      <c r="V165" s="48">
        <f>SUMPRODUCT(--('Input|Historical Data'!$Q$9:$Q$1179=$E165),--('Input|Historical Data'!$AA$9:$AA$1179="SCS"),--('Input|Historical Data'!$Z$9:$Z$1179=V$5),'Input|Historical Data'!$U$9:$U$1179)</f>
        <v>0</v>
      </c>
      <c r="W165" s="48">
        <f>SUMPRODUCT(--('Input|Historical Data'!$Q$9:$Q$1179=$E165),--('Input|Historical Data'!$AA$9:$AA$1179="SCS"),--('Input|Historical Data'!$Z$9:$Z$1179=W$5),'Input|Historical Data'!$U$9:$U$1179)</f>
        <v>0</v>
      </c>
      <c r="X165" s="48">
        <f>SUMPRODUCT(--('Input|Historical Data'!$Q$9:$Q$1179=$E165),--('Input|Historical Data'!$AA$9:$AA$1179="SCS"),--('Input|Historical Data'!$Y$9:$Y$1179=X$5),'Input|Historical Data'!$U$9:$U$1179)</f>
        <v>0</v>
      </c>
      <c r="Y165" s="49">
        <f t="shared" si="89"/>
        <v>0</v>
      </c>
      <c r="Z165" s="49">
        <f t="shared" si="90"/>
        <v>0</v>
      </c>
      <c r="AA165" s="49">
        <f t="shared" si="91"/>
        <v>0</v>
      </c>
      <c r="AB165" s="49">
        <f t="shared" si="92"/>
        <v>0</v>
      </c>
      <c r="AC165" s="38"/>
      <c r="AD165" s="48">
        <f>SUMPRODUCT(--('Input|Historical Data'!$AC$9:$AC$1180=$E165),--('Input|Historical Data'!$AM$9:$AM$1180="SCS"),--('Input|Historical Data'!$AK$9:$AK$1180=AD$5),'Input|Historical Data'!$AG$9:$AG$1180)</f>
        <v>0</v>
      </c>
      <c r="AE165" s="48">
        <f>SUMPRODUCT(--('Input|Historical Data'!$AC$9:$AC$1180=$E165),--('Input|Historical Data'!$AM$9:$AM$1180="SCS"),--('Input|Historical Data'!$AL$9:$AL$1180=AE$5),'Input|Historical Data'!$AG$9:$AG$1180)</f>
        <v>0</v>
      </c>
      <c r="AF165" s="48">
        <f>SUMPRODUCT(--('Input|Historical Data'!$AC$9:$AC$1180=$E165),--('Input|Historical Data'!$AM$9:$AM$1180="SCS"),--('Input|Historical Data'!$AL$9:$AL$1180=AF$5),'Input|Historical Data'!$AG$9:$AG$1180)</f>
        <v>0</v>
      </c>
      <c r="AG165" s="48">
        <f>SUMPRODUCT(--('Input|Historical Data'!$AC$9:$AC$1180=$E165),--('Input|Historical Data'!$AM$9:$AM$1180="SCS"),--('Input|Historical Data'!$AL$9:$AL$1180=AG$5),'Input|Historical Data'!$AG$9:$AG$1180)</f>
        <v>0</v>
      </c>
      <c r="AH165" s="48">
        <f>SUMPRODUCT(--('Input|Historical Data'!$AC$9:$AC$1180=$E165),--('Input|Historical Data'!$AM$9:$AM$1180="SCS"),--('Input|Historical Data'!$AK$9:$AK$1180=AH$5),'Input|Historical Data'!$AG$9:$AG$1180)</f>
        <v>0</v>
      </c>
      <c r="AI165" s="49">
        <f t="shared" si="97"/>
        <v>0</v>
      </c>
      <c r="AJ165" s="49">
        <f t="shared" si="98"/>
        <v>0</v>
      </c>
      <c r="AK165" s="49">
        <f t="shared" si="99"/>
        <v>0</v>
      </c>
      <c r="AL165" s="49">
        <f t="shared" si="100"/>
        <v>0</v>
      </c>
      <c r="AM165" s="38"/>
      <c r="AN165" s="48"/>
      <c r="AO165" s="48"/>
      <c r="AP165" s="48"/>
      <c r="AQ165" s="48"/>
      <c r="AR165" s="48"/>
      <c r="AS165" s="49"/>
      <c r="AT165" s="49"/>
      <c r="AU165" s="49"/>
      <c r="AV165" s="49"/>
      <c r="AW165" s="38"/>
      <c r="AX165" s="49">
        <f t="shared" si="101"/>
        <v>0</v>
      </c>
      <c r="AY165" s="49">
        <f t="shared" si="102"/>
        <v>0</v>
      </c>
      <c r="AZ165" s="49">
        <f t="shared" si="103"/>
        <v>0</v>
      </c>
      <c r="BA165" s="49">
        <f t="shared" si="104"/>
        <v>0</v>
      </c>
      <c r="BB165" s="44"/>
    </row>
    <row r="166" spans="3:54" s="7" customFormat="1" outlineLevel="1" x14ac:dyDescent="0.3">
      <c r="C166" s="38"/>
      <c r="D166" s="38"/>
      <c r="E166" s="38" t="s">
        <v>544</v>
      </c>
      <c r="F166" s="38" t="s">
        <v>545</v>
      </c>
      <c r="G166" s="38" t="str">
        <f>VLOOKUP(E166,Mapping!$E$11:$G$204,3,0)</f>
        <v>Replacement</v>
      </c>
      <c r="H166" s="38" t="str">
        <f>VLOOKUP(E166,Mapping!$E$11:$K$204,7,0)</f>
        <v>SCS</v>
      </c>
      <c r="I166" s="38"/>
      <c r="J166" s="48">
        <f>SUMPRODUCT(--('Input|Historical Data'!$E$9:$E$1179=$E166),--('Input|Historical Data'!$O$9:$O$1179="SCS"),--('Input|Historical Data'!$M$9:$M$1179=J$5),'Input|Historical Data'!$I$9:$I$1179)</f>
        <v>0</v>
      </c>
      <c r="K166" s="48">
        <f>SUMPRODUCT(--('Input|Historical Data'!$E$9:$E$1179=$E166),--('Input|Historical Data'!$O$9:$O$1179="SCS"),--('Input|Historical Data'!$N$9:$N$1179=K$5),'Input|Historical Data'!$I$9:$I$1179)</f>
        <v>0</v>
      </c>
      <c r="L166" s="48">
        <f>SUMPRODUCT(--('Input|Historical Data'!$E$9:$E$1179=$E166),--('Input|Historical Data'!$O$9:$O$1179="SCS"),--('Input|Historical Data'!$N$9:$N$1179=L$5),'Input|Historical Data'!$I$9:$I$1179)</f>
        <v>0</v>
      </c>
      <c r="M166" s="48">
        <f>SUMPRODUCT(--('Input|Historical Data'!$E$9:$E$1179=$E166),--('Input|Historical Data'!$O$9:$O$1179="SCS"),--('Input|Historical Data'!$N$9:$N$1179=M$5),'Input|Historical Data'!$I$9:$I$1179)</f>
        <v>0</v>
      </c>
      <c r="N166" s="48">
        <f>SUMPRODUCT(--('Input|Historical Data'!$E$9:$E$1179=$E166),--('Input|Historical Data'!$O$9:$O$1179="SCS"),--('Input|Historical Data'!$M$9:$M$1179=N$5),'Input|Historical Data'!$I$9:$I$1179)</f>
        <v>0</v>
      </c>
      <c r="O166" s="49">
        <f t="shared" si="93"/>
        <v>0</v>
      </c>
      <c r="P166" s="49">
        <f t="shared" si="94"/>
        <v>0</v>
      </c>
      <c r="Q166" s="49">
        <f t="shared" si="95"/>
        <v>0</v>
      </c>
      <c r="R166" s="49">
        <f t="shared" si="96"/>
        <v>0</v>
      </c>
      <c r="S166" s="38"/>
      <c r="T166" s="48">
        <f>SUMPRODUCT(--('Input|Historical Data'!$Q$9:$Q$1179=$E166),--('Input|Historical Data'!$AA$9:$AA$1179="SCS"),--('Input|Historical Data'!$Y$9:$Y$1179=T$5),'Input|Historical Data'!$U$9:$U$1179)</f>
        <v>0</v>
      </c>
      <c r="U166" s="48">
        <f>SUMPRODUCT(--('Input|Historical Data'!$Q$9:$Q$1179=$E166),--('Input|Historical Data'!$AA$9:$AA$1179="SCS"),--('Input|Historical Data'!$Z$9:$Z$1179=U$5),'Input|Historical Data'!$U$9:$U$1179)</f>
        <v>0</v>
      </c>
      <c r="V166" s="48">
        <f>SUMPRODUCT(--('Input|Historical Data'!$Q$9:$Q$1179=$E166),--('Input|Historical Data'!$AA$9:$AA$1179="SCS"),--('Input|Historical Data'!$Z$9:$Z$1179=V$5),'Input|Historical Data'!$U$9:$U$1179)</f>
        <v>0</v>
      </c>
      <c r="W166" s="48">
        <f>SUMPRODUCT(--('Input|Historical Data'!$Q$9:$Q$1179=$E166),--('Input|Historical Data'!$AA$9:$AA$1179="SCS"),--('Input|Historical Data'!$Z$9:$Z$1179=W$5),'Input|Historical Data'!$U$9:$U$1179)</f>
        <v>0</v>
      </c>
      <c r="X166" s="48">
        <f>SUMPRODUCT(--('Input|Historical Data'!$Q$9:$Q$1179=$E166),--('Input|Historical Data'!$AA$9:$AA$1179="SCS"),--('Input|Historical Data'!$Y$9:$Y$1179=X$5),'Input|Historical Data'!$U$9:$U$1179)</f>
        <v>0</v>
      </c>
      <c r="Y166" s="49">
        <f t="shared" ref="Y166" si="105">IFERROR(U166/SUM($U166:$W166),0)</f>
        <v>0</v>
      </c>
      <c r="Z166" s="49">
        <f t="shared" ref="Z166" si="106">IFERROR(V166/SUM($U166:$W166),0)</f>
        <v>0</v>
      </c>
      <c r="AA166" s="49">
        <f t="shared" ref="AA166" si="107">IFERROR(W166/SUM($U166:$W166),0)</f>
        <v>0</v>
      </c>
      <c r="AB166" s="49">
        <f t="shared" ref="AB166" si="108">IFERROR(X166/T166,0)</f>
        <v>0</v>
      </c>
      <c r="AC166" s="38"/>
      <c r="AD166" s="48">
        <f>SUMPRODUCT(--('Input|Historical Data'!$AC$9:$AC$1180=$E166),--('Input|Historical Data'!$AM$9:$AM$1180="SCS"),--('Input|Historical Data'!$AK$9:$AK$1180=AD$5),'Input|Historical Data'!$AG$9:$AG$1180)</f>
        <v>0</v>
      </c>
      <c r="AE166" s="48">
        <f>SUMPRODUCT(--('Input|Historical Data'!$AC$9:$AC$1180=$E166),--('Input|Historical Data'!$AM$9:$AM$1180="SCS"),--('Input|Historical Data'!$AL$9:$AL$1180=AE$5),'Input|Historical Data'!$AG$9:$AG$1180)</f>
        <v>0</v>
      </c>
      <c r="AF166" s="48">
        <f>SUMPRODUCT(--('Input|Historical Data'!$AC$9:$AC$1180=$E166),--('Input|Historical Data'!$AM$9:$AM$1180="SCS"),--('Input|Historical Data'!$AL$9:$AL$1180=AF$5),'Input|Historical Data'!$AG$9:$AG$1180)</f>
        <v>0</v>
      </c>
      <c r="AG166" s="48">
        <f>SUMPRODUCT(--('Input|Historical Data'!$AC$9:$AC$1180=$E166),--('Input|Historical Data'!$AM$9:$AM$1180="SCS"),--('Input|Historical Data'!$AL$9:$AL$1180=AG$5),'Input|Historical Data'!$AG$9:$AG$1180)</f>
        <v>0</v>
      </c>
      <c r="AH166" s="48">
        <f>SUMPRODUCT(--('Input|Historical Data'!$AC$9:$AC$1180=$E166),--('Input|Historical Data'!$AM$9:$AM$1180="SCS"),--('Input|Historical Data'!$AK$9:$AK$1180=AH$5),'Input|Historical Data'!$AG$9:$AG$1180)</f>
        <v>0</v>
      </c>
      <c r="AI166" s="49">
        <f t="shared" ref="AI166" si="109">IFERROR(AE166/SUM($AE166:$AG166),0)</f>
        <v>0</v>
      </c>
      <c r="AJ166" s="49">
        <f t="shared" ref="AJ166" si="110">IFERROR(AF166/SUM($AE166:$AG166),0)</f>
        <v>0</v>
      </c>
      <c r="AK166" s="49">
        <f t="shared" ref="AK166" si="111">IFERROR(AG166/SUM($AE166:$AG166),0)</f>
        <v>0</v>
      </c>
      <c r="AL166" s="49">
        <f t="shared" ref="AL166" si="112">IFERROR(AH166/AD166,0)</f>
        <v>0</v>
      </c>
      <c r="AM166" s="38"/>
      <c r="AN166" s="48"/>
      <c r="AO166" s="48"/>
      <c r="AP166" s="48"/>
      <c r="AQ166" s="48"/>
      <c r="AR166" s="48"/>
      <c r="AS166" s="49"/>
      <c r="AT166" s="49"/>
      <c r="AU166" s="49"/>
      <c r="AV166" s="49"/>
      <c r="AW166" s="38"/>
      <c r="AX166" s="49">
        <f t="shared" ref="AX166" si="113">IFERROR(SUM(U166,AE166)/SUM($U166:$W166,$AE166:$AG166),0)</f>
        <v>0</v>
      </c>
      <c r="AY166" s="49">
        <f t="shared" ref="AY166" si="114">IFERROR(SUM(V166,AF166)/SUM($U166:$W166,$AE166:$AG166),0)</f>
        <v>0</v>
      </c>
      <c r="AZ166" s="49">
        <f t="shared" ref="AZ166" si="115">IFERROR(SUM(W166,AG166)/SUM($U166:$W166,$AE166:$AG166),0)</f>
        <v>0</v>
      </c>
      <c r="BA166" s="49">
        <f t="shared" ref="BA166" si="116">IFERROR(SUM(X166,AH166)/SUM(T166,AD166),0)</f>
        <v>0</v>
      </c>
      <c r="BB166" s="44"/>
    </row>
    <row r="167" spans="3:54" s="7" customFormat="1" outlineLevel="1" x14ac:dyDescent="0.3">
      <c r="C167" s="38"/>
      <c r="D167" s="38"/>
      <c r="E167" s="38" t="s">
        <v>237</v>
      </c>
      <c r="F167" s="38" t="s">
        <v>418</v>
      </c>
      <c r="G167" s="38" t="str">
        <f>VLOOKUP(E167,Mapping!$E$11:$G$204,3,0)</f>
        <v>Replacement</v>
      </c>
      <c r="H167" s="38" t="str">
        <f>VLOOKUP(E167,Mapping!$E$11:$K$204,7,0)</f>
        <v>SCS</v>
      </c>
      <c r="I167" s="38"/>
      <c r="J167" s="48">
        <f>SUMPRODUCT(--('Input|Historical Data'!$E$9:$E$1179=$E167),--('Input|Historical Data'!$O$9:$O$1179="SCS"),--('Input|Historical Data'!$M$9:$M$1179=J$5),'Input|Historical Data'!$I$9:$I$1179)</f>
        <v>94.422999999999988</v>
      </c>
      <c r="K167" s="48">
        <f>SUMPRODUCT(--('Input|Historical Data'!$E$9:$E$1179=$E167),--('Input|Historical Data'!$O$9:$O$1179="SCS"),--('Input|Historical Data'!$N$9:$N$1179=K$5),'Input|Historical Data'!$I$9:$I$1179)</f>
        <v>59.722999999999999</v>
      </c>
      <c r="L167" s="48">
        <f>SUMPRODUCT(--('Input|Historical Data'!$E$9:$E$1179=$E167),--('Input|Historical Data'!$O$9:$O$1179="SCS"),--('Input|Historical Data'!$N$9:$N$1179=L$5),'Input|Historical Data'!$I$9:$I$1179)</f>
        <v>6.98</v>
      </c>
      <c r="M167" s="48">
        <f>SUMPRODUCT(--('Input|Historical Data'!$E$9:$E$1179=$E167),--('Input|Historical Data'!$O$9:$O$1179="SCS"),--('Input|Historical Data'!$N$9:$N$1179=M$5),'Input|Historical Data'!$I$9:$I$1179)</f>
        <v>27.720000000000002</v>
      </c>
      <c r="N167" s="48">
        <f>SUMPRODUCT(--('Input|Historical Data'!$E$9:$E$1179=$E167),--('Input|Historical Data'!$O$9:$O$1179="SCS"),--('Input|Historical Data'!$M$9:$M$1179=N$5),'Input|Historical Data'!$I$9:$I$1179)</f>
        <v>9.6869999999999994</v>
      </c>
      <c r="O167" s="49">
        <f t="shared" si="93"/>
        <v>0.63250479226459655</v>
      </c>
      <c r="P167" s="49">
        <f t="shared" si="94"/>
        <v>7.3922667146775686E-2</v>
      </c>
      <c r="Q167" s="49">
        <f t="shared" si="95"/>
        <v>0.29357254058862781</v>
      </c>
      <c r="R167" s="49">
        <f t="shared" si="96"/>
        <v>0.1025915296061341</v>
      </c>
      <c r="S167" s="38"/>
      <c r="T167" s="48">
        <f>SUMPRODUCT(--('Input|Historical Data'!$Q$9:$Q$1179=$E167),--('Input|Historical Data'!$AA$9:$AA$1179="SCS"),--('Input|Historical Data'!$Y$9:$Y$1179=T$5),'Input|Historical Data'!$U$9:$U$1179)</f>
        <v>19.193999999999999</v>
      </c>
      <c r="U167" s="48">
        <f>SUMPRODUCT(--('Input|Historical Data'!$Q$9:$Q$1179=$E167),--('Input|Historical Data'!$AA$9:$AA$1179="SCS"),--('Input|Historical Data'!$Z$9:$Z$1179=U$5),'Input|Historical Data'!$U$9:$U$1179)</f>
        <v>12.148</v>
      </c>
      <c r="V167" s="48">
        <f>SUMPRODUCT(--('Input|Historical Data'!$Q$9:$Q$1179=$E167),--('Input|Historical Data'!$AA$9:$AA$1179="SCS"),--('Input|Historical Data'!$Z$9:$Z$1179=V$5),'Input|Historical Data'!$U$9:$U$1179)</f>
        <v>2.6470000000000002</v>
      </c>
      <c r="W167" s="48">
        <f>SUMPRODUCT(--('Input|Historical Data'!$Q$9:$Q$1179=$E167),--('Input|Historical Data'!$AA$9:$AA$1179="SCS"),--('Input|Historical Data'!$Z$9:$Z$1179=W$5),'Input|Historical Data'!$U$9:$U$1179)</f>
        <v>4.399</v>
      </c>
      <c r="X167" s="48">
        <f>SUMPRODUCT(--('Input|Historical Data'!$Q$9:$Q$1179=$E167),--('Input|Historical Data'!$AA$9:$AA$1179="SCS"),--('Input|Historical Data'!$Y$9:$Y$1179=X$5),'Input|Historical Data'!$U$9:$U$1179)</f>
        <v>2.6579999999999999</v>
      </c>
      <c r="Y167" s="49">
        <f t="shared" si="89"/>
        <v>0.63290611649473794</v>
      </c>
      <c r="Z167" s="49">
        <f t="shared" si="90"/>
        <v>0.13790767948317184</v>
      </c>
      <c r="AA167" s="49">
        <f t="shared" si="91"/>
        <v>0.22918620402209025</v>
      </c>
      <c r="AB167" s="49">
        <f t="shared" si="92"/>
        <v>0.13848077524226321</v>
      </c>
      <c r="AC167" s="38"/>
      <c r="AD167" s="48">
        <f>SUMPRODUCT(--('Input|Historical Data'!$AC$9:$AC$1180=$E167),--('Input|Historical Data'!$AM$9:$AM$1180="SCS"),--('Input|Historical Data'!$AK$9:$AK$1180=AD$5),'Input|Historical Data'!$AG$9:$AG$1180)</f>
        <v>30.213999999999999</v>
      </c>
      <c r="AE167" s="48">
        <f>SUMPRODUCT(--('Input|Historical Data'!$AC$9:$AC$1180=$E167),--('Input|Historical Data'!$AM$9:$AM$1180="SCS"),--('Input|Historical Data'!$AL$9:$AL$1180=AE$5),'Input|Historical Data'!$AG$9:$AG$1180)</f>
        <v>18.762</v>
      </c>
      <c r="AF167" s="48">
        <f>SUMPRODUCT(--('Input|Historical Data'!$AC$9:$AC$1180=$E167),--('Input|Historical Data'!$AM$9:$AM$1180="SCS"),--('Input|Historical Data'!$AL$9:$AL$1180=AF$5),'Input|Historical Data'!$AG$9:$AG$1180)</f>
        <v>5.8209999999999997</v>
      </c>
      <c r="AG167" s="48">
        <f>SUMPRODUCT(--('Input|Historical Data'!$AC$9:$AC$1180=$E167),--('Input|Historical Data'!$AM$9:$AM$1180="SCS"),--('Input|Historical Data'!$AL$9:$AL$1180=AG$5),'Input|Historical Data'!$AG$9:$AG$1180)</f>
        <v>5.6310000000000002</v>
      </c>
      <c r="AH167" s="48">
        <f>SUMPRODUCT(--('Input|Historical Data'!$AC$9:$AC$1180=$E167),--('Input|Historical Data'!$AM$9:$AM$1180="SCS"),--('Input|Historical Data'!$AK$9:$AK$1180=AH$5),'Input|Historical Data'!$AG$9:$AG$1180)</f>
        <v>6.101</v>
      </c>
      <c r="AI167" s="49">
        <f t="shared" si="97"/>
        <v>0.620970411067717</v>
      </c>
      <c r="AJ167" s="49">
        <f t="shared" si="98"/>
        <v>0.19265903223671146</v>
      </c>
      <c r="AK167" s="49">
        <f t="shared" si="99"/>
        <v>0.18637055669557159</v>
      </c>
      <c r="AL167" s="49">
        <f t="shared" si="100"/>
        <v>0.20192625934997022</v>
      </c>
      <c r="AM167" s="38"/>
      <c r="AN167" s="48"/>
      <c r="AO167" s="48"/>
      <c r="AP167" s="48"/>
      <c r="AQ167" s="48"/>
      <c r="AR167" s="48"/>
      <c r="AS167" s="49"/>
      <c r="AT167" s="49"/>
      <c r="AU167" s="49"/>
      <c r="AV167" s="49"/>
      <c r="AW167" s="38"/>
      <c r="AX167" s="49">
        <f t="shared" si="101"/>
        <v>0.62560718911917101</v>
      </c>
      <c r="AY167" s="49">
        <f t="shared" si="102"/>
        <v>0.17138924870466321</v>
      </c>
      <c r="AZ167" s="49">
        <f t="shared" si="103"/>
        <v>0.20300356217616583</v>
      </c>
      <c r="BA167" s="49">
        <f t="shared" si="104"/>
        <v>0.17727898316062177</v>
      </c>
      <c r="BB167" s="44"/>
    </row>
    <row r="168" spans="3:54" s="7" customFormat="1" outlineLevel="1" x14ac:dyDescent="0.3">
      <c r="C168" s="38"/>
      <c r="D168" s="38"/>
      <c r="E168" s="38" t="s">
        <v>238</v>
      </c>
      <c r="F168" s="38" t="s">
        <v>419</v>
      </c>
      <c r="G168" s="38" t="str">
        <f>VLOOKUP(E168,Mapping!$E$11:$G$204,3,0)</f>
        <v>Replacement</v>
      </c>
      <c r="H168" s="38" t="str">
        <f>VLOOKUP(E168,Mapping!$E$11:$K$204,7,0)</f>
        <v>SCS</v>
      </c>
      <c r="I168" s="38"/>
      <c r="J168" s="48">
        <f>SUMPRODUCT(--('Input|Historical Data'!$E$9:$E$1179=$E168),--('Input|Historical Data'!$O$9:$O$1179="SCS"),--('Input|Historical Data'!$M$9:$M$1179=J$5),'Input|Historical Data'!$I$9:$I$1179)</f>
        <v>0</v>
      </c>
      <c r="K168" s="48">
        <f>SUMPRODUCT(--('Input|Historical Data'!$E$9:$E$1179=$E168),--('Input|Historical Data'!$O$9:$O$1179="SCS"),--('Input|Historical Data'!$N$9:$N$1179=K$5),'Input|Historical Data'!$I$9:$I$1179)</f>
        <v>0</v>
      </c>
      <c r="L168" s="48">
        <f>SUMPRODUCT(--('Input|Historical Data'!$E$9:$E$1179=$E168),--('Input|Historical Data'!$O$9:$O$1179="SCS"),--('Input|Historical Data'!$N$9:$N$1179=L$5),'Input|Historical Data'!$I$9:$I$1179)</f>
        <v>0</v>
      </c>
      <c r="M168" s="48">
        <f>SUMPRODUCT(--('Input|Historical Data'!$E$9:$E$1179=$E168),--('Input|Historical Data'!$O$9:$O$1179="SCS"),--('Input|Historical Data'!$N$9:$N$1179=M$5),'Input|Historical Data'!$I$9:$I$1179)</f>
        <v>0</v>
      </c>
      <c r="N168" s="48">
        <f>SUMPRODUCT(--('Input|Historical Data'!$E$9:$E$1179=$E168),--('Input|Historical Data'!$O$9:$O$1179="SCS"),--('Input|Historical Data'!$M$9:$M$1179=N$5),'Input|Historical Data'!$I$9:$I$1179)</f>
        <v>0</v>
      </c>
      <c r="O168" s="49">
        <f t="shared" si="93"/>
        <v>0</v>
      </c>
      <c r="P168" s="49">
        <f t="shared" si="94"/>
        <v>0</v>
      </c>
      <c r="Q168" s="49">
        <f t="shared" si="95"/>
        <v>0</v>
      </c>
      <c r="R168" s="49">
        <f t="shared" si="96"/>
        <v>0</v>
      </c>
      <c r="S168" s="38"/>
      <c r="T168" s="48">
        <f>SUMPRODUCT(--('Input|Historical Data'!$Q$9:$Q$1179=$E168),--('Input|Historical Data'!$AA$9:$AA$1179="SCS"),--('Input|Historical Data'!$Y$9:$Y$1179=T$5),'Input|Historical Data'!$U$9:$U$1179)</f>
        <v>0</v>
      </c>
      <c r="U168" s="48">
        <f>SUMPRODUCT(--('Input|Historical Data'!$Q$9:$Q$1179=$E168),--('Input|Historical Data'!$AA$9:$AA$1179="SCS"),--('Input|Historical Data'!$Z$9:$Z$1179=U$5),'Input|Historical Data'!$U$9:$U$1179)</f>
        <v>0</v>
      </c>
      <c r="V168" s="48">
        <f>SUMPRODUCT(--('Input|Historical Data'!$Q$9:$Q$1179=$E168),--('Input|Historical Data'!$AA$9:$AA$1179="SCS"),--('Input|Historical Data'!$Z$9:$Z$1179=V$5),'Input|Historical Data'!$U$9:$U$1179)</f>
        <v>0</v>
      </c>
      <c r="W168" s="48">
        <f>SUMPRODUCT(--('Input|Historical Data'!$Q$9:$Q$1179=$E168),--('Input|Historical Data'!$AA$9:$AA$1179="SCS"),--('Input|Historical Data'!$Z$9:$Z$1179=W$5),'Input|Historical Data'!$U$9:$U$1179)</f>
        <v>0</v>
      </c>
      <c r="X168" s="48">
        <f>SUMPRODUCT(--('Input|Historical Data'!$Q$9:$Q$1179=$E168),--('Input|Historical Data'!$AA$9:$AA$1179="SCS"),--('Input|Historical Data'!$Y$9:$Y$1179=X$5),'Input|Historical Data'!$U$9:$U$1179)</f>
        <v>0</v>
      </c>
      <c r="Y168" s="49">
        <f t="shared" si="89"/>
        <v>0</v>
      </c>
      <c r="Z168" s="49">
        <f t="shared" si="90"/>
        <v>0</v>
      </c>
      <c r="AA168" s="49">
        <f t="shared" si="91"/>
        <v>0</v>
      </c>
      <c r="AB168" s="49">
        <f t="shared" si="92"/>
        <v>0</v>
      </c>
      <c r="AC168" s="38"/>
      <c r="AD168" s="48">
        <f>SUMPRODUCT(--('Input|Historical Data'!$AC$9:$AC$1180=$E168),--('Input|Historical Data'!$AM$9:$AM$1180="SCS"),--('Input|Historical Data'!$AK$9:$AK$1180=AD$5),'Input|Historical Data'!$AG$9:$AG$1180)</f>
        <v>0</v>
      </c>
      <c r="AE168" s="48">
        <f>SUMPRODUCT(--('Input|Historical Data'!$AC$9:$AC$1180=$E168),--('Input|Historical Data'!$AM$9:$AM$1180="SCS"),--('Input|Historical Data'!$AL$9:$AL$1180=AE$5),'Input|Historical Data'!$AG$9:$AG$1180)</f>
        <v>0</v>
      </c>
      <c r="AF168" s="48">
        <f>SUMPRODUCT(--('Input|Historical Data'!$AC$9:$AC$1180=$E168),--('Input|Historical Data'!$AM$9:$AM$1180="SCS"),--('Input|Historical Data'!$AL$9:$AL$1180=AF$5),'Input|Historical Data'!$AG$9:$AG$1180)</f>
        <v>0</v>
      </c>
      <c r="AG168" s="48">
        <f>SUMPRODUCT(--('Input|Historical Data'!$AC$9:$AC$1180=$E168),--('Input|Historical Data'!$AM$9:$AM$1180="SCS"),--('Input|Historical Data'!$AL$9:$AL$1180=AG$5),'Input|Historical Data'!$AG$9:$AG$1180)</f>
        <v>0</v>
      </c>
      <c r="AH168" s="48">
        <f>SUMPRODUCT(--('Input|Historical Data'!$AC$9:$AC$1180=$E168),--('Input|Historical Data'!$AM$9:$AM$1180="SCS"),--('Input|Historical Data'!$AK$9:$AK$1180=AH$5),'Input|Historical Data'!$AG$9:$AG$1180)</f>
        <v>0</v>
      </c>
      <c r="AI168" s="49">
        <f t="shared" si="97"/>
        <v>0</v>
      </c>
      <c r="AJ168" s="49">
        <f t="shared" si="98"/>
        <v>0</v>
      </c>
      <c r="AK168" s="49">
        <f t="shared" si="99"/>
        <v>0</v>
      </c>
      <c r="AL168" s="49">
        <f t="shared" si="100"/>
        <v>0</v>
      </c>
      <c r="AM168" s="38"/>
      <c r="AN168" s="48"/>
      <c r="AO168" s="48"/>
      <c r="AP168" s="48"/>
      <c r="AQ168" s="48"/>
      <c r="AR168" s="48"/>
      <c r="AS168" s="49"/>
      <c r="AT168" s="49"/>
      <c r="AU168" s="49"/>
      <c r="AV168" s="49"/>
      <c r="AW168" s="38"/>
      <c r="AX168" s="49">
        <f t="shared" si="101"/>
        <v>0</v>
      </c>
      <c r="AY168" s="49">
        <f t="shared" si="102"/>
        <v>0</v>
      </c>
      <c r="AZ168" s="49">
        <f t="shared" si="103"/>
        <v>0</v>
      </c>
      <c r="BA168" s="49">
        <f t="shared" si="104"/>
        <v>0</v>
      </c>
      <c r="BB168" s="44"/>
    </row>
    <row r="169" spans="3:54" s="7" customFormat="1" outlineLevel="1" x14ac:dyDescent="0.3">
      <c r="C169" s="38"/>
      <c r="D169" s="38"/>
      <c r="E169" s="38" t="s">
        <v>239</v>
      </c>
      <c r="F169" s="38" t="s">
        <v>420</v>
      </c>
      <c r="G169" s="38" t="str">
        <f>VLOOKUP(E169,Mapping!$E$11:$G$204,3,0)</f>
        <v>Replacement</v>
      </c>
      <c r="H169" s="38" t="str">
        <f>VLOOKUP(E169,Mapping!$E$11:$K$204,7,0)</f>
        <v>SCS</v>
      </c>
      <c r="I169" s="38"/>
      <c r="J169" s="48">
        <f>SUMPRODUCT(--('Input|Historical Data'!$E$9:$E$1179=$E169),--('Input|Historical Data'!$O$9:$O$1179="SCS"),--('Input|Historical Data'!$M$9:$M$1179=J$5),'Input|Historical Data'!$I$9:$I$1179)</f>
        <v>0</v>
      </c>
      <c r="K169" s="48">
        <f>SUMPRODUCT(--('Input|Historical Data'!$E$9:$E$1179=$E169),--('Input|Historical Data'!$O$9:$O$1179="SCS"),--('Input|Historical Data'!$N$9:$N$1179=K$5),'Input|Historical Data'!$I$9:$I$1179)</f>
        <v>0</v>
      </c>
      <c r="L169" s="48">
        <f>SUMPRODUCT(--('Input|Historical Data'!$E$9:$E$1179=$E169),--('Input|Historical Data'!$O$9:$O$1179="SCS"),--('Input|Historical Data'!$N$9:$N$1179=L$5),'Input|Historical Data'!$I$9:$I$1179)</f>
        <v>0</v>
      </c>
      <c r="M169" s="48">
        <f>SUMPRODUCT(--('Input|Historical Data'!$E$9:$E$1179=$E169),--('Input|Historical Data'!$O$9:$O$1179="SCS"),--('Input|Historical Data'!$N$9:$N$1179=M$5),'Input|Historical Data'!$I$9:$I$1179)</f>
        <v>0</v>
      </c>
      <c r="N169" s="48">
        <f>SUMPRODUCT(--('Input|Historical Data'!$E$9:$E$1179=$E169),--('Input|Historical Data'!$O$9:$O$1179="SCS"),--('Input|Historical Data'!$M$9:$M$1179=N$5),'Input|Historical Data'!$I$9:$I$1179)</f>
        <v>0</v>
      </c>
      <c r="O169" s="49">
        <f t="shared" si="93"/>
        <v>0</v>
      </c>
      <c r="P169" s="49">
        <f t="shared" si="94"/>
        <v>0</v>
      </c>
      <c r="Q169" s="49">
        <f t="shared" si="95"/>
        <v>0</v>
      </c>
      <c r="R169" s="49">
        <f t="shared" si="96"/>
        <v>0</v>
      </c>
      <c r="S169" s="38"/>
      <c r="T169" s="48">
        <f>SUMPRODUCT(--('Input|Historical Data'!$Q$9:$Q$1179=$E169),--('Input|Historical Data'!$AA$9:$AA$1179="SCS"),--('Input|Historical Data'!$Y$9:$Y$1179=T$5),'Input|Historical Data'!$U$9:$U$1179)</f>
        <v>0</v>
      </c>
      <c r="U169" s="48">
        <f>SUMPRODUCT(--('Input|Historical Data'!$Q$9:$Q$1179=$E169),--('Input|Historical Data'!$AA$9:$AA$1179="SCS"),--('Input|Historical Data'!$Z$9:$Z$1179=U$5),'Input|Historical Data'!$U$9:$U$1179)</f>
        <v>0</v>
      </c>
      <c r="V169" s="48">
        <f>SUMPRODUCT(--('Input|Historical Data'!$Q$9:$Q$1179=$E169),--('Input|Historical Data'!$AA$9:$AA$1179="SCS"),--('Input|Historical Data'!$Z$9:$Z$1179=V$5),'Input|Historical Data'!$U$9:$U$1179)</f>
        <v>0</v>
      </c>
      <c r="W169" s="48">
        <f>SUMPRODUCT(--('Input|Historical Data'!$Q$9:$Q$1179=$E169),--('Input|Historical Data'!$AA$9:$AA$1179="SCS"),--('Input|Historical Data'!$Z$9:$Z$1179=W$5),'Input|Historical Data'!$U$9:$U$1179)</f>
        <v>0</v>
      </c>
      <c r="X169" s="48">
        <f>SUMPRODUCT(--('Input|Historical Data'!$Q$9:$Q$1179=$E169),--('Input|Historical Data'!$AA$9:$AA$1179="SCS"),--('Input|Historical Data'!$Y$9:$Y$1179=X$5),'Input|Historical Data'!$U$9:$U$1179)</f>
        <v>0</v>
      </c>
      <c r="Y169" s="49">
        <f t="shared" si="89"/>
        <v>0</v>
      </c>
      <c r="Z169" s="49">
        <f t="shared" si="90"/>
        <v>0</v>
      </c>
      <c r="AA169" s="49">
        <f t="shared" si="91"/>
        <v>0</v>
      </c>
      <c r="AB169" s="49">
        <f t="shared" si="92"/>
        <v>0</v>
      </c>
      <c r="AC169" s="38"/>
      <c r="AD169" s="48">
        <f>SUMPRODUCT(--('Input|Historical Data'!$AC$9:$AC$1180=$E169),--('Input|Historical Data'!$AM$9:$AM$1180="SCS"),--('Input|Historical Data'!$AK$9:$AK$1180=AD$5),'Input|Historical Data'!$AG$9:$AG$1180)</f>
        <v>0</v>
      </c>
      <c r="AE169" s="48">
        <f>SUMPRODUCT(--('Input|Historical Data'!$AC$9:$AC$1180=$E169),--('Input|Historical Data'!$AM$9:$AM$1180="SCS"),--('Input|Historical Data'!$AL$9:$AL$1180=AE$5),'Input|Historical Data'!$AG$9:$AG$1180)</f>
        <v>0</v>
      </c>
      <c r="AF169" s="48">
        <f>SUMPRODUCT(--('Input|Historical Data'!$AC$9:$AC$1180=$E169),--('Input|Historical Data'!$AM$9:$AM$1180="SCS"),--('Input|Historical Data'!$AL$9:$AL$1180=AF$5),'Input|Historical Data'!$AG$9:$AG$1180)</f>
        <v>0</v>
      </c>
      <c r="AG169" s="48">
        <f>SUMPRODUCT(--('Input|Historical Data'!$AC$9:$AC$1180=$E169),--('Input|Historical Data'!$AM$9:$AM$1180="SCS"),--('Input|Historical Data'!$AL$9:$AL$1180=AG$5),'Input|Historical Data'!$AG$9:$AG$1180)</f>
        <v>0</v>
      </c>
      <c r="AH169" s="48">
        <f>SUMPRODUCT(--('Input|Historical Data'!$AC$9:$AC$1180=$E169),--('Input|Historical Data'!$AM$9:$AM$1180="SCS"),--('Input|Historical Data'!$AK$9:$AK$1180=AH$5),'Input|Historical Data'!$AG$9:$AG$1180)</f>
        <v>0</v>
      </c>
      <c r="AI169" s="49">
        <f t="shared" si="97"/>
        <v>0</v>
      </c>
      <c r="AJ169" s="49">
        <f t="shared" si="98"/>
        <v>0</v>
      </c>
      <c r="AK169" s="49">
        <f t="shared" si="99"/>
        <v>0</v>
      </c>
      <c r="AL169" s="49">
        <f t="shared" si="100"/>
        <v>0</v>
      </c>
      <c r="AM169" s="38"/>
      <c r="AN169" s="48"/>
      <c r="AO169" s="48"/>
      <c r="AP169" s="48"/>
      <c r="AQ169" s="48"/>
      <c r="AR169" s="48"/>
      <c r="AS169" s="49"/>
      <c r="AT169" s="49"/>
      <c r="AU169" s="49"/>
      <c r="AV169" s="49"/>
      <c r="AW169" s="38"/>
      <c r="AX169" s="49">
        <f t="shared" si="101"/>
        <v>0</v>
      </c>
      <c r="AY169" s="49">
        <f t="shared" si="102"/>
        <v>0</v>
      </c>
      <c r="AZ169" s="49">
        <f t="shared" si="103"/>
        <v>0</v>
      </c>
      <c r="BA169" s="49">
        <f t="shared" si="104"/>
        <v>0</v>
      </c>
      <c r="BB169" s="44"/>
    </row>
    <row r="170" spans="3:54" s="7" customFormat="1" outlineLevel="1" x14ac:dyDescent="0.3">
      <c r="C170" s="38"/>
      <c r="D170" s="38"/>
      <c r="E170" s="38" t="s">
        <v>240</v>
      </c>
      <c r="F170" s="38" t="s">
        <v>421</v>
      </c>
      <c r="G170" s="38" t="str">
        <f>VLOOKUP(E170,Mapping!$E$11:$G$204,3,0)</f>
        <v>Replacement</v>
      </c>
      <c r="H170" s="38" t="str">
        <f>VLOOKUP(E170,Mapping!$E$11:$K$204,7,0)</f>
        <v>SCS</v>
      </c>
      <c r="I170" s="38"/>
      <c r="J170" s="48">
        <f>SUMPRODUCT(--('Input|Historical Data'!$E$9:$E$1179=$E170),--('Input|Historical Data'!$O$9:$O$1179="SCS"),--('Input|Historical Data'!$M$9:$M$1179=J$5),'Input|Historical Data'!$I$9:$I$1179)</f>
        <v>868.73400000000004</v>
      </c>
      <c r="K170" s="48">
        <f>SUMPRODUCT(--('Input|Historical Data'!$E$9:$E$1179=$E170),--('Input|Historical Data'!$O$9:$O$1179="SCS"),--('Input|Historical Data'!$N$9:$N$1179=K$5),'Input|Historical Data'!$I$9:$I$1179)</f>
        <v>464.39800000000002</v>
      </c>
      <c r="L170" s="48">
        <f>SUMPRODUCT(--('Input|Historical Data'!$E$9:$E$1179=$E170),--('Input|Historical Data'!$O$9:$O$1179="SCS"),--('Input|Historical Data'!$N$9:$N$1179=L$5),'Input|Historical Data'!$I$9:$I$1179)</f>
        <v>194.745</v>
      </c>
      <c r="M170" s="48">
        <f>SUMPRODUCT(--('Input|Historical Data'!$E$9:$E$1179=$E170),--('Input|Historical Data'!$O$9:$O$1179="SCS"),--('Input|Historical Data'!$N$9:$N$1179=M$5),'Input|Historical Data'!$I$9:$I$1179)</f>
        <v>209.59100000000001</v>
      </c>
      <c r="N170" s="48">
        <f>SUMPRODUCT(--('Input|Historical Data'!$E$9:$E$1179=$E170),--('Input|Historical Data'!$O$9:$O$1179="SCS"),--('Input|Historical Data'!$M$9:$M$1179=N$5),'Input|Historical Data'!$I$9:$I$1179)</f>
        <v>80.436999999999998</v>
      </c>
      <c r="O170" s="49">
        <f t="shared" si="93"/>
        <v>0.53456869421479991</v>
      </c>
      <c r="P170" s="49">
        <f t="shared" si="94"/>
        <v>0.22417103509244488</v>
      </c>
      <c r="Q170" s="49">
        <f t="shared" si="95"/>
        <v>0.24126027069275521</v>
      </c>
      <c r="R170" s="49">
        <f t="shared" si="96"/>
        <v>9.2591057792143508E-2</v>
      </c>
      <c r="S170" s="38"/>
      <c r="T170" s="48">
        <f>SUMPRODUCT(--('Input|Historical Data'!$Q$9:$Q$1179=$E170),--('Input|Historical Data'!$AA$9:$AA$1179="SCS"),--('Input|Historical Data'!$Y$9:$Y$1179=T$5),'Input|Historical Data'!$U$9:$U$1179)</f>
        <v>916.7349999999999</v>
      </c>
      <c r="U170" s="48">
        <f>SUMPRODUCT(--('Input|Historical Data'!$Q$9:$Q$1179=$E170),--('Input|Historical Data'!$AA$9:$AA$1179="SCS"),--('Input|Historical Data'!$Z$9:$Z$1179=U$5),'Input|Historical Data'!$U$9:$U$1179)</f>
        <v>576.21600000000001</v>
      </c>
      <c r="V170" s="48">
        <f>SUMPRODUCT(--('Input|Historical Data'!$Q$9:$Q$1179=$E170),--('Input|Historical Data'!$AA$9:$AA$1179="SCS"),--('Input|Historical Data'!$Z$9:$Z$1179=V$5),'Input|Historical Data'!$U$9:$U$1179)</f>
        <v>196.19</v>
      </c>
      <c r="W170" s="48">
        <f>SUMPRODUCT(--('Input|Historical Data'!$Q$9:$Q$1179=$E170),--('Input|Historical Data'!$AA$9:$AA$1179="SCS"),--('Input|Historical Data'!$Z$9:$Z$1179=W$5),'Input|Historical Data'!$U$9:$U$1179)</f>
        <v>144.32899999999998</v>
      </c>
      <c r="X170" s="48">
        <f>SUMPRODUCT(--('Input|Historical Data'!$Q$9:$Q$1179=$E170),--('Input|Historical Data'!$AA$9:$AA$1179="SCS"),--('Input|Historical Data'!$Y$9:$Y$1179=X$5),'Input|Historical Data'!$U$9:$U$1179)</f>
        <v>117.33799999999999</v>
      </c>
      <c r="Y170" s="49">
        <f t="shared" si="89"/>
        <v>0.62855241700164177</v>
      </c>
      <c r="Z170" s="49">
        <f t="shared" si="90"/>
        <v>0.21400950110991729</v>
      </c>
      <c r="AA170" s="49">
        <f t="shared" si="91"/>
        <v>0.15743808188844105</v>
      </c>
      <c r="AB170" s="49">
        <f t="shared" si="92"/>
        <v>0.12799554942267941</v>
      </c>
      <c r="AC170" s="38"/>
      <c r="AD170" s="48">
        <f>SUMPRODUCT(--('Input|Historical Data'!$AC$9:$AC$1180=$E170),--('Input|Historical Data'!$AM$9:$AM$1180="SCS"),--('Input|Historical Data'!$AK$9:$AK$1180=AD$5),'Input|Historical Data'!$AG$9:$AG$1180)</f>
        <v>381.23</v>
      </c>
      <c r="AE170" s="48">
        <f>SUMPRODUCT(--('Input|Historical Data'!$AC$9:$AC$1180=$E170),--('Input|Historical Data'!$AM$9:$AM$1180="SCS"),--('Input|Historical Data'!$AL$9:$AL$1180=AE$5),'Input|Historical Data'!$AG$9:$AG$1180)</f>
        <v>197.69400000000002</v>
      </c>
      <c r="AF170" s="48">
        <f>SUMPRODUCT(--('Input|Historical Data'!$AC$9:$AC$1180=$E170),--('Input|Historical Data'!$AM$9:$AM$1180="SCS"),--('Input|Historical Data'!$AL$9:$AL$1180=AF$5),'Input|Historical Data'!$AG$9:$AG$1180)</f>
        <v>121.14600000000002</v>
      </c>
      <c r="AG170" s="48">
        <f>SUMPRODUCT(--('Input|Historical Data'!$AC$9:$AC$1180=$E170),--('Input|Historical Data'!$AM$9:$AM$1180="SCS"),--('Input|Historical Data'!$AL$9:$AL$1180=AG$5),'Input|Historical Data'!$AG$9:$AG$1180)</f>
        <v>62.39</v>
      </c>
      <c r="AH170" s="48">
        <f>SUMPRODUCT(--('Input|Historical Data'!$AC$9:$AC$1180=$E170),--('Input|Historical Data'!$AM$9:$AM$1180="SCS"),--('Input|Historical Data'!$AK$9:$AK$1180=AH$5),'Input|Historical Data'!$AG$9:$AG$1180)</f>
        <v>23.324000000000002</v>
      </c>
      <c r="AI170" s="49">
        <f t="shared" si="97"/>
        <v>0.51856884295569605</v>
      </c>
      <c r="AJ170" s="49">
        <f t="shared" si="98"/>
        <v>0.31777667025155421</v>
      </c>
      <c r="AK170" s="49">
        <f t="shared" si="99"/>
        <v>0.16365448679274977</v>
      </c>
      <c r="AL170" s="49">
        <f t="shared" si="100"/>
        <v>6.1180914408624713E-2</v>
      </c>
      <c r="AM170" s="38"/>
      <c r="AN170" s="48"/>
      <c r="AO170" s="48"/>
      <c r="AP170" s="48"/>
      <c r="AQ170" s="48"/>
      <c r="AR170" s="48"/>
      <c r="AS170" s="49"/>
      <c r="AT170" s="49"/>
      <c r="AU170" s="49"/>
      <c r="AV170" s="49"/>
      <c r="AW170" s="38"/>
      <c r="AX170" s="49">
        <f t="shared" si="101"/>
        <v>0.59624874322497146</v>
      </c>
      <c r="AY170" s="49">
        <f t="shared" si="102"/>
        <v>0.24448733209293011</v>
      </c>
      <c r="AZ170" s="49">
        <f t="shared" si="103"/>
        <v>0.15926392468209852</v>
      </c>
      <c r="BA170" s="49">
        <f t="shared" si="104"/>
        <v>0.10837118104109125</v>
      </c>
      <c r="BB170" s="44"/>
    </row>
    <row r="171" spans="3:54" s="7" customFormat="1" outlineLevel="1" x14ac:dyDescent="0.3">
      <c r="C171" s="38"/>
      <c r="D171" s="38"/>
      <c r="E171" s="38" t="s">
        <v>241</v>
      </c>
      <c r="F171" s="38" t="s">
        <v>422</v>
      </c>
      <c r="G171" s="38" t="str">
        <f>VLOOKUP(E171,Mapping!$E$11:$G$204,3,0)</f>
        <v>Replacement</v>
      </c>
      <c r="H171" s="38" t="str">
        <f>VLOOKUP(E171,Mapping!$E$11:$K$204,7,0)</f>
        <v>SCS</v>
      </c>
      <c r="I171" s="38"/>
      <c r="J171" s="48">
        <f>SUMPRODUCT(--('Input|Historical Data'!$E$9:$E$1179=$E171),--('Input|Historical Data'!$O$9:$O$1179="SCS"),--('Input|Historical Data'!$M$9:$M$1179=J$5),'Input|Historical Data'!$I$9:$I$1179)</f>
        <v>80.075000000000003</v>
      </c>
      <c r="K171" s="48">
        <f>SUMPRODUCT(--('Input|Historical Data'!$E$9:$E$1179=$E171),--('Input|Historical Data'!$O$9:$O$1179="SCS"),--('Input|Historical Data'!$N$9:$N$1179=K$5),'Input|Historical Data'!$I$9:$I$1179)</f>
        <v>47.948</v>
      </c>
      <c r="L171" s="48">
        <f>SUMPRODUCT(--('Input|Historical Data'!$E$9:$E$1179=$E171),--('Input|Historical Data'!$O$9:$O$1179="SCS"),--('Input|Historical Data'!$N$9:$N$1179=L$5),'Input|Historical Data'!$I$9:$I$1179)</f>
        <v>13.288</v>
      </c>
      <c r="M171" s="48">
        <f>SUMPRODUCT(--('Input|Historical Data'!$E$9:$E$1179=$E171),--('Input|Historical Data'!$O$9:$O$1179="SCS"),--('Input|Historical Data'!$N$9:$N$1179=M$5),'Input|Historical Data'!$I$9:$I$1179)</f>
        <v>18.838999999999999</v>
      </c>
      <c r="N171" s="48">
        <f>SUMPRODUCT(--('Input|Historical Data'!$E$9:$E$1179=$E171),--('Input|Historical Data'!$O$9:$O$1179="SCS"),--('Input|Historical Data'!$M$9:$M$1179=N$5),'Input|Historical Data'!$I$9:$I$1179)</f>
        <v>5.8419999999999996</v>
      </c>
      <c r="O171" s="49">
        <f t="shared" si="93"/>
        <v>0.59878863565407425</v>
      </c>
      <c r="P171" s="49">
        <f t="shared" si="94"/>
        <v>0.16594442709959412</v>
      </c>
      <c r="Q171" s="49">
        <f t="shared" si="95"/>
        <v>0.23526693724633155</v>
      </c>
      <c r="R171" s="49">
        <f t="shared" si="96"/>
        <v>7.295660318451451E-2</v>
      </c>
      <c r="S171" s="38"/>
      <c r="T171" s="48">
        <f>SUMPRODUCT(--('Input|Historical Data'!$Q$9:$Q$1179=$E171),--('Input|Historical Data'!$AA$9:$AA$1179="SCS"),--('Input|Historical Data'!$Y$9:$Y$1179=T$5),'Input|Historical Data'!$U$9:$U$1179)</f>
        <v>157.62900000000002</v>
      </c>
      <c r="U171" s="48">
        <f>SUMPRODUCT(--('Input|Historical Data'!$Q$9:$Q$1179=$E171),--('Input|Historical Data'!$AA$9:$AA$1179="SCS"),--('Input|Historical Data'!$Z$9:$Z$1179=U$5),'Input|Historical Data'!$U$9:$U$1179)</f>
        <v>99.25800000000001</v>
      </c>
      <c r="V171" s="48">
        <f>SUMPRODUCT(--('Input|Historical Data'!$Q$9:$Q$1179=$E171),--('Input|Historical Data'!$AA$9:$AA$1179="SCS"),--('Input|Historical Data'!$Z$9:$Z$1179=V$5),'Input|Historical Data'!$U$9:$U$1179)</f>
        <v>25.423000000000002</v>
      </c>
      <c r="W171" s="48">
        <f>SUMPRODUCT(--('Input|Historical Data'!$Q$9:$Q$1179=$E171),--('Input|Historical Data'!$AA$9:$AA$1179="SCS"),--('Input|Historical Data'!$Z$9:$Z$1179=W$5),'Input|Historical Data'!$U$9:$U$1179)</f>
        <v>32.948</v>
      </c>
      <c r="X171" s="48">
        <f>SUMPRODUCT(--('Input|Historical Data'!$Q$9:$Q$1179=$E171),--('Input|Historical Data'!$AA$9:$AA$1179="SCS"),--('Input|Historical Data'!$Y$9:$Y$1179=X$5),'Input|Historical Data'!$U$9:$U$1179)</f>
        <v>19.620999999999999</v>
      </c>
      <c r="Y171" s="49">
        <f t="shared" si="89"/>
        <v>0.62969377462268994</v>
      </c>
      <c r="Z171" s="49">
        <f t="shared" si="90"/>
        <v>0.16128377392484886</v>
      </c>
      <c r="AA171" s="49">
        <f t="shared" si="91"/>
        <v>0.20902245145246112</v>
      </c>
      <c r="AB171" s="49">
        <f t="shared" si="92"/>
        <v>0.12447582614874164</v>
      </c>
      <c r="AC171" s="38"/>
      <c r="AD171" s="48">
        <f>SUMPRODUCT(--('Input|Historical Data'!$AC$9:$AC$1180=$E171),--('Input|Historical Data'!$AM$9:$AM$1180="SCS"),--('Input|Historical Data'!$AK$9:$AK$1180=AD$5),'Input|Historical Data'!$AG$9:$AG$1180)</f>
        <v>88.141000000000005</v>
      </c>
      <c r="AE171" s="48">
        <f>SUMPRODUCT(--('Input|Historical Data'!$AC$9:$AC$1180=$E171),--('Input|Historical Data'!$AM$9:$AM$1180="SCS"),--('Input|Historical Data'!$AL$9:$AL$1180=AE$5),'Input|Historical Data'!$AG$9:$AG$1180)</f>
        <v>52.38</v>
      </c>
      <c r="AF171" s="48">
        <f>SUMPRODUCT(--('Input|Historical Data'!$AC$9:$AC$1180=$E171),--('Input|Historical Data'!$AM$9:$AM$1180="SCS"),--('Input|Historical Data'!$AL$9:$AL$1180=AF$5),'Input|Historical Data'!$AG$9:$AG$1180)</f>
        <v>20.231000000000002</v>
      </c>
      <c r="AG171" s="48">
        <f>SUMPRODUCT(--('Input|Historical Data'!$AC$9:$AC$1180=$E171),--('Input|Historical Data'!$AM$9:$AM$1180="SCS"),--('Input|Historical Data'!$AL$9:$AL$1180=AG$5),'Input|Historical Data'!$AG$9:$AG$1180)</f>
        <v>15.530000000000001</v>
      </c>
      <c r="AH171" s="48">
        <f>SUMPRODUCT(--('Input|Historical Data'!$AC$9:$AC$1180=$E171),--('Input|Historical Data'!$AM$9:$AM$1180="SCS"),--('Input|Historical Data'!$AK$9:$AK$1180=AH$5),'Input|Historical Data'!$AG$9:$AG$1180)</f>
        <v>5.4370000000000003</v>
      </c>
      <c r="AI171" s="49">
        <f t="shared" si="97"/>
        <v>0.59427508197093293</v>
      </c>
      <c r="AJ171" s="49">
        <f t="shared" si="98"/>
        <v>0.22952995768144224</v>
      </c>
      <c r="AK171" s="49">
        <f t="shared" si="99"/>
        <v>0.17619496034762483</v>
      </c>
      <c r="AL171" s="49">
        <f t="shared" si="100"/>
        <v>6.1685254308437618E-2</v>
      </c>
      <c r="AM171" s="38"/>
      <c r="AN171" s="48"/>
      <c r="AO171" s="48"/>
      <c r="AP171" s="48"/>
      <c r="AQ171" s="48"/>
      <c r="AR171" s="48"/>
      <c r="AS171" s="49"/>
      <c r="AT171" s="49"/>
      <c r="AU171" s="49"/>
      <c r="AV171" s="49"/>
      <c r="AW171" s="38"/>
      <c r="AX171" s="49">
        <f t="shared" si="101"/>
        <v>0.61699149611425319</v>
      </c>
      <c r="AY171" s="49">
        <f t="shared" si="102"/>
        <v>0.18575904300769011</v>
      </c>
      <c r="AZ171" s="49">
        <f t="shared" si="103"/>
        <v>0.19724946087805673</v>
      </c>
      <c r="BA171" s="49">
        <f t="shared" si="104"/>
        <v>0.10195711437522885</v>
      </c>
      <c r="BB171" s="44"/>
    </row>
    <row r="172" spans="3:54" s="7" customFormat="1" outlineLevel="1" x14ac:dyDescent="0.3">
      <c r="C172" s="38"/>
      <c r="D172" s="38"/>
      <c r="E172" s="38" t="s">
        <v>242</v>
      </c>
      <c r="F172" s="38" t="s">
        <v>423</v>
      </c>
      <c r="G172" s="38" t="str">
        <f>VLOOKUP(E172,Mapping!$E$11:$G$204,3,0)</f>
        <v>Replacement</v>
      </c>
      <c r="H172" s="38" t="str">
        <f>VLOOKUP(E172,Mapping!$E$11:$K$204,7,0)</f>
        <v>SCS</v>
      </c>
      <c r="I172" s="38"/>
      <c r="J172" s="48">
        <f>SUMPRODUCT(--('Input|Historical Data'!$E$9:$E$1179=$E172),--('Input|Historical Data'!$O$9:$O$1179="SCS"),--('Input|Historical Data'!$M$9:$M$1179=J$5),'Input|Historical Data'!$I$9:$I$1179)</f>
        <v>179</v>
      </c>
      <c r="K172" s="48">
        <f>SUMPRODUCT(--('Input|Historical Data'!$E$9:$E$1179=$E172),--('Input|Historical Data'!$O$9:$O$1179="SCS"),--('Input|Historical Data'!$N$9:$N$1179=K$5),'Input|Historical Data'!$I$9:$I$1179)</f>
        <v>120.645</v>
      </c>
      <c r="L172" s="48">
        <f>SUMPRODUCT(--('Input|Historical Data'!$E$9:$E$1179=$E172),--('Input|Historical Data'!$O$9:$O$1179="SCS"),--('Input|Historical Data'!$N$9:$N$1179=L$5),'Input|Historical Data'!$I$9:$I$1179)</f>
        <v>27.118000000000002</v>
      </c>
      <c r="M172" s="48">
        <f>SUMPRODUCT(--('Input|Historical Data'!$E$9:$E$1179=$E172),--('Input|Historical Data'!$O$9:$O$1179="SCS"),--('Input|Historical Data'!$N$9:$N$1179=M$5),'Input|Historical Data'!$I$9:$I$1179)</f>
        <v>31.236999999999998</v>
      </c>
      <c r="N172" s="48">
        <f>SUMPRODUCT(--('Input|Historical Data'!$E$9:$E$1179=$E172),--('Input|Historical Data'!$O$9:$O$1179="SCS"),--('Input|Historical Data'!$M$9:$M$1179=N$5),'Input|Historical Data'!$I$9:$I$1179)</f>
        <v>18.797000000000001</v>
      </c>
      <c r="O172" s="49">
        <f t="shared" si="93"/>
        <v>0.67399441340782118</v>
      </c>
      <c r="P172" s="49">
        <f t="shared" si="94"/>
        <v>0.15149720670391062</v>
      </c>
      <c r="Q172" s="49">
        <f t="shared" si="95"/>
        <v>0.17450837988826814</v>
      </c>
      <c r="R172" s="49">
        <f t="shared" si="96"/>
        <v>0.10501117318435754</v>
      </c>
      <c r="S172" s="38"/>
      <c r="T172" s="48">
        <f>SUMPRODUCT(--('Input|Historical Data'!$Q$9:$Q$1179=$E172),--('Input|Historical Data'!$AA$9:$AA$1179="SCS"),--('Input|Historical Data'!$Y$9:$Y$1179=T$5),'Input|Historical Data'!$U$9:$U$1179)</f>
        <v>52.816000000000003</v>
      </c>
      <c r="U172" s="48">
        <f>SUMPRODUCT(--('Input|Historical Data'!$Q$9:$Q$1179=$E172),--('Input|Historical Data'!$AA$9:$AA$1179="SCS"),--('Input|Historical Data'!$Z$9:$Z$1179=U$5),'Input|Historical Data'!$U$9:$U$1179)</f>
        <v>37.6</v>
      </c>
      <c r="V172" s="48">
        <f>SUMPRODUCT(--('Input|Historical Data'!$Q$9:$Q$1179=$E172),--('Input|Historical Data'!$AA$9:$AA$1179="SCS"),--('Input|Historical Data'!$Z$9:$Z$1179=V$5),'Input|Historical Data'!$U$9:$U$1179)</f>
        <v>7.6769999999999996</v>
      </c>
      <c r="W172" s="48">
        <f>SUMPRODUCT(--('Input|Historical Data'!$Q$9:$Q$1179=$E172),--('Input|Historical Data'!$AA$9:$AA$1179="SCS"),--('Input|Historical Data'!$Z$9:$Z$1179=W$5),'Input|Historical Data'!$U$9:$U$1179)</f>
        <v>7.5389999999999997</v>
      </c>
      <c r="X172" s="48">
        <f>SUMPRODUCT(--('Input|Historical Data'!$Q$9:$Q$1179=$E172),--('Input|Historical Data'!$AA$9:$AA$1179="SCS"),--('Input|Historical Data'!$Y$9:$Y$1179=X$5),'Input|Historical Data'!$U$9:$U$1179)</f>
        <v>6.9820000000000002</v>
      </c>
      <c r="Y172" s="49">
        <f t="shared" si="89"/>
        <v>0.71190548318691305</v>
      </c>
      <c r="Z172" s="49">
        <f t="shared" si="90"/>
        <v>0.14535368070281732</v>
      </c>
      <c r="AA172" s="49">
        <f t="shared" si="91"/>
        <v>0.14274083611026961</v>
      </c>
      <c r="AB172" s="49">
        <f t="shared" si="92"/>
        <v>0.13219478945774008</v>
      </c>
      <c r="AC172" s="38"/>
      <c r="AD172" s="48">
        <f>SUMPRODUCT(--('Input|Historical Data'!$AC$9:$AC$1180=$E172),--('Input|Historical Data'!$AM$9:$AM$1180="SCS"),--('Input|Historical Data'!$AK$9:$AK$1180=AD$5),'Input|Historical Data'!$AG$9:$AG$1180)</f>
        <v>25.665999999999997</v>
      </c>
      <c r="AE172" s="48">
        <f>SUMPRODUCT(--('Input|Historical Data'!$AC$9:$AC$1180=$E172),--('Input|Historical Data'!$AM$9:$AM$1180="SCS"),--('Input|Historical Data'!$AL$9:$AL$1180=AE$5),'Input|Historical Data'!$AG$9:$AG$1180)</f>
        <v>16.591999999999999</v>
      </c>
      <c r="AF172" s="48">
        <f>SUMPRODUCT(--('Input|Historical Data'!$AC$9:$AC$1180=$E172),--('Input|Historical Data'!$AM$9:$AM$1180="SCS"),--('Input|Historical Data'!$AL$9:$AL$1180=AF$5),'Input|Historical Data'!$AG$9:$AG$1180)</f>
        <v>4.0650000000000004</v>
      </c>
      <c r="AG172" s="48">
        <f>SUMPRODUCT(--('Input|Historical Data'!$AC$9:$AC$1180=$E172),--('Input|Historical Data'!$AM$9:$AM$1180="SCS"),--('Input|Historical Data'!$AL$9:$AL$1180=AG$5),'Input|Historical Data'!$AG$9:$AG$1180)</f>
        <v>5.0090000000000003</v>
      </c>
      <c r="AH172" s="48">
        <f>SUMPRODUCT(--('Input|Historical Data'!$AC$9:$AC$1180=$E172),--('Input|Historical Data'!$AM$9:$AM$1180="SCS"),--('Input|Historical Data'!$AK$9:$AK$1180=AH$5),'Input|Historical Data'!$AG$9:$AG$1180)</f>
        <v>3.129</v>
      </c>
      <c r="AI172" s="49">
        <f t="shared" si="97"/>
        <v>0.64645834956752113</v>
      </c>
      <c r="AJ172" s="49">
        <f t="shared" si="98"/>
        <v>0.15838073716200421</v>
      </c>
      <c r="AK172" s="49">
        <f t="shared" si="99"/>
        <v>0.19516091327047458</v>
      </c>
      <c r="AL172" s="49">
        <f t="shared" si="100"/>
        <v>0.12191225746123277</v>
      </c>
      <c r="AM172" s="38"/>
      <c r="AN172" s="48"/>
      <c r="AO172" s="48"/>
      <c r="AP172" s="48"/>
      <c r="AQ172" s="48"/>
      <c r="AR172" s="48"/>
      <c r="AS172" s="49"/>
      <c r="AT172" s="49"/>
      <c r="AU172" s="49"/>
      <c r="AV172" s="49"/>
      <c r="AW172" s="38"/>
      <c r="AX172" s="49">
        <f t="shared" si="101"/>
        <v>0.69050228077775799</v>
      </c>
      <c r="AY172" s="49">
        <f t="shared" si="102"/>
        <v>0.14961392421192121</v>
      </c>
      <c r="AZ172" s="49">
        <f t="shared" si="103"/>
        <v>0.15988379501032085</v>
      </c>
      <c r="BA172" s="49">
        <f t="shared" si="104"/>
        <v>0.1288320888866237</v>
      </c>
      <c r="BB172" s="44"/>
    </row>
    <row r="173" spans="3:54" s="7" customFormat="1" outlineLevel="1" x14ac:dyDescent="0.3">
      <c r="C173" s="38"/>
      <c r="D173" s="38"/>
      <c r="E173" s="38" t="s">
        <v>243</v>
      </c>
      <c r="F173" s="38" t="s">
        <v>424</v>
      </c>
      <c r="G173" s="38" t="str">
        <f>VLOOKUP(E173,Mapping!$E$11:$G$204,3,0)</f>
        <v>Replacement</v>
      </c>
      <c r="H173" s="38" t="str">
        <f>VLOOKUP(E173,Mapping!$E$11:$K$204,7,0)</f>
        <v>SCS</v>
      </c>
      <c r="I173" s="38"/>
      <c r="J173" s="48">
        <f>SUMPRODUCT(--('Input|Historical Data'!$E$9:$E$1179=$E173),--('Input|Historical Data'!$O$9:$O$1179="SCS"),--('Input|Historical Data'!$M$9:$M$1179=J$5),'Input|Historical Data'!$I$9:$I$1179)</f>
        <v>0</v>
      </c>
      <c r="K173" s="48">
        <f>SUMPRODUCT(--('Input|Historical Data'!$E$9:$E$1179=$E173),--('Input|Historical Data'!$O$9:$O$1179="SCS"),--('Input|Historical Data'!$N$9:$N$1179=K$5),'Input|Historical Data'!$I$9:$I$1179)</f>
        <v>0</v>
      </c>
      <c r="L173" s="48">
        <f>SUMPRODUCT(--('Input|Historical Data'!$E$9:$E$1179=$E173),--('Input|Historical Data'!$O$9:$O$1179="SCS"),--('Input|Historical Data'!$N$9:$N$1179=L$5),'Input|Historical Data'!$I$9:$I$1179)</f>
        <v>0</v>
      </c>
      <c r="M173" s="48">
        <f>SUMPRODUCT(--('Input|Historical Data'!$E$9:$E$1179=$E173),--('Input|Historical Data'!$O$9:$O$1179="SCS"),--('Input|Historical Data'!$N$9:$N$1179=M$5),'Input|Historical Data'!$I$9:$I$1179)</f>
        <v>0</v>
      </c>
      <c r="N173" s="48">
        <f>SUMPRODUCT(--('Input|Historical Data'!$E$9:$E$1179=$E173),--('Input|Historical Data'!$O$9:$O$1179="SCS"),--('Input|Historical Data'!$M$9:$M$1179=N$5),'Input|Historical Data'!$I$9:$I$1179)</f>
        <v>0</v>
      </c>
      <c r="O173" s="49">
        <f t="shared" si="93"/>
        <v>0</v>
      </c>
      <c r="P173" s="49">
        <f t="shared" si="94"/>
        <v>0</v>
      </c>
      <c r="Q173" s="49">
        <f t="shared" si="95"/>
        <v>0</v>
      </c>
      <c r="R173" s="49">
        <f t="shared" si="96"/>
        <v>0</v>
      </c>
      <c r="S173" s="38"/>
      <c r="T173" s="48">
        <f>SUMPRODUCT(--('Input|Historical Data'!$Q$9:$Q$1179=$E173),--('Input|Historical Data'!$AA$9:$AA$1179="SCS"),--('Input|Historical Data'!$Y$9:$Y$1179=T$5),'Input|Historical Data'!$U$9:$U$1179)</f>
        <v>0</v>
      </c>
      <c r="U173" s="48">
        <f>SUMPRODUCT(--('Input|Historical Data'!$Q$9:$Q$1179=$E173),--('Input|Historical Data'!$AA$9:$AA$1179="SCS"),--('Input|Historical Data'!$Z$9:$Z$1179=U$5),'Input|Historical Data'!$U$9:$U$1179)</f>
        <v>0</v>
      </c>
      <c r="V173" s="48">
        <f>SUMPRODUCT(--('Input|Historical Data'!$Q$9:$Q$1179=$E173),--('Input|Historical Data'!$AA$9:$AA$1179="SCS"),--('Input|Historical Data'!$Z$9:$Z$1179=V$5),'Input|Historical Data'!$U$9:$U$1179)</f>
        <v>0</v>
      </c>
      <c r="W173" s="48">
        <f>SUMPRODUCT(--('Input|Historical Data'!$Q$9:$Q$1179=$E173),--('Input|Historical Data'!$AA$9:$AA$1179="SCS"),--('Input|Historical Data'!$Z$9:$Z$1179=W$5),'Input|Historical Data'!$U$9:$U$1179)</f>
        <v>0</v>
      </c>
      <c r="X173" s="48">
        <f>SUMPRODUCT(--('Input|Historical Data'!$Q$9:$Q$1179=$E173),--('Input|Historical Data'!$AA$9:$AA$1179="SCS"),--('Input|Historical Data'!$Y$9:$Y$1179=X$5),'Input|Historical Data'!$U$9:$U$1179)</f>
        <v>0</v>
      </c>
      <c r="Y173" s="49">
        <f t="shared" si="89"/>
        <v>0</v>
      </c>
      <c r="Z173" s="49">
        <f t="shared" si="90"/>
        <v>0</v>
      </c>
      <c r="AA173" s="49">
        <f t="shared" si="91"/>
        <v>0</v>
      </c>
      <c r="AB173" s="49">
        <f t="shared" si="92"/>
        <v>0</v>
      </c>
      <c r="AC173" s="38"/>
      <c r="AD173" s="48">
        <f>SUMPRODUCT(--('Input|Historical Data'!$AC$9:$AC$1180=$E173),--('Input|Historical Data'!$AM$9:$AM$1180="SCS"),--('Input|Historical Data'!$AK$9:$AK$1180=AD$5),'Input|Historical Data'!$AG$9:$AG$1180)</f>
        <v>0</v>
      </c>
      <c r="AE173" s="48">
        <f>SUMPRODUCT(--('Input|Historical Data'!$AC$9:$AC$1180=$E173),--('Input|Historical Data'!$AM$9:$AM$1180="SCS"),--('Input|Historical Data'!$AL$9:$AL$1180=AE$5),'Input|Historical Data'!$AG$9:$AG$1180)</f>
        <v>0</v>
      </c>
      <c r="AF173" s="48">
        <f>SUMPRODUCT(--('Input|Historical Data'!$AC$9:$AC$1180=$E173),--('Input|Historical Data'!$AM$9:$AM$1180="SCS"),--('Input|Historical Data'!$AL$9:$AL$1180=AF$5),'Input|Historical Data'!$AG$9:$AG$1180)</f>
        <v>0</v>
      </c>
      <c r="AG173" s="48">
        <f>SUMPRODUCT(--('Input|Historical Data'!$AC$9:$AC$1180=$E173),--('Input|Historical Data'!$AM$9:$AM$1180="SCS"),--('Input|Historical Data'!$AL$9:$AL$1180=AG$5),'Input|Historical Data'!$AG$9:$AG$1180)</f>
        <v>0</v>
      </c>
      <c r="AH173" s="48">
        <f>SUMPRODUCT(--('Input|Historical Data'!$AC$9:$AC$1180=$E173),--('Input|Historical Data'!$AM$9:$AM$1180="SCS"),--('Input|Historical Data'!$AK$9:$AK$1180=AH$5),'Input|Historical Data'!$AG$9:$AG$1180)</f>
        <v>0</v>
      </c>
      <c r="AI173" s="49">
        <f t="shared" si="97"/>
        <v>0</v>
      </c>
      <c r="AJ173" s="49">
        <f t="shared" si="98"/>
        <v>0</v>
      </c>
      <c r="AK173" s="49">
        <f t="shared" si="99"/>
        <v>0</v>
      </c>
      <c r="AL173" s="49">
        <f t="shared" si="100"/>
        <v>0</v>
      </c>
      <c r="AM173" s="38"/>
      <c r="AN173" s="48"/>
      <c r="AO173" s="48"/>
      <c r="AP173" s="48"/>
      <c r="AQ173" s="48"/>
      <c r="AR173" s="48"/>
      <c r="AS173" s="49"/>
      <c r="AT173" s="49"/>
      <c r="AU173" s="49"/>
      <c r="AV173" s="49"/>
      <c r="AW173" s="38"/>
      <c r="AX173" s="49">
        <f t="shared" si="101"/>
        <v>0</v>
      </c>
      <c r="AY173" s="49">
        <f t="shared" si="102"/>
        <v>0</v>
      </c>
      <c r="AZ173" s="49">
        <f t="shared" si="103"/>
        <v>0</v>
      </c>
      <c r="BA173" s="49">
        <f t="shared" si="104"/>
        <v>0</v>
      </c>
      <c r="BB173" s="44"/>
    </row>
    <row r="174" spans="3:54" s="7" customFormat="1" outlineLevel="1" x14ac:dyDescent="0.3">
      <c r="C174" s="38"/>
      <c r="D174" s="38"/>
      <c r="E174" s="38" t="s">
        <v>244</v>
      </c>
      <c r="F174" s="38" t="s">
        <v>425</v>
      </c>
      <c r="G174" s="38" t="str">
        <f>VLOOKUP(E174,Mapping!$E$11:$G$204,3,0)</f>
        <v>Replacement</v>
      </c>
      <c r="H174" s="38" t="str">
        <f>VLOOKUP(E174,Mapping!$E$11:$K$204,7,0)</f>
        <v>SCS</v>
      </c>
      <c r="I174" s="38"/>
      <c r="J174" s="48">
        <f>SUMPRODUCT(--('Input|Historical Data'!$E$9:$E$1179=$E174),--('Input|Historical Data'!$O$9:$O$1179="SCS"),--('Input|Historical Data'!$M$9:$M$1179=J$5),'Input|Historical Data'!$I$9:$I$1179)</f>
        <v>362.27700000000004</v>
      </c>
      <c r="K174" s="48">
        <f>SUMPRODUCT(--('Input|Historical Data'!$E$9:$E$1179=$E174),--('Input|Historical Data'!$O$9:$O$1179="SCS"),--('Input|Historical Data'!$N$9:$N$1179=K$5),'Input|Historical Data'!$I$9:$I$1179)</f>
        <v>216.94600000000003</v>
      </c>
      <c r="L174" s="48">
        <f>SUMPRODUCT(--('Input|Historical Data'!$E$9:$E$1179=$E174),--('Input|Historical Data'!$O$9:$O$1179="SCS"),--('Input|Historical Data'!$N$9:$N$1179=L$5),'Input|Historical Data'!$I$9:$I$1179)</f>
        <v>76.697000000000017</v>
      </c>
      <c r="M174" s="48">
        <f>SUMPRODUCT(--('Input|Historical Data'!$E$9:$E$1179=$E174),--('Input|Historical Data'!$O$9:$O$1179="SCS"),--('Input|Historical Data'!$N$9:$N$1179=M$5),'Input|Historical Data'!$I$9:$I$1179)</f>
        <v>68.634</v>
      </c>
      <c r="N174" s="48">
        <f>SUMPRODUCT(--('Input|Historical Data'!$E$9:$E$1179=$E174),--('Input|Historical Data'!$O$9:$O$1179="SCS"),--('Input|Historical Data'!$M$9:$M$1179=N$5),'Input|Historical Data'!$I$9:$I$1179)</f>
        <v>36.262</v>
      </c>
      <c r="O174" s="49">
        <f t="shared" si="93"/>
        <v>0.59884011405637128</v>
      </c>
      <c r="P174" s="49">
        <f t="shared" si="94"/>
        <v>0.2117081680592475</v>
      </c>
      <c r="Q174" s="49">
        <f t="shared" si="95"/>
        <v>0.18945171788438125</v>
      </c>
      <c r="R174" s="49">
        <f t="shared" si="96"/>
        <v>0.10009467893352324</v>
      </c>
      <c r="S174" s="38"/>
      <c r="T174" s="48">
        <f>SUMPRODUCT(--('Input|Historical Data'!$Q$9:$Q$1179=$E174),--('Input|Historical Data'!$AA$9:$AA$1179="SCS"),--('Input|Historical Data'!$Y$9:$Y$1179=T$5),'Input|Historical Data'!$U$9:$U$1179)</f>
        <v>599.745</v>
      </c>
      <c r="U174" s="48">
        <f>SUMPRODUCT(--('Input|Historical Data'!$Q$9:$Q$1179=$E174),--('Input|Historical Data'!$AA$9:$AA$1179="SCS"),--('Input|Historical Data'!$Z$9:$Z$1179=U$5),'Input|Historical Data'!$U$9:$U$1179)</f>
        <v>361.42700000000002</v>
      </c>
      <c r="V174" s="48">
        <f>SUMPRODUCT(--('Input|Historical Data'!$Q$9:$Q$1179=$E174),--('Input|Historical Data'!$AA$9:$AA$1179="SCS"),--('Input|Historical Data'!$Z$9:$Z$1179=V$5),'Input|Historical Data'!$U$9:$U$1179)</f>
        <v>120.37400000000001</v>
      </c>
      <c r="W174" s="48">
        <f>SUMPRODUCT(--('Input|Historical Data'!$Q$9:$Q$1179=$E174),--('Input|Historical Data'!$AA$9:$AA$1179="SCS"),--('Input|Historical Data'!$Z$9:$Z$1179=W$5),'Input|Historical Data'!$U$9:$U$1179)</f>
        <v>117.94399999999999</v>
      </c>
      <c r="X174" s="48">
        <f>SUMPRODUCT(--('Input|Historical Data'!$Q$9:$Q$1179=$E174),--('Input|Historical Data'!$AA$9:$AA$1179="SCS"),--('Input|Historical Data'!$Y$9:$Y$1179=X$5),'Input|Historical Data'!$U$9:$U$1179)</f>
        <v>80.02</v>
      </c>
      <c r="Y174" s="49">
        <f t="shared" si="89"/>
        <v>0.60263445297584806</v>
      </c>
      <c r="Z174" s="49">
        <f t="shared" si="90"/>
        <v>0.20070863450299711</v>
      </c>
      <c r="AA174" s="49">
        <f t="shared" si="91"/>
        <v>0.1966569125211548</v>
      </c>
      <c r="AB174" s="49">
        <f t="shared" si="92"/>
        <v>0.1334233715995965</v>
      </c>
      <c r="AC174" s="38"/>
      <c r="AD174" s="48">
        <f>SUMPRODUCT(--('Input|Historical Data'!$AC$9:$AC$1180=$E174),--('Input|Historical Data'!$AM$9:$AM$1180="SCS"),--('Input|Historical Data'!$AK$9:$AK$1180=AD$5),'Input|Historical Data'!$AG$9:$AG$1180)</f>
        <v>452.44499999999994</v>
      </c>
      <c r="AE174" s="48">
        <f>SUMPRODUCT(--('Input|Historical Data'!$AC$9:$AC$1180=$E174),--('Input|Historical Data'!$AM$9:$AM$1180="SCS"),--('Input|Historical Data'!$AL$9:$AL$1180=AE$5),'Input|Historical Data'!$AG$9:$AG$1180)</f>
        <v>260.58</v>
      </c>
      <c r="AF174" s="48">
        <f>SUMPRODUCT(--('Input|Historical Data'!$AC$9:$AC$1180=$E174),--('Input|Historical Data'!$AM$9:$AM$1180="SCS"),--('Input|Historical Data'!$AL$9:$AL$1180=AF$5),'Input|Historical Data'!$AG$9:$AG$1180)</f>
        <v>97.945999999999998</v>
      </c>
      <c r="AG174" s="48">
        <f>SUMPRODUCT(--('Input|Historical Data'!$AC$9:$AC$1180=$E174),--('Input|Historical Data'!$AM$9:$AM$1180="SCS"),--('Input|Historical Data'!$AL$9:$AL$1180=AG$5),'Input|Historical Data'!$AG$9:$AG$1180)</f>
        <v>93.919000000000011</v>
      </c>
      <c r="AH174" s="48">
        <f>SUMPRODUCT(--('Input|Historical Data'!$AC$9:$AC$1180=$E174),--('Input|Historical Data'!$AM$9:$AM$1180="SCS"),--('Input|Historical Data'!$AK$9:$AK$1180=AH$5),'Input|Historical Data'!$AG$9:$AG$1180)</f>
        <v>61.545000000000002</v>
      </c>
      <c r="AI174" s="49">
        <f t="shared" si="97"/>
        <v>0.57593740675662242</v>
      </c>
      <c r="AJ174" s="49">
        <f t="shared" si="98"/>
        <v>0.21648156129474302</v>
      </c>
      <c r="AK174" s="49">
        <f t="shared" si="99"/>
        <v>0.2075810319486347</v>
      </c>
      <c r="AL174" s="49">
        <f t="shared" si="100"/>
        <v>0.13602758346318339</v>
      </c>
      <c r="AM174" s="38"/>
      <c r="AN174" s="48"/>
      <c r="AO174" s="48"/>
      <c r="AP174" s="48"/>
      <c r="AQ174" s="48"/>
      <c r="AR174" s="48"/>
      <c r="AS174" s="49"/>
      <c r="AT174" s="49"/>
      <c r="AU174" s="49"/>
      <c r="AV174" s="49"/>
      <c r="AW174" s="38"/>
      <c r="AX174" s="49">
        <f t="shared" si="101"/>
        <v>0.59115463937121626</v>
      </c>
      <c r="AY174" s="49">
        <f t="shared" si="102"/>
        <v>0.2074910424923255</v>
      </c>
      <c r="AZ174" s="49">
        <f t="shared" si="103"/>
        <v>0.20135431813645824</v>
      </c>
      <c r="BA174" s="49">
        <f t="shared" si="104"/>
        <v>0.13454319086856936</v>
      </c>
      <c r="BB174" s="44"/>
    </row>
    <row r="175" spans="3:54" s="7" customFormat="1" outlineLevel="1" x14ac:dyDescent="0.3">
      <c r="C175" s="38"/>
      <c r="D175" s="38"/>
      <c r="E175" s="38" t="s">
        <v>245</v>
      </c>
      <c r="F175" s="38" t="s">
        <v>426</v>
      </c>
      <c r="G175" s="38" t="str">
        <f>VLOOKUP(E175,Mapping!$E$11:$G$204,3,0)</f>
        <v>ACS</v>
      </c>
      <c r="H175" s="38" t="str">
        <f>VLOOKUP(E175,Mapping!$E$11:$K$204,7,0)</f>
        <v>ACS</v>
      </c>
      <c r="I175" s="38"/>
      <c r="J175" s="48">
        <f>SUMPRODUCT(--('Input|Historical Data'!$E$9:$E$1179=$E175),--('Input|Historical Data'!$O$9:$O$1179="SCS"),--('Input|Historical Data'!$M$9:$M$1179=J$5),'Input|Historical Data'!$I$9:$I$1179)</f>
        <v>0</v>
      </c>
      <c r="K175" s="48">
        <f>SUMPRODUCT(--('Input|Historical Data'!$E$9:$E$1179=$E175),--('Input|Historical Data'!$O$9:$O$1179="SCS"),--('Input|Historical Data'!$N$9:$N$1179=K$5),'Input|Historical Data'!$I$9:$I$1179)</f>
        <v>0</v>
      </c>
      <c r="L175" s="48">
        <f>SUMPRODUCT(--('Input|Historical Data'!$E$9:$E$1179=$E175),--('Input|Historical Data'!$O$9:$O$1179="SCS"),--('Input|Historical Data'!$N$9:$N$1179=L$5),'Input|Historical Data'!$I$9:$I$1179)</f>
        <v>0</v>
      </c>
      <c r="M175" s="48">
        <f>SUMPRODUCT(--('Input|Historical Data'!$E$9:$E$1179=$E175),--('Input|Historical Data'!$O$9:$O$1179="SCS"),--('Input|Historical Data'!$N$9:$N$1179=M$5),'Input|Historical Data'!$I$9:$I$1179)</f>
        <v>0</v>
      </c>
      <c r="N175" s="48">
        <f>SUMPRODUCT(--('Input|Historical Data'!$E$9:$E$1179=$E175),--('Input|Historical Data'!$O$9:$O$1179="SCS"),--('Input|Historical Data'!$M$9:$M$1179=N$5),'Input|Historical Data'!$I$9:$I$1179)</f>
        <v>0</v>
      </c>
      <c r="O175" s="49">
        <f t="shared" si="93"/>
        <v>0</v>
      </c>
      <c r="P175" s="49">
        <f t="shared" si="94"/>
        <v>0</v>
      </c>
      <c r="Q175" s="49">
        <f t="shared" si="95"/>
        <v>0</v>
      </c>
      <c r="R175" s="49">
        <f t="shared" si="96"/>
        <v>0</v>
      </c>
      <c r="S175" s="38"/>
      <c r="T175" s="48">
        <f>SUMPRODUCT(--('Input|Historical Data'!$Q$9:$Q$1179=$E175),--('Input|Historical Data'!$AA$9:$AA$1179="SCS"),--('Input|Historical Data'!$Y$9:$Y$1179=T$5),'Input|Historical Data'!$U$9:$U$1179)</f>
        <v>0</v>
      </c>
      <c r="U175" s="48">
        <f>SUMPRODUCT(--('Input|Historical Data'!$Q$9:$Q$1179=$E175),--('Input|Historical Data'!$AA$9:$AA$1179="SCS"),--('Input|Historical Data'!$Z$9:$Z$1179=U$5),'Input|Historical Data'!$U$9:$U$1179)</f>
        <v>0</v>
      </c>
      <c r="V175" s="48">
        <f>SUMPRODUCT(--('Input|Historical Data'!$Q$9:$Q$1179=$E175),--('Input|Historical Data'!$AA$9:$AA$1179="SCS"),--('Input|Historical Data'!$Z$9:$Z$1179=V$5),'Input|Historical Data'!$U$9:$U$1179)</f>
        <v>0</v>
      </c>
      <c r="W175" s="48">
        <f>SUMPRODUCT(--('Input|Historical Data'!$Q$9:$Q$1179=$E175),--('Input|Historical Data'!$AA$9:$AA$1179="SCS"),--('Input|Historical Data'!$Z$9:$Z$1179=W$5),'Input|Historical Data'!$U$9:$U$1179)</f>
        <v>0</v>
      </c>
      <c r="X175" s="48">
        <f>SUMPRODUCT(--('Input|Historical Data'!$Q$9:$Q$1179=$E175),--('Input|Historical Data'!$AA$9:$AA$1179="SCS"),--('Input|Historical Data'!$Y$9:$Y$1179=X$5),'Input|Historical Data'!$U$9:$U$1179)</f>
        <v>0</v>
      </c>
      <c r="Y175" s="49">
        <f t="shared" si="89"/>
        <v>0</v>
      </c>
      <c r="Z175" s="49">
        <f t="shared" si="90"/>
        <v>0</v>
      </c>
      <c r="AA175" s="49">
        <f t="shared" si="91"/>
        <v>0</v>
      </c>
      <c r="AB175" s="49">
        <f t="shared" si="92"/>
        <v>0</v>
      </c>
      <c r="AC175" s="38"/>
      <c r="AD175" s="48">
        <f>SUMPRODUCT(--('Input|Historical Data'!$AC$9:$AC$1180=$E175),--('Input|Historical Data'!$AM$9:$AM$1180="SCS"),--('Input|Historical Data'!$AK$9:$AK$1180=AD$5),'Input|Historical Data'!$AG$9:$AG$1180)</f>
        <v>0</v>
      </c>
      <c r="AE175" s="48">
        <f>SUMPRODUCT(--('Input|Historical Data'!$AC$9:$AC$1180=$E175),--('Input|Historical Data'!$AM$9:$AM$1180="SCS"),--('Input|Historical Data'!$AL$9:$AL$1180=AE$5),'Input|Historical Data'!$AG$9:$AG$1180)</f>
        <v>0</v>
      </c>
      <c r="AF175" s="48">
        <f>SUMPRODUCT(--('Input|Historical Data'!$AC$9:$AC$1180=$E175),--('Input|Historical Data'!$AM$9:$AM$1180="SCS"),--('Input|Historical Data'!$AL$9:$AL$1180=AF$5),'Input|Historical Data'!$AG$9:$AG$1180)</f>
        <v>0</v>
      </c>
      <c r="AG175" s="48">
        <f>SUMPRODUCT(--('Input|Historical Data'!$AC$9:$AC$1180=$E175),--('Input|Historical Data'!$AM$9:$AM$1180="SCS"),--('Input|Historical Data'!$AL$9:$AL$1180=AG$5),'Input|Historical Data'!$AG$9:$AG$1180)</f>
        <v>0</v>
      </c>
      <c r="AH175" s="48">
        <f>SUMPRODUCT(--('Input|Historical Data'!$AC$9:$AC$1180=$E175),--('Input|Historical Data'!$AM$9:$AM$1180="SCS"),--('Input|Historical Data'!$AK$9:$AK$1180=AH$5),'Input|Historical Data'!$AG$9:$AG$1180)</f>
        <v>0</v>
      </c>
      <c r="AI175" s="49">
        <f t="shared" si="97"/>
        <v>0</v>
      </c>
      <c r="AJ175" s="49">
        <f t="shared" si="98"/>
        <v>0</v>
      </c>
      <c r="AK175" s="49">
        <f t="shared" si="99"/>
        <v>0</v>
      </c>
      <c r="AL175" s="49">
        <f t="shared" si="100"/>
        <v>0</v>
      </c>
      <c r="AM175" s="38"/>
      <c r="AN175" s="48"/>
      <c r="AO175" s="48"/>
      <c r="AP175" s="48"/>
      <c r="AQ175" s="48"/>
      <c r="AR175" s="48"/>
      <c r="AS175" s="49"/>
      <c r="AT175" s="49"/>
      <c r="AU175" s="49"/>
      <c r="AV175" s="49"/>
      <c r="AW175" s="38"/>
      <c r="AX175" s="49">
        <f t="shared" si="101"/>
        <v>0</v>
      </c>
      <c r="AY175" s="49">
        <f t="shared" si="102"/>
        <v>0</v>
      </c>
      <c r="AZ175" s="49">
        <f t="shared" si="103"/>
        <v>0</v>
      </c>
      <c r="BA175" s="49">
        <f t="shared" si="104"/>
        <v>0</v>
      </c>
      <c r="BB175" s="44"/>
    </row>
    <row r="176" spans="3:54" s="7" customFormat="1" outlineLevel="1" x14ac:dyDescent="0.3">
      <c r="C176" s="38"/>
      <c r="D176" s="38"/>
      <c r="E176" s="38" t="s">
        <v>246</v>
      </c>
      <c r="F176" s="38" t="s">
        <v>427</v>
      </c>
      <c r="G176" s="38" t="str">
        <f>VLOOKUP(E176,Mapping!$E$11:$G$204,3,0)</f>
        <v>ACS</v>
      </c>
      <c r="H176" s="38" t="str">
        <f>VLOOKUP(E176,Mapping!$E$11:$K$204,7,0)</f>
        <v>ACS</v>
      </c>
      <c r="I176" s="38"/>
      <c r="J176" s="48">
        <f>SUMPRODUCT(--('Input|Historical Data'!$E$9:$E$1179=$E176),--('Input|Historical Data'!$O$9:$O$1179="SCS"),--('Input|Historical Data'!$M$9:$M$1179=J$5),'Input|Historical Data'!$I$9:$I$1179)</f>
        <v>0</v>
      </c>
      <c r="K176" s="48">
        <f>SUMPRODUCT(--('Input|Historical Data'!$E$9:$E$1179=$E176),--('Input|Historical Data'!$O$9:$O$1179="SCS"),--('Input|Historical Data'!$N$9:$N$1179=K$5),'Input|Historical Data'!$I$9:$I$1179)</f>
        <v>0</v>
      </c>
      <c r="L176" s="48">
        <f>SUMPRODUCT(--('Input|Historical Data'!$E$9:$E$1179=$E176),--('Input|Historical Data'!$O$9:$O$1179="SCS"),--('Input|Historical Data'!$N$9:$N$1179=L$5),'Input|Historical Data'!$I$9:$I$1179)</f>
        <v>0</v>
      </c>
      <c r="M176" s="48">
        <f>SUMPRODUCT(--('Input|Historical Data'!$E$9:$E$1179=$E176),--('Input|Historical Data'!$O$9:$O$1179="SCS"),--('Input|Historical Data'!$N$9:$N$1179=M$5),'Input|Historical Data'!$I$9:$I$1179)</f>
        <v>0</v>
      </c>
      <c r="N176" s="48">
        <f>SUMPRODUCT(--('Input|Historical Data'!$E$9:$E$1179=$E176),--('Input|Historical Data'!$O$9:$O$1179="SCS"),--('Input|Historical Data'!$M$9:$M$1179=N$5),'Input|Historical Data'!$I$9:$I$1179)</f>
        <v>0</v>
      </c>
      <c r="O176" s="49">
        <f t="shared" si="93"/>
        <v>0</v>
      </c>
      <c r="P176" s="49">
        <f t="shared" si="94"/>
        <v>0</v>
      </c>
      <c r="Q176" s="49">
        <f t="shared" si="95"/>
        <v>0</v>
      </c>
      <c r="R176" s="49">
        <f t="shared" si="96"/>
        <v>0</v>
      </c>
      <c r="S176" s="38"/>
      <c r="T176" s="48">
        <f>SUMPRODUCT(--('Input|Historical Data'!$Q$9:$Q$1179=$E176),--('Input|Historical Data'!$AA$9:$AA$1179="SCS"),--('Input|Historical Data'!$Y$9:$Y$1179=T$5),'Input|Historical Data'!$U$9:$U$1179)</f>
        <v>0</v>
      </c>
      <c r="U176" s="48">
        <f>SUMPRODUCT(--('Input|Historical Data'!$Q$9:$Q$1179=$E176),--('Input|Historical Data'!$AA$9:$AA$1179="SCS"),--('Input|Historical Data'!$Z$9:$Z$1179=U$5),'Input|Historical Data'!$U$9:$U$1179)</f>
        <v>0</v>
      </c>
      <c r="V176" s="48">
        <f>SUMPRODUCT(--('Input|Historical Data'!$Q$9:$Q$1179=$E176),--('Input|Historical Data'!$AA$9:$AA$1179="SCS"),--('Input|Historical Data'!$Z$9:$Z$1179=V$5),'Input|Historical Data'!$U$9:$U$1179)</f>
        <v>0</v>
      </c>
      <c r="W176" s="48">
        <f>SUMPRODUCT(--('Input|Historical Data'!$Q$9:$Q$1179=$E176),--('Input|Historical Data'!$AA$9:$AA$1179="SCS"),--('Input|Historical Data'!$Z$9:$Z$1179=W$5),'Input|Historical Data'!$U$9:$U$1179)</f>
        <v>0</v>
      </c>
      <c r="X176" s="48">
        <f>SUMPRODUCT(--('Input|Historical Data'!$Q$9:$Q$1179=$E176),--('Input|Historical Data'!$AA$9:$AA$1179="SCS"),--('Input|Historical Data'!$Y$9:$Y$1179=X$5),'Input|Historical Data'!$U$9:$U$1179)</f>
        <v>0</v>
      </c>
      <c r="Y176" s="49">
        <f t="shared" si="89"/>
        <v>0</v>
      </c>
      <c r="Z176" s="49">
        <f t="shared" si="90"/>
        <v>0</v>
      </c>
      <c r="AA176" s="49">
        <f t="shared" si="91"/>
        <v>0</v>
      </c>
      <c r="AB176" s="49">
        <f t="shared" si="92"/>
        <v>0</v>
      </c>
      <c r="AC176" s="38"/>
      <c r="AD176" s="48">
        <f>SUMPRODUCT(--('Input|Historical Data'!$AC$9:$AC$1180=$E176),--('Input|Historical Data'!$AM$9:$AM$1180="SCS"),--('Input|Historical Data'!$AK$9:$AK$1180=AD$5),'Input|Historical Data'!$AG$9:$AG$1180)</f>
        <v>0</v>
      </c>
      <c r="AE176" s="48">
        <f>SUMPRODUCT(--('Input|Historical Data'!$AC$9:$AC$1180=$E176),--('Input|Historical Data'!$AM$9:$AM$1180="SCS"),--('Input|Historical Data'!$AL$9:$AL$1180=AE$5),'Input|Historical Data'!$AG$9:$AG$1180)</f>
        <v>0</v>
      </c>
      <c r="AF176" s="48">
        <f>SUMPRODUCT(--('Input|Historical Data'!$AC$9:$AC$1180=$E176),--('Input|Historical Data'!$AM$9:$AM$1180="SCS"),--('Input|Historical Data'!$AL$9:$AL$1180=AF$5),'Input|Historical Data'!$AG$9:$AG$1180)</f>
        <v>0</v>
      </c>
      <c r="AG176" s="48">
        <f>SUMPRODUCT(--('Input|Historical Data'!$AC$9:$AC$1180=$E176),--('Input|Historical Data'!$AM$9:$AM$1180="SCS"),--('Input|Historical Data'!$AL$9:$AL$1180=AG$5),'Input|Historical Data'!$AG$9:$AG$1180)</f>
        <v>0</v>
      </c>
      <c r="AH176" s="48">
        <f>SUMPRODUCT(--('Input|Historical Data'!$AC$9:$AC$1180=$E176),--('Input|Historical Data'!$AM$9:$AM$1180="SCS"),--('Input|Historical Data'!$AK$9:$AK$1180=AH$5),'Input|Historical Data'!$AG$9:$AG$1180)</f>
        <v>0</v>
      </c>
      <c r="AI176" s="49">
        <f t="shared" si="97"/>
        <v>0</v>
      </c>
      <c r="AJ176" s="49">
        <f t="shared" si="98"/>
        <v>0</v>
      </c>
      <c r="AK176" s="49">
        <f t="shared" si="99"/>
        <v>0</v>
      </c>
      <c r="AL176" s="49">
        <f t="shared" si="100"/>
        <v>0</v>
      </c>
      <c r="AM176" s="38"/>
      <c r="AN176" s="48"/>
      <c r="AO176" s="48"/>
      <c r="AP176" s="48"/>
      <c r="AQ176" s="48"/>
      <c r="AR176" s="48"/>
      <c r="AS176" s="49"/>
      <c r="AT176" s="49"/>
      <c r="AU176" s="49"/>
      <c r="AV176" s="49"/>
      <c r="AW176" s="38"/>
      <c r="AX176" s="49">
        <f t="shared" si="101"/>
        <v>0</v>
      </c>
      <c r="AY176" s="49">
        <f t="shared" si="102"/>
        <v>0</v>
      </c>
      <c r="AZ176" s="49">
        <f t="shared" si="103"/>
        <v>0</v>
      </c>
      <c r="BA176" s="49">
        <f t="shared" si="104"/>
        <v>0</v>
      </c>
      <c r="BB176" s="44"/>
    </row>
    <row r="177" spans="3:54" s="7" customFormat="1" outlineLevel="1" x14ac:dyDescent="0.3">
      <c r="C177" s="38"/>
      <c r="D177" s="38"/>
      <c r="E177" s="38" t="s">
        <v>247</v>
      </c>
      <c r="F177" s="38" t="s">
        <v>428</v>
      </c>
      <c r="G177" s="38" t="str">
        <f>VLOOKUP(E177,Mapping!$E$11:$G$204,3,0)</f>
        <v>ACS</v>
      </c>
      <c r="H177" s="38" t="str">
        <f>VLOOKUP(E177,Mapping!$E$11:$K$204,7,0)</f>
        <v>ACS</v>
      </c>
      <c r="I177" s="38"/>
      <c r="J177" s="48">
        <f>SUMPRODUCT(--('Input|Historical Data'!$E$9:$E$1179=$E177),--('Input|Historical Data'!$O$9:$O$1179="SCS"),--('Input|Historical Data'!$M$9:$M$1179=J$5),'Input|Historical Data'!$I$9:$I$1179)</f>
        <v>0</v>
      </c>
      <c r="K177" s="48">
        <f>SUMPRODUCT(--('Input|Historical Data'!$E$9:$E$1179=$E177),--('Input|Historical Data'!$O$9:$O$1179="SCS"),--('Input|Historical Data'!$N$9:$N$1179=K$5),'Input|Historical Data'!$I$9:$I$1179)</f>
        <v>0</v>
      </c>
      <c r="L177" s="48">
        <f>SUMPRODUCT(--('Input|Historical Data'!$E$9:$E$1179=$E177),--('Input|Historical Data'!$O$9:$O$1179="SCS"),--('Input|Historical Data'!$N$9:$N$1179=L$5),'Input|Historical Data'!$I$9:$I$1179)</f>
        <v>0</v>
      </c>
      <c r="M177" s="48">
        <f>SUMPRODUCT(--('Input|Historical Data'!$E$9:$E$1179=$E177),--('Input|Historical Data'!$O$9:$O$1179="SCS"),--('Input|Historical Data'!$N$9:$N$1179=M$5),'Input|Historical Data'!$I$9:$I$1179)</f>
        <v>0</v>
      </c>
      <c r="N177" s="48">
        <f>SUMPRODUCT(--('Input|Historical Data'!$E$9:$E$1179=$E177),--('Input|Historical Data'!$O$9:$O$1179="SCS"),--('Input|Historical Data'!$M$9:$M$1179=N$5),'Input|Historical Data'!$I$9:$I$1179)</f>
        <v>0</v>
      </c>
      <c r="O177" s="49">
        <f t="shared" si="93"/>
        <v>0</v>
      </c>
      <c r="P177" s="49">
        <f t="shared" si="94"/>
        <v>0</v>
      </c>
      <c r="Q177" s="49">
        <f t="shared" si="95"/>
        <v>0</v>
      </c>
      <c r="R177" s="49">
        <f t="shared" si="96"/>
        <v>0</v>
      </c>
      <c r="S177" s="38"/>
      <c r="T177" s="48">
        <f>SUMPRODUCT(--('Input|Historical Data'!$Q$9:$Q$1179=$E177),--('Input|Historical Data'!$AA$9:$AA$1179="SCS"),--('Input|Historical Data'!$Y$9:$Y$1179=T$5),'Input|Historical Data'!$U$9:$U$1179)</f>
        <v>0</v>
      </c>
      <c r="U177" s="48">
        <f>SUMPRODUCT(--('Input|Historical Data'!$Q$9:$Q$1179=$E177),--('Input|Historical Data'!$AA$9:$AA$1179="SCS"),--('Input|Historical Data'!$Z$9:$Z$1179=U$5),'Input|Historical Data'!$U$9:$U$1179)</f>
        <v>0</v>
      </c>
      <c r="V177" s="48">
        <f>SUMPRODUCT(--('Input|Historical Data'!$Q$9:$Q$1179=$E177),--('Input|Historical Data'!$AA$9:$AA$1179="SCS"),--('Input|Historical Data'!$Z$9:$Z$1179=V$5),'Input|Historical Data'!$U$9:$U$1179)</f>
        <v>0</v>
      </c>
      <c r="W177" s="48">
        <f>SUMPRODUCT(--('Input|Historical Data'!$Q$9:$Q$1179=$E177),--('Input|Historical Data'!$AA$9:$AA$1179="SCS"),--('Input|Historical Data'!$Z$9:$Z$1179=W$5),'Input|Historical Data'!$U$9:$U$1179)</f>
        <v>0</v>
      </c>
      <c r="X177" s="48">
        <f>SUMPRODUCT(--('Input|Historical Data'!$Q$9:$Q$1179=$E177),--('Input|Historical Data'!$AA$9:$AA$1179="SCS"),--('Input|Historical Data'!$Y$9:$Y$1179=X$5),'Input|Historical Data'!$U$9:$U$1179)</f>
        <v>0</v>
      </c>
      <c r="Y177" s="49">
        <f t="shared" si="89"/>
        <v>0</v>
      </c>
      <c r="Z177" s="49">
        <f t="shared" si="90"/>
        <v>0</v>
      </c>
      <c r="AA177" s="49">
        <f t="shared" si="91"/>
        <v>0</v>
      </c>
      <c r="AB177" s="49">
        <f t="shared" si="92"/>
        <v>0</v>
      </c>
      <c r="AC177" s="38"/>
      <c r="AD177" s="48">
        <f>SUMPRODUCT(--('Input|Historical Data'!$AC$9:$AC$1180=$E177),--('Input|Historical Data'!$AM$9:$AM$1180="SCS"),--('Input|Historical Data'!$AK$9:$AK$1180=AD$5),'Input|Historical Data'!$AG$9:$AG$1180)</f>
        <v>0</v>
      </c>
      <c r="AE177" s="48">
        <f>SUMPRODUCT(--('Input|Historical Data'!$AC$9:$AC$1180=$E177),--('Input|Historical Data'!$AM$9:$AM$1180="SCS"),--('Input|Historical Data'!$AL$9:$AL$1180=AE$5),'Input|Historical Data'!$AG$9:$AG$1180)</f>
        <v>0</v>
      </c>
      <c r="AF177" s="48">
        <f>SUMPRODUCT(--('Input|Historical Data'!$AC$9:$AC$1180=$E177),--('Input|Historical Data'!$AM$9:$AM$1180="SCS"),--('Input|Historical Data'!$AL$9:$AL$1180=AF$5),'Input|Historical Data'!$AG$9:$AG$1180)</f>
        <v>0</v>
      </c>
      <c r="AG177" s="48">
        <f>SUMPRODUCT(--('Input|Historical Data'!$AC$9:$AC$1180=$E177),--('Input|Historical Data'!$AM$9:$AM$1180="SCS"),--('Input|Historical Data'!$AL$9:$AL$1180=AG$5),'Input|Historical Data'!$AG$9:$AG$1180)</f>
        <v>0</v>
      </c>
      <c r="AH177" s="48">
        <f>SUMPRODUCT(--('Input|Historical Data'!$AC$9:$AC$1180=$E177),--('Input|Historical Data'!$AM$9:$AM$1180="SCS"),--('Input|Historical Data'!$AK$9:$AK$1180=AH$5),'Input|Historical Data'!$AG$9:$AG$1180)</f>
        <v>0</v>
      </c>
      <c r="AI177" s="49">
        <f t="shared" si="97"/>
        <v>0</v>
      </c>
      <c r="AJ177" s="49">
        <f t="shared" si="98"/>
        <v>0</v>
      </c>
      <c r="AK177" s="49">
        <f t="shared" si="99"/>
        <v>0</v>
      </c>
      <c r="AL177" s="49">
        <f t="shared" si="100"/>
        <v>0</v>
      </c>
      <c r="AM177" s="38"/>
      <c r="AN177" s="48"/>
      <c r="AO177" s="48"/>
      <c r="AP177" s="48"/>
      <c r="AQ177" s="48"/>
      <c r="AR177" s="48"/>
      <c r="AS177" s="49"/>
      <c r="AT177" s="49"/>
      <c r="AU177" s="49"/>
      <c r="AV177" s="49"/>
      <c r="AW177" s="38"/>
      <c r="AX177" s="49">
        <f t="shared" si="101"/>
        <v>0</v>
      </c>
      <c r="AY177" s="49">
        <f t="shared" si="102"/>
        <v>0</v>
      </c>
      <c r="AZ177" s="49">
        <f t="shared" si="103"/>
        <v>0</v>
      </c>
      <c r="BA177" s="49">
        <f t="shared" si="104"/>
        <v>0</v>
      </c>
      <c r="BB177" s="44"/>
    </row>
    <row r="178" spans="3:54" s="7" customFormat="1" outlineLevel="1" x14ac:dyDescent="0.3">
      <c r="C178" s="38"/>
      <c r="D178" s="38"/>
      <c r="E178" s="38" t="s">
        <v>248</v>
      </c>
      <c r="F178" s="38" t="s">
        <v>429</v>
      </c>
      <c r="G178" s="38" t="str">
        <f>VLOOKUP(E178,Mapping!$E$11:$G$204,3,0)</f>
        <v>ACS</v>
      </c>
      <c r="H178" s="38" t="str">
        <f>VLOOKUP(E178,Mapping!$E$11:$K$204,7,0)</f>
        <v>ACS</v>
      </c>
      <c r="I178" s="38"/>
      <c r="J178" s="48">
        <f>SUMPRODUCT(--('Input|Historical Data'!$E$9:$E$1179=$E178),--('Input|Historical Data'!$O$9:$O$1179="SCS"),--('Input|Historical Data'!$M$9:$M$1179=J$5),'Input|Historical Data'!$I$9:$I$1179)</f>
        <v>0</v>
      </c>
      <c r="K178" s="48">
        <f>SUMPRODUCT(--('Input|Historical Data'!$E$9:$E$1179=$E178),--('Input|Historical Data'!$O$9:$O$1179="SCS"),--('Input|Historical Data'!$N$9:$N$1179=K$5),'Input|Historical Data'!$I$9:$I$1179)</f>
        <v>0</v>
      </c>
      <c r="L178" s="48">
        <f>SUMPRODUCT(--('Input|Historical Data'!$E$9:$E$1179=$E178),--('Input|Historical Data'!$O$9:$O$1179="SCS"),--('Input|Historical Data'!$N$9:$N$1179=L$5),'Input|Historical Data'!$I$9:$I$1179)</f>
        <v>0</v>
      </c>
      <c r="M178" s="48">
        <f>SUMPRODUCT(--('Input|Historical Data'!$E$9:$E$1179=$E178),--('Input|Historical Data'!$O$9:$O$1179="SCS"),--('Input|Historical Data'!$N$9:$N$1179=M$5),'Input|Historical Data'!$I$9:$I$1179)</f>
        <v>0</v>
      </c>
      <c r="N178" s="48">
        <f>SUMPRODUCT(--('Input|Historical Data'!$E$9:$E$1179=$E178),--('Input|Historical Data'!$O$9:$O$1179="SCS"),--('Input|Historical Data'!$M$9:$M$1179=N$5),'Input|Historical Data'!$I$9:$I$1179)</f>
        <v>0</v>
      </c>
      <c r="O178" s="49">
        <f t="shared" si="93"/>
        <v>0</v>
      </c>
      <c r="P178" s="49">
        <f t="shared" si="94"/>
        <v>0</v>
      </c>
      <c r="Q178" s="49">
        <f t="shared" si="95"/>
        <v>0</v>
      </c>
      <c r="R178" s="49">
        <f t="shared" si="96"/>
        <v>0</v>
      </c>
      <c r="S178" s="38"/>
      <c r="T178" s="48">
        <f>SUMPRODUCT(--('Input|Historical Data'!$Q$9:$Q$1179=$E178),--('Input|Historical Data'!$AA$9:$AA$1179="SCS"),--('Input|Historical Data'!$Y$9:$Y$1179=T$5),'Input|Historical Data'!$U$9:$U$1179)</f>
        <v>0</v>
      </c>
      <c r="U178" s="48">
        <f>SUMPRODUCT(--('Input|Historical Data'!$Q$9:$Q$1179=$E178),--('Input|Historical Data'!$AA$9:$AA$1179="SCS"),--('Input|Historical Data'!$Z$9:$Z$1179=U$5),'Input|Historical Data'!$U$9:$U$1179)</f>
        <v>0</v>
      </c>
      <c r="V178" s="48">
        <f>SUMPRODUCT(--('Input|Historical Data'!$Q$9:$Q$1179=$E178),--('Input|Historical Data'!$AA$9:$AA$1179="SCS"),--('Input|Historical Data'!$Z$9:$Z$1179=V$5),'Input|Historical Data'!$U$9:$U$1179)</f>
        <v>0</v>
      </c>
      <c r="W178" s="48">
        <f>SUMPRODUCT(--('Input|Historical Data'!$Q$9:$Q$1179=$E178),--('Input|Historical Data'!$AA$9:$AA$1179="SCS"),--('Input|Historical Data'!$Z$9:$Z$1179=W$5),'Input|Historical Data'!$U$9:$U$1179)</f>
        <v>0</v>
      </c>
      <c r="X178" s="48">
        <f>SUMPRODUCT(--('Input|Historical Data'!$Q$9:$Q$1179=$E178),--('Input|Historical Data'!$AA$9:$AA$1179="SCS"),--('Input|Historical Data'!$Y$9:$Y$1179=X$5),'Input|Historical Data'!$U$9:$U$1179)</f>
        <v>0</v>
      </c>
      <c r="Y178" s="49">
        <f t="shared" si="89"/>
        <v>0</v>
      </c>
      <c r="Z178" s="49">
        <f t="shared" si="90"/>
        <v>0</v>
      </c>
      <c r="AA178" s="49">
        <f t="shared" si="91"/>
        <v>0</v>
      </c>
      <c r="AB178" s="49">
        <f t="shared" si="92"/>
        <v>0</v>
      </c>
      <c r="AC178" s="38"/>
      <c r="AD178" s="48">
        <f>SUMPRODUCT(--('Input|Historical Data'!$AC$9:$AC$1180=$E178),--('Input|Historical Data'!$AM$9:$AM$1180="SCS"),--('Input|Historical Data'!$AK$9:$AK$1180=AD$5),'Input|Historical Data'!$AG$9:$AG$1180)</f>
        <v>0</v>
      </c>
      <c r="AE178" s="48">
        <f>SUMPRODUCT(--('Input|Historical Data'!$AC$9:$AC$1180=$E178),--('Input|Historical Data'!$AM$9:$AM$1180="SCS"),--('Input|Historical Data'!$AL$9:$AL$1180=AE$5),'Input|Historical Data'!$AG$9:$AG$1180)</f>
        <v>0</v>
      </c>
      <c r="AF178" s="48">
        <f>SUMPRODUCT(--('Input|Historical Data'!$AC$9:$AC$1180=$E178),--('Input|Historical Data'!$AM$9:$AM$1180="SCS"),--('Input|Historical Data'!$AL$9:$AL$1180=AF$5),'Input|Historical Data'!$AG$9:$AG$1180)</f>
        <v>0</v>
      </c>
      <c r="AG178" s="48">
        <f>SUMPRODUCT(--('Input|Historical Data'!$AC$9:$AC$1180=$E178),--('Input|Historical Data'!$AM$9:$AM$1180="SCS"),--('Input|Historical Data'!$AL$9:$AL$1180=AG$5),'Input|Historical Data'!$AG$9:$AG$1180)</f>
        <v>0</v>
      </c>
      <c r="AH178" s="48">
        <f>SUMPRODUCT(--('Input|Historical Data'!$AC$9:$AC$1180=$E178),--('Input|Historical Data'!$AM$9:$AM$1180="SCS"),--('Input|Historical Data'!$AK$9:$AK$1180=AH$5),'Input|Historical Data'!$AG$9:$AG$1180)</f>
        <v>0</v>
      </c>
      <c r="AI178" s="49">
        <f t="shared" si="97"/>
        <v>0</v>
      </c>
      <c r="AJ178" s="49">
        <f t="shared" si="98"/>
        <v>0</v>
      </c>
      <c r="AK178" s="49">
        <f t="shared" si="99"/>
        <v>0</v>
      </c>
      <c r="AL178" s="49">
        <f t="shared" si="100"/>
        <v>0</v>
      </c>
      <c r="AM178" s="38"/>
      <c r="AN178" s="48"/>
      <c r="AO178" s="48"/>
      <c r="AP178" s="48"/>
      <c r="AQ178" s="48"/>
      <c r="AR178" s="48"/>
      <c r="AS178" s="49"/>
      <c r="AT178" s="49"/>
      <c r="AU178" s="49"/>
      <c r="AV178" s="49"/>
      <c r="AW178" s="38"/>
      <c r="AX178" s="49">
        <f t="shared" si="101"/>
        <v>0</v>
      </c>
      <c r="AY178" s="49">
        <f t="shared" si="102"/>
        <v>0</v>
      </c>
      <c r="AZ178" s="49">
        <f t="shared" si="103"/>
        <v>0</v>
      </c>
      <c r="BA178" s="49">
        <f t="shared" si="104"/>
        <v>0</v>
      </c>
      <c r="BB178" s="44"/>
    </row>
    <row r="179" spans="3:54" s="7" customFormat="1" outlineLevel="1" x14ac:dyDescent="0.3">
      <c r="C179" s="38"/>
      <c r="D179" s="38"/>
      <c r="E179" s="38" t="s">
        <v>249</v>
      </c>
      <c r="F179" s="38" t="s">
        <v>430</v>
      </c>
      <c r="G179" s="38" t="str">
        <f>VLOOKUP(E179,Mapping!$E$11:$G$204,3,0)</f>
        <v>ACS</v>
      </c>
      <c r="H179" s="38" t="str">
        <f>VLOOKUP(E179,Mapping!$E$11:$K$204,7,0)</f>
        <v>ACS</v>
      </c>
      <c r="I179" s="38"/>
      <c r="J179" s="48">
        <f>SUMPRODUCT(--('Input|Historical Data'!$E$9:$E$1179=$E179),--('Input|Historical Data'!$O$9:$O$1179="SCS"),--('Input|Historical Data'!$M$9:$M$1179=J$5),'Input|Historical Data'!$I$9:$I$1179)</f>
        <v>0</v>
      </c>
      <c r="K179" s="48">
        <f>SUMPRODUCT(--('Input|Historical Data'!$E$9:$E$1179=$E179),--('Input|Historical Data'!$O$9:$O$1179="SCS"),--('Input|Historical Data'!$N$9:$N$1179=K$5),'Input|Historical Data'!$I$9:$I$1179)</f>
        <v>0</v>
      </c>
      <c r="L179" s="48">
        <f>SUMPRODUCT(--('Input|Historical Data'!$E$9:$E$1179=$E179),--('Input|Historical Data'!$O$9:$O$1179="SCS"),--('Input|Historical Data'!$N$9:$N$1179=L$5),'Input|Historical Data'!$I$9:$I$1179)</f>
        <v>0</v>
      </c>
      <c r="M179" s="48">
        <f>SUMPRODUCT(--('Input|Historical Data'!$E$9:$E$1179=$E179),--('Input|Historical Data'!$O$9:$O$1179="SCS"),--('Input|Historical Data'!$N$9:$N$1179=M$5),'Input|Historical Data'!$I$9:$I$1179)</f>
        <v>0</v>
      </c>
      <c r="N179" s="48">
        <f>SUMPRODUCT(--('Input|Historical Data'!$E$9:$E$1179=$E179),--('Input|Historical Data'!$O$9:$O$1179="SCS"),--('Input|Historical Data'!$M$9:$M$1179=N$5),'Input|Historical Data'!$I$9:$I$1179)</f>
        <v>0</v>
      </c>
      <c r="O179" s="49">
        <f t="shared" si="93"/>
        <v>0</v>
      </c>
      <c r="P179" s="49">
        <f t="shared" si="94"/>
        <v>0</v>
      </c>
      <c r="Q179" s="49">
        <f t="shared" si="95"/>
        <v>0</v>
      </c>
      <c r="R179" s="49">
        <f t="shared" si="96"/>
        <v>0</v>
      </c>
      <c r="S179" s="38"/>
      <c r="T179" s="48">
        <f>SUMPRODUCT(--('Input|Historical Data'!$Q$9:$Q$1179=$E179),--('Input|Historical Data'!$AA$9:$AA$1179="SCS"),--('Input|Historical Data'!$Y$9:$Y$1179=T$5),'Input|Historical Data'!$U$9:$U$1179)</f>
        <v>0</v>
      </c>
      <c r="U179" s="48">
        <f>SUMPRODUCT(--('Input|Historical Data'!$Q$9:$Q$1179=$E179),--('Input|Historical Data'!$AA$9:$AA$1179="SCS"),--('Input|Historical Data'!$Z$9:$Z$1179=U$5),'Input|Historical Data'!$U$9:$U$1179)</f>
        <v>0</v>
      </c>
      <c r="V179" s="48">
        <f>SUMPRODUCT(--('Input|Historical Data'!$Q$9:$Q$1179=$E179),--('Input|Historical Data'!$AA$9:$AA$1179="SCS"),--('Input|Historical Data'!$Z$9:$Z$1179=V$5),'Input|Historical Data'!$U$9:$U$1179)</f>
        <v>0</v>
      </c>
      <c r="W179" s="48">
        <f>SUMPRODUCT(--('Input|Historical Data'!$Q$9:$Q$1179=$E179),--('Input|Historical Data'!$AA$9:$AA$1179="SCS"),--('Input|Historical Data'!$Z$9:$Z$1179=W$5),'Input|Historical Data'!$U$9:$U$1179)</f>
        <v>0</v>
      </c>
      <c r="X179" s="48">
        <f>SUMPRODUCT(--('Input|Historical Data'!$Q$9:$Q$1179=$E179),--('Input|Historical Data'!$AA$9:$AA$1179="SCS"),--('Input|Historical Data'!$Y$9:$Y$1179=X$5),'Input|Historical Data'!$U$9:$U$1179)</f>
        <v>0</v>
      </c>
      <c r="Y179" s="49">
        <f t="shared" si="89"/>
        <v>0</v>
      </c>
      <c r="Z179" s="49">
        <f t="shared" si="90"/>
        <v>0</v>
      </c>
      <c r="AA179" s="49">
        <f t="shared" si="91"/>
        <v>0</v>
      </c>
      <c r="AB179" s="49">
        <f t="shared" si="92"/>
        <v>0</v>
      </c>
      <c r="AC179" s="38"/>
      <c r="AD179" s="48">
        <f>SUMPRODUCT(--('Input|Historical Data'!$AC$9:$AC$1180=$E179),--('Input|Historical Data'!$AM$9:$AM$1180="SCS"),--('Input|Historical Data'!$AK$9:$AK$1180=AD$5),'Input|Historical Data'!$AG$9:$AG$1180)</f>
        <v>0</v>
      </c>
      <c r="AE179" s="48">
        <f>SUMPRODUCT(--('Input|Historical Data'!$AC$9:$AC$1180=$E179),--('Input|Historical Data'!$AM$9:$AM$1180="SCS"),--('Input|Historical Data'!$AL$9:$AL$1180=AE$5),'Input|Historical Data'!$AG$9:$AG$1180)</f>
        <v>0</v>
      </c>
      <c r="AF179" s="48">
        <f>SUMPRODUCT(--('Input|Historical Data'!$AC$9:$AC$1180=$E179),--('Input|Historical Data'!$AM$9:$AM$1180="SCS"),--('Input|Historical Data'!$AL$9:$AL$1180=AF$5),'Input|Historical Data'!$AG$9:$AG$1180)</f>
        <v>0</v>
      </c>
      <c r="AG179" s="48">
        <f>SUMPRODUCT(--('Input|Historical Data'!$AC$9:$AC$1180=$E179),--('Input|Historical Data'!$AM$9:$AM$1180="SCS"),--('Input|Historical Data'!$AL$9:$AL$1180=AG$5),'Input|Historical Data'!$AG$9:$AG$1180)</f>
        <v>0</v>
      </c>
      <c r="AH179" s="48">
        <f>SUMPRODUCT(--('Input|Historical Data'!$AC$9:$AC$1180=$E179),--('Input|Historical Data'!$AM$9:$AM$1180="SCS"),--('Input|Historical Data'!$AK$9:$AK$1180=AH$5),'Input|Historical Data'!$AG$9:$AG$1180)</f>
        <v>0</v>
      </c>
      <c r="AI179" s="49">
        <f t="shared" si="97"/>
        <v>0</v>
      </c>
      <c r="AJ179" s="49">
        <f t="shared" si="98"/>
        <v>0</v>
      </c>
      <c r="AK179" s="49">
        <f t="shared" si="99"/>
        <v>0</v>
      </c>
      <c r="AL179" s="49">
        <f t="shared" si="100"/>
        <v>0</v>
      </c>
      <c r="AM179" s="38"/>
      <c r="AN179" s="48"/>
      <c r="AO179" s="48"/>
      <c r="AP179" s="48"/>
      <c r="AQ179" s="48"/>
      <c r="AR179" s="48"/>
      <c r="AS179" s="49"/>
      <c r="AT179" s="49"/>
      <c r="AU179" s="49"/>
      <c r="AV179" s="49"/>
      <c r="AW179" s="38"/>
      <c r="AX179" s="49">
        <f t="shared" si="101"/>
        <v>0</v>
      </c>
      <c r="AY179" s="49">
        <f t="shared" si="102"/>
        <v>0</v>
      </c>
      <c r="AZ179" s="49">
        <f t="shared" si="103"/>
        <v>0</v>
      </c>
      <c r="BA179" s="49">
        <f t="shared" si="104"/>
        <v>0</v>
      </c>
      <c r="BB179" s="44"/>
    </row>
    <row r="180" spans="3:54" s="7" customFormat="1" outlineLevel="1" x14ac:dyDescent="0.3">
      <c r="C180" s="38"/>
      <c r="D180" s="38"/>
      <c r="E180" s="38" t="s">
        <v>250</v>
      </c>
      <c r="F180" s="38" t="s">
        <v>431</v>
      </c>
      <c r="G180" s="38" t="str">
        <f>VLOOKUP(E180,Mapping!$E$11:$G$204,3,0)</f>
        <v>Augmentation</v>
      </c>
      <c r="H180" s="38" t="str">
        <f>VLOOKUP(E180,Mapping!$E$11:$K$204,7,0)</f>
        <v>SCADA (10-year asset)</v>
      </c>
      <c r="I180" s="38"/>
      <c r="J180" s="48">
        <f>SUMPRODUCT(--('Input|Historical Data'!$E$9:$E$1179=$E180),--('Input|Historical Data'!$O$9:$O$1179="SCS"),--('Input|Historical Data'!$M$9:$M$1179=J$5),'Input|Historical Data'!$I$9:$I$1179)</f>
        <v>0</v>
      </c>
      <c r="K180" s="48">
        <f>SUMPRODUCT(--('Input|Historical Data'!$E$9:$E$1179=$E180),--('Input|Historical Data'!$O$9:$O$1179="SCS"),--('Input|Historical Data'!$N$9:$N$1179=K$5),'Input|Historical Data'!$I$9:$I$1179)</f>
        <v>0</v>
      </c>
      <c r="L180" s="48">
        <f>SUMPRODUCT(--('Input|Historical Data'!$E$9:$E$1179=$E180),--('Input|Historical Data'!$O$9:$O$1179="SCS"),--('Input|Historical Data'!$N$9:$N$1179=L$5),'Input|Historical Data'!$I$9:$I$1179)</f>
        <v>0</v>
      </c>
      <c r="M180" s="48">
        <f>SUMPRODUCT(--('Input|Historical Data'!$E$9:$E$1179=$E180),--('Input|Historical Data'!$O$9:$O$1179="SCS"),--('Input|Historical Data'!$N$9:$N$1179=M$5),'Input|Historical Data'!$I$9:$I$1179)</f>
        <v>0</v>
      </c>
      <c r="N180" s="48">
        <f>SUMPRODUCT(--('Input|Historical Data'!$E$9:$E$1179=$E180),--('Input|Historical Data'!$O$9:$O$1179="SCS"),--('Input|Historical Data'!$M$9:$M$1179=N$5),'Input|Historical Data'!$I$9:$I$1179)</f>
        <v>0</v>
      </c>
      <c r="O180" s="49">
        <f t="shared" si="93"/>
        <v>0</v>
      </c>
      <c r="P180" s="49">
        <f t="shared" si="94"/>
        <v>0</v>
      </c>
      <c r="Q180" s="49">
        <f t="shared" si="95"/>
        <v>0</v>
      </c>
      <c r="R180" s="49">
        <f t="shared" si="96"/>
        <v>0</v>
      </c>
      <c r="S180" s="38"/>
      <c r="T180" s="48">
        <f>SUMPRODUCT(--('Input|Historical Data'!$Q$9:$Q$1179=$E180),--('Input|Historical Data'!$AA$9:$AA$1179="SCS"),--('Input|Historical Data'!$Y$9:$Y$1179=T$5),'Input|Historical Data'!$U$9:$U$1179)</f>
        <v>0</v>
      </c>
      <c r="U180" s="48">
        <f>SUMPRODUCT(--('Input|Historical Data'!$Q$9:$Q$1179=$E180),--('Input|Historical Data'!$AA$9:$AA$1179="SCS"),--('Input|Historical Data'!$Z$9:$Z$1179=U$5),'Input|Historical Data'!$U$9:$U$1179)</f>
        <v>0</v>
      </c>
      <c r="V180" s="48">
        <f>SUMPRODUCT(--('Input|Historical Data'!$Q$9:$Q$1179=$E180),--('Input|Historical Data'!$AA$9:$AA$1179="SCS"),--('Input|Historical Data'!$Z$9:$Z$1179=V$5),'Input|Historical Data'!$U$9:$U$1179)</f>
        <v>0</v>
      </c>
      <c r="W180" s="48">
        <f>SUMPRODUCT(--('Input|Historical Data'!$Q$9:$Q$1179=$E180),--('Input|Historical Data'!$AA$9:$AA$1179="SCS"),--('Input|Historical Data'!$Z$9:$Z$1179=W$5),'Input|Historical Data'!$U$9:$U$1179)</f>
        <v>0</v>
      </c>
      <c r="X180" s="48">
        <f>SUMPRODUCT(--('Input|Historical Data'!$Q$9:$Q$1179=$E180),--('Input|Historical Data'!$AA$9:$AA$1179="SCS"),--('Input|Historical Data'!$Y$9:$Y$1179=X$5),'Input|Historical Data'!$U$9:$U$1179)</f>
        <v>0</v>
      </c>
      <c r="Y180" s="49">
        <f t="shared" si="89"/>
        <v>0</v>
      </c>
      <c r="Z180" s="49">
        <f t="shared" si="90"/>
        <v>0</v>
      </c>
      <c r="AA180" s="49">
        <f t="shared" si="91"/>
        <v>0</v>
      </c>
      <c r="AB180" s="49">
        <f t="shared" si="92"/>
        <v>0</v>
      </c>
      <c r="AC180" s="38"/>
      <c r="AD180" s="48">
        <f>SUMPRODUCT(--('Input|Historical Data'!$AC$9:$AC$1180=$E180),--('Input|Historical Data'!$AM$9:$AM$1180="SCS"),--('Input|Historical Data'!$AK$9:$AK$1180=AD$5),'Input|Historical Data'!$AG$9:$AG$1180)</f>
        <v>0</v>
      </c>
      <c r="AE180" s="48">
        <f>SUMPRODUCT(--('Input|Historical Data'!$AC$9:$AC$1180=$E180),--('Input|Historical Data'!$AM$9:$AM$1180="SCS"),--('Input|Historical Data'!$AL$9:$AL$1180=AE$5),'Input|Historical Data'!$AG$9:$AG$1180)</f>
        <v>0</v>
      </c>
      <c r="AF180" s="48">
        <f>SUMPRODUCT(--('Input|Historical Data'!$AC$9:$AC$1180=$E180),--('Input|Historical Data'!$AM$9:$AM$1180="SCS"),--('Input|Historical Data'!$AL$9:$AL$1180=AF$5),'Input|Historical Data'!$AG$9:$AG$1180)</f>
        <v>0</v>
      </c>
      <c r="AG180" s="48">
        <f>SUMPRODUCT(--('Input|Historical Data'!$AC$9:$AC$1180=$E180),--('Input|Historical Data'!$AM$9:$AM$1180="SCS"),--('Input|Historical Data'!$AL$9:$AL$1180=AG$5),'Input|Historical Data'!$AG$9:$AG$1180)</f>
        <v>0</v>
      </c>
      <c r="AH180" s="48">
        <f>SUMPRODUCT(--('Input|Historical Data'!$AC$9:$AC$1180=$E180),--('Input|Historical Data'!$AM$9:$AM$1180="SCS"),--('Input|Historical Data'!$AK$9:$AK$1180=AH$5),'Input|Historical Data'!$AG$9:$AG$1180)</f>
        <v>0</v>
      </c>
      <c r="AI180" s="49">
        <f t="shared" si="97"/>
        <v>0</v>
      </c>
      <c r="AJ180" s="49">
        <f t="shared" si="98"/>
        <v>0</v>
      </c>
      <c r="AK180" s="49">
        <f t="shared" si="99"/>
        <v>0</v>
      </c>
      <c r="AL180" s="49">
        <f t="shared" si="100"/>
        <v>0</v>
      </c>
      <c r="AM180" s="38"/>
      <c r="AN180" s="48"/>
      <c r="AO180" s="48"/>
      <c r="AP180" s="48"/>
      <c r="AQ180" s="48"/>
      <c r="AR180" s="48"/>
      <c r="AS180" s="49"/>
      <c r="AT180" s="49"/>
      <c r="AU180" s="49"/>
      <c r="AV180" s="49"/>
      <c r="AW180" s="38"/>
      <c r="AX180" s="49">
        <f t="shared" si="101"/>
        <v>0</v>
      </c>
      <c r="AY180" s="49">
        <f t="shared" si="102"/>
        <v>0</v>
      </c>
      <c r="AZ180" s="49">
        <f t="shared" si="103"/>
        <v>0</v>
      </c>
      <c r="BA180" s="49">
        <f t="shared" si="104"/>
        <v>0</v>
      </c>
      <c r="BB180" s="44"/>
    </row>
    <row r="181" spans="3:54" s="7" customFormat="1" outlineLevel="1" x14ac:dyDescent="0.3">
      <c r="C181" s="38"/>
      <c r="D181" s="38"/>
      <c r="E181" s="38" t="s">
        <v>251</v>
      </c>
      <c r="F181" s="38" t="s">
        <v>432</v>
      </c>
      <c r="G181" s="38" t="str">
        <f>VLOOKUP(E181,Mapping!$E$11:$G$204,3,0)</f>
        <v>ACS</v>
      </c>
      <c r="H181" s="38" t="str">
        <f>VLOOKUP(E181,Mapping!$E$11:$K$204,7,0)</f>
        <v>ACS</v>
      </c>
      <c r="I181" s="38"/>
      <c r="J181" s="48">
        <f>SUMPRODUCT(--('Input|Historical Data'!$E$9:$E$1179=$E181),--('Input|Historical Data'!$O$9:$O$1179="SCS"),--('Input|Historical Data'!$M$9:$M$1179=J$5),'Input|Historical Data'!$I$9:$I$1179)</f>
        <v>0</v>
      </c>
      <c r="K181" s="48">
        <f>SUMPRODUCT(--('Input|Historical Data'!$E$9:$E$1179=$E181),--('Input|Historical Data'!$O$9:$O$1179="SCS"),--('Input|Historical Data'!$N$9:$N$1179=K$5),'Input|Historical Data'!$I$9:$I$1179)</f>
        <v>0</v>
      </c>
      <c r="L181" s="48">
        <f>SUMPRODUCT(--('Input|Historical Data'!$E$9:$E$1179=$E181),--('Input|Historical Data'!$O$9:$O$1179="SCS"),--('Input|Historical Data'!$N$9:$N$1179=L$5),'Input|Historical Data'!$I$9:$I$1179)</f>
        <v>0</v>
      </c>
      <c r="M181" s="48">
        <f>SUMPRODUCT(--('Input|Historical Data'!$E$9:$E$1179=$E181),--('Input|Historical Data'!$O$9:$O$1179="SCS"),--('Input|Historical Data'!$N$9:$N$1179=M$5),'Input|Historical Data'!$I$9:$I$1179)</f>
        <v>0</v>
      </c>
      <c r="N181" s="48">
        <f>SUMPRODUCT(--('Input|Historical Data'!$E$9:$E$1179=$E181),--('Input|Historical Data'!$O$9:$O$1179="SCS"),--('Input|Historical Data'!$M$9:$M$1179=N$5),'Input|Historical Data'!$I$9:$I$1179)</f>
        <v>0</v>
      </c>
      <c r="O181" s="49">
        <f t="shared" si="93"/>
        <v>0</v>
      </c>
      <c r="P181" s="49">
        <f t="shared" si="94"/>
        <v>0</v>
      </c>
      <c r="Q181" s="49">
        <f t="shared" si="95"/>
        <v>0</v>
      </c>
      <c r="R181" s="49">
        <f t="shared" si="96"/>
        <v>0</v>
      </c>
      <c r="S181" s="38"/>
      <c r="T181" s="48">
        <f>SUMPRODUCT(--('Input|Historical Data'!$Q$9:$Q$1179=$E181),--('Input|Historical Data'!$AA$9:$AA$1179="SCS"),--('Input|Historical Data'!$Y$9:$Y$1179=T$5),'Input|Historical Data'!$U$9:$U$1179)</f>
        <v>0</v>
      </c>
      <c r="U181" s="48">
        <f>SUMPRODUCT(--('Input|Historical Data'!$Q$9:$Q$1179=$E181),--('Input|Historical Data'!$AA$9:$AA$1179="SCS"),--('Input|Historical Data'!$Z$9:$Z$1179=U$5),'Input|Historical Data'!$U$9:$U$1179)</f>
        <v>0</v>
      </c>
      <c r="V181" s="48">
        <f>SUMPRODUCT(--('Input|Historical Data'!$Q$9:$Q$1179=$E181),--('Input|Historical Data'!$AA$9:$AA$1179="SCS"),--('Input|Historical Data'!$Z$9:$Z$1179=V$5),'Input|Historical Data'!$U$9:$U$1179)</f>
        <v>0</v>
      </c>
      <c r="W181" s="48">
        <f>SUMPRODUCT(--('Input|Historical Data'!$Q$9:$Q$1179=$E181),--('Input|Historical Data'!$AA$9:$AA$1179="SCS"),--('Input|Historical Data'!$Z$9:$Z$1179=W$5),'Input|Historical Data'!$U$9:$U$1179)</f>
        <v>0</v>
      </c>
      <c r="X181" s="48">
        <f>SUMPRODUCT(--('Input|Historical Data'!$Q$9:$Q$1179=$E181),--('Input|Historical Data'!$AA$9:$AA$1179="SCS"),--('Input|Historical Data'!$Y$9:$Y$1179=X$5),'Input|Historical Data'!$U$9:$U$1179)</f>
        <v>0</v>
      </c>
      <c r="Y181" s="49">
        <f t="shared" si="89"/>
        <v>0</v>
      </c>
      <c r="Z181" s="49">
        <f t="shared" si="90"/>
        <v>0</v>
      </c>
      <c r="AA181" s="49">
        <f t="shared" si="91"/>
        <v>0</v>
      </c>
      <c r="AB181" s="49">
        <f t="shared" si="92"/>
        <v>0</v>
      </c>
      <c r="AC181" s="38"/>
      <c r="AD181" s="48">
        <f>SUMPRODUCT(--('Input|Historical Data'!$AC$9:$AC$1180=$E181),--('Input|Historical Data'!$AM$9:$AM$1180="SCS"),--('Input|Historical Data'!$AK$9:$AK$1180=AD$5),'Input|Historical Data'!$AG$9:$AG$1180)</f>
        <v>0</v>
      </c>
      <c r="AE181" s="48">
        <f>SUMPRODUCT(--('Input|Historical Data'!$AC$9:$AC$1180=$E181),--('Input|Historical Data'!$AM$9:$AM$1180="SCS"),--('Input|Historical Data'!$AL$9:$AL$1180=AE$5),'Input|Historical Data'!$AG$9:$AG$1180)</f>
        <v>0</v>
      </c>
      <c r="AF181" s="48">
        <f>SUMPRODUCT(--('Input|Historical Data'!$AC$9:$AC$1180=$E181),--('Input|Historical Data'!$AM$9:$AM$1180="SCS"),--('Input|Historical Data'!$AL$9:$AL$1180=AF$5),'Input|Historical Data'!$AG$9:$AG$1180)</f>
        <v>0</v>
      </c>
      <c r="AG181" s="48">
        <f>SUMPRODUCT(--('Input|Historical Data'!$AC$9:$AC$1180=$E181),--('Input|Historical Data'!$AM$9:$AM$1180="SCS"),--('Input|Historical Data'!$AL$9:$AL$1180=AG$5),'Input|Historical Data'!$AG$9:$AG$1180)</f>
        <v>0</v>
      </c>
      <c r="AH181" s="48">
        <f>SUMPRODUCT(--('Input|Historical Data'!$AC$9:$AC$1180=$E181),--('Input|Historical Data'!$AM$9:$AM$1180="SCS"),--('Input|Historical Data'!$AK$9:$AK$1180=AH$5),'Input|Historical Data'!$AG$9:$AG$1180)</f>
        <v>0</v>
      </c>
      <c r="AI181" s="49">
        <f t="shared" si="97"/>
        <v>0</v>
      </c>
      <c r="AJ181" s="49">
        <f t="shared" si="98"/>
        <v>0</v>
      </c>
      <c r="AK181" s="49">
        <f t="shared" si="99"/>
        <v>0</v>
      </c>
      <c r="AL181" s="49">
        <f t="shared" si="100"/>
        <v>0</v>
      </c>
      <c r="AM181" s="38"/>
      <c r="AN181" s="48"/>
      <c r="AO181" s="48"/>
      <c r="AP181" s="48"/>
      <c r="AQ181" s="48"/>
      <c r="AR181" s="48"/>
      <c r="AS181" s="49"/>
      <c r="AT181" s="49"/>
      <c r="AU181" s="49"/>
      <c r="AV181" s="49"/>
      <c r="AW181" s="38"/>
      <c r="AX181" s="49">
        <f t="shared" si="101"/>
        <v>0</v>
      </c>
      <c r="AY181" s="49">
        <f t="shared" si="102"/>
        <v>0</v>
      </c>
      <c r="AZ181" s="49">
        <f t="shared" si="103"/>
        <v>0</v>
      </c>
      <c r="BA181" s="49">
        <f t="shared" si="104"/>
        <v>0</v>
      </c>
      <c r="BB181" s="44"/>
    </row>
    <row r="182" spans="3:54" s="7" customFormat="1" outlineLevel="1" x14ac:dyDescent="0.3">
      <c r="C182" s="38"/>
      <c r="D182" s="38"/>
      <c r="E182" s="38" t="s">
        <v>252</v>
      </c>
      <c r="F182" s="38" t="s">
        <v>433</v>
      </c>
      <c r="G182" s="38" t="str">
        <f>VLOOKUP(E182,Mapping!$E$11:$G$204,3,0)</f>
        <v>ACS</v>
      </c>
      <c r="H182" s="38" t="str">
        <f>VLOOKUP(E182,Mapping!$E$11:$K$204,7,0)</f>
        <v>ACS</v>
      </c>
      <c r="I182" s="38"/>
      <c r="J182" s="48">
        <f>SUMPRODUCT(--('Input|Historical Data'!$E$9:$E$1179=$E182),--('Input|Historical Data'!$O$9:$O$1179="SCS"),--('Input|Historical Data'!$M$9:$M$1179=J$5),'Input|Historical Data'!$I$9:$I$1179)</f>
        <v>0</v>
      </c>
      <c r="K182" s="48">
        <f>SUMPRODUCT(--('Input|Historical Data'!$E$9:$E$1179=$E182),--('Input|Historical Data'!$O$9:$O$1179="SCS"),--('Input|Historical Data'!$N$9:$N$1179=K$5),'Input|Historical Data'!$I$9:$I$1179)</f>
        <v>0</v>
      </c>
      <c r="L182" s="48">
        <f>SUMPRODUCT(--('Input|Historical Data'!$E$9:$E$1179=$E182),--('Input|Historical Data'!$O$9:$O$1179="SCS"),--('Input|Historical Data'!$N$9:$N$1179=L$5),'Input|Historical Data'!$I$9:$I$1179)</f>
        <v>0</v>
      </c>
      <c r="M182" s="48">
        <f>SUMPRODUCT(--('Input|Historical Data'!$E$9:$E$1179=$E182),--('Input|Historical Data'!$O$9:$O$1179="SCS"),--('Input|Historical Data'!$N$9:$N$1179=M$5),'Input|Historical Data'!$I$9:$I$1179)</f>
        <v>0</v>
      </c>
      <c r="N182" s="48">
        <f>SUMPRODUCT(--('Input|Historical Data'!$E$9:$E$1179=$E182),--('Input|Historical Data'!$O$9:$O$1179="SCS"),--('Input|Historical Data'!$M$9:$M$1179=N$5),'Input|Historical Data'!$I$9:$I$1179)</f>
        <v>0</v>
      </c>
      <c r="O182" s="49">
        <f t="shared" si="93"/>
        <v>0</v>
      </c>
      <c r="P182" s="49">
        <f t="shared" si="94"/>
        <v>0</v>
      </c>
      <c r="Q182" s="49">
        <f t="shared" si="95"/>
        <v>0</v>
      </c>
      <c r="R182" s="49">
        <f t="shared" si="96"/>
        <v>0</v>
      </c>
      <c r="S182" s="38"/>
      <c r="T182" s="48">
        <f>SUMPRODUCT(--('Input|Historical Data'!$Q$9:$Q$1179=$E182),--('Input|Historical Data'!$AA$9:$AA$1179="SCS"),--('Input|Historical Data'!$Y$9:$Y$1179=T$5),'Input|Historical Data'!$U$9:$U$1179)</f>
        <v>0</v>
      </c>
      <c r="U182" s="48">
        <f>SUMPRODUCT(--('Input|Historical Data'!$Q$9:$Q$1179=$E182),--('Input|Historical Data'!$AA$9:$AA$1179="SCS"),--('Input|Historical Data'!$Z$9:$Z$1179=U$5),'Input|Historical Data'!$U$9:$U$1179)</f>
        <v>0</v>
      </c>
      <c r="V182" s="48">
        <f>SUMPRODUCT(--('Input|Historical Data'!$Q$9:$Q$1179=$E182),--('Input|Historical Data'!$AA$9:$AA$1179="SCS"),--('Input|Historical Data'!$Z$9:$Z$1179=V$5),'Input|Historical Data'!$U$9:$U$1179)</f>
        <v>0</v>
      </c>
      <c r="W182" s="48">
        <f>SUMPRODUCT(--('Input|Historical Data'!$Q$9:$Q$1179=$E182),--('Input|Historical Data'!$AA$9:$AA$1179="SCS"),--('Input|Historical Data'!$Z$9:$Z$1179=W$5),'Input|Historical Data'!$U$9:$U$1179)</f>
        <v>0</v>
      </c>
      <c r="X182" s="48">
        <f>SUMPRODUCT(--('Input|Historical Data'!$Q$9:$Q$1179=$E182),--('Input|Historical Data'!$AA$9:$AA$1179="SCS"),--('Input|Historical Data'!$Y$9:$Y$1179=X$5),'Input|Historical Data'!$U$9:$U$1179)</f>
        <v>0</v>
      </c>
      <c r="Y182" s="49">
        <f t="shared" si="89"/>
        <v>0</v>
      </c>
      <c r="Z182" s="49">
        <f t="shared" si="90"/>
        <v>0</v>
      </c>
      <c r="AA182" s="49">
        <f t="shared" si="91"/>
        <v>0</v>
      </c>
      <c r="AB182" s="49">
        <f t="shared" si="92"/>
        <v>0</v>
      </c>
      <c r="AC182" s="38"/>
      <c r="AD182" s="48">
        <f>SUMPRODUCT(--('Input|Historical Data'!$AC$9:$AC$1180=$E182),--('Input|Historical Data'!$AM$9:$AM$1180="SCS"),--('Input|Historical Data'!$AK$9:$AK$1180=AD$5),'Input|Historical Data'!$AG$9:$AG$1180)</f>
        <v>0</v>
      </c>
      <c r="AE182" s="48">
        <f>SUMPRODUCT(--('Input|Historical Data'!$AC$9:$AC$1180=$E182),--('Input|Historical Data'!$AM$9:$AM$1180="SCS"),--('Input|Historical Data'!$AL$9:$AL$1180=AE$5),'Input|Historical Data'!$AG$9:$AG$1180)</f>
        <v>0</v>
      </c>
      <c r="AF182" s="48">
        <f>SUMPRODUCT(--('Input|Historical Data'!$AC$9:$AC$1180=$E182),--('Input|Historical Data'!$AM$9:$AM$1180="SCS"),--('Input|Historical Data'!$AL$9:$AL$1180=AF$5),'Input|Historical Data'!$AG$9:$AG$1180)</f>
        <v>0</v>
      </c>
      <c r="AG182" s="48">
        <f>SUMPRODUCT(--('Input|Historical Data'!$AC$9:$AC$1180=$E182),--('Input|Historical Data'!$AM$9:$AM$1180="SCS"),--('Input|Historical Data'!$AL$9:$AL$1180=AG$5),'Input|Historical Data'!$AG$9:$AG$1180)</f>
        <v>0</v>
      </c>
      <c r="AH182" s="48">
        <f>SUMPRODUCT(--('Input|Historical Data'!$AC$9:$AC$1180=$E182),--('Input|Historical Data'!$AM$9:$AM$1180="SCS"),--('Input|Historical Data'!$AK$9:$AK$1180=AH$5),'Input|Historical Data'!$AG$9:$AG$1180)</f>
        <v>0</v>
      </c>
      <c r="AI182" s="49">
        <f t="shared" si="97"/>
        <v>0</v>
      </c>
      <c r="AJ182" s="49">
        <f t="shared" si="98"/>
        <v>0</v>
      </c>
      <c r="AK182" s="49">
        <f t="shared" si="99"/>
        <v>0</v>
      </c>
      <c r="AL182" s="49">
        <f t="shared" si="100"/>
        <v>0</v>
      </c>
      <c r="AM182" s="38"/>
      <c r="AN182" s="48"/>
      <c r="AO182" s="48"/>
      <c r="AP182" s="48"/>
      <c r="AQ182" s="48"/>
      <c r="AR182" s="48"/>
      <c r="AS182" s="49"/>
      <c r="AT182" s="49"/>
      <c r="AU182" s="49"/>
      <c r="AV182" s="49"/>
      <c r="AW182" s="38"/>
      <c r="AX182" s="49">
        <f t="shared" si="101"/>
        <v>0</v>
      </c>
      <c r="AY182" s="49">
        <f t="shared" si="102"/>
        <v>0</v>
      </c>
      <c r="AZ182" s="49">
        <f t="shared" si="103"/>
        <v>0</v>
      </c>
      <c r="BA182" s="49">
        <f t="shared" si="104"/>
        <v>0</v>
      </c>
      <c r="BB182" s="44"/>
    </row>
    <row r="183" spans="3:54" s="7" customFormat="1" outlineLevel="1" x14ac:dyDescent="0.3">
      <c r="C183" s="38"/>
      <c r="D183" s="38"/>
      <c r="E183" s="38" t="s">
        <v>253</v>
      </c>
      <c r="F183" s="38" t="s">
        <v>434</v>
      </c>
      <c r="G183" s="38" t="str">
        <f>VLOOKUP(E183,Mapping!$E$11:$G$204,3,0)</f>
        <v>ACS</v>
      </c>
      <c r="H183" s="38" t="str">
        <f>VLOOKUP(E183,Mapping!$E$11:$K$204,7,0)</f>
        <v>ACS</v>
      </c>
      <c r="I183" s="38"/>
      <c r="J183" s="48">
        <f>SUMPRODUCT(--('Input|Historical Data'!$E$9:$E$1179=$E183),--('Input|Historical Data'!$O$9:$O$1179="SCS"),--('Input|Historical Data'!$M$9:$M$1179=J$5),'Input|Historical Data'!$I$9:$I$1179)</f>
        <v>0</v>
      </c>
      <c r="K183" s="48">
        <f>SUMPRODUCT(--('Input|Historical Data'!$E$9:$E$1179=$E183),--('Input|Historical Data'!$O$9:$O$1179="SCS"),--('Input|Historical Data'!$N$9:$N$1179=K$5),'Input|Historical Data'!$I$9:$I$1179)</f>
        <v>0</v>
      </c>
      <c r="L183" s="48">
        <f>SUMPRODUCT(--('Input|Historical Data'!$E$9:$E$1179=$E183),--('Input|Historical Data'!$O$9:$O$1179="SCS"),--('Input|Historical Data'!$N$9:$N$1179=L$5),'Input|Historical Data'!$I$9:$I$1179)</f>
        <v>0</v>
      </c>
      <c r="M183" s="48">
        <f>SUMPRODUCT(--('Input|Historical Data'!$E$9:$E$1179=$E183),--('Input|Historical Data'!$O$9:$O$1179="SCS"),--('Input|Historical Data'!$N$9:$N$1179=M$5),'Input|Historical Data'!$I$9:$I$1179)</f>
        <v>0</v>
      </c>
      <c r="N183" s="48">
        <f>SUMPRODUCT(--('Input|Historical Data'!$E$9:$E$1179=$E183),--('Input|Historical Data'!$O$9:$O$1179="SCS"),--('Input|Historical Data'!$M$9:$M$1179=N$5),'Input|Historical Data'!$I$9:$I$1179)</f>
        <v>0</v>
      </c>
      <c r="O183" s="49">
        <f t="shared" si="93"/>
        <v>0</v>
      </c>
      <c r="P183" s="49">
        <f t="shared" si="94"/>
        <v>0</v>
      </c>
      <c r="Q183" s="49">
        <f t="shared" si="95"/>
        <v>0</v>
      </c>
      <c r="R183" s="49">
        <f t="shared" si="96"/>
        <v>0</v>
      </c>
      <c r="S183" s="38"/>
      <c r="T183" s="48">
        <f>SUMPRODUCT(--('Input|Historical Data'!$Q$9:$Q$1179=$E183),--('Input|Historical Data'!$AA$9:$AA$1179="SCS"),--('Input|Historical Data'!$Y$9:$Y$1179=T$5),'Input|Historical Data'!$U$9:$U$1179)</f>
        <v>0</v>
      </c>
      <c r="U183" s="48">
        <f>SUMPRODUCT(--('Input|Historical Data'!$Q$9:$Q$1179=$E183),--('Input|Historical Data'!$AA$9:$AA$1179="SCS"),--('Input|Historical Data'!$Z$9:$Z$1179=U$5),'Input|Historical Data'!$U$9:$U$1179)</f>
        <v>0</v>
      </c>
      <c r="V183" s="48">
        <f>SUMPRODUCT(--('Input|Historical Data'!$Q$9:$Q$1179=$E183),--('Input|Historical Data'!$AA$9:$AA$1179="SCS"),--('Input|Historical Data'!$Z$9:$Z$1179=V$5),'Input|Historical Data'!$U$9:$U$1179)</f>
        <v>0</v>
      </c>
      <c r="W183" s="48">
        <f>SUMPRODUCT(--('Input|Historical Data'!$Q$9:$Q$1179=$E183),--('Input|Historical Data'!$AA$9:$AA$1179="SCS"),--('Input|Historical Data'!$Z$9:$Z$1179=W$5),'Input|Historical Data'!$U$9:$U$1179)</f>
        <v>0</v>
      </c>
      <c r="X183" s="48">
        <f>SUMPRODUCT(--('Input|Historical Data'!$Q$9:$Q$1179=$E183),--('Input|Historical Data'!$AA$9:$AA$1179="SCS"),--('Input|Historical Data'!$Y$9:$Y$1179=X$5),'Input|Historical Data'!$U$9:$U$1179)</f>
        <v>0</v>
      </c>
      <c r="Y183" s="49">
        <f t="shared" si="89"/>
        <v>0</v>
      </c>
      <c r="Z183" s="49">
        <f t="shared" si="90"/>
        <v>0</v>
      </c>
      <c r="AA183" s="49">
        <f t="shared" si="91"/>
        <v>0</v>
      </c>
      <c r="AB183" s="49">
        <f t="shared" si="92"/>
        <v>0</v>
      </c>
      <c r="AC183" s="38"/>
      <c r="AD183" s="48">
        <f>SUMPRODUCT(--('Input|Historical Data'!$AC$9:$AC$1180=$E183),--('Input|Historical Data'!$AM$9:$AM$1180="SCS"),--('Input|Historical Data'!$AK$9:$AK$1180=AD$5),'Input|Historical Data'!$AG$9:$AG$1180)</f>
        <v>0</v>
      </c>
      <c r="AE183" s="48">
        <f>SUMPRODUCT(--('Input|Historical Data'!$AC$9:$AC$1180=$E183),--('Input|Historical Data'!$AM$9:$AM$1180="SCS"),--('Input|Historical Data'!$AL$9:$AL$1180=AE$5),'Input|Historical Data'!$AG$9:$AG$1180)</f>
        <v>0</v>
      </c>
      <c r="AF183" s="48">
        <f>SUMPRODUCT(--('Input|Historical Data'!$AC$9:$AC$1180=$E183),--('Input|Historical Data'!$AM$9:$AM$1180="SCS"),--('Input|Historical Data'!$AL$9:$AL$1180=AF$5),'Input|Historical Data'!$AG$9:$AG$1180)</f>
        <v>0</v>
      </c>
      <c r="AG183" s="48">
        <f>SUMPRODUCT(--('Input|Historical Data'!$AC$9:$AC$1180=$E183),--('Input|Historical Data'!$AM$9:$AM$1180="SCS"),--('Input|Historical Data'!$AL$9:$AL$1180=AG$5),'Input|Historical Data'!$AG$9:$AG$1180)</f>
        <v>0</v>
      </c>
      <c r="AH183" s="48">
        <f>SUMPRODUCT(--('Input|Historical Data'!$AC$9:$AC$1180=$E183),--('Input|Historical Data'!$AM$9:$AM$1180="SCS"),--('Input|Historical Data'!$AK$9:$AK$1180=AH$5),'Input|Historical Data'!$AG$9:$AG$1180)</f>
        <v>0</v>
      </c>
      <c r="AI183" s="49">
        <f t="shared" si="97"/>
        <v>0</v>
      </c>
      <c r="AJ183" s="49">
        <f t="shared" si="98"/>
        <v>0</v>
      </c>
      <c r="AK183" s="49">
        <f t="shared" si="99"/>
        <v>0</v>
      </c>
      <c r="AL183" s="49">
        <f t="shared" si="100"/>
        <v>0</v>
      </c>
      <c r="AM183" s="38"/>
      <c r="AN183" s="48"/>
      <c r="AO183" s="48"/>
      <c r="AP183" s="48"/>
      <c r="AQ183" s="48"/>
      <c r="AR183" s="48"/>
      <c r="AS183" s="49"/>
      <c r="AT183" s="49"/>
      <c r="AU183" s="49"/>
      <c r="AV183" s="49"/>
      <c r="AW183" s="38"/>
      <c r="AX183" s="49">
        <f t="shared" si="101"/>
        <v>0</v>
      </c>
      <c r="AY183" s="49">
        <f t="shared" si="102"/>
        <v>0</v>
      </c>
      <c r="AZ183" s="49">
        <f t="shared" si="103"/>
        <v>0</v>
      </c>
      <c r="BA183" s="49">
        <f t="shared" si="104"/>
        <v>0</v>
      </c>
      <c r="BB183" s="44"/>
    </row>
    <row r="184" spans="3:54" s="7" customFormat="1" outlineLevel="1" x14ac:dyDescent="0.3">
      <c r="C184" s="38"/>
      <c r="D184" s="38"/>
      <c r="E184" s="38" t="s">
        <v>254</v>
      </c>
      <c r="F184" s="38" t="s">
        <v>435</v>
      </c>
      <c r="G184" s="38" t="str">
        <f>VLOOKUP(E184,Mapping!$E$11:$G$204,3,0)</f>
        <v>ACS</v>
      </c>
      <c r="H184" s="38" t="str">
        <f>VLOOKUP(E184,Mapping!$E$11:$K$204,7,0)</f>
        <v>ACS</v>
      </c>
      <c r="I184" s="38"/>
      <c r="J184" s="48">
        <f>SUMPRODUCT(--('Input|Historical Data'!$E$9:$E$1179=$E184),--('Input|Historical Data'!$O$9:$O$1179="SCS"),--('Input|Historical Data'!$M$9:$M$1179=J$5),'Input|Historical Data'!$I$9:$I$1179)</f>
        <v>0</v>
      </c>
      <c r="K184" s="48">
        <f>SUMPRODUCT(--('Input|Historical Data'!$E$9:$E$1179=$E184),--('Input|Historical Data'!$O$9:$O$1179="SCS"),--('Input|Historical Data'!$N$9:$N$1179=K$5),'Input|Historical Data'!$I$9:$I$1179)</f>
        <v>0</v>
      </c>
      <c r="L184" s="48">
        <f>SUMPRODUCT(--('Input|Historical Data'!$E$9:$E$1179=$E184),--('Input|Historical Data'!$O$9:$O$1179="SCS"),--('Input|Historical Data'!$N$9:$N$1179=L$5),'Input|Historical Data'!$I$9:$I$1179)</f>
        <v>0</v>
      </c>
      <c r="M184" s="48">
        <f>SUMPRODUCT(--('Input|Historical Data'!$E$9:$E$1179=$E184),--('Input|Historical Data'!$O$9:$O$1179="SCS"),--('Input|Historical Data'!$N$9:$N$1179=M$5),'Input|Historical Data'!$I$9:$I$1179)</f>
        <v>0</v>
      </c>
      <c r="N184" s="48">
        <f>SUMPRODUCT(--('Input|Historical Data'!$E$9:$E$1179=$E184),--('Input|Historical Data'!$O$9:$O$1179="SCS"),--('Input|Historical Data'!$M$9:$M$1179=N$5),'Input|Historical Data'!$I$9:$I$1179)</f>
        <v>0</v>
      </c>
      <c r="O184" s="49">
        <f t="shared" si="93"/>
        <v>0</v>
      </c>
      <c r="P184" s="49">
        <f t="shared" si="94"/>
        <v>0</v>
      </c>
      <c r="Q184" s="49">
        <f t="shared" si="95"/>
        <v>0</v>
      </c>
      <c r="R184" s="49">
        <f t="shared" si="96"/>
        <v>0</v>
      </c>
      <c r="S184" s="38"/>
      <c r="T184" s="48">
        <f>SUMPRODUCT(--('Input|Historical Data'!$Q$9:$Q$1179=$E184),--('Input|Historical Data'!$AA$9:$AA$1179="SCS"),--('Input|Historical Data'!$Y$9:$Y$1179=T$5),'Input|Historical Data'!$U$9:$U$1179)</f>
        <v>0</v>
      </c>
      <c r="U184" s="48">
        <f>SUMPRODUCT(--('Input|Historical Data'!$Q$9:$Q$1179=$E184),--('Input|Historical Data'!$AA$9:$AA$1179="SCS"),--('Input|Historical Data'!$Z$9:$Z$1179=U$5),'Input|Historical Data'!$U$9:$U$1179)</f>
        <v>0</v>
      </c>
      <c r="V184" s="48">
        <f>SUMPRODUCT(--('Input|Historical Data'!$Q$9:$Q$1179=$E184),--('Input|Historical Data'!$AA$9:$AA$1179="SCS"),--('Input|Historical Data'!$Z$9:$Z$1179=V$5),'Input|Historical Data'!$U$9:$U$1179)</f>
        <v>0</v>
      </c>
      <c r="W184" s="48">
        <f>SUMPRODUCT(--('Input|Historical Data'!$Q$9:$Q$1179=$E184),--('Input|Historical Data'!$AA$9:$AA$1179="SCS"),--('Input|Historical Data'!$Z$9:$Z$1179=W$5),'Input|Historical Data'!$U$9:$U$1179)</f>
        <v>0</v>
      </c>
      <c r="X184" s="48">
        <f>SUMPRODUCT(--('Input|Historical Data'!$Q$9:$Q$1179=$E184),--('Input|Historical Data'!$AA$9:$AA$1179="SCS"),--('Input|Historical Data'!$Y$9:$Y$1179=X$5),'Input|Historical Data'!$U$9:$U$1179)</f>
        <v>0</v>
      </c>
      <c r="Y184" s="49">
        <f t="shared" si="89"/>
        <v>0</v>
      </c>
      <c r="Z184" s="49">
        <f t="shared" si="90"/>
        <v>0</v>
      </c>
      <c r="AA184" s="49">
        <f t="shared" si="91"/>
        <v>0</v>
      </c>
      <c r="AB184" s="49">
        <f t="shared" si="92"/>
        <v>0</v>
      </c>
      <c r="AC184" s="38"/>
      <c r="AD184" s="48">
        <f>SUMPRODUCT(--('Input|Historical Data'!$AC$9:$AC$1180=$E184),--('Input|Historical Data'!$AM$9:$AM$1180="SCS"),--('Input|Historical Data'!$AK$9:$AK$1180=AD$5),'Input|Historical Data'!$AG$9:$AG$1180)</f>
        <v>0</v>
      </c>
      <c r="AE184" s="48">
        <f>SUMPRODUCT(--('Input|Historical Data'!$AC$9:$AC$1180=$E184),--('Input|Historical Data'!$AM$9:$AM$1180="SCS"),--('Input|Historical Data'!$AL$9:$AL$1180=AE$5),'Input|Historical Data'!$AG$9:$AG$1180)</f>
        <v>0</v>
      </c>
      <c r="AF184" s="48">
        <f>SUMPRODUCT(--('Input|Historical Data'!$AC$9:$AC$1180=$E184),--('Input|Historical Data'!$AM$9:$AM$1180="SCS"),--('Input|Historical Data'!$AL$9:$AL$1180=AF$5),'Input|Historical Data'!$AG$9:$AG$1180)</f>
        <v>0</v>
      </c>
      <c r="AG184" s="48">
        <f>SUMPRODUCT(--('Input|Historical Data'!$AC$9:$AC$1180=$E184),--('Input|Historical Data'!$AM$9:$AM$1180="SCS"),--('Input|Historical Data'!$AL$9:$AL$1180=AG$5),'Input|Historical Data'!$AG$9:$AG$1180)</f>
        <v>0</v>
      </c>
      <c r="AH184" s="48">
        <f>SUMPRODUCT(--('Input|Historical Data'!$AC$9:$AC$1180=$E184),--('Input|Historical Data'!$AM$9:$AM$1180="SCS"),--('Input|Historical Data'!$AK$9:$AK$1180=AH$5),'Input|Historical Data'!$AG$9:$AG$1180)</f>
        <v>0</v>
      </c>
      <c r="AI184" s="49">
        <f t="shared" si="97"/>
        <v>0</v>
      </c>
      <c r="AJ184" s="49">
        <f t="shared" si="98"/>
        <v>0</v>
      </c>
      <c r="AK184" s="49">
        <f t="shared" si="99"/>
        <v>0</v>
      </c>
      <c r="AL184" s="49">
        <f t="shared" si="100"/>
        <v>0</v>
      </c>
      <c r="AM184" s="38"/>
      <c r="AN184" s="48"/>
      <c r="AO184" s="48"/>
      <c r="AP184" s="48"/>
      <c r="AQ184" s="48"/>
      <c r="AR184" s="48"/>
      <c r="AS184" s="49"/>
      <c r="AT184" s="49"/>
      <c r="AU184" s="49"/>
      <c r="AV184" s="49"/>
      <c r="AW184" s="38"/>
      <c r="AX184" s="49">
        <f t="shared" si="101"/>
        <v>0</v>
      </c>
      <c r="AY184" s="49">
        <f t="shared" si="102"/>
        <v>0</v>
      </c>
      <c r="AZ184" s="49">
        <f t="shared" si="103"/>
        <v>0</v>
      </c>
      <c r="BA184" s="49">
        <f t="shared" si="104"/>
        <v>0</v>
      </c>
      <c r="BB184" s="44"/>
    </row>
    <row r="185" spans="3:54" s="7" customFormat="1" outlineLevel="1" x14ac:dyDescent="0.3">
      <c r="C185" s="38"/>
      <c r="D185" s="38"/>
      <c r="E185" s="38" t="s">
        <v>255</v>
      </c>
      <c r="F185" s="38" t="s">
        <v>436</v>
      </c>
      <c r="G185" s="38" t="str">
        <f>VLOOKUP(E185,Mapping!$E$11:$G$204,3,0)</f>
        <v>ACS</v>
      </c>
      <c r="H185" s="38" t="str">
        <f>VLOOKUP(E185,Mapping!$E$11:$K$204,7,0)</f>
        <v>ACS</v>
      </c>
      <c r="I185" s="38"/>
      <c r="J185" s="48">
        <f>SUMPRODUCT(--('Input|Historical Data'!$E$9:$E$1179=$E185),--('Input|Historical Data'!$O$9:$O$1179="SCS"),--('Input|Historical Data'!$M$9:$M$1179=J$5),'Input|Historical Data'!$I$9:$I$1179)</f>
        <v>0</v>
      </c>
      <c r="K185" s="48">
        <f>SUMPRODUCT(--('Input|Historical Data'!$E$9:$E$1179=$E185),--('Input|Historical Data'!$O$9:$O$1179="SCS"),--('Input|Historical Data'!$N$9:$N$1179=K$5),'Input|Historical Data'!$I$9:$I$1179)</f>
        <v>0</v>
      </c>
      <c r="L185" s="48">
        <f>SUMPRODUCT(--('Input|Historical Data'!$E$9:$E$1179=$E185),--('Input|Historical Data'!$O$9:$O$1179="SCS"),--('Input|Historical Data'!$N$9:$N$1179=L$5),'Input|Historical Data'!$I$9:$I$1179)</f>
        <v>0</v>
      </c>
      <c r="M185" s="48">
        <f>SUMPRODUCT(--('Input|Historical Data'!$E$9:$E$1179=$E185),--('Input|Historical Data'!$O$9:$O$1179="SCS"),--('Input|Historical Data'!$N$9:$N$1179=M$5),'Input|Historical Data'!$I$9:$I$1179)</f>
        <v>0</v>
      </c>
      <c r="N185" s="48">
        <f>SUMPRODUCT(--('Input|Historical Data'!$E$9:$E$1179=$E185),--('Input|Historical Data'!$O$9:$O$1179="SCS"),--('Input|Historical Data'!$M$9:$M$1179=N$5),'Input|Historical Data'!$I$9:$I$1179)</f>
        <v>0</v>
      </c>
      <c r="O185" s="49">
        <f t="shared" si="93"/>
        <v>0</v>
      </c>
      <c r="P185" s="49">
        <f t="shared" si="94"/>
        <v>0</v>
      </c>
      <c r="Q185" s="49">
        <f t="shared" si="95"/>
        <v>0</v>
      </c>
      <c r="R185" s="49">
        <f t="shared" si="96"/>
        <v>0</v>
      </c>
      <c r="S185" s="38"/>
      <c r="T185" s="48">
        <f>SUMPRODUCT(--('Input|Historical Data'!$Q$9:$Q$1179=$E185),--('Input|Historical Data'!$AA$9:$AA$1179="SCS"),--('Input|Historical Data'!$Y$9:$Y$1179=T$5),'Input|Historical Data'!$U$9:$U$1179)</f>
        <v>0</v>
      </c>
      <c r="U185" s="48">
        <f>SUMPRODUCT(--('Input|Historical Data'!$Q$9:$Q$1179=$E185),--('Input|Historical Data'!$AA$9:$AA$1179="SCS"),--('Input|Historical Data'!$Z$9:$Z$1179=U$5),'Input|Historical Data'!$U$9:$U$1179)</f>
        <v>0</v>
      </c>
      <c r="V185" s="48">
        <f>SUMPRODUCT(--('Input|Historical Data'!$Q$9:$Q$1179=$E185),--('Input|Historical Data'!$AA$9:$AA$1179="SCS"),--('Input|Historical Data'!$Z$9:$Z$1179=V$5),'Input|Historical Data'!$U$9:$U$1179)</f>
        <v>0</v>
      </c>
      <c r="W185" s="48">
        <f>SUMPRODUCT(--('Input|Historical Data'!$Q$9:$Q$1179=$E185),--('Input|Historical Data'!$AA$9:$AA$1179="SCS"),--('Input|Historical Data'!$Z$9:$Z$1179=W$5),'Input|Historical Data'!$U$9:$U$1179)</f>
        <v>0</v>
      </c>
      <c r="X185" s="48">
        <f>SUMPRODUCT(--('Input|Historical Data'!$Q$9:$Q$1179=$E185),--('Input|Historical Data'!$AA$9:$AA$1179="SCS"),--('Input|Historical Data'!$Y$9:$Y$1179=X$5),'Input|Historical Data'!$U$9:$U$1179)</f>
        <v>0</v>
      </c>
      <c r="Y185" s="49">
        <f t="shared" si="89"/>
        <v>0</v>
      </c>
      <c r="Z185" s="49">
        <f t="shared" si="90"/>
        <v>0</v>
      </c>
      <c r="AA185" s="49">
        <f t="shared" si="91"/>
        <v>0</v>
      </c>
      <c r="AB185" s="49">
        <f t="shared" si="92"/>
        <v>0</v>
      </c>
      <c r="AC185" s="38"/>
      <c r="AD185" s="48">
        <f>SUMPRODUCT(--('Input|Historical Data'!$AC$9:$AC$1180=$E185),--('Input|Historical Data'!$AM$9:$AM$1180="SCS"),--('Input|Historical Data'!$AK$9:$AK$1180=AD$5),'Input|Historical Data'!$AG$9:$AG$1180)</f>
        <v>0</v>
      </c>
      <c r="AE185" s="48">
        <f>SUMPRODUCT(--('Input|Historical Data'!$AC$9:$AC$1180=$E185),--('Input|Historical Data'!$AM$9:$AM$1180="SCS"),--('Input|Historical Data'!$AL$9:$AL$1180=AE$5),'Input|Historical Data'!$AG$9:$AG$1180)</f>
        <v>0</v>
      </c>
      <c r="AF185" s="48">
        <f>SUMPRODUCT(--('Input|Historical Data'!$AC$9:$AC$1180=$E185),--('Input|Historical Data'!$AM$9:$AM$1180="SCS"),--('Input|Historical Data'!$AL$9:$AL$1180=AF$5),'Input|Historical Data'!$AG$9:$AG$1180)</f>
        <v>0</v>
      </c>
      <c r="AG185" s="48">
        <f>SUMPRODUCT(--('Input|Historical Data'!$AC$9:$AC$1180=$E185),--('Input|Historical Data'!$AM$9:$AM$1180="SCS"),--('Input|Historical Data'!$AL$9:$AL$1180=AG$5),'Input|Historical Data'!$AG$9:$AG$1180)</f>
        <v>0</v>
      </c>
      <c r="AH185" s="48">
        <f>SUMPRODUCT(--('Input|Historical Data'!$AC$9:$AC$1180=$E185),--('Input|Historical Data'!$AM$9:$AM$1180="SCS"),--('Input|Historical Data'!$AK$9:$AK$1180=AH$5),'Input|Historical Data'!$AG$9:$AG$1180)</f>
        <v>0</v>
      </c>
      <c r="AI185" s="49">
        <f t="shared" si="97"/>
        <v>0</v>
      </c>
      <c r="AJ185" s="49">
        <f t="shared" si="98"/>
        <v>0</v>
      </c>
      <c r="AK185" s="49">
        <f t="shared" si="99"/>
        <v>0</v>
      </c>
      <c r="AL185" s="49">
        <f t="shared" si="100"/>
        <v>0</v>
      </c>
      <c r="AM185" s="38"/>
      <c r="AN185" s="48"/>
      <c r="AO185" s="48"/>
      <c r="AP185" s="48"/>
      <c r="AQ185" s="48"/>
      <c r="AR185" s="48"/>
      <c r="AS185" s="49"/>
      <c r="AT185" s="49"/>
      <c r="AU185" s="49"/>
      <c r="AV185" s="49"/>
      <c r="AW185" s="38"/>
      <c r="AX185" s="49">
        <f t="shared" si="101"/>
        <v>0</v>
      </c>
      <c r="AY185" s="49">
        <f t="shared" si="102"/>
        <v>0</v>
      </c>
      <c r="AZ185" s="49">
        <f t="shared" si="103"/>
        <v>0</v>
      </c>
      <c r="BA185" s="49">
        <f t="shared" si="104"/>
        <v>0</v>
      </c>
      <c r="BB185" s="44"/>
    </row>
    <row r="186" spans="3:54" s="7" customFormat="1" outlineLevel="1" x14ac:dyDescent="0.3">
      <c r="C186" s="38"/>
      <c r="D186" s="38"/>
      <c r="E186" s="38" t="s">
        <v>256</v>
      </c>
      <c r="F186" s="38" t="s">
        <v>437</v>
      </c>
      <c r="G186" s="38" t="str">
        <f>VLOOKUP(E186,Mapping!$E$11:$G$204,3,0)</f>
        <v>ACS</v>
      </c>
      <c r="H186" s="38" t="str">
        <f>VLOOKUP(E186,Mapping!$E$11:$K$204,7,0)</f>
        <v>ACS</v>
      </c>
      <c r="I186" s="38"/>
      <c r="J186" s="48">
        <f>SUMPRODUCT(--('Input|Historical Data'!$E$9:$E$1179=$E186),--('Input|Historical Data'!$O$9:$O$1179="SCS"),--('Input|Historical Data'!$M$9:$M$1179=J$5),'Input|Historical Data'!$I$9:$I$1179)</f>
        <v>0</v>
      </c>
      <c r="K186" s="48">
        <f>SUMPRODUCT(--('Input|Historical Data'!$E$9:$E$1179=$E186),--('Input|Historical Data'!$O$9:$O$1179="SCS"),--('Input|Historical Data'!$N$9:$N$1179=K$5),'Input|Historical Data'!$I$9:$I$1179)</f>
        <v>0</v>
      </c>
      <c r="L186" s="48">
        <f>SUMPRODUCT(--('Input|Historical Data'!$E$9:$E$1179=$E186),--('Input|Historical Data'!$O$9:$O$1179="SCS"),--('Input|Historical Data'!$N$9:$N$1179=L$5),'Input|Historical Data'!$I$9:$I$1179)</f>
        <v>0</v>
      </c>
      <c r="M186" s="48">
        <f>SUMPRODUCT(--('Input|Historical Data'!$E$9:$E$1179=$E186),--('Input|Historical Data'!$O$9:$O$1179="SCS"),--('Input|Historical Data'!$N$9:$N$1179=M$5),'Input|Historical Data'!$I$9:$I$1179)</f>
        <v>0</v>
      </c>
      <c r="N186" s="48">
        <f>SUMPRODUCT(--('Input|Historical Data'!$E$9:$E$1179=$E186),--('Input|Historical Data'!$O$9:$O$1179="SCS"),--('Input|Historical Data'!$M$9:$M$1179=N$5),'Input|Historical Data'!$I$9:$I$1179)</f>
        <v>0</v>
      </c>
      <c r="O186" s="49">
        <f t="shared" si="93"/>
        <v>0</v>
      </c>
      <c r="P186" s="49">
        <f t="shared" si="94"/>
        <v>0</v>
      </c>
      <c r="Q186" s="49">
        <f t="shared" si="95"/>
        <v>0</v>
      </c>
      <c r="R186" s="49">
        <f t="shared" si="96"/>
        <v>0</v>
      </c>
      <c r="S186" s="38"/>
      <c r="T186" s="48">
        <f>SUMPRODUCT(--('Input|Historical Data'!$Q$9:$Q$1179=$E186),--('Input|Historical Data'!$AA$9:$AA$1179="SCS"),--('Input|Historical Data'!$Y$9:$Y$1179=T$5),'Input|Historical Data'!$U$9:$U$1179)</f>
        <v>0</v>
      </c>
      <c r="U186" s="48">
        <f>SUMPRODUCT(--('Input|Historical Data'!$Q$9:$Q$1179=$E186),--('Input|Historical Data'!$AA$9:$AA$1179="SCS"),--('Input|Historical Data'!$Z$9:$Z$1179=U$5),'Input|Historical Data'!$U$9:$U$1179)</f>
        <v>0</v>
      </c>
      <c r="V186" s="48">
        <f>SUMPRODUCT(--('Input|Historical Data'!$Q$9:$Q$1179=$E186),--('Input|Historical Data'!$AA$9:$AA$1179="SCS"),--('Input|Historical Data'!$Z$9:$Z$1179=V$5),'Input|Historical Data'!$U$9:$U$1179)</f>
        <v>0</v>
      </c>
      <c r="W186" s="48">
        <f>SUMPRODUCT(--('Input|Historical Data'!$Q$9:$Q$1179=$E186),--('Input|Historical Data'!$AA$9:$AA$1179="SCS"),--('Input|Historical Data'!$Z$9:$Z$1179=W$5),'Input|Historical Data'!$U$9:$U$1179)</f>
        <v>0</v>
      </c>
      <c r="X186" s="48">
        <f>SUMPRODUCT(--('Input|Historical Data'!$Q$9:$Q$1179=$E186),--('Input|Historical Data'!$AA$9:$AA$1179="SCS"),--('Input|Historical Data'!$Y$9:$Y$1179=X$5),'Input|Historical Data'!$U$9:$U$1179)</f>
        <v>0</v>
      </c>
      <c r="Y186" s="49">
        <f t="shared" si="89"/>
        <v>0</v>
      </c>
      <c r="Z186" s="49">
        <f t="shared" si="90"/>
        <v>0</v>
      </c>
      <c r="AA186" s="49">
        <f t="shared" si="91"/>
        <v>0</v>
      </c>
      <c r="AB186" s="49">
        <f t="shared" si="92"/>
        <v>0</v>
      </c>
      <c r="AC186" s="38"/>
      <c r="AD186" s="48">
        <f>SUMPRODUCT(--('Input|Historical Data'!$AC$9:$AC$1180=$E186),--('Input|Historical Data'!$AM$9:$AM$1180="SCS"),--('Input|Historical Data'!$AK$9:$AK$1180=AD$5),'Input|Historical Data'!$AG$9:$AG$1180)</f>
        <v>0</v>
      </c>
      <c r="AE186" s="48">
        <f>SUMPRODUCT(--('Input|Historical Data'!$AC$9:$AC$1180=$E186),--('Input|Historical Data'!$AM$9:$AM$1180="SCS"),--('Input|Historical Data'!$AL$9:$AL$1180=AE$5),'Input|Historical Data'!$AG$9:$AG$1180)</f>
        <v>0</v>
      </c>
      <c r="AF186" s="48">
        <f>SUMPRODUCT(--('Input|Historical Data'!$AC$9:$AC$1180=$E186),--('Input|Historical Data'!$AM$9:$AM$1180="SCS"),--('Input|Historical Data'!$AL$9:$AL$1180=AF$5),'Input|Historical Data'!$AG$9:$AG$1180)</f>
        <v>0</v>
      </c>
      <c r="AG186" s="48">
        <f>SUMPRODUCT(--('Input|Historical Data'!$AC$9:$AC$1180=$E186),--('Input|Historical Data'!$AM$9:$AM$1180="SCS"),--('Input|Historical Data'!$AL$9:$AL$1180=AG$5),'Input|Historical Data'!$AG$9:$AG$1180)</f>
        <v>0</v>
      </c>
      <c r="AH186" s="48">
        <f>SUMPRODUCT(--('Input|Historical Data'!$AC$9:$AC$1180=$E186),--('Input|Historical Data'!$AM$9:$AM$1180="SCS"),--('Input|Historical Data'!$AK$9:$AK$1180=AH$5),'Input|Historical Data'!$AG$9:$AG$1180)</f>
        <v>0</v>
      </c>
      <c r="AI186" s="49">
        <f t="shared" si="97"/>
        <v>0</v>
      </c>
      <c r="AJ186" s="49">
        <f t="shared" si="98"/>
        <v>0</v>
      </c>
      <c r="AK186" s="49">
        <f t="shared" si="99"/>
        <v>0</v>
      </c>
      <c r="AL186" s="49">
        <f t="shared" si="100"/>
        <v>0</v>
      </c>
      <c r="AM186" s="38"/>
      <c r="AN186" s="48"/>
      <c r="AO186" s="48"/>
      <c r="AP186" s="48"/>
      <c r="AQ186" s="48"/>
      <c r="AR186" s="48"/>
      <c r="AS186" s="49"/>
      <c r="AT186" s="49"/>
      <c r="AU186" s="49"/>
      <c r="AV186" s="49"/>
      <c r="AW186" s="38"/>
      <c r="AX186" s="49">
        <f t="shared" si="101"/>
        <v>0</v>
      </c>
      <c r="AY186" s="49">
        <f t="shared" si="102"/>
        <v>0</v>
      </c>
      <c r="AZ186" s="49">
        <f t="shared" si="103"/>
        <v>0</v>
      </c>
      <c r="BA186" s="49">
        <f t="shared" si="104"/>
        <v>0</v>
      </c>
      <c r="BB186" s="44"/>
    </row>
    <row r="187" spans="3:54" s="7" customFormat="1" outlineLevel="1" x14ac:dyDescent="0.3">
      <c r="C187" s="38"/>
      <c r="D187" s="38"/>
      <c r="E187" s="38" t="s">
        <v>257</v>
      </c>
      <c r="F187" s="38" t="s">
        <v>438</v>
      </c>
      <c r="G187" s="38" t="str">
        <f>VLOOKUP(E187,Mapping!$E$11:$G$204,3,0)</f>
        <v>ACS</v>
      </c>
      <c r="H187" s="38" t="str">
        <f>VLOOKUP(E187,Mapping!$E$11:$K$204,7,0)</f>
        <v>ACS</v>
      </c>
      <c r="I187" s="38"/>
      <c r="J187" s="48">
        <f>SUMPRODUCT(--('Input|Historical Data'!$E$9:$E$1179=$E187),--('Input|Historical Data'!$O$9:$O$1179="SCS"),--('Input|Historical Data'!$M$9:$M$1179=J$5),'Input|Historical Data'!$I$9:$I$1179)</f>
        <v>0</v>
      </c>
      <c r="K187" s="48">
        <f>SUMPRODUCT(--('Input|Historical Data'!$E$9:$E$1179=$E187),--('Input|Historical Data'!$O$9:$O$1179="SCS"),--('Input|Historical Data'!$N$9:$N$1179=K$5),'Input|Historical Data'!$I$9:$I$1179)</f>
        <v>0</v>
      </c>
      <c r="L187" s="48">
        <f>SUMPRODUCT(--('Input|Historical Data'!$E$9:$E$1179=$E187),--('Input|Historical Data'!$O$9:$O$1179="SCS"),--('Input|Historical Data'!$N$9:$N$1179=L$5),'Input|Historical Data'!$I$9:$I$1179)</f>
        <v>0</v>
      </c>
      <c r="M187" s="48">
        <f>SUMPRODUCT(--('Input|Historical Data'!$E$9:$E$1179=$E187),--('Input|Historical Data'!$O$9:$O$1179="SCS"),--('Input|Historical Data'!$N$9:$N$1179=M$5),'Input|Historical Data'!$I$9:$I$1179)</f>
        <v>0</v>
      </c>
      <c r="N187" s="48">
        <f>SUMPRODUCT(--('Input|Historical Data'!$E$9:$E$1179=$E187),--('Input|Historical Data'!$O$9:$O$1179="SCS"),--('Input|Historical Data'!$M$9:$M$1179=N$5),'Input|Historical Data'!$I$9:$I$1179)</f>
        <v>0</v>
      </c>
      <c r="O187" s="49">
        <f t="shared" si="93"/>
        <v>0</v>
      </c>
      <c r="P187" s="49">
        <f t="shared" si="94"/>
        <v>0</v>
      </c>
      <c r="Q187" s="49">
        <f t="shared" si="95"/>
        <v>0</v>
      </c>
      <c r="R187" s="49">
        <f t="shared" si="96"/>
        <v>0</v>
      </c>
      <c r="S187" s="38"/>
      <c r="T187" s="48">
        <f>SUMPRODUCT(--('Input|Historical Data'!$Q$9:$Q$1179=$E187),--('Input|Historical Data'!$AA$9:$AA$1179="SCS"),--('Input|Historical Data'!$Y$9:$Y$1179=T$5),'Input|Historical Data'!$U$9:$U$1179)</f>
        <v>0</v>
      </c>
      <c r="U187" s="48">
        <f>SUMPRODUCT(--('Input|Historical Data'!$Q$9:$Q$1179=$E187),--('Input|Historical Data'!$AA$9:$AA$1179="SCS"),--('Input|Historical Data'!$Z$9:$Z$1179=U$5),'Input|Historical Data'!$U$9:$U$1179)</f>
        <v>0</v>
      </c>
      <c r="V187" s="48">
        <f>SUMPRODUCT(--('Input|Historical Data'!$Q$9:$Q$1179=$E187),--('Input|Historical Data'!$AA$9:$AA$1179="SCS"),--('Input|Historical Data'!$Z$9:$Z$1179=V$5),'Input|Historical Data'!$U$9:$U$1179)</f>
        <v>0</v>
      </c>
      <c r="W187" s="48">
        <f>SUMPRODUCT(--('Input|Historical Data'!$Q$9:$Q$1179=$E187),--('Input|Historical Data'!$AA$9:$AA$1179="SCS"),--('Input|Historical Data'!$Z$9:$Z$1179=W$5),'Input|Historical Data'!$U$9:$U$1179)</f>
        <v>0</v>
      </c>
      <c r="X187" s="48">
        <f>SUMPRODUCT(--('Input|Historical Data'!$Q$9:$Q$1179=$E187),--('Input|Historical Data'!$AA$9:$AA$1179="SCS"),--('Input|Historical Data'!$Y$9:$Y$1179=X$5),'Input|Historical Data'!$U$9:$U$1179)</f>
        <v>0</v>
      </c>
      <c r="Y187" s="49">
        <f t="shared" si="89"/>
        <v>0</v>
      </c>
      <c r="Z187" s="49">
        <f t="shared" si="90"/>
        <v>0</v>
      </c>
      <c r="AA187" s="49">
        <f t="shared" si="91"/>
        <v>0</v>
      </c>
      <c r="AB187" s="49">
        <f t="shared" si="92"/>
        <v>0</v>
      </c>
      <c r="AC187" s="38"/>
      <c r="AD187" s="48">
        <f>SUMPRODUCT(--('Input|Historical Data'!$AC$9:$AC$1180=$E187),--('Input|Historical Data'!$AM$9:$AM$1180="SCS"),--('Input|Historical Data'!$AK$9:$AK$1180=AD$5),'Input|Historical Data'!$AG$9:$AG$1180)</f>
        <v>0</v>
      </c>
      <c r="AE187" s="48">
        <f>SUMPRODUCT(--('Input|Historical Data'!$AC$9:$AC$1180=$E187),--('Input|Historical Data'!$AM$9:$AM$1180="SCS"),--('Input|Historical Data'!$AL$9:$AL$1180=AE$5),'Input|Historical Data'!$AG$9:$AG$1180)</f>
        <v>0</v>
      </c>
      <c r="AF187" s="48">
        <f>SUMPRODUCT(--('Input|Historical Data'!$AC$9:$AC$1180=$E187),--('Input|Historical Data'!$AM$9:$AM$1180="SCS"),--('Input|Historical Data'!$AL$9:$AL$1180=AF$5),'Input|Historical Data'!$AG$9:$AG$1180)</f>
        <v>0</v>
      </c>
      <c r="AG187" s="48">
        <f>SUMPRODUCT(--('Input|Historical Data'!$AC$9:$AC$1180=$E187),--('Input|Historical Data'!$AM$9:$AM$1180="SCS"),--('Input|Historical Data'!$AL$9:$AL$1180=AG$5),'Input|Historical Data'!$AG$9:$AG$1180)</f>
        <v>0</v>
      </c>
      <c r="AH187" s="48">
        <f>SUMPRODUCT(--('Input|Historical Data'!$AC$9:$AC$1180=$E187),--('Input|Historical Data'!$AM$9:$AM$1180="SCS"),--('Input|Historical Data'!$AK$9:$AK$1180=AH$5),'Input|Historical Data'!$AG$9:$AG$1180)</f>
        <v>0</v>
      </c>
      <c r="AI187" s="49">
        <f t="shared" si="97"/>
        <v>0</v>
      </c>
      <c r="AJ187" s="49">
        <f t="shared" si="98"/>
        <v>0</v>
      </c>
      <c r="AK187" s="49">
        <f t="shared" si="99"/>
        <v>0</v>
      </c>
      <c r="AL187" s="49">
        <f t="shared" si="100"/>
        <v>0</v>
      </c>
      <c r="AM187" s="38"/>
      <c r="AN187" s="48"/>
      <c r="AO187" s="48"/>
      <c r="AP187" s="48"/>
      <c r="AQ187" s="48"/>
      <c r="AR187" s="48"/>
      <c r="AS187" s="49"/>
      <c r="AT187" s="49"/>
      <c r="AU187" s="49"/>
      <c r="AV187" s="49"/>
      <c r="AW187" s="38"/>
      <c r="AX187" s="49">
        <f t="shared" si="101"/>
        <v>0</v>
      </c>
      <c r="AY187" s="49">
        <f t="shared" si="102"/>
        <v>0</v>
      </c>
      <c r="AZ187" s="49">
        <f t="shared" si="103"/>
        <v>0</v>
      </c>
      <c r="BA187" s="49">
        <f t="shared" si="104"/>
        <v>0</v>
      </c>
      <c r="BB187" s="44"/>
    </row>
    <row r="188" spans="3:54" s="7" customFormat="1" outlineLevel="1" x14ac:dyDescent="0.3">
      <c r="C188" s="38"/>
      <c r="D188" s="38"/>
      <c r="E188" s="38" t="s">
        <v>258</v>
      </c>
      <c r="F188" s="38" t="s">
        <v>439</v>
      </c>
      <c r="G188" s="38" t="str">
        <f>VLOOKUP(E188,Mapping!$E$11:$G$204,3,0)</f>
        <v>ACS</v>
      </c>
      <c r="H188" s="38" t="str">
        <f>VLOOKUP(E188,Mapping!$E$11:$K$204,7,0)</f>
        <v>ACS</v>
      </c>
      <c r="I188" s="38"/>
      <c r="J188" s="48">
        <f>SUMPRODUCT(--('Input|Historical Data'!$E$9:$E$1179=$E188),--('Input|Historical Data'!$O$9:$O$1179="SCS"),--('Input|Historical Data'!$M$9:$M$1179=J$5),'Input|Historical Data'!$I$9:$I$1179)</f>
        <v>0</v>
      </c>
      <c r="K188" s="48">
        <f>SUMPRODUCT(--('Input|Historical Data'!$E$9:$E$1179=$E188),--('Input|Historical Data'!$O$9:$O$1179="SCS"),--('Input|Historical Data'!$N$9:$N$1179=K$5),'Input|Historical Data'!$I$9:$I$1179)</f>
        <v>0</v>
      </c>
      <c r="L188" s="48">
        <f>SUMPRODUCT(--('Input|Historical Data'!$E$9:$E$1179=$E188),--('Input|Historical Data'!$O$9:$O$1179="SCS"),--('Input|Historical Data'!$N$9:$N$1179=L$5),'Input|Historical Data'!$I$9:$I$1179)</f>
        <v>0</v>
      </c>
      <c r="M188" s="48">
        <f>SUMPRODUCT(--('Input|Historical Data'!$E$9:$E$1179=$E188),--('Input|Historical Data'!$O$9:$O$1179="SCS"),--('Input|Historical Data'!$N$9:$N$1179=M$5),'Input|Historical Data'!$I$9:$I$1179)</f>
        <v>0</v>
      </c>
      <c r="N188" s="48">
        <f>SUMPRODUCT(--('Input|Historical Data'!$E$9:$E$1179=$E188),--('Input|Historical Data'!$O$9:$O$1179="SCS"),--('Input|Historical Data'!$M$9:$M$1179=N$5),'Input|Historical Data'!$I$9:$I$1179)</f>
        <v>0</v>
      </c>
      <c r="O188" s="49">
        <f t="shared" si="93"/>
        <v>0</v>
      </c>
      <c r="P188" s="49">
        <f t="shared" si="94"/>
        <v>0</v>
      </c>
      <c r="Q188" s="49">
        <f t="shared" si="95"/>
        <v>0</v>
      </c>
      <c r="R188" s="49">
        <f t="shared" si="96"/>
        <v>0</v>
      </c>
      <c r="S188" s="38"/>
      <c r="T188" s="48">
        <f>SUMPRODUCT(--('Input|Historical Data'!$Q$9:$Q$1179=$E188),--('Input|Historical Data'!$AA$9:$AA$1179="SCS"),--('Input|Historical Data'!$Y$9:$Y$1179=T$5),'Input|Historical Data'!$U$9:$U$1179)</f>
        <v>0</v>
      </c>
      <c r="U188" s="48">
        <f>SUMPRODUCT(--('Input|Historical Data'!$Q$9:$Q$1179=$E188),--('Input|Historical Data'!$AA$9:$AA$1179="SCS"),--('Input|Historical Data'!$Z$9:$Z$1179=U$5),'Input|Historical Data'!$U$9:$U$1179)</f>
        <v>0</v>
      </c>
      <c r="V188" s="48">
        <f>SUMPRODUCT(--('Input|Historical Data'!$Q$9:$Q$1179=$E188),--('Input|Historical Data'!$AA$9:$AA$1179="SCS"),--('Input|Historical Data'!$Z$9:$Z$1179=V$5),'Input|Historical Data'!$U$9:$U$1179)</f>
        <v>0</v>
      </c>
      <c r="W188" s="48">
        <f>SUMPRODUCT(--('Input|Historical Data'!$Q$9:$Q$1179=$E188),--('Input|Historical Data'!$AA$9:$AA$1179="SCS"),--('Input|Historical Data'!$Z$9:$Z$1179=W$5),'Input|Historical Data'!$U$9:$U$1179)</f>
        <v>0</v>
      </c>
      <c r="X188" s="48">
        <f>SUMPRODUCT(--('Input|Historical Data'!$Q$9:$Q$1179=$E188),--('Input|Historical Data'!$AA$9:$AA$1179="SCS"),--('Input|Historical Data'!$Y$9:$Y$1179=X$5),'Input|Historical Data'!$U$9:$U$1179)</f>
        <v>0</v>
      </c>
      <c r="Y188" s="49">
        <f t="shared" si="89"/>
        <v>0</v>
      </c>
      <c r="Z188" s="49">
        <f t="shared" si="90"/>
        <v>0</v>
      </c>
      <c r="AA188" s="49">
        <f t="shared" si="91"/>
        <v>0</v>
      </c>
      <c r="AB188" s="49">
        <f t="shared" si="92"/>
        <v>0</v>
      </c>
      <c r="AC188" s="38"/>
      <c r="AD188" s="48">
        <f>SUMPRODUCT(--('Input|Historical Data'!$AC$9:$AC$1180=$E188),--('Input|Historical Data'!$AM$9:$AM$1180="SCS"),--('Input|Historical Data'!$AK$9:$AK$1180=AD$5),'Input|Historical Data'!$AG$9:$AG$1180)</f>
        <v>0</v>
      </c>
      <c r="AE188" s="48">
        <f>SUMPRODUCT(--('Input|Historical Data'!$AC$9:$AC$1180=$E188),--('Input|Historical Data'!$AM$9:$AM$1180="SCS"),--('Input|Historical Data'!$AL$9:$AL$1180=AE$5),'Input|Historical Data'!$AG$9:$AG$1180)</f>
        <v>0</v>
      </c>
      <c r="AF188" s="48">
        <f>SUMPRODUCT(--('Input|Historical Data'!$AC$9:$AC$1180=$E188),--('Input|Historical Data'!$AM$9:$AM$1180="SCS"),--('Input|Historical Data'!$AL$9:$AL$1180=AF$5),'Input|Historical Data'!$AG$9:$AG$1180)</f>
        <v>0</v>
      </c>
      <c r="AG188" s="48">
        <f>SUMPRODUCT(--('Input|Historical Data'!$AC$9:$AC$1180=$E188),--('Input|Historical Data'!$AM$9:$AM$1180="SCS"),--('Input|Historical Data'!$AL$9:$AL$1180=AG$5),'Input|Historical Data'!$AG$9:$AG$1180)</f>
        <v>0</v>
      </c>
      <c r="AH188" s="48">
        <f>SUMPRODUCT(--('Input|Historical Data'!$AC$9:$AC$1180=$E188),--('Input|Historical Data'!$AM$9:$AM$1180="SCS"),--('Input|Historical Data'!$AK$9:$AK$1180=AH$5),'Input|Historical Data'!$AG$9:$AG$1180)</f>
        <v>0</v>
      </c>
      <c r="AI188" s="49">
        <f t="shared" si="97"/>
        <v>0</v>
      </c>
      <c r="AJ188" s="49">
        <f t="shared" si="98"/>
        <v>0</v>
      </c>
      <c r="AK188" s="49">
        <f t="shared" si="99"/>
        <v>0</v>
      </c>
      <c r="AL188" s="49">
        <f t="shared" si="100"/>
        <v>0</v>
      </c>
      <c r="AM188" s="38"/>
      <c r="AN188" s="48"/>
      <c r="AO188" s="48"/>
      <c r="AP188" s="48"/>
      <c r="AQ188" s="48"/>
      <c r="AR188" s="48"/>
      <c r="AS188" s="49"/>
      <c r="AT188" s="49"/>
      <c r="AU188" s="49"/>
      <c r="AV188" s="49"/>
      <c r="AW188" s="38"/>
      <c r="AX188" s="49">
        <f t="shared" si="101"/>
        <v>0</v>
      </c>
      <c r="AY188" s="49">
        <f t="shared" si="102"/>
        <v>0</v>
      </c>
      <c r="AZ188" s="49">
        <f t="shared" si="103"/>
        <v>0</v>
      </c>
      <c r="BA188" s="49">
        <f t="shared" si="104"/>
        <v>0</v>
      </c>
      <c r="BB188" s="44"/>
    </row>
    <row r="189" spans="3:54" s="7" customFormat="1" outlineLevel="1" x14ac:dyDescent="0.3">
      <c r="C189" s="38"/>
      <c r="D189" s="38"/>
      <c r="E189" s="38" t="s">
        <v>259</v>
      </c>
      <c r="F189" s="38" t="s">
        <v>440</v>
      </c>
      <c r="G189" s="38" t="str">
        <f>VLOOKUP(E189,Mapping!$E$11:$G$204,3,0)</f>
        <v>ACS</v>
      </c>
      <c r="H189" s="38" t="str">
        <f>VLOOKUP(E189,Mapping!$E$11:$K$204,7,0)</f>
        <v>ACS</v>
      </c>
      <c r="I189" s="38"/>
      <c r="J189" s="48">
        <f>SUMPRODUCT(--('Input|Historical Data'!$E$9:$E$1179=$E189),--('Input|Historical Data'!$O$9:$O$1179="SCS"),--('Input|Historical Data'!$M$9:$M$1179=J$5),'Input|Historical Data'!$I$9:$I$1179)</f>
        <v>0</v>
      </c>
      <c r="K189" s="48">
        <f>SUMPRODUCT(--('Input|Historical Data'!$E$9:$E$1179=$E189),--('Input|Historical Data'!$O$9:$O$1179="SCS"),--('Input|Historical Data'!$N$9:$N$1179=K$5),'Input|Historical Data'!$I$9:$I$1179)</f>
        <v>0</v>
      </c>
      <c r="L189" s="48">
        <f>SUMPRODUCT(--('Input|Historical Data'!$E$9:$E$1179=$E189),--('Input|Historical Data'!$O$9:$O$1179="SCS"),--('Input|Historical Data'!$N$9:$N$1179=L$5),'Input|Historical Data'!$I$9:$I$1179)</f>
        <v>0</v>
      </c>
      <c r="M189" s="48">
        <f>SUMPRODUCT(--('Input|Historical Data'!$E$9:$E$1179=$E189),--('Input|Historical Data'!$O$9:$O$1179="SCS"),--('Input|Historical Data'!$N$9:$N$1179=M$5),'Input|Historical Data'!$I$9:$I$1179)</f>
        <v>0</v>
      </c>
      <c r="N189" s="48">
        <f>SUMPRODUCT(--('Input|Historical Data'!$E$9:$E$1179=$E189),--('Input|Historical Data'!$O$9:$O$1179="SCS"),--('Input|Historical Data'!$M$9:$M$1179=N$5),'Input|Historical Data'!$I$9:$I$1179)</f>
        <v>0</v>
      </c>
      <c r="O189" s="49">
        <f t="shared" si="93"/>
        <v>0</v>
      </c>
      <c r="P189" s="49">
        <f t="shared" si="94"/>
        <v>0</v>
      </c>
      <c r="Q189" s="49">
        <f t="shared" si="95"/>
        <v>0</v>
      </c>
      <c r="R189" s="49">
        <f t="shared" si="96"/>
        <v>0</v>
      </c>
      <c r="S189" s="38"/>
      <c r="T189" s="48">
        <f>SUMPRODUCT(--('Input|Historical Data'!$Q$9:$Q$1179=$E189),--('Input|Historical Data'!$AA$9:$AA$1179="SCS"),--('Input|Historical Data'!$Y$9:$Y$1179=T$5),'Input|Historical Data'!$U$9:$U$1179)</f>
        <v>0</v>
      </c>
      <c r="U189" s="48">
        <f>SUMPRODUCT(--('Input|Historical Data'!$Q$9:$Q$1179=$E189),--('Input|Historical Data'!$AA$9:$AA$1179="SCS"),--('Input|Historical Data'!$Z$9:$Z$1179=U$5),'Input|Historical Data'!$U$9:$U$1179)</f>
        <v>0</v>
      </c>
      <c r="V189" s="48">
        <f>SUMPRODUCT(--('Input|Historical Data'!$Q$9:$Q$1179=$E189),--('Input|Historical Data'!$AA$9:$AA$1179="SCS"),--('Input|Historical Data'!$Z$9:$Z$1179=V$5),'Input|Historical Data'!$U$9:$U$1179)</f>
        <v>0</v>
      </c>
      <c r="W189" s="48">
        <f>SUMPRODUCT(--('Input|Historical Data'!$Q$9:$Q$1179=$E189),--('Input|Historical Data'!$AA$9:$AA$1179="SCS"),--('Input|Historical Data'!$Z$9:$Z$1179=W$5),'Input|Historical Data'!$U$9:$U$1179)</f>
        <v>0</v>
      </c>
      <c r="X189" s="48">
        <f>SUMPRODUCT(--('Input|Historical Data'!$Q$9:$Q$1179=$E189),--('Input|Historical Data'!$AA$9:$AA$1179="SCS"),--('Input|Historical Data'!$Y$9:$Y$1179=X$5),'Input|Historical Data'!$U$9:$U$1179)</f>
        <v>0</v>
      </c>
      <c r="Y189" s="49">
        <f t="shared" si="89"/>
        <v>0</v>
      </c>
      <c r="Z189" s="49">
        <f t="shared" si="90"/>
        <v>0</v>
      </c>
      <c r="AA189" s="49">
        <f t="shared" si="91"/>
        <v>0</v>
      </c>
      <c r="AB189" s="49">
        <f t="shared" si="92"/>
        <v>0</v>
      </c>
      <c r="AC189" s="38"/>
      <c r="AD189" s="48">
        <f>SUMPRODUCT(--('Input|Historical Data'!$AC$9:$AC$1180=$E189),--('Input|Historical Data'!$AM$9:$AM$1180="SCS"),--('Input|Historical Data'!$AK$9:$AK$1180=AD$5),'Input|Historical Data'!$AG$9:$AG$1180)</f>
        <v>0</v>
      </c>
      <c r="AE189" s="48">
        <f>SUMPRODUCT(--('Input|Historical Data'!$AC$9:$AC$1180=$E189),--('Input|Historical Data'!$AM$9:$AM$1180="SCS"),--('Input|Historical Data'!$AL$9:$AL$1180=AE$5),'Input|Historical Data'!$AG$9:$AG$1180)</f>
        <v>0</v>
      </c>
      <c r="AF189" s="48">
        <f>SUMPRODUCT(--('Input|Historical Data'!$AC$9:$AC$1180=$E189),--('Input|Historical Data'!$AM$9:$AM$1180="SCS"),--('Input|Historical Data'!$AL$9:$AL$1180=AF$5),'Input|Historical Data'!$AG$9:$AG$1180)</f>
        <v>0</v>
      </c>
      <c r="AG189" s="48">
        <f>SUMPRODUCT(--('Input|Historical Data'!$AC$9:$AC$1180=$E189),--('Input|Historical Data'!$AM$9:$AM$1180="SCS"),--('Input|Historical Data'!$AL$9:$AL$1180=AG$5),'Input|Historical Data'!$AG$9:$AG$1180)</f>
        <v>0</v>
      </c>
      <c r="AH189" s="48">
        <f>SUMPRODUCT(--('Input|Historical Data'!$AC$9:$AC$1180=$E189),--('Input|Historical Data'!$AM$9:$AM$1180="SCS"),--('Input|Historical Data'!$AK$9:$AK$1180=AH$5),'Input|Historical Data'!$AG$9:$AG$1180)</f>
        <v>0</v>
      </c>
      <c r="AI189" s="49">
        <f t="shared" si="97"/>
        <v>0</v>
      </c>
      <c r="AJ189" s="49">
        <f t="shared" si="98"/>
        <v>0</v>
      </c>
      <c r="AK189" s="49">
        <f t="shared" si="99"/>
        <v>0</v>
      </c>
      <c r="AL189" s="49">
        <f t="shared" si="100"/>
        <v>0</v>
      </c>
      <c r="AM189" s="38"/>
      <c r="AN189" s="48"/>
      <c r="AO189" s="48"/>
      <c r="AP189" s="48"/>
      <c r="AQ189" s="48"/>
      <c r="AR189" s="48"/>
      <c r="AS189" s="49"/>
      <c r="AT189" s="49"/>
      <c r="AU189" s="49"/>
      <c r="AV189" s="49"/>
      <c r="AW189" s="38"/>
      <c r="AX189" s="49">
        <f t="shared" si="101"/>
        <v>0</v>
      </c>
      <c r="AY189" s="49">
        <f t="shared" si="102"/>
        <v>0</v>
      </c>
      <c r="AZ189" s="49">
        <f t="shared" si="103"/>
        <v>0</v>
      </c>
      <c r="BA189" s="49">
        <f t="shared" si="104"/>
        <v>0</v>
      </c>
      <c r="BB189" s="44"/>
    </row>
    <row r="190" spans="3:54" s="7" customFormat="1" outlineLevel="1" x14ac:dyDescent="0.3">
      <c r="C190" s="38"/>
      <c r="D190" s="38"/>
      <c r="E190" s="38" t="s">
        <v>260</v>
      </c>
      <c r="F190" s="38" t="s">
        <v>441</v>
      </c>
      <c r="G190" s="38" t="str">
        <f>VLOOKUP(E190,Mapping!$E$11:$G$204,3,0)</f>
        <v>Replacement</v>
      </c>
      <c r="H190" s="38" t="str">
        <f>VLOOKUP(E190,Mapping!$E$11:$K$204,7,0)</f>
        <v>SCS</v>
      </c>
      <c r="I190" s="38"/>
      <c r="J190" s="48">
        <f>SUMPRODUCT(--('Input|Historical Data'!$E$9:$E$1179=$E190),--('Input|Historical Data'!$O$9:$O$1179="SCS"),--('Input|Historical Data'!$M$9:$M$1179=J$5),'Input|Historical Data'!$I$9:$I$1179)</f>
        <v>0</v>
      </c>
      <c r="K190" s="48">
        <f>SUMPRODUCT(--('Input|Historical Data'!$E$9:$E$1179=$E190),--('Input|Historical Data'!$O$9:$O$1179="SCS"),--('Input|Historical Data'!$N$9:$N$1179=K$5),'Input|Historical Data'!$I$9:$I$1179)</f>
        <v>0</v>
      </c>
      <c r="L190" s="48">
        <f>SUMPRODUCT(--('Input|Historical Data'!$E$9:$E$1179=$E190),--('Input|Historical Data'!$O$9:$O$1179="SCS"),--('Input|Historical Data'!$N$9:$N$1179=L$5),'Input|Historical Data'!$I$9:$I$1179)</f>
        <v>0</v>
      </c>
      <c r="M190" s="48">
        <f>SUMPRODUCT(--('Input|Historical Data'!$E$9:$E$1179=$E190),--('Input|Historical Data'!$O$9:$O$1179="SCS"),--('Input|Historical Data'!$N$9:$N$1179=M$5),'Input|Historical Data'!$I$9:$I$1179)</f>
        <v>0</v>
      </c>
      <c r="N190" s="48">
        <f>SUMPRODUCT(--('Input|Historical Data'!$E$9:$E$1179=$E190),--('Input|Historical Data'!$O$9:$O$1179="SCS"),--('Input|Historical Data'!$M$9:$M$1179=N$5),'Input|Historical Data'!$I$9:$I$1179)</f>
        <v>0</v>
      </c>
      <c r="O190" s="49">
        <f t="shared" si="93"/>
        <v>0</v>
      </c>
      <c r="P190" s="49">
        <f t="shared" si="94"/>
        <v>0</v>
      </c>
      <c r="Q190" s="49">
        <f t="shared" si="95"/>
        <v>0</v>
      </c>
      <c r="R190" s="49">
        <f t="shared" si="96"/>
        <v>0</v>
      </c>
      <c r="S190" s="38"/>
      <c r="T190" s="48">
        <f>SUMPRODUCT(--('Input|Historical Data'!$Q$9:$Q$1179=$E190),--('Input|Historical Data'!$AA$9:$AA$1179="SCS"),--('Input|Historical Data'!$Y$9:$Y$1179=T$5),'Input|Historical Data'!$U$9:$U$1179)</f>
        <v>0</v>
      </c>
      <c r="U190" s="48">
        <f>SUMPRODUCT(--('Input|Historical Data'!$Q$9:$Q$1179=$E190),--('Input|Historical Data'!$AA$9:$AA$1179="SCS"),--('Input|Historical Data'!$Z$9:$Z$1179=U$5),'Input|Historical Data'!$U$9:$U$1179)</f>
        <v>0</v>
      </c>
      <c r="V190" s="48">
        <f>SUMPRODUCT(--('Input|Historical Data'!$Q$9:$Q$1179=$E190),--('Input|Historical Data'!$AA$9:$AA$1179="SCS"),--('Input|Historical Data'!$Z$9:$Z$1179=V$5),'Input|Historical Data'!$U$9:$U$1179)</f>
        <v>0</v>
      </c>
      <c r="W190" s="48">
        <f>SUMPRODUCT(--('Input|Historical Data'!$Q$9:$Q$1179=$E190),--('Input|Historical Data'!$AA$9:$AA$1179="SCS"),--('Input|Historical Data'!$Z$9:$Z$1179=W$5),'Input|Historical Data'!$U$9:$U$1179)</f>
        <v>0</v>
      </c>
      <c r="X190" s="48">
        <f>SUMPRODUCT(--('Input|Historical Data'!$Q$9:$Q$1179=$E190),--('Input|Historical Data'!$AA$9:$AA$1179="SCS"),--('Input|Historical Data'!$Y$9:$Y$1179=X$5),'Input|Historical Data'!$U$9:$U$1179)</f>
        <v>0</v>
      </c>
      <c r="Y190" s="49">
        <f t="shared" si="89"/>
        <v>0</v>
      </c>
      <c r="Z190" s="49">
        <f t="shared" si="90"/>
        <v>0</v>
      </c>
      <c r="AA190" s="49">
        <f t="shared" si="91"/>
        <v>0</v>
      </c>
      <c r="AB190" s="49">
        <f t="shared" si="92"/>
        <v>0</v>
      </c>
      <c r="AC190" s="38"/>
      <c r="AD190" s="48">
        <f>SUMPRODUCT(--('Input|Historical Data'!$AC$9:$AC$1180=$E190),--('Input|Historical Data'!$AM$9:$AM$1180="SCS"),--('Input|Historical Data'!$AK$9:$AK$1180=AD$5),'Input|Historical Data'!$AG$9:$AG$1180)</f>
        <v>162.83299999999997</v>
      </c>
      <c r="AE190" s="48">
        <f>SUMPRODUCT(--('Input|Historical Data'!$AC$9:$AC$1180=$E190),--('Input|Historical Data'!$AM$9:$AM$1180="SCS"),--('Input|Historical Data'!$AL$9:$AL$1180=AE$5),'Input|Historical Data'!$AG$9:$AG$1180)</f>
        <v>45.942</v>
      </c>
      <c r="AF190" s="48">
        <f>SUMPRODUCT(--('Input|Historical Data'!$AC$9:$AC$1180=$E190),--('Input|Historical Data'!$AM$9:$AM$1180="SCS"),--('Input|Historical Data'!$AL$9:$AL$1180=AF$5),'Input|Historical Data'!$AG$9:$AG$1180)</f>
        <v>80.597999999999999</v>
      </c>
      <c r="AG190" s="48">
        <f>SUMPRODUCT(--('Input|Historical Data'!$AC$9:$AC$1180=$E190),--('Input|Historical Data'!$AM$9:$AM$1180="SCS"),--('Input|Historical Data'!$AL$9:$AL$1180=AG$5),'Input|Historical Data'!$AG$9:$AG$1180)</f>
        <v>36.292999999999999</v>
      </c>
      <c r="AH190" s="48">
        <f>SUMPRODUCT(--('Input|Historical Data'!$AC$9:$AC$1180=$E190),--('Input|Historical Data'!$AM$9:$AM$1180="SCS"),--('Input|Historical Data'!$AK$9:$AK$1180=AH$5),'Input|Historical Data'!$AG$9:$AG$1180)</f>
        <v>20.780999999999999</v>
      </c>
      <c r="AI190" s="49">
        <f t="shared" si="97"/>
        <v>0.2821418262882831</v>
      </c>
      <c r="AJ190" s="49">
        <f t="shared" si="98"/>
        <v>0.49497337763229809</v>
      </c>
      <c r="AK190" s="49">
        <f t="shared" si="99"/>
        <v>0.2228847960794188</v>
      </c>
      <c r="AL190" s="49">
        <f t="shared" si="100"/>
        <v>0.12762155091412675</v>
      </c>
      <c r="AM190" s="38"/>
      <c r="AN190" s="48"/>
      <c r="AO190" s="48"/>
      <c r="AP190" s="48"/>
      <c r="AQ190" s="48"/>
      <c r="AR190" s="48"/>
      <c r="AS190" s="49"/>
      <c r="AT190" s="49"/>
      <c r="AU190" s="49"/>
      <c r="AV190" s="49"/>
      <c r="AW190" s="38"/>
      <c r="AX190" s="49">
        <f t="shared" si="101"/>
        <v>0.2821418262882831</v>
      </c>
      <c r="AY190" s="49">
        <f t="shared" si="102"/>
        <v>0.49497337763229809</v>
      </c>
      <c r="AZ190" s="49">
        <f t="shared" si="103"/>
        <v>0.2228847960794188</v>
      </c>
      <c r="BA190" s="49">
        <f t="shared" si="104"/>
        <v>0.12762155091412675</v>
      </c>
      <c r="BB190" s="44"/>
    </row>
    <row r="191" spans="3:54" s="7" customFormat="1" outlineLevel="1" x14ac:dyDescent="0.3">
      <c r="C191" s="38"/>
      <c r="D191" s="38"/>
      <c r="E191" s="38" t="s">
        <v>261</v>
      </c>
      <c r="F191" s="38" t="s">
        <v>442</v>
      </c>
      <c r="G191" s="38" t="str">
        <f>VLOOKUP(E191,Mapping!$E$11:$G$204,3,0)</f>
        <v>ACS</v>
      </c>
      <c r="H191" s="38" t="str">
        <f>VLOOKUP(E191,Mapping!$E$11:$K$204,7,0)</f>
        <v>ACS</v>
      </c>
      <c r="I191" s="38"/>
      <c r="J191" s="48">
        <f>SUMPRODUCT(--('Input|Historical Data'!$E$9:$E$1179=$E191),--('Input|Historical Data'!$O$9:$O$1179="SCS"),--('Input|Historical Data'!$M$9:$M$1179=J$5),'Input|Historical Data'!$I$9:$I$1179)</f>
        <v>0</v>
      </c>
      <c r="K191" s="48">
        <f>SUMPRODUCT(--('Input|Historical Data'!$E$9:$E$1179=$E191),--('Input|Historical Data'!$O$9:$O$1179="SCS"),--('Input|Historical Data'!$N$9:$N$1179=K$5),'Input|Historical Data'!$I$9:$I$1179)</f>
        <v>0</v>
      </c>
      <c r="L191" s="48">
        <f>SUMPRODUCT(--('Input|Historical Data'!$E$9:$E$1179=$E191),--('Input|Historical Data'!$O$9:$O$1179="SCS"),--('Input|Historical Data'!$N$9:$N$1179=L$5),'Input|Historical Data'!$I$9:$I$1179)</f>
        <v>0</v>
      </c>
      <c r="M191" s="48">
        <f>SUMPRODUCT(--('Input|Historical Data'!$E$9:$E$1179=$E191),--('Input|Historical Data'!$O$9:$O$1179="SCS"),--('Input|Historical Data'!$N$9:$N$1179=M$5),'Input|Historical Data'!$I$9:$I$1179)</f>
        <v>0</v>
      </c>
      <c r="N191" s="48">
        <f>SUMPRODUCT(--('Input|Historical Data'!$E$9:$E$1179=$E191),--('Input|Historical Data'!$O$9:$O$1179="SCS"),--('Input|Historical Data'!$M$9:$M$1179=N$5),'Input|Historical Data'!$I$9:$I$1179)</f>
        <v>0</v>
      </c>
      <c r="O191" s="49">
        <f t="shared" si="93"/>
        <v>0</v>
      </c>
      <c r="P191" s="49">
        <f t="shared" si="94"/>
        <v>0</v>
      </c>
      <c r="Q191" s="49">
        <f t="shared" si="95"/>
        <v>0</v>
      </c>
      <c r="R191" s="49">
        <f t="shared" si="96"/>
        <v>0</v>
      </c>
      <c r="S191" s="38"/>
      <c r="T191" s="48">
        <f>SUMPRODUCT(--('Input|Historical Data'!$Q$9:$Q$1179=$E191),--('Input|Historical Data'!$AA$9:$AA$1179="SCS"),--('Input|Historical Data'!$Y$9:$Y$1179=T$5),'Input|Historical Data'!$U$9:$U$1179)</f>
        <v>0</v>
      </c>
      <c r="U191" s="48">
        <f>SUMPRODUCT(--('Input|Historical Data'!$Q$9:$Q$1179=$E191),--('Input|Historical Data'!$AA$9:$AA$1179="SCS"),--('Input|Historical Data'!$Z$9:$Z$1179=U$5),'Input|Historical Data'!$U$9:$U$1179)</f>
        <v>0</v>
      </c>
      <c r="V191" s="48">
        <f>SUMPRODUCT(--('Input|Historical Data'!$Q$9:$Q$1179=$E191),--('Input|Historical Data'!$AA$9:$AA$1179="SCS"),--('Input|Historical Data'!$Z$9:$Z$1179=V$5),'Input|Historical Data'!$U$9:$U$1179)</f>
        <v>0</v>
      </c>
      <c r="W191" s="48">
        <f>SUMPRODUCT(--('Input|Historical Data'!$Q$9:$Q$1179=$E191),--('Input|Historical Data'!$AA$9:$AA$1179="SCS"),--('Input|Historical Data'!$Z$9:$Z$1179=W$5),'Input|Historical Data'!$U$9:$U$1179)</f>
        <v>0</v>
      </c>
      <c r="X191" s="48">
        <f>SUMPRODUCT(--('Input|Historical Data'!$Q$9:$Q$1179=$E191),--('Input|Historical Data'!$AA$9:$AA$1179="SCS"),--('Input|Historical Data'!$Y$9:$Y$1179=X$5),'Input|Historical Data'!$U$9:$U$1179)</f>
        <v>0</v>
      </c>
      <c r="Y191" s="49">
        <f t="shared" si="89"/>
        <v>0</v>
      </c>
      <c r="Z191" s="49">
        <f t="shared" si="90"/>
        <v>0</v>
      </c>
      <c r="AA191" s="49">
        <f t="shared" si="91"/>
        <v>0</v>
      </c>
      <c r="AB191" s="49">
        <f t="shared" si="92"/>
        <v>0</v>
      </c>
      <c r="AC191" s="38"/>
      <c r="AD191" s="48">
        <f>SUMPRODUCT(--('Input|Historical Data'!$AC$9:$AC$1180=$E191),--('Input|Historical Data'!$AM$9:$AM$1180="SCS"),--('Input|Historical Data'!$AK$9:$AK$1180=AD$5),'Input|Historical Data'!$AG$9:$AG$1180)</f>
        <v>0</v>
      </c>
      <c r="AE191" s="48">
        <f>SUMPRODUCT(--('Input|Historical Data'!$AC$9:$AC$1180=$E191),--('Input|Historical Data'!$AM$9:$AM$1180="SCS"),--('Input|Historical Data'!$AL$9:$AL$1180=AE$5),'Input|Historical Data'!$AG$9:$AG$1180)</f>
        <v>0</v>
      </c>
      <c r="AF191" s="48">
        <f>SUMPRODUCT(--('Input|Historical Data'!$AC$9:$AC$1180=$E191),--('Input|Historical Data'!$AM$9:$AM$1180="SCS"),--('Input|Historical Data'!$AL$9:$AL$1180=AF$5),'Input|Historical Data'!$AG$9:$AG$1180)</f>
        <v>0</v>
      </c>
      <c r="AG191" s="48">
        <f>SUMPRODUCT(--('Input|Historical Data'!$AC$9:$AC$1180=$E191),--('Input|Historical Data'!$AM$9:$AM$1180="SCS"),--('Input|Historical Data'!$AL$9:$AL$1180=AG$5),'Input|Historical Data'!$AG$9:$AG$1180)</f>
        <v>0</v>
      </c>
      <c r="AH191" s="48">
        <f>SUMPRODUCT(--('Input|Historical Data'!$AC$9:$AC$1180=$E191),--('Input|Historical Data'!$AM$9:$AM$1180="SCS"),--('Input|Historical Data'!$AK$9:$AK$1180=AH$5),'Input|Historical Data'!$AG$9:$AG$1180)</f>
        <v>0</v>
      </c>
      <c r="AI191" s="49">
        <f t="shared" si="97"/>
        <v>0</v>
      </c>
      <c r="AJ191" s="49">
        <f t="shared" si="98"/>
        <v>0</v>
      </c>
      <c r="AK191" s="49">
        <f t="shared" si="99"/>
        <v>0</v>
      </c>
      <c r="AL191" s="49">
        <f t="shared" si="100"/>
        <v>0</v>
      </c>
      <c r="AM191" s="38"/>
      <c r="AN191" s="48"/>
      <c r="AO191" s="48"/>
      <c r="AP191" s="48"/>
      <c r="AQ191" s="48"/>
      <c r="AR191" s="48"/>
      <c r="AS191" s="49"/>
      <c r="AT191" s="49"/>
      <c r="AU191" s="49"/>
      <c r="AV191" s="49"/>
      <c r="AW191" s="38"/>
      <c r="AX191" s="49">
        <f t="shared" si="101"/>
        <v>0</v>
      </c>
      <c r="AY191" s="49">
        <f t="shared" si="102"/>
        <v>0</v>
      </c>
      <c r="AZ191" s="49">
        <f t="shared" si="103"/>
        <v>0</v>
      </c>
      <c r="BA191" s="49">
        <f t="shared" si="104"/>
        <v>0</v>
      </c>
      <c r="BB191" s="44"/>
    </row>
    <row r="192" spans="3:54" s="7" customFormat="1" outlineLevel="1" x14ac:dyDescent="0.3">
      <c r="C192" s="38"/>
      <c r="D192" s="38"/>
      <c r="E192" s="38" t="s">
        <v>262</v>
      </c>
      <c r="F192" s="38" t="s">
        <v>443</v>
      </c>
      <c r="G192" s="38" t="str">
        <f>VLOOKUP(E192,Mapping!$E$11:$G$204,3,0)</f>
        <v>ACS</v>
      </c>
      <c r="H192" s="38" t="str">
        <f>VLOOKUP(E192,Mapping!$E$11:$K$204,7,0)</f>
        <v>ACS</v>
      </c>
      <c r="I192" s="38"/>
      <c r="J192" s="48">
        <f>SUMPRODUCT(--('Input|Historical Data'!$E$9:$E$1179=$E192),--('Input|Historical Data'!$O$9:$O$1179="SCS"),--('Input|Historical Data'!$M$9:$M$1179=J$5),'Input|Historical Data'!$I$9:$I$1179)</f>
        <v>0</v>
      </c>
      <c r="K192" s="48">
        <f>SUMPRODUCT(--('Input|Historical Data'!$E$9:$E$1179=$E192),--('Input|Historical Data'!$O$9:$O$1179="SCS"),--('Input|Historical Data'!$N$9:$N$1179=K$5),'Input|Historical Data'!$I$9:$I$1179)</f>
        <v>0</v>
      </c>
      <c r="L192" s="48">
        <f>SUMPRODUCT(--('Input|Historical Data'!$E$9:$E$1179=$E192),--('Input|Historical Data'!$O$9:$O$1179="SCS"),--('Input|Historical Data'!$N$9:$N$1179=L$5),'Input|Historical Data'!$I$9:$I$1179)</f>
        <v>0</v>
      </c>
      <c r="M192" s="48">
        <f>SUMPRODUCT(--('Input|Historical Data'!$E$9:$E$1179=$E192),--('Input|Historical Data'!$O$9:$O$1179="SCS"),--('Input|Historical Data'!$N$9:$N$1179=M$5),'Input|Historical Data'!$I$9:$I$1179)</f>
        <v>0</v>
      </c>
      <c r="N192" s="48">
        <f>SUMPRODUCT(--('Input|Historical Data'!$E$9:$E$1179=$E192),--('Input|Historical Data'!$O$9:$O$1179="SCS"),--('Input|Historical Data'!$M$9:$M$1179=N$5),'Input|Historical Data'!$I$9:$I$1179)</f>
        <v>0</v>
      </c>
      <c r="O192" s="49">
        <f t="shared" si="93"/>
        <v>0</v>
      </c>
      <c r="P192" s="49">
        <f t="shared" si="94"/>
        <v>0</v>
      </c>
      <c r="Q192" s="49">
        <f t="shared" si="95"/>
        <v>0</v>
      </c>
      <c r="R192" s="49">
        <f t="shared" si="96"/>
        <v>0</v>
      </c>
      <c r="S192" s="38"/>
      <c r="T192" s="48">
        <f>SUMPRODUCT(--('Input|Historical Data'!$Q$9:$Q$1179=$E192),--('Input|Historical Data'!$AA$9:$AA$1179="SCS"),--('Input|Historical Data'!$Y$9:$Y$1179=T$5),'Input|Historical Data'!$U$9:$U$1179)</f>
        <v>0</v>
      </c>
      <c r="U192" s="48">
        <f>SUMPRODUCT(--('Input|Historical Data'!$Q$9:$Q$1179=$E192),--('Input|Historical Data'!$AA$9:$AA$1179="SCS"),--('Input|Historical Data'!$Z$9:$Z$1179=U$5),'Input|Historical Data'!$U$9:$U$1179)</f>
        <v>0</v>
      </c>
      <c r="V192" s="48">
        <f>SUMPRODUCT(--('Input|Historical Data'!$Q$9:$Q$1179=$E192),--('Input|Historical Data'!$AA$9:$AA$1179="SCS"),--('Input|Historical Data'!$Z$9:$Z$1179=V$5),'Input|Historical Data'!$U$9:$U$1179)</f>
        <v>0</v>
      </c>
      <c r="W192" s="48">
        <f>SUMPRODUCT(--('Input|Historical Data'!$Q$9:$Q$1179=$E192),--('Input|Historical Data'!$AA$9:$AA$1179="SCS"),--('Input|Historical Data'!$Z$9:$Z$1179=W$5),'Input|Historical Data'!$U$9:$U$1179)</f>
        <v>0</v>
      </c>
      <c r="X192" s="48">
        <f>SUMPRODUCT(--('Input|Historical Data'!$Q$9:$Q$1179=$E192),--('Input|Historical Data'!$AA$9:$AA$1179="SCS"),--('Input|Historical Data'!$Y$9:$Y$1179=X$5),'Input|Historical Data'!$U$9:$U$1179)</f>
        <v>0</v>
      </c>
      <c r="Y192" s="49">
        <f t="shared" si="89"/>
        <v>0</v>
      </c>
      <c r="Z192" s="49">
        <f t="shared" si="90"/>
        <v>0</v>
      </c>
      <c r="AA192" s="49">
        <f t="shared" si="91"/>
        <v>0</v>
      </c>
      <c r="AB192" s="49">
        <f t="shared" si="92"/>
        <v>0</v>
      </c>
      <c r="AC192" s="38"/>
      <c r="AD192" s="48">
        <f>SUMPRODUCT(--('Input|Historical Data'!$AC$9:$AC$1180=$E192),--('Input|Historical Data'!$AM$9:$AM$1180="SCS"),--('Input|Historical Data'!$AK$9:$AK$1180=AD$5),'Input|Historical Data'!$AG$9:$AG$1180)</f>
        <v>0</v>
      </c>
      <c r="AE192" s="48">
        <f>SUMPRODUCT(--('Input|Historical Data'!$AC$9:$AC$1180=$E192),--('Input|Historical Data'!$AM$9:$AM$1180="SCS"),--('Input|Historical Data'!$AL$9:$AL$1180=AE$5),'Input|Historical Data'!$AG$9:$AG$1180)</f>
        <v>0</v>
      </c>
      <c r="AF192" s="48">
        <f>SUMPRODUCT(--('Input|Historical Data'!$AC$9:$AC$1180=$E192),--('Input|Historical Data'!$AM$9:$AM$1180="SCS"),--('Input|Historical Data'!$AL$9:$AL$1180=AF$5),'Input|Historical Data'!$AG$9:$AG$1180)</f>
        <v>0</v>
      </c>
      <c r="AG192" s="48">
        <f>SUMPRODUCT(--('Input|Historical Data'!$AC$9:$AC$1180=$E192),--('Input|Historical Data'!$AM$9:$AM$1180="SCS"),--('Input|Historical Data'!$AL$9:$AL$1180=AG$5),'Input|Historical Data'!$AG$9:$AG$1180)</f>
        <v>0</v>
      </c>
      <c r="AH192" s="48">
        <f>SUMPRODUCT(--('Input|Historical Data'!$AC$9:$AC$1180=$E192),--('Input|Historical Data'!$AM$9:$AM$1180="SCS"),--('Input|Historical Data'!$AK$9:$AK$1180=AH$5),'Input|Historical Data'!$AG$9:$AG$1180)</f>
        <v>0</v>
      </c>
      <c r="AI192" s="49">
        <f t="shared" si="97"/>
        <v>0</v>
      </c>
      <c r="AJ192" s="49">
        <f t="shared" si="98"/>
        <v>0</v>
      </c>
      <c r="AK192" s="49">
        <f t="shared" si="99"/>
        <v>0</v>
      </c>
      <c r="AL192" s="49">
        <f t="shared" si="100"/>
        <v>0</v>
      </c>
      <c r="AM192" s="38"/>
      <c r="AN192" s="48"/>
      <c r="AO192" s="48"/>
      <c r="AP192" s="48"/>
      <c r="AQ192" s="48"/>
      <c r="AR192" s="48"/>
      <c r="AS192" s="49"/>
      <c r="AT192" s="49"/>
      <c r="AU192" s="49"/>
      <c r="AV192" s="49"/>
      <c r="AW192" s="38"/>
      <c r="AX192" s="49">
        <f t="shared" si="101"/>
        <v>0</v>
      </c>
      <c r="AY192" s="49">
        <f t="shared" si="102"/>
        <v>0</v>
      </c>
      <c r="AZ192" s="49">
        <f t="shared" si="103"/>
        <v>0</v>
      </c>
      <c r="BA192" s="49">
        <f t="shared" si="104"/>
        <v>0</v>
      </c>
      <c r="BB192" s="44"/>
    </row>
    <row r="193" spans="1:54" s="7" customFormat="1" outlineLevel="1" x14ac:dyDescent="0.3">
      <c r="C193" s="38"/>
      <c r="D193" s="38"/>
      <c r="E193" s="38" t="s">
        <v>263</v>
      </c>
      <c r="F193" s="38" t="s">
        <v>444</v>
      </c>
      <c r="G193" s="38" t="str">
        <f>VLOOKUP(E193,Mapping!$E$11:$G$204,3,0)</f>
        <v>ACS</v>
      </c>
      <c r="H193" s="38" t="str">
        <f>VLOOKUP(E193,Mapping!$E$11:$K$204,7,0)</f>
        <v>ACS</v>
      </c>
      <c r="I193" s="38"/>
      <c r="J193" s="48">
        <f>SUMPRODUCT(--('Input|Historical Data'!$E$9:$E$1179=$E193),--('Input|Historical Data'!$O$9:$O$1179="SCS"),--('Input|Historical Data'!$M$9:$M$1179=J$5),'Input|Historical Data'!$I$9:$I$1179)</f>
        <v>0</v>
      </c>
      <c r="K193" s="48">
        <f>SUMPRODUCT(--('Input|Historical Data'!$E$9:$E$1179=$E193),--('Input|Historical Data'!$O$9:$O$1179="SCS"),--('Input|Historical Data'!$N$9:$N$1179=K$5),'Input|Historical Data'!$I$9:$I$1179)</f>
        <v>0</v>
      </c>
      <c r="L193" s="48">
        <f>SUMPRODUCT(--('Input|Historical Data'!$E$9:$E$1179=$E193),--('Input|Historical Data'!$O$9:$O$1179="SCS"),--('Input|Historical Data'!$N$9:$N$1179=L$5),'Input|Historical Data'!$I$9:$I$1179)</f>
        <v>0</v>
      </c>
      <c r="M193" s="48">
        <f>SUMPRODUCT(--('Input|Historical Data'!$E$9:$E$1179=$E193),--('Input|Historical Data'!$O$9:$O$1179="SCS"),--('Input|Historical Data'!$N$9:$N$1179=M$5),'Input|Historical Data'!$I$9:$I$1179)</f>
        <v>0</v>
      </c>
      <c r="N193" s="48">
        <f>SUMPRODUCT(--('Input|Historical Data'!$E$9:$E$1179=$E193),--('Input|Historical Data'!$O$9:$O$1179="SCS"),--('Input|Historical Data'!$M$9:$M$1179=N$5),'Input|Historical Data'!$I$9:$I$1179)</f>
        <v>0</v>
      </c>
      <c r="O193" s="49">
        <f t="shared" si="93"/>
        <v>0</v>
      </c>
      <c r="P193" s="49">
        <f t="shared" si="94"/>
        <v>0</v>
      </c>
      <c r="Q193" s="49">
        <f t="shared" si="95"/>
        <v>0</v>
      </c>
      <c r="R193" s="49">
        <f t="shared" si="96"/>
        <v>0</v>
      </c>
      <c r="S193" s="38"/>
      <c r="T193" s="48">
        <f>SUMPRODUCT(--('Input|Historical Data'!$Q$9:$Q$1179=$E193),--('Input|Historical Data'!$AA$9:$AA$1179="SCS"),--('Input|Historical Data'!$Y$9:$Y$1179=T$5),'Input|Historical Data'!$U$9:$U$1179)</f>
        <v>0</v>
      </c>
      <c r="U193" s="48">
        <f>SUMPRODUCT(--('Input|Historical Data'!$Q$9:$Q$1179=$E193),--('Input|Historical Data'!$AA$9:$AA$1179="SCS"),--('Input|Historical Data'!$Z$9:$Z$1179=U$5),'Input|Historical Data'!$U$9:$U$1179)</f>
        <v>0</v>
      </c>
      <c r="V193" s="48">
        <f>SUMPRODUCT(--('Input|Historical Data'!$Q$9:$Q$1179=$E193),--('Input|Historical Data'!$AA$9:$AA$1179="SCS"),--('Input|Historical Data'!$Z$9:$Z$1179=V$5),'Input|Historical Data'!$U$9:$U$1179)</f>
        <v>0</v>
      </c>
      <c r="W193" s="48">
        <f>SUMPRODUCT(--('Input|Historical Data'!$Q$9:$Q$1179=$E193),--('Input|Historical Data'!$AA$9:$AA$1179="SCS"),--('Input|Historical Data'!$Z$9:$Z$1179=W$5),'Input|Historical Data'!$U$9:$U$1179)</f>
        <v>0</v>
      </c>
      <c r="X193" s="48">
        <f>SUMPRODUCT(--('Input|Historical Data'!$Q$9:$Q$1179=$E193),--('Input|Historical Data'!$AA$9:$AA$1179="SCS"),--('Input|Historical Data'!$Y$9:$Y$1179=X$5),'Input|Historical Data'!$U$9:$U$1179)</f>
        <v>0</v>
      </c>
      <c r="Y193" s="49">
        <f t="shared" si="89"/>
        <v>0</v>
      </c>
      <c r="Z193" s="49">
        <f t="shared" si="90"/>
        <v>0</v>
      </c>
      <c r="AA193" s="49">
        <f t="shared" si="91"/>
        <v>0</v>
      </c>
      <c r="AB193" s="49">
        <f t="shared" si="92"/>
        <v>0</v>
      </c>
      <c r="AC193" s="38"/>
      <c r="AD193" s="48">
        <f>SUMPRODUCT(--('Input|Historical Data'!$AC$9:$AC$1180=$E193),--('Input|Historical Data'!$AM$9:$AM$1180="SCS"),--('Input|Historical Data'!$AK$9:$AK$1180=AD$5),'Input|Historical Data'!$AG$9:$AG$1180)</f>
        <v>0</v>
      </c>
      <c r="AE193" s="48">
        <f>SUMPRODUCT(--('Input|Historical Data'!$AC$9:$AC$1180=$E193),--('Input|Historical Data'!$AM$9:$AM$1180="SCS"),--('Input|Historical Data'!$AL$9:$AL$1180=AE$5),'Input|Historical Data'!$AG$9:$AG$1180)</f>
        <v>0</v>
      </c>
      <c r="AF193" s="48">
        <f>SUMPRODUCT(--('Input|Historical Data'!$AC$9:$AC$1180=$E193),--('Input|Historical Data'!$AM$9:$AM$1180="SCS"),--('Input|Historical Data'!$AL$9:$AL$1180=AF$5),'Input|Historical Data'!$AG$9:$AG$1180)</f>
        <v>0</v>
      </c>
      <c r="AG193" s="48">
        <f>SUMPRODUCT(--('Input|Historical Data'!$AC$9:$AC$1180=$E193),--('Input|Historical Data'!$AM$9:$AM$1180="SCS"),--('Input|Historical Data'!$AL$9:$AL$1180=AG$5),'Input|Historical Data'!$AG$9:$AG$1180)</f>
        <v>0</v>
      </c>
      <c r="AH193" s="48">
        <f>SUMPRODUCT(--('Input|Historical Data'!$AC$9:$AC$1180=$E193),--('Input|Historical Data'!$AM$9:$AM$1180="SCS"),--('Input|Historical Data'!$AK$9:$AK$1180=AH$5),'Input|Historical Data'!$AG$9:$AG$1180)</f>
        <v>0</v>
      </c>
      <c r="AI193" s="49">
        <f t="shared" si="97"/>
        <v>0</v>
      </c>
      <c r="AJ193" s="49">
        <f t="shared" si="98"/>
        <v>0</v>
      </c>
      <c r="AK193" s="49">
        <f t="shared" si="99"/>
        <v>0</v>
      </c>
      <c r="AL193" s="49">
        <f t="shared" si="100"/>
        <v>0</v>
      </c>
      <c r="AM193" s="38"/>
      <c r="AN193" s="48"/>
      <c r="AO193" s="48"/>
      <c r="AP193" s="48"/>
      <c r="AQ193" s="48"/>
      <c r="AR193" s="48"/>
      <c r="AS193" s="49"/>
      <c r="AT193" s="49"/>
      <c r="AU193" s="49"/>
      <c r="AV193" s="49"/>
      <c r="AW193" s="38"/>
      <c r="AX193" s="49">
        <f t="shared" si="101"/>
        <v>0</v>
      </c>
      <c r="AY193" s="49">
        <f t="shared" si="102"/>
        <v>0</v>
      </c>
      <c r="AZ193" s="49">
        <f t="shared" si="103"/>
        <v>0</v>
      </c>
      <c r="BA193" s="49">
        <f t="shared" si="104"/>
        <v>0</v>
      </c>
      <c r="BB193" s="44"/>
    </row>
    <row r="194" spans="1:54" s="7" customFormat="1" outlineLevel="1" x14ac:dyDescent="0.3">
      <c r="C194" s="38"/>
      <c r="D194" s="38"/>
      <c r="E194" s="38" t="s">
        <v>264</v>
      </c>
      <c r="F194" s="38" t="s">
        <v>445</v>
      </c>
      <c r="G194" s="38" t="str">
        <f>VLOOKUP(E194,Mapping!$E$11:$G$204,3,0)</f>
        <v>ACS</v>
      </c>
      <c r="H194" s="38" t="str">
        <f>VLOOKUP(E194,Mapping!$E$11:$K$204,7,0)</f>
        <v>ACS</v>
      </c>
      <c r="I194" s="38"/>
      <c r="J194" s="48">
        <f>SUMPRODUCT(--('Input|Historical Data'!$E$9:$E$1179=$E194),--('Input|Historical Data'!$O$9:$O$1179="SCS"),--('Input|Historical Data'!$M$9:$M$1179=J$5),'Input|Historical Data'!$I$9:$I$1179)</f>
        <v>0</v>
      </c>
      <c r="K194" s="48">
        <f>SUMPRODUCT(--('Input|Historical Data'!$E$9:$E$1179=$E194),--('Input|Historical Data'!$O$9:$O$1179="SCS"),--('Input|Historical Data'!$N$9:$N$1179=K$5),'Input|Historical Data'!$I$9:$I$1179)</f>
        <v>0</v>
      </c>
      <c r="L194" s="48">
        <f>SUMPRODUCT(--('Input|Historical Data'!$E$9:$E$1179=$E194),--('Input|Historical Data'!$O$9:$O$1179="SCS"),--('Input|Historical Data'!$N$9:$N$1179=L$5),'Input|Historical Data'!$I$9:$I$1179)</f>
        <v>0</v>
      </c>
      <c r="M194" s="48">
        <f>SUMPRODUCT(--('Input|Historical Data'!$E$9:$E$1179=$E194),--('Input|Historical Data'!$O$9:$O$1179="SCS"),--('Input|Historical Data'!$N$9:$N$1179=M$5),'Input|Historical Data'!$I$9:$I$1179)</f>
        <v>0</v>
      </c>
      <c r="N194" s="48">
        <f>SUMPRODUCT(--('Input|Historical Data'!$E$9:$E$1179=$E194),--('Input|Historical Data'!$O$9:$O$1179="SCS"),--('Input|Historical Data'!$M$9:$M$1179=N$5),'Input|Historical Data'!$I$9:$I$1179)</f>
        <v>0</v>
      </c>
      <c r="O194" s="49">
        <f t="shared" si="93"/>
        <v>0</v>
      </c>
      <c r="P194" s="49">
        <f t="shared" si="94"/>
        <v>0</v>
      </c>
      <c r="Q194" s="49">
        <f t="shared" si="95"/>
        <v>0</v>
      </c>
      <c r="R194" s="49">
        <f t="shared" si="96"/>
        <v>0</v>
      </c>
      <c r="S194" s="38"/>
      <c r="T194" s="48">
        <f>SUMPRODUCT(--('Input|Historical Data'!$Q$9:$Q$1179=$E194),--('Input|Historical Data'!$AA$9:$AA$1179="SCS"),--('Input|Historical Data'!$Y$9:$Y$1179=T$5),'Input|Historical Data'!$U$9:$U$1179)</f>
        <v>0</v>
      </c>
      <c r="U194" s="48">
        <f>SUMPRODUCT(--('Input|Historical Data'!$Q$9:$Q$1179=$E194),--('Input|Historical Data'!$AA$9:$AA$1179="SCS"),--('Input|Historical Data'!$Z$9:$Z$1179=U$5),'Input|Historical Data'!$U$9:$U$1179)</f>
        <v>0</v>
      </c>
      <c r="V194" s="48">
        <f>SUMPRODUCT(--('Input|Historical Data'!$Q$9:$Q$1179=$E194),--('Input|Historical Data'!$AA$9:$AA$1179="SCS"),--('Input|Historical Data'!$Z$9:$Z$1179=V$5),'Input|Historical Data'!$U$9:$U$1179)</f>
        <v>0</v>
      </c>
      <c r="W194" s="48">
        <f>SUMPRODUCT(--('Input|Historical Data'!$Q$9:$Q$1179=$E194),--('Input|Historical Data'!$AA$9:$AA$1179="SCS"),--('Input|Historical Data'!$Z$9:$Z$1179=W$5),'Input|Historical Data'!$U$9:$U$1179)</f>
        <v>0</v>
      </c>
      <c r="X194" s="48">
        <f>SUMPRODUCT(--('Input|Historical Data'!$Q$9:$Q$1179=$E194),--('Input|Historical Data'!$AA$9:$AA$1179="SCS"),--('Input|Historical Data'!$Y$9:$Y$1179=X$5),'Input|Historical Data'!$U$9:$U$1179)</f>
        <v>0</v>
      </c>
      <c r="Y194" s="49">
        <f t="shared" ref="Y194:Y198" si="117">IFERROR(U194/SUM($U194:$W194),0)</f>
        <v>0</v>
      </c>
      <c r="Z194" s="49">
        <f t="shared" ref="Z194:Z198" si="118">IFERROR(V194/SUM($U194:$W194),0)</f>
        <v>0</v>
      </c>
      <c r="AA194" s="49">
        <f t="shared" ref="AA194:AA198" si="119">IFERROR(W194/SUM($U194:$W194),0)</f>
        <v>0</v>
      </c>
      <c r="AB194" s="49">
        <f t="shared" ref="AB194:AB198" si="120">IFERROR(X194/T194,0)</f>
        <v>0</v>
      </c>
      <c r="AC194" s="38"/>
      <c r="AD194" s="48">
        <f>SUMPRODUCT(--('Input|Historical Data'!$AC$9:$AC$1180=$E194),--('Input|Historical Data'!$AM$9:$AM$1180="SCS"),--('Input|Historical Data'!$AK$9:$AK$1180=AD$5),'Input|Historical Data'!$AG$9:$AG$1180)</f>
        <v>0</v>
      </c>
      <c r="AE194" s="48">
        <f>SUMPRODUCT(--('Input|Historical Data'!$AC$9:$AC$1180=$E194),--('Input|Historical Data'!$AM$9:$AM$1180="SCS"),--('Input|Historical Data'!$AL$9:$AL$1180=AE$5),'Input|Historical Data'!$AG$9:$AG$1180)</f>
        <v>0</v>
      </c>
      <c r="AF194" s="48">
        <f>SUMPRODUCT(--('Input|Historical Data'!$AC$9:$AC$1180=$E194),--('Input|Historical Data'!$AM$9:$AM$1180="SCS"),--('Input|Historical Data'!$AL$9:$AL$1180=AF$5),'Input|Historical Data'!$AG$9:$AG$1180)</f>
        <v>0</v>
      </c>
      <c r="AG194" s="48">
        <f>SUMPRODUCT(--('Input|Historical Data'!$AC$9:$AC$1180=$E194),--('Input|Historical Data'!$AM$9:$AM$1180="SCS"),--('Input|Historical Data'!$AL$9:$AL$1180=AG$5),'Input|Historical Data'!$AG$9:$AG$1180)</f>
        <v>0</v>
      </c>
      <c r="AH194" s="48">
        <f>SUMPRODUCT(--('Input|Historical Data'!$AC$9:$AC$1180=$E194),--('Input|Historical Data'!$AM$9:$AM$1180="SCS"),--('Input|Historical Data'!$AK$9:$AK$1180=AH$5),'Input|Historical Data'!$AG$9:$AG$1180)</f>
        <v>0</v>
      </c>
      <c r="AI194" s="49">
        <f t="shared" si="97"/>
        <v>0</v>
      </c>
      <c r="AJ194" s="49">
        <f t="shared" si="98"/>
        <v>0</v>
      </c>
      <c r="AK194" s="49">
        <f t="shared" si="99"/>
        <v>0</v>
      </c>
      <c r="AL194" s="49">
        <f t="shared" si="100"/>
        <v>0</v>
      </c>
      <c r="AM194" s="38"/>
      <c r="AN194" s="48"/>
      <c r="AO194" s="48"/>
      <c r="AP194" s="48"/>
      <c r="AQ194" s="48"/>
      <c r="AR194" s="48"/>
      <c r="AS194" s="49"/>
      <c r="AT194" s="49"/>
      <c r="AU194" s="49"/>
      <c r="AV194" s="49"/>
      <c r="AW194" s="38"/>
      <c r="AX194" s="49">
        <f t="shared" si="101"/>
        <v>0</v>
      </c>
      <c r="AY194" s="49">
        <f t="shared" si="102"/>
        <v>0</v>
      </c>
      <c r="AZ194" s="49">
        <f t="shared" si="103"/>
        <v>0</v>
      </c>
      <c r="BA194" s="49">
        <f t="shared" si="104"/>
        <v>0</v>
      </c>
      <c r="BB194" s="44"/>
    </row>
    <row r="195" spans="1:54" s="7" customFormat="1" outlineLevel="1" x14ac:dyDescent="0.3">
      <c r="C195" s="38"/>
      <c r="D195" s="38"/>
      <c r="E195" s="38" t="s">
        <v>265</v>
      </c>
      <c r="F195" s="38" t="s">
        <v>446</v>
      </c>
      <c r="G195" s="38" t="str">
        <f>VLOOKUP(E195,Mapping!$E$11:$G$204,3,0)</f>
        <v>Non-network general assets - IT</v>
      </c>
      <c r="H195" s="38" t="s">
        <v>30</v>
      </c>
      <c r="I195" s="38"/>
      <c r="J195" s="48">
        <f>SUMPRODUCT(--('Input|Historical Data'!$E$9:$E$1179=$E195),--('Input|Historical Data'!$O$9:$O$1179="SCS"),--('Input|Historical Data'!$M$9:$M$1179=J$5),'Input|Historical Data'!$I$9:$I$1179)</f>
        <v>27748.824000000001</v>
      </c>
      <c r="K195" s="48">
        <f>SUMPRODUCT(--('Input|Historical Data'!$E$9:$E$1179=$E195),--('Input|Historical Data'!$O$9:$O$1179="SCS"),--('Input|Historical Data'!$N$9:$N$1179=K$5),'Input|Historical Data'!$I$9:$I$1179)</f>
        <v>5.673</v>
      </c>
      <c r="L195" s="48">
        <f>SUMPRODUCT(--('Input|Historical Data'!$E$9:$E$1179=$E195),--('Input|Historical Data'!$O$9:$O$1179="SCS"),--('Input|Historical Data'!$N$9:$N$1179=L$5),'Input|Historical Data'!$I$9:$I$1179)</f>
        <v>27743.151000000002</v>
      </c>
      <c r="M195" s="48">
        <f>SUMPRODUCT(--('Input|Historical Data'!$E$9:$E$1179=$E195),--('Input|Historical Data'!$O$9:$O$1179="SCS"),--('Input|Historical Data'!$N$9:$N$1179=M$5),'Input|Historical Data'!$I$9:$I$1179)</f>
        <v>0</v>
      </c>
      <c r="N195" s="48">
        <f>SUMPRODUCT(--('Input|Historical Data'!$E$9:$E$1179=$E195),--('Input|Historical Data'!$O$9:$O$1179="SCS"),--('Input|Historical Data'!$M$9:$M$1179=N$5),'Input|Historical Data'!$I$9:$I$1179)</f>
        <v>1013.777</v>
      </c>
      <c r="O195" s="49">
        <f t="shared" si="93"/>
        <v>2.0444109631456814E-4</v>
      </c>
      <c r="P195" s="49">
        <f t="shared" si="94"/>
        <v>0.99979555890368543</v>
      </c>
      <c r="Q195" s="49">
        <f t="shared" si="95"/>
        <v>0</v>
      </c>
      <c r="R195" s="49">
        <f t="shared" si="96"/>
        <v>3.6534052758415994E-2</v>
      </c>
      <c r="S195" s="38"/>
      <c r="T195" s="48">
        <f>SUMPRODUCT(--('Input|Historical Data'!$Q$9:$Q$1179=$E195),--('Input|Historical Data'!$AA$9:$AA$1179="SCS"),--('Input|Historical Data'!$Y$9:$Y$1179=T$5),'Input|Historical Data'!$U$9:$U$1179)</f>
        <v>23243.210999999999</v>
      </c>
      <c r="U195" s="48">
        <f>SUMPRODUCT(--('Input|Historical Data'!$Q$9:$Q$1179=$E195),--('Input|Historical Data'!$AA$9:$AA$1179="SCS"),--('Input|Historical Data'!$Z$9:$Z$1179=U$5),'Input|Historical Data'!$U$9:$U$1179)</f>
        <v>-0.32200000000000001</v>
      </c>
      <c r="V195" s="48">
        <f>SUMPRODUCT(--('Input|Historical Data'!$Q$9:$Q$1179=$E195),--('Input|Historical Data'!$AA$9:$AA$1179="SCS"),--('Input|Historical Data'!$Z$9:$Z$1179=V$5),'Input|Historical Data'!$U$9:$U$1179)</f>
        <v>23241.494999999999</v>
      </c>
      <c r="W195" s="48">
        <f>SUMPRODUCT(--('Input|Historical Data'!$Q$9:$Q$1179=$E195),--('Input|Historical Data'!$AA$9:$AA$1179="SCS"),--('Input|Historical Data'!$Z$9:$Z$1179=W$5),'Input|Historical Data'!$U$9:$U$1179)</f>
        <v>2.0380000000000003</v>
      </c>
      <c r="X195" s="48">
        <f>SUMPRODUCT(--('Input|Historical Data'!$Q$9:$Q$1179=$E195),--('Input|Historical Data'!$AA$9:$AA$1179="SCS"),--('Input|Historical Data'!$Y$9:$Y$1179=X$5),'Input|Historical Data'!$U$9:$U$1179)</f>
        <v>1685.575</v>
      </c>
      <c r="Y195" s="49">
        <f t="shared" ref="Y195:Y196" si="121">IFERROR(U195/SUM($U195:$W195),0)</f>
        <v>-1.3853507589807623E-5</v>
      </c>
      <c r="Z195" s="49">
        <f t="shared" ref="Z195:Z196" si="122">IFERROR(V195/SUM($U195:$W195),0)</f>
        <v>0.99992617199060829</v>
      </c>
      <c r="AA195" s="49">
        <f t="shared" ref="AA195:AA196" si="123">IFERROR(W195/SUM($U195:$W195),0)</f>
        <v>8.7681516981453228E-5</v>
      </c>
      <c r="AB195" s="49">
        <f t="shared" ref="AB195:AB196" si="124">IFERROR(X195/T195,0)</f>
        <v>7.2519025017670755E-2</v>
      </c>
      <c r="AC195" s="38"/>
      <c r="AD195" s="48">
        <f>SUMPRODUCT(--('Input|Historical Data'!$AC$9:$AC$1180=$E195),--('Input|Historical Data'!$AM$9:$AM$1180="SCS"),--('Input|Historical Data'!$AK$9:$AK$1180=AD$5),'Input|Historical Data'!$AG$9:$AG$1180)</f>
        <v>25690.696</v>
      </c>
      <c r="AE195" s="48">
        <f>SUMPRODUCT(--('Input|Historical Data'!$AC$9:$AC$1180=$E195),--('Input|Historical Data'!$AM$9:$AM$1180="SCS"),--('Input|Historical Data'!$AL$9:$AL$1180=AE$5),'Input|Historical Data'!$AG$9:$AG$1180)</f>
        <v>0</v>
      </c>
      <c r="AF195" s="48">
        <f>SUMPRODUCT(--('Input|Historical Data'!$AC$9:$AC$1180=$E195),--('Input|Historical Data'!$AM$9:$AM$1180="SCS"),--('Input|Historical Data'!$AL$9:$AL$1180=AF$5),'Input|Historical Data'!$AG$9:$AG$1180)</f>
        <v>25690.696</v>
      </c>
      <c r="AG195" s="48">
        <f>SUMPRODUCT(--('Input|Historical Data'!$AC$9:$AC$1180=$E195),--('Input|Historical Data'!$AM$9:$AM$1180="SCS"),--('Input|Historical Data'!$AL$9:$AL$1180=AG$5),'Input|Historical Data'!$AG$9:$AG$1180)</f>
        <v>0</v>
      </c>
      <c r="AH195" s="48">
        <f>SUMPRODUCT(--('Input|Historical Data'!$AC$9:$AC$1180=$E195),--('Input|Historical Data'!$AM$9:$AM$1180="SCS"),--('Input|Historical Data'!$AK$9:$AK$1180=AH$5),'Input|Historical Data'!$AG$9:$AG$1180)</f>
        <v>830.81799999999998</v>
      </c>
      <c r="AI195" s="49">
        <f t="shared" si="97"/>
        <v>0</v>
      </c>
      <c r="AJ195" s="49">
        <f t="shared" si="98"/>
        <v>1</v>
      </c>
      <c r="AK195" s="49">
        <f t="shared" si="99"/>
        <v>0</v>
      </c>
      <c r="AL195" s="49">
        <f t="shared" si="100"/>
        <v>3.2339256203880187E-2</v>
      </c>
      <c r="AM195" s="38"/>
      <c r="AN195" s="48"/>
      <c r="AO195" s="48"/>
      <c r="AP195" s="48"/>
      <c r="AQ195" s="48"/>
      <c r="AR195" s="48"/>
      <c r="AS195" s="49"/>
      <c r="AT195" s="49"/>
      <c r="AU195" s="49"/>
      <c r="AV195" s="49"/>
      <c r="AW195" s="38"/>
      <c r="AX195" s="49">
        <f t="shared" si="101"/>
        <v>-6.5803043276311459E-6</v>
      </c>
      <c r="AY195" s="49">
        <f t="shared" si="102"/>
        <v>0.99996493229122296</v>
      </c>
      <c r="AZ195" s="49">
        <f t="shared" si="103"/>
        <v>4.1648013104696512E-5</v>
      </c>
      <c r="BA195" s="97">
        <v>0</v>
      </c>
      <c r="BB195" s="44"/>
    </row>
    <row r="196" spans="1:54" s="7" customFormat="1" outlineLevel="1" x14ac:dyDescent="0.3">
      <c r="C196" s="38"/>
      <c r="D196" s="38"/>
      <c r="E196" s="38" t="s">
        <v>266</v>
      </c>
      <c r="F196" s="38" t="s">
        <v>447</v>
      </c>
      <c r="G196" s="38" t="str">
        <f>VLOOKUP(E196,Mapping!$E$11:$G$204,3,0)</f>
        <v>ACS</v>
      </c>
      <c r="H196" s="38" t="str">
        <f>VLOOKUP(E196,Mapping!$E$11:$K$204,7,0)</f>
        <v>ACS</v>
      </c>
      <c r="I196" s="38"/>
      <c r="J196" s="48">
        <f>SUMPRODUCT(--('Input|Historical Data'!$E$9:$E$1179=$E196),--('Input|Historical Data'!$O$9:$O$1179="SCS"),--('Input|Historical Data'!$M$9:$M$1179=J$5),'Input|Historical Data'!$I$9:$I$1179)</f>
        <v>0</v>
      </c>
      <c r="K196" s="48">
        <f>SUMPRODUCT(--('Input|Historical Data'!$E$9:$E$1179=$E196),--('Input|Historical Data'!$O$9:$O$1179="SCS"),--('Input|Historical Data'!$N$9:$N$1179=K$5),'Input|Historical Data'!$I$9:$I$1179)</f>
        <v>0</v>
      </c>
      <c r="L196" s="48">
        <f>SUMPRODUCT(--('Input|Historical Data'!$E$9:$E$1179=$E196),--('Input|Historical Data'!$O$9:$O$1179="SCS"),--('Input|Historical Data'!$N$9:$N$1179=L$5),'Input|Historical Data'!$I$9:$I$1179)</f>
        <v>0</v>
      </c>
      <c r="M196" s="48">
        <f>SUMPRODUCT(--('Input|Historical Data'!$E$9:$E$1179=$E196),--('Input|Historical Data'!$O$9:$O$1179="SCS"),--('Input|Historical Data'!$N$9:$N$1179=M$5),'Input|Historical Data'!$I$9:$I$1179)</f>
        <v>0</v>
      </c>
      <c r="N196" s="48">
        <f>SUMPRODUCT(--('Input|Historical Data'!$E$9:$E$1179=$E196),--('Input|Historical Data'!$O$9:$O$1179="SCS"),--('Input|Historical Data'!$M$9:$M$1179=N$5),'Input|Historical Data'!$I$9:$I$1179)</f>
        <v>0</v>
      </c>
      <c r="O196" s="49">
        <f t="shared" si="93"/>
        <v>0</v>
      </c>
      <c r="P196" s="49">
        <f t="shared" si="94"/>
        <v>0</v>
      </c>
      <c r="Q196" s="49">
        <f t="shared" si="95"/>
        <v>0</v>
      </c>
      <c r="R196" s="49">
        <f t="shared" si="96"/>
        <v>0</v>
      </c>
      <c r="S196" s="38"/>
      <c r="T196" s="48">
        <f>SUMPRODUCT(--('Input|Historical Data'!$Q$9:$Q$1179=$E196),--('Input|Historical Data'!$AA$9:$AA$1179="SCS"),--('Input|Historical Data'!$Y$9:$Y$1179=T$5),'Input|Historical Data'!$U$9:$U$1179)</f>
        <v>0</v>
      </c>
      <c r="U196" s="48">
        <f>SUMPRODUCT(--('Input|Historical Data'!$Q$9:$Q$1179=$E196),--('Input|Historical Data'!$AA$9:$AA$1179="SCS"),--('Input|Historical Data'!$Z$9:$Z$1179=U$5),'Input|Historical Data'!$U$9:$U$1179)</f>
        <v>0</v>
      </c>
      <c r="V196" s="48">
        <f>SUMPRODUCT(--('Input|Historical Data'!$Q$9:$Q$1179=$E196),--('Input|Historical Data'!$AA$9:$AA$1179="SCS"),--('Input|Historical Data'!$Z$9:$Z$1179=V$5),'Input|Historical Data'!$U$9:$U$1179)</f>
        <v>0</v>
      </c>
      <c r="W196" s="48">
        <f>SUMPRODUCT(--('Input|Historical Data'!$Q$9:$Q$1179=$E196),--('Input|Historical Data'!$AA$9:$AA$1179="SCS"),--('Input|Historical Data'!$Z$9:$Z$1179=W$5),'Input|Historical Data'!$U$9:$U$1179)</f>
        <v>0</v>
      </c>
      <c r="X196" s="48">
        <f>SUMPRODUCT(--('Input|Historical Data'!$Q$9:$Q$1179=$E196),--('Input|Historical Data'!$AA$9:$AA$1179="SCS"),--('Input|Historical Data'!$Y$9:$Y$1179=X$5),'Input|Historical Data'!$U$9:$U$1179)</f>
        <v>0</v>
      </c>
      <c r="Y196" s="49">
        <f t="shared" si="121"/>
        <v>0</v>
      </c>
      <c r="Z196" s="49">
        <f t="shared" si="122"/>
        <v>0</v>
      </c>
      <c r="AA196" s="49">
        <f t="shared" si="123"/>
        <v>0</v>
      </c>
      <c r="AB196" s="49">
        <f t="shared" si="124"/>
        <v>0</v>
      </c>
      <c r="AC196" s="38"/>
      <c r="AD196" s="48">
        <f>SUMPRODUCT(--('Input|Historical Data'!$AC$9:$AC$1180=$E196),--('Input|Historical Data'!$AM$9:$AM$1180="SCS"),--('Input|Historical Data'!$AK$9:$AK$1180=AD$5),'Input|Historical Data'!$AG$9:$AG$1180)</f>
        <v>0</v>
      </c>
      <c r="AE196" s="48">
        <f>SUMPRODUCT(--('Input|Historical Data'!$AC$9:$AC$1180=$E196),--('Input|Historical Data'!$AM$9:$AM$1180="SCS"),--('Input|Historical Data'!$AL$9:$AL$1180=AE$5),'Input|Historical Data'!$AG$9:$AG$1180)</f>
        <v>0</v>
      </c>
      <c r="AF196" s="48">
        <f>SUMPRODUCT(--('Input|Historical Data'!$AC$9:$AC$1180=$E196),--('Input|Historical Data'!$AM$9:$AM$1180="SCS"),--('Input|Historical Data'!$AL$9:$AL$1180=AF$5),'Input|Historical Data'!$AG$9:$AG$1180)</f>
        <v>0</v>
      </c>
      <c r="AG196" s="48">
        <f>SUMPRODUCT(--('Input|Historical Data'!$AC$9:$AC$1180=$E196),--('Input|Historical Data'!$AM$9:$AM$1180="SCS"),--('Input|Historical Data'!$AL$9:$AL$1180=AG$5),'Input|Historical Data'!$AG$9:$AG$1180)</f>
        <v>0</v>
      </c>
      <c r="AH196" s="48">
        <f>SUMPRODUCT(--('Input|Historical Data'!$AC$9:$AC$1180=$E196),--('Input|Historical Data'!$AM$9:$AM$1180="SCS"),--('Input|Historical Data'!$AK$9:$AK$1180=AH$5),'Input|Historical Data'!$AG$9:$AG$1180)</f>
        <v>0</v>
      </c>
      <c r="AI196" s="49">
        <f t="shared" si="97"/>
        <v>0</v>
      </c>
      <c r="AJ196" s="49">
        <f t="shared" si="98"/>
        <v>0</v>
      </c>
      <c r="AK196" s="49">
        <f t="shared" si="99"/>
        <v>0</v>
      </c>
      <c r="AL196" s="49">
        <f t="shared" si="100"/>
        <v>0</v>
      </c>
      <c r="AM196" s="38"/>
      <c r="AN196" s="48"/>
      <c r="AO196" s="48"/>
      <c r="AP196" s="48"/>
      <c r="AQ196" s="48"/>
      <c r="AR196" s="48"/>
      <c r="AS196" s="49"/>
      <c r="AT196" s="49"/>
      <c r="AU196" s="49"/>
      <c r="AV196" s="49"/>
      <c r="AW196" s="38"/>
      <c r="AX196" s="49">
        <f t="shared" si="101"/>
        <v>0</v>
      </c>
      <c r="AY196" s="49">
        <f t="shared" si="102"/>
        <v>0</v>
      </c>
      <c r="AZ196" s="49">
        <f t="shared" si="103"/>
        <v>0</v>
      </c>
      <c r="BA196" s="49">
        <f t="shared" si="104"/>
        <v>0</v>
      </c>
      <c r="BB196" s="44"/>
    </row>
    <row r="197" spans="1:54" s="7" customFormat="1" outlineLevel="1" x14ac:dyDescent="0.3">
      <c r="C197" s="38"/>
      <c r="D197" s="38"/>
      <c r="E197" s="38" t="s">
        <v>267</v>
      </c>
      <c r="F197" s="38" t="s">
        <v>448</v>
      </c>
      <c r="G197" s="38" t="str">
        <f>VLOOKUP(E197,Mapping!$E$11:$G$204,3,0)</f>
        <v>Replacement</v>
      </c>
      <c r="H197" s="38" t="str">
        <f>VLOOKUP(E197,Mapping!$E$11:$K$204,7,0)</f>
        <v>SCS</v>
      </c>
      <c r="I197" s="38"/>
      <c r="J197" s="48">
        <f>SUMPRODUCT(--('Input|Historical Data'!$E$9:$E$1179=$E197),--('Input|Historical Data'!$O$9:$O$1179="SCS"),--('Input|Historical Data'!$M$9:$M$1179=J$5),'Input|Historical Data'!$I$9:$I$1179)</f>
        <v>358.95300000000003</v>
      </c>
      <c r="K197" s="48">
        <f>SUMPRODUCT(--('Input|Historical Data'!$E$9:$E$1179=$E197),--('Input|Historical Data'!$O$9:$O$1179="SCS"),--('Input|Historical Data'!$N$9:$N$1179=K$5),'Input|Historical Data'!$I$9:$I$1179)</f>
        <v>54.68</v>
      </c>
      <c r="L197" s="48">
        <f>SUMPRODUCT(--('Input|Historical Data'!$E$9:$E$1179=$E197),--('Input|Historical Data'!$O$9:$O$1179="SCS"),--('Input|Historical Data'!$N$9:$N$1179=L$5),'Input|Historical Data'!$I$9:$I$1179)</f>
        <v>2.181</v>
      </c>
      <c r="M197" s="48">
        <f>SUMPRODUCT(--('Input|Historical Data'!$E$9:$E$1179=$E197),--('Input|Historical Data'!$O$9:$O$1179="SCS"),--('Input|Historical Data'!$N$9:$N$1179=M$5),'Input|Historical Data'!$I$9:$I$1179)</f>
        <v>302.09200000000004</v>
      </c>
      <c r="N197" s="48">
        <f>SUMPRODUCT(--('Input|Historical Data'!$E$9:$E$1179=$E197),--('Input|Historical Data'!$O$9:$O$1179="SCS"),--('Input|Historical Data'!$M$9:$M$1179=N$5),'Input|Historical Data'!$I$9:$I$1179)</f>
        <v>36.753</v>
      </c>
      <c r="O197" s="49">
        <f t="shared" si="93"/>
        <v>0.15233192089215022</v>
      </c>
      <c r="P197" s="49">
        <f t="shared" si="94"/>
        <v>6.0760043794034308E-3</v>
      </c>
      <c r="Q197" s="49">
        <f t="shared" si="95"/>
        <v>0.84159207472844644</v>
      </c>
      <c r="R197" s="49">
        <f t="shared" si="96"/>
        <v>0.10238944931509138</v>
      </c>
      <c r="S197" s="38"/>
      <c r="T197" s="48">
        <f>SUMPRODUCT(--('Input|Historical Data'!$Q$9:$Q$1179=$E197),--('Input|Historical Data'!$AA$9:$AA$1179="SCS"),--('Input|Historical Data'!$Y$9:$Y$1179=T$5),'Input|Historical Data'!$U$9:$U$1179)</f>
        <v>-358.95300000000003</v>
      </c>
      <c r="U197" s="48">
        <f>SUMPRODUCT(--('Input|Historical Data'!$Q$9:$Q$1179=$E197),--('Input|Historical Data'!$AA$9:$AA$1179="SCS"),--('Input|Historical Data'!$Z$9:$Z$1179=U$5),'Input|Historical Data'!$U$9:$U$1179)</f>
        <v>-54.68</v>
      </c>
      <c r="V197" s="48">
        <f>SUMPRODUCT(--('Input|Historical Data'!$Q$9:$Q$1179=$E197),--('Input|Historical Data'!$AA$9:$AA$1179="SCS"),--('Input|Historical Data'!$Z$9:$Z$1179=V$5),'Input|Historical Data'!$U$9:$U$1179)</f>
        <v>-2.181</v>
      </c>
      <c r="W197" s="48">
        <f>SUMPRODUCT(--('Input|Historical Data'!$Q$9:$Q$1179=$E197),--('Input|Historical Data'!$AA$9:$AA$1179="SCS"),--('Input|Historical Data'!$Z$9:$Z$1179=W$5),'Input|Historical Data'!$U$9:$U$1179)</f>
        <v>-302.09200000000004</v>
      </c>
      <c r="X197" s="48">
        <f>SUMPRODUCT(--('Input|Historical Data'!$Q$9:$Q$1179=$E197),--('Input|Historical Data'!$AA$9:$AA$1179="SCS"),--('Input|Historical Data'!$Y$9:$Y$1179=X$5),'Input|Historical Data'!$U$9:$U$1179)</f>
        <v>-36.753</v>
      </c>
      <c r="Y197" s="49">
        <f t="shared" si="117"/>
        <v>0.15233192089215022</v>
      </c>
      <c r="Z197" s="49">
        <f t="shared" si="118"/>
        <v>6.0760043794034308E-3</v>
      </c>
      <c r="AA197" s="49">
        <f t="shared" si="119"/>
        <v>0.84159207472844644</v>
      </c>
      <c r="AB197" s="49">
        <f t="shared" si="120"/>
        <v>0.10238944931509138</v>
      </c>
      <c r="AC197" s="38"/>
      <c r="AD197" s="48">
        <f>SUMPRODUCT(--('Input|Historical Data'!$AC$9:$AC$1180=$E197),--('Input|Historical Data'!$AM$9:$AM$1180="SCS"),--('Input|Historical Data'!$AK$9:$AK$1180=AD$5),'Input|Historical Data'!$AG$9:$AG$1180)</f>
        <v>0</v>
      </c>
      <c r="AE197" s="48">
        <f>SUMPRODUCT(--('Input|Historical Data'!$AC$9:$AC$1180=$E197),--('Input|Historical Data'!$AM$9:$AM$1180="SCS"),--('Input|Historical Data'!$AL$9:$AL$1180=AE$5),'Input|Historical Data'!$AG$9:$AG$1180)</f>
        <v>0</v>
      </c>
      <c r="AF197" s="48">
        <f>SUMPRODUCT(--('Input|Historical Data'!$AC$9:$AC$1180=$E197),--('Input|Historical Data'!$AM$9:$AM$1180="SCS"),--('Input|Historical Data'!$AL$9:$AL$1180=AF$5),'Input|Historical Data'!$AG$9:$AG$1180)</f>
        <v>0</v>
      </c>
      <c r="AG197" s="48">
        <f>SUMPRODUCT(--('Input|Historical Data'!$AC$9:$AC$1180=$E197),--('Input|Historical Data'!$AM$9:$AM$1180="SCS"),--('Input|Historical Data'!$AL$9:$AL$1180=AG$5),'Input|Historical Data'!$AG$9:$AG$1180)</f>
        <v>0</v>
      </c>
      <c r="AH197" s="48">
        <f>SUMPRODUCT(--('Input|Historical Data'!$AC$9:$AC$1180=$E197),--('Input|Historical Data'!$AM$9:$AM$1180="SCS"),--('Input|Historical Data'!$AK$9:$AK$1180=AH$5),'Input|Historical Data'!$AG$9:$AG$1180)</f>
        <v>0</v>
      </c>
      <c r="AI197" s="49">
        <f t="shared" ref="AI197:AI198" si="125">IFERROR(AE197/SUM($AE197:$AG197),0)</f>
        <v>0</v>
      </c>
      <c r="AJ197" s="49">
        <f t="shared" ref="AJ197:AJ198" si="126">IFERROR(AF197/SUM($AE197:$AG197),0)</f>
        <v>0</v>
      </c>
      <c r="AK197" s="49">
        <f t="shared" ref="AK197:AK198" si="127">IFERROR(AG197/SUM($AE197:$AG197),0)</f>
        <v>0</v>
      </c>
      <c r="AL197" s="49">
        <f t="shared" ref="AL197:AL198" si="128">IFERROR(AH197/AD197,0)</f>
        <v>0</v>
      </c>
      <c r="AM197" s="38"/>
      <c r="AN197" s="48"/>
      <c r="AO197" s="48"/>
      <c r="AP197" s="48"/>
      <c r="AQ197" s="48"/>
      <c r="AR197" s="48"/>
      <c r="AS197" s="49"/>
      <c r="AT197" s="49"/>
      <c r="AU197" s="49"/>
      <c r="AV197" s="49"/>
      <c r="AW197" s="38"/>
      <c r="AX197" s="49">
        <f t="shared" si="101"/>
        <v>0.15233192089215022</v>
      </c>
      <c r="AY197" s="49">
        <f t="shared" si="102"/>
        <v>6.0760043794034308E-3</v>
      </c>
      <c r="AZ197" s="49">
        <f t="shared" si="103"/>
        <v>0.84159207472844644</v>
      </c>
      <c r="BA197" s="49">
        <f t="shared" si="104"/>
        <v>0.10238944931509138</v>
      </c>
      <c r="BB197" s="44"/>
    </row>
    <row r="198" spans="1:54" s="7" customFormat="1" outlineLevel="1" x14ac:dyDescent="0.3">
      <c r="C198" s="38"/>
      <c r="D198" s="38"/>
      <c r="E198" s="38" t="s">
        <v>268</v>
      </c>
      <c r="F198" s="38" t="s">
        <v>449</v>
      </c>
      <c r="G198" s="38" t="str">
        <f>VLOOKUP(E198,Mapping!$E$11:$G$204,3,0)</f>
        <v>Replacement</v>
      </c>
      <c r="H198" s="38" t="str">
        <f>VLOOKUP(E198,Mapping!$E$11:$K$204,7,0)</f>
        <v>SCS</v>
      </c>
      <c r="I198" s="38"/>
      <c r="J198" s="48">
        <f>SUMPRODUCT(--('Input|Historical Data'!$E$9:$E$1179=$E198),--('Input|Historical Data'!$O$9:$O$1179="SCS"),--('Input|Historical Data'!$M$9:$M$1179=J$5),'Input|Historical Data'!$I$9:$I$1179)</f>
        <v>2107.2370000000001</v>
      </c>
      <c r="K198" s="48">
        <f>SUMPRODUCT(--('Input|Historical Data'!$E$9:$E$1179=$E198),--('Input|Historical Data'!$O$9:$O$1179="SCS"),--('Input|Historical Data'!$N$9:$N$1179=K$5),'Input|Historical Data'!$I$9:$I$1179)</f>
        <v>1004.72</v>
      </c>
      <c r="L198" s="48">
        <f>SUMPRODUCT(--('Input|Historical Data'!$E$9:$E$1179=$E198),--('Input|Historical Data'!$O$9:$O$1179="SCS"),--('Input|Historical Data'!$N$9:$N$1179=L$5),'Input|Historical Data'!$I$9:$I$1179)</f>
        <v>667.572</v>
      </c>
      <c r="M198" s="48">
        <f>SUMPRODUCT(--('Input|Historical Data'!$E$9:$E$1179=$E198),--('Input|Historical Data'!$O$9:$O$1179="SCS"),--('Input|Historical Data'!$N$9:$N$1179=M$5),'Input|Historical Data'!$I$9:$I$1179)</f>
        <v>434.94499999999999</v>
      </c>
      <c r="N198" s="48">
        <f>SUMPRODUCT(--('Input|Historical Data'!$E$9:$E$1179=$E198),--('Input|Historical Data'!$O$9:$O$1179="SCS"),--('Input|Historical Data'!$M$9:$M$1179=N$5),'Input|Historical Data'!$I$9:$I$1179)</f>
        <v>181.99700000000001</v>
      </c>
      <c r="O198" s="49">
        <f t="shared" si="93"/>
        <v>0.47679496895698015</v>
      </c>
      <c r="P198" s="49">
        <f t="shared" si="94"/>
        <v>0.31679967654326496</v>
      </c>
      <c r="Q198" s="49">
        <f t="shared" si="95"/>
        <v>0.20640535449975489</v>
      </c>
      <c r="R198" s="49">
        <f t="shared" si="96"/>
        <v>8.636759889846278E-2</v>
      </c>
      <c r="S198" s="38"/>
      <c r="T198" s="48">
        <f>SUMPRODUCT(--('Input|Historical Data'!$Q$9:$Q$1179=$E198),--('Input|Historical Data'!$AA$9:$AA$1179="SCS"),--('Input|Historical Data'!$Y$9:$Y$1179=T$5),'Input|Historical Data'!$U$9:$U$1179)</f>
        <v>7.879999999999999</v>
      </c>
      <c r="U198" s="48">
        <f>SUMPRODUCT(--('Input|Historical Data'!$Q$9:$Q$1179=$E198),--('Input|Historical Data'!$AA$9:$AA$1179="SCS"),--('Input|Historical Data'!$Z$9:$Z$1179=U$5),'Input|Historical Data'!$U$9:$U$1179)</f>
        <v>0</v>
      </c>
      <c r="V198" s="48">
        <f>SUMPRODUCT(--('Input|Historical Data'!$Q$9:$Q$1179=$E198),--('Input|Historical Data'!$AA$9:$AA$1179="SCS"),--('Input|Historical Data'!$Z$9:$Z$1179=V$5),'Input|Historical Data'!$U$9:$U$1179)</f>
        <v>2.0150000000000001</v>
      </c>
      <c r="W198" s="48">
        <f>SUMPRODUCT(--('Input|Historical Data'!$Q$9:$Q$1179=$E198),--('Input|Historical Data'!$AA$9:$AA$1179="SCS"),--('Input|Historical Data'!$Z$9:$Z$1179=W$5),'Input|Historical Data'!$U$9:$U$1179)</f>
        <v>5.8649999999999984</v>
      </c>
      <c r="X198" s="48">
        <f>SUMPRODUCT(--('Input|Historical Data'!$Q$9:$Q$1179=$E198),--('Input|Historical Data'!$AA$9:$AA$1179="SCS"),--('Input|Historical Data'!$Y$9:$Y$1179=X$5),'Input|Historical Data'!$U$9:$U$1179)</f>
        <v>0.28699999999999998</v>
      </c>
      <c r="Y198" s="49">
        <f t="shared" si="117"/>
        <v>0</v>
      </c>
      <c r="Z198" s="49">
        <f t="shared" si="118"/>
        <v>0.25571065989847719</v>
      </c>
      <c r="AA198" s="49">
        <f t="shared" si="119"/>
        <v>0.7442893401015227</v>
      </c>
      <c r="AB198" s="49">
        <f t="shared" si="120"/>
        <v>3.6421319796954316E-2</v>
      </c>
      <c r="AC198" s="38"/>
      <c r="AD198" s="48">
        <f>SUMPRODUCT(--('Input|Historical Data'!$AC$9:$AC$1180=$E198),--('Input|Historical Data'!$AM$9:$AM$1180="SCS"),--('Input|Historical Data'!$AK$9:$AK$1180=AD$5),'Input|Historical Data'!$AG$9:$AG$1180)</f>
        <v>3.9289999999999998</v>
      </c>
      <c r="AE198" s="48">
        <f>SUMPRODUCT(--('Input|Historical Data'!$AC$9:$AC$1180=$E198),--('Input|Historical Data'!$AM$9:$AM$1180="SCS"),--('Input|Historical Data'!$AL$9:$AL$1180=AE$5),'Input|Historical Data'!$AG$9:$AG$1180)</f>
        <v>-0.42199999999999999</v>
      </c>
      <c r="AF198" s="48">
        <f>SUMPRODUCT(--('Input|Historical Data'!$AC$9:$AC$1180=$E198),--('Input|Historical Data'!$AM$9:$AM$1180="SCS"),--('Input|Historical Data'!$AL$9:$AL$1180=AF$5),'Input|Historical Data'!$AG$9:$AG$1180)</f>
        <v>4.3810000000000002</v>
      </c>
      <c r="AG198" s="48">
        <f>SUMPRODUCT(--('Input|Historical Data'!$AC$9:$AC$1180=$E198),--('Input|Historical Data'!$AM$9:$AM$1180="SCS"),--('Input|Historical Data'!$AL$9:$AL$1180=AG$5),'Input|Historical Data'!$AG$9:$AG$1180)</f>
        <v>-0.03</v>
      </c>
      <c r="AH198" s="48">
        <f>SUMPRODUCT(--('Input|Historical Data'!$AC$9:$AC$1180=$E198),--('Input|Historical Data'!$AM$9:$AM$1180="SCS"),--('Input|Historical Data'!$AK$9:$AK$1180=AH$5),'Input|Historical Data'!$AG$9:$AG$1180)</f>
        <v>-4.9000000000000002E-2</v>
      </c>
      <c r="AI198" s="49">
        <f t="shared" si="125"/>
        <v>-0.10740646474930006</v>
      </c>
      <c r="AJ198" s="49">
        <f t="shared" si="126"/>
        <v>1.1150419954186817</v>
      </c>
      <c r="AK198" s="49">
        <f t="shared" si="127"/>
        <v>-7.6355306693815213E-3</v>
      </c>
      <c r="AL198" s="49">
        <f t="shared" si="128"/>
        <v>-1.247136675998982E-2</v>
      </c>
      <c r="AM198" s="38"/>
      <c r="AN198" s="48"/>
      <c r="AO198" s="48"/>
      <c r="AP198" s="48"/>
      <c r="AQ198" s="48"/>
      <c r="AR198" s="48"/>
      <c r="AS198" s="49"/>
      <c r="AT198" s="49"/>
      <c r="AU198" s="49"/>
      <c r="AV198" s="49"/>
      <c r="AW198" s="38"/>
      <c r="AX198" s="49">
        <f t="shared" si="101"/>
        <v>-3.5735456008129392E-2</v>
      </c>
      <c r="AY198" s="49">
        <f t="shared" si="102"/>
        <v>0.54162079769667215</v>
      </c>
      <c r="AZ198" s="49">
        <f t="shared" si="103"/>
        <v>0.49411465831145723</v>
      </c>
      <c r="BA198" s="49">
        <f t="shared" si="104"/>
        <v>2.0154119739181981E-2</v>
      </c>
      <c r="BB198" s="44"/>
    </row>
    <row r="199" spans="1:54" s="89" customFormat="1" outlineLevel="1" x14ac:dyDescent="0.3">
      <c r="C199" s="9"/>
      <c r="D199" s="9"/>
      <c r="E199" s="56" t="s">
        <v>20</v>
      </c>
      <c r="F199" s="56"/>
      <c r="G199" s="56"/>
      <c r="H199" s="56"/>
      <c r="I199" s="56"/>
      <c r="J199" s="57">
        <f>SUM(J9:J198)</f>
        <v>187854.92600000001</v>
      </c>
      <c r="K199" s="57">
        <f>SUM(K9:K198)</f>
        <v>73631.943999999974</v>
      </c>
      <c r="L199" s="57">
        <f>SUM(L9:L198)</f>
        <v>75355.190000000031</v>
      </c>
      <c r="M199" s="57">
        <f>SUM(M9:M198)</f>
        <v>38867.792000000009</v>
      </c>
      <c r="N199" s="57">
        <f>SUM(N9:N198)</f>
        <v>15815.996999999998</v>
      </c>
      <c r="O199" s="92">
        <f t="shared" ref="O199" si="129">IFERROR(K199/SUM($K199:$M199),0)</f>
        <v>0.39196174179643262</v>
      </c>
      <c r="P199" s="92">
        <f t="shared" ref="P199" si="130">IFERROR(L199/SUM($K199:$M199),0)</f>
        <v>0.40113502267169732</v>
      </c>
      <c r="Q199" s="92">
        <f t="shared" ref="Q199" si="131">IFERROR(M199/SUM($K199:$M199),0)</f>
        <v>0.20690323553186996</v>
      </c>
      <c r="R199" s="92">
        <f t="shared" ref="R199" si="132">IFERROR(N199/J199,0)</f>
        <v>8.4192612548259702E-2</v>
      </c>
      <c r="S199" s="56"/>
      <c r="T199" s="57">
        <f>SUM(T9:T198)</f>
        <v>175818.37599999996</v>
      </c>
      <c r="U199" s="57">
        <f>SUM(U9:U198)</f>
        <v>74008.539999999964</v>
      </c>
      <c r="V199" s="57">
        <f>SUM(V9:V198)</f>
        <v>66590.504000000001</v>
      </c>
      <c r="W199" s="57">
        <f>SUM(W9:W198)</f>
        <v>35219.33199999998</v>
      </c>
      <c r="X199" s="57">
        <f>SUM(X9:X198)</f>
        <v>18723.268</v>
      </c>
      <c r="Y199" s="92">
        <f t="shared" ref="Y199" si="133">IFERROR(U199/SUM($U199:$W199),0)</f>
        <v>0.42093745650340891</v>
      </c>
      <c r="Z199" s="92">
        <f t="shared" ref="Z199" si="134">IFERROR(V199/SUM($U199:$W199),0)</f>
        <v>0.37874598500443452</v>
      </c>
      <c r="AA199" s="92">
        <f t="shared" ref="AA199" si="135">IFERROR(W199/SUM($U199:$W199),0)</f>
        <v>0.20031655849215665</v>
      </c>
      <c r="AB199" s="92">
        <f t="shared" ref="AB199" si="136">IFERROR(X199/T199,0)</f>
        <v>0.10649209955164188</v>
      </c>
      <c r="AC199" s="56"/>
      <c r="AD199" s="57">
        <f>SUM(AD9:AD198)</f>
        <v>164331.21926828122</v>
      </c>
      <c r="AE199" s="57">
        <f>SUM(AE9:AE198)</f>
        <v>64877.869999999995</v>
      </c>
      <c r="AF199" s="57">
        <f>SUM(AF9:AF198)</f>
        <v>69655.556000000011</v>
      </c>
      <c r="AG199" s="57">
        <f>SUM(AG9:AG198)</f>
        <v>29797.793268281217</v>
      </c>
      <c r="AH199" s="57">
        <f>SUM(AH9:AH198)</f>
        <v>13832.556999999999</v>
      </c>
      <c r="AI199" s="92">
        <f t="shared" ref="AI199" si="137">IFERROR(AE199/SUM($AE199:$AG199),0)</f>
        <v>0.39479941966524768</v>
      </c>
      <c r="AJ199" s="92">
        <f t="shared" ref="AJ199" si="138">IFERROR(AF199/SUM($AE199:$AG199),0)</f>
        <v>0.42387293364070322</v>
      </c>
      <c r="AK199" s="92">
        <f t="shared" ref="AK199" si="139">IFERROR(AG199/SUM($AE199:$AG199),0)</f>
        <v>0.18132764669404913</v>
      </c>
      <c r="AL199" s="112">
        <f t="shared" ref="AL199" si="140">IFERROR(AH199/AD199,0)</f>
        <v>8.4174857714756357E-2</v>
      </c>
      <c r="AM199" s="56"/>
      <c r="AN199" s="57">
        <f>SUM(AN9:AN198)</f>
        <v>0</v>
      </c>
      <c r="AO199" s="57">
        <f>SUM(AO9:AO198)</f>
        <v>0</v>
      </c>
      <c r="AP199" s="57">
        <f>SUM(AP9:AP198)</f>
        <v>0</v>
      </c>
      <c r="AQ199" s="57">
        <f>SUM(AQ9:AQ198)</f>
        <v>0</v>
      </c>
      <c r="AR199" s="57">
        <f>SUM(AR9:AR198)</f>
        <v>0</v>
      </c>
      <c r="AS199" s="92">
        <f t="shared" ref="AS199" si="141">IFERROR(AO199/SUM($AE199:$AG199),0)</f>
        <v>0</v>
      </c>
      <c r="AT199" s="92">
        <f t="shared" ref="AT199" si="142">IFERROR(AP199/SUM($AE199:$AG199),0)</f>
        <v>0</v>
      </c>
      <c r="AU199" s="92">
        <f t="shared" ref="AU199" si="143">IFERROR(AQ199/SUM($AE199:$AG199),0)</f>
        <v>0</v>
      </c>
      <c r="AV199" s="112">
        <f t="shared" ref="AV199" si="144">IFERROR(AR199/AN199,0)</f>
        <v>0</v>
      </c>
      <c r="AW199" s="56"/>
      <c r="AX199" s="92">
        <f t="shared" ref="AX199" si="145">IFERROR(SUM(U199,AE199)/SUM($U199:$W199,$AE199:$AG199),0)</f>
        <v>0.40830979055100203</v>
      </c>
      <c r="AY199" s="92">
        <f t="shared" ref="AY199" si="146">IFERROR(SUM(V199,AF199)/SUM($U199:$W199,$AE199:$AG199),0)</f>
        <v>0.40054747056964946</v>
      </c>
      <c r="AZ199" s="92">
        <f t="shared" ref="AZ199" si="147">IFERROR(SUM(W199,AG199)/SUM($U199:$W199,$AE199:$AG199),0)</f>
        <v>0.19114273887934868</v>
      </c>
      <c r="BA199" s="92">
        <f t="shared" ref="BA199" si="148">IFERROR(SUM(X199,AH199)/SUM(T199,AD199),0)</f>
        <v>9.5710315263855372E-2</v>
      </c>
      <c r="BB199" s="91"/>
    </row>
    <row r="200" spans="1:54" s="7" customFormat="1" x14ac:dyDescent="0.3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</row>
    <row r="201" spans="1:54" x14ac:dyDescent="0.3">
      <c r="A201" s="21" t="s">
        <v>87</v>
      </c>
      <c r="B201" s="21"/>
      <c r="C201" s="14"/>
      <c r="D201" s="23"/>
      <c r="E201" s="24"/>
      <c r="F201" s="24"/>
      <c r="G201" s="24"/>
      <c r="H201" s="24"/>
      <c r="I201" s="24"/>
      <c r="J201" s="34" t="s">
        <v>25</v>
      </c>
      <c r="K201" s="34" t="s">
        <v>25</v>
      </c>
      <c r="L201" s="34" t="s">
        <v>25</v>
      </c>
      <c r="M201" s="34" t="s">
        <v>25</v>
      </c>
      <c r="N201" s="34" t="s">
        <v>25</v>
      </c>
      <c r="O201" s="34" t="s">
        <v>27</v>
      </c>
      <c r="P201" s="34" t="s">
        <v>27</v>
      </c>
      <c r="Q201" s="34" t="s">
        <v>27</v>
      </c>
      <c r="R201" s="34" t="s">
        <v>27</v>
      </c>
      <c r="S201" s="24"/>
      <c r="T201" s="34" t="s">
        <v>25</v>
      </c>
      <c r="U201" s="34" t="s">
        <v>25</v>
      </c>
      <c r="V201" s="34" t="s">
        <v>25</v>
      </c>
      <c r="W201" s="34" t="s">
        <v>25</v>
      </c>
      <c r="X201" s="34" t="s">
        <v>25</v>
      </c>
      <c r="Y201" s="34" t="s">
        <v>27</v>
      </c>
      <c r="Z201" s="34" t="s">
        <v>27</v>
      </c>
      <c r="AA201" s="34" t="s">
        <v>27</v>
      </c>
      <c r="AB201" s="34" t="s">
        <v>27</v>
      </c>
      <c r="AC201" s="24"/>
      <c r="AD201" s="34" t="s">
        <v>25</v>
      </c>
      <c r="AE201" s="34" t="s">
        <v>25</v>
      </c>
      <c r="AF201" s="34" t="s">
        <v>25</v>
      </c>
      <c r="AG201" s="34" t="s">
        <v>25</v>
      </c>
      <c r="AH201" s="34" t="s">
        <v>25</v>
      </c>
      <c r="AI201" s="34" t="s">
        <v>27</v>
      </c>
      <c r="AJ201" s="34" t="s">
        <v>27</v>
      </c>
      <c r="AK201" s="34" t="s">
        <v>27</v>
      </c>
      <c r="AL201" s="34" t="s">
        <v>27</v>
      </c>
      <c r="AM201" s="24"/>
      <c r="AN201" s="34" t="s">
        <v>25</v>
      </c>
      <c r="AO201" s="34" t="s">
        <v>25</v>
      </c>
      <c r="AP201" s="34" t="s">
        <v>25</v>
      </c>
      <c r="AQ201" s="34" t="s">
        <v>25</v>
      </c>
      <c r="AR201" s="34" t="s">
        <v>25</v>
      </c>
      <c r="AS201" s="34" t="s">
        <v>27</v>
      </c>
      <c r="AT201" s="34" t="s">
        <v>27</v>
      </c>
      <c r="AU201" s="34" t="s">
        <v>27</v>
      </c>
      <c r="AV201" s="34" t="s">
        <v>27</v>
      </c>
      <c r="AW201" s="24"/>
      <c r="AX201" s="34" t="s">
        <v>27</v>
      </c>
      <c r="AY201" s="34" t="s">
        <v>27</v>
      </c>
      <c r="AZ201" s="34" t="s">
        <v>27</v>
      </c>
      <c r="BA201" s="34" t="s">
        <v>27</v>
      </c>
      <c r="BB201" s="24"/>
    </row>
    <row r="202" spans="1:54" s="7" customFormat="1" x14ac:dyDescent="0.3"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</row>
    <row r="203" spans="1:54" s="7" customFormat="1" x14ac:dyDescent="0.3">
      <c r="C203" s="38"/>
      <c r="D203" s="38"/>
      <c r="E203" s="38" t="s">
        <v>59</v>
      </c>
      <c r="F203" s="38"/>
      <c r="G203" s="38"/>
      <c r="H203" s="38"/>
      <c r="I203" s="38"/>
      <c r="J203" s="43">
        <f t="shared" ref="J203:N210" si="149">SUMPRODUCT(--($G$9:$G$198=$E203),J$9:J$198)</f>
        <v>30505.329000000002</v>
      </c>
      <c r="K203" s="43">
        <f t="shared" si="149"/>
        <v>16101.212</v>
      </c>
      <c r="L203" s="43">
        <f t="shared" si="149"/>
        <v>9547.9439999999995</v>
      </c>
      <c r="M203" s="43">
        <f t="shared" si="149"/>
        <v>4856.1729999999989</v>
      </c>
      <c r="N203" s="43">
        <f t="shared" si="149"/>
        <v>2752.1670000000004</v>
      </c>
      <c r="O203" s="88">
        <f t="shared" ref="O203:O211" si="150">IFERROR(K203/SUM($K203:$M203),0)</f>
        <v>0.52781636939565546</v>
      </c>
      <c r="P203" s="88">
        <f t="shared" ref="P203:P211" si="151">IFERROR(L203/SUM($K203:$M203),0)</f>
        <v>0.31299265777464652</v>
      </c>
      <c r="Q203" s="88">
        <f t="shared" ref="Q203:Q211" si="152">IFERROR(M203/SUM($K203:$M203),0)</f>
        <v>0.15919097282969802</v>
      </c>
      <c r="R203" s="88">
        <f t="shared" ref="R203:R211" si="153">IFERROR(N203/J203,0)</f>
        <v>9.0219220386051249E-2</v>
      </c>
      <c r="S203" s="38"/>
      <c r="T203" s="43">
        <f t="shared" ref="T203:X210" si="154">SUMPRODUCT(--($G$9:$G$198=$E203),T$9:T$198)</f>
        <v>17189.524000000001</v>
      </c>
      <c r="U203" s="43">
        <f t="shared" si="154"/>
        <v>9401.0409999999974</v>
      </c>
      <c r="V203" s="43">
        <f t="shared" si="154"/>
        <v>3778.076</v>
      </c>
      <c r="W203" s="43">
        <f t="shared" si="154"/>
        <v>4010.4070000000002</v>
      </c>
      <c r="X203" s="43">
        <f t="shared" si="154"/>
        <v>2189.6129999999998</v>
      </c>
      <c r="Y203" s="88">
        <f t="shared" ref="Y203:Y211" si="155">IFERROR(U203/SUM($U203:$W203),0)</f>
        <v>0.54690525461903416</v>
      </c>
      <c r="Z203" s="88">
        <f t="shared" ref="Z203:Z211" si="156">IFERROR(V203/SUM($U203:$W203),0)</f>
        <v>0.21978944850363516</v>
      </c>
      <c r="AA203" s="88">
        <f t="shared" ref="AA203:AA211" si="157">IFERROR(W203/SUM($U203:$W203),0)</f>
        <v>0.23330529687733068</v>
      </c>
      <c r="AB203" s="88">
        <f t="shared" ref="AB203:AB211" si="158">IFERROR(X203/T203,0)</f>
        <v>0.12738066510742238</v>
      </c>
      <c r="AC203" s="38"/>
      <c r="AD203" s="43">
        <f t="shared" ref="AD203:AH210" si="159">SUMPRODUCT(--($G$9:$G$198=$E203),AD$9:AD$198)</f>
        <v>22671.690000000002</v>
      </c>
      <c r="AE203" s="43">
        <f t="shared" si="159"/>
        <v>9820.9390000000003</v>
      </c>
      <c r="AF203" s="43">
        <f t="shared" si="159"/>
        <v>10109.598999999998</v>
      </c>
      <c r="AG203" s="43">
        <f t="shared" si="159"/>
        <v>2741.1519999999996</v>
      </c>
      <c r="AH203" s="43">
        <f t="shared" si="159"/>
        <v>1692.5919999999999</v>
      </c>
      <c r="AI203" s="88">
        <f t="shared" ref="AI203:AI210" si="160">IFERROR(AE203/SUM($AE203:$AG203),0)</f>
        <v>0.43318072009629632</v>
      </c>
      <c r="AJ203" s="88">
        <f t="shared" ref="AJ203:AJ210" si="161">IFERROR(AF203/SUM($AE203:$AG203),0)</f>
        <v>0.44591289842089404</v>
      </c>
      <c r="AK203" s="88">
        <f t="shared" ref="AK203:AK210" si="162">IFERROR(AG203/SUM($AE203:$AG203),0)</f>
        <v>0.12090638148280961</v>
      </c>
      <c r="AL203" s="104">
        <f t="shared" ref="AL203:AL210" si="163">IFERROR(AH203/AD203,0)</f>
        <v>7.4656631243634669E-2</v>
      </c>
      <c r="AM203" s="38"/>
      <c r="AN203" s="43">
        <f>SUMPRODUCT(--('Input|Historical Data'!$AU$9:$AU$981=$E203),--('Input|Historical Data'!$AW$9:$AW$981=$AN$5),'Input|Historical Data'!$AS$9:$AS$981)</f>
        <v>20595.780140000006</v>
      </c>
      <c r="AO203" s="40">
        <v>10883.763778478638</v>
      </c>
      <c r="AP203" s="40">
        <v>7453.5833399832154</v>
      </c>
      <c r="AQ203" s="40">
        <v>2247.2442115381473</v>
      </c>
      <c r="AR203" s="43">
        <f>SUMPRODUCT(--('Input|Historical Data'!$AU$9:$AU$981=$E203),--('Input|Historical Data'!$AW$9:$AW$981=$AR$5),'Input|Historical Data'!$AS$9:$AS$981)</f>
        <v>3387.1089100000004</v>
      </c>
      <c r="AS203" s="88">
        <f t="shared" ref="AS203:AS206" si="164">IFERROR(AO203/SUM($AO203:$AQ203),0)</f>
        <v>0.52873353684785718</v>
      </c>
      <c r="AT203" s="88">
        <f t="shared" ref="AT203:AT206" si="165">IFERROR(AP203/SUM($AO203:$AQ203),0)</f>
        <v>0.36209527896336496</v>
      </c>
      <c r="AU203" s="88">
        <f t="shared" ref="AU203:AU206" si="166">IFERROR(AQ203/SUM($AO203:$AQ203),0)</f>
        <v>0.10917118418877772</v>
      </c>
      <c r="AV203" s="104">
        <f t="shared" ref="AV203:AV211" si="167">IFERROR(AR203/AN203,0)</f>
        <v>0.16445645112620624</v>
      </c>
      <c r="AW203" s="38"/>
      <c r="AX203" s="88">
        <f t="shared" ref="AX203:AX211" si="168">IFERROR(SUM(U203,AE203)/SUM($U203:$W203,$AE203:$AG203),0)</f>
        <v>0.48222264379604696</v>
      </c>
      <c r="AY203" s="88">
        <f t="shared" ref="AY203:AY211" si="169">IFERROR(SUM(V203,AF203)/SUM($U203:$W203,$AE203:$AG203),0)</f>
        <v>0.34840070350090196</v>
      </c>
      <c r="AZ203" s="88">
        <f t="shared" ref="AZ203:AZ211" si="170">IFERROR(SUM(W203,AG203)/SUM($U203:$W203,$AE203:$AG203),0)</f>
        <v>0.16937665270305116</v>
      </c>
      <c r="BA203" s="88">
        <f t="shared" ref="BA203:BA211" si="171">IFERROR(SUM(X203,AH203)/SUM(T203,AD203),0)</f>
        <v>9.7393044777813326E-2</v>
      </c>
      <c r="BB203" s="38"/>
    </row>
    <row r="204" spans="1:54" s="7" customFormat="1" x14ac:dyDescent="0.3">
      <c r="C204" s="38"/>
      <c r="D204" s="38"/>
      <c r="E204" s="38" t="s">
        <v>28</v>
      </c>
      <c r="F204" s="38"/>
      <c r="G204" s="38"/>
      <c r="H204" s="38"/>
      <c r="I204" s="38"/>
      <c r="J204" s="43">
        <f t="shared" si="149"/>
        <v>49702.616999999998</v>
      </c>
      <c r="K204" s="43">
        <f t="shared" si="149"/>
        <v>23279.286</v>
      </c>
      <c r="L204" s="43">
        <f t="shared" si="149"/>
        <v>13112.924000000005</v>
      </c>
      <c r="M204" s="43">
        <f t="shared" si="149"/>
        <v>13310.406999999999</v>
      </c>
      <c r="N204" s="43">
        <f t="shared" si="149"/>
        <v>4218.1160000000009</v>
      </c>
      <c r="O204" s="88">
        <f t="shared" si="150"/>
        <v>0.46837143404340253</v>
      </c>
      <c r="P204" s="88">
        <f t="shared" si="151"/>
        <v>0.26382763708397894</v>
      </c>
      <c r="Q204" s="88">
        <f t="shared" si="152"/>
        <v>0.26780092887261847</v>
      </c>
      <c r="R204" s="88">
        <f t="shared" si="153"/>
        <v>8.4867080540246026E-2</v>
      </c>
      <c r="S204" s="38"/>
      <c r="T204" s="43">
        <f t="shared" si="154"/>
        <v>54392.412000000011</v>
      </c>
      <c r="U204" s="43">
        <f t="shared" si="154"/>
        <v>22204.133999999998</v>
      </c>
      <c r="V204" s="43">
        <f t="shared" si="154"/>
        <v>13225.191999999999</v>
      </c>
      <c r="W204" s="43">
        <f t="shared" si="154"/>
        <v>18963.085999999992</v>
      </c>
      <c r="X204" s="43">
        <f t="shared" si="154"/>
        <v>5533.0160000000005</v>
      </c>
      <c r="Y204" s="88">
        <f t="shared" si="155"/>
        <v>0.40822116879097031</v>
      </c>
      <c r="Z204" s="88">
        <f t="shared" si="156"/>
        <v>0.24314406207983569</v>
      </c>
      <c r="AA204" s="88">
        <f t="shared" si="157"/>
        <v>0.34863476912919383</v>
      </c>
      <c r="AB204" s="88">
        <f t="shared" si="158"/>
        <v>0.10172404194908656</v>
      </c>
      <c r="AC204" s="38"/>
      <c r="AD204" s="43">
        <f t="shared" si="159"/>
        <v>47914.422000000006</v>
      </c>
      <c r="AE204" s="43">
        <f t="shared" si="159"/>
        <v>19867.776000000002</v>
      </c>
      <c r="AF204" s="43">
        <f t="shared" si="159"/>
        <v>9406.5960000000014</v>
      </c>
      <c r="AG204" s="43">
        <f t="shared" si="159"/>
        <v>18640.049999999996</v>
      </c>
      <c r="AH204" s="43">
        <f t="shared" si="159"/>
        <v>4676.2380000000003</v>
      </c>
      <c r="AI204" s="88">
        <f t="shared" si="160"/>
        <v>0.41465127138547142</v>
      </c>
      <c r="AJ204" s="88">
        <f t="shared" si="161"/>
        <v>0.19632076538458507</v>
      </c>
      <c r="AK204" s="88">
        <f t="shared" si="162"/>
        <v>0.38902796322994349</v>
      </c>
      <c r="AL204" s="104">
        <f t="shared" si="163"/>
        <v>9.7595625801350575E-2</v>
      </c>
      <c r="AM204" s="38"/>
      <c r="AN204" s="43">
        <f>SUMPRODUCT(--('Input|Historical Data'!$AU$9:$AU$981=$E204),--('Input|Historical Data'!$AW$9:$AW$981=$AN$5),'Input|Historical Data'!$AS$9:$AS$981)</f>
        <v>47001.427269998152</v>
      </c>
      <c r="AO204" s="40">
        <v>28926.836472578394</v>
      </c>
      <c r="AP204" s="40">
        <v>6728.5739130112652</v>
      </c>
      <c r="AQ204" s="40">
        <v>11346.01661441034</v>
      </c>
      <c r="AR204" s="43">
        <f>SUMPRODUCT(--('Input|Historical Data'!$AU$9:$AU$981=$E204),--('Input|Historical Data'!$AW$9:$AW$981=$AR$5),'Input|Historical Data'!$AS$9:$AS$981)</f>
        <v>7734.1656600000006</v>
      </c>
      <c r="AS204" s="88">
        <f t="shared" si="164"/>
        <v>0.61544591981384722</v>
      </c>
      <c r="AT204" s="88">
        <f t="shared" si="165"/>
        <v>0.14315680060120867</v>
      </c>
      <c r="AU204" s="88">
        <f t="shared" si="166"/>
        <v>0.24139727958494409</v>
      </c>
      <c r="AV204" s="104">
        <f t="shared" si="167"/>
        <v>0.16455171915464056</v>
      </c>
      <c r="AW204" s="38"/>
      <c r="AX204" s="88">
        <f t="shared" si="168"/>
        <v>0.41123264551417948</v>
      </c>
      <c r="AY204" s="88">
        <f t="shared" si="169"/>
        <v>0.2212148212894556</v>
      </c>
      <c r="AZ204" s="88">
        <f t="shared" si="170"/>
        <v>0.36755253319636483</v>
      </c>
      <c r="BA204" s="104">
        <f t="shared" si="171"/>
        <v>9.9790537941971694E-2</v>
      </c>
      <c r="BB204" s="38"/>
    </row>
    <row r="205" spans="1:54" s="7" customFormat="1" x14ac:dyDescent="0.3">
      <c r="C205" s="38"/>
      <c r="D205" s="38"/>
      <c r="E205" s="38" t="s">
        <v>29</v>
      </c>
      <c r="F205" s="38"/>
      <c r="G205" s="38"/>
      <c r="H205" s="38"/>
      <c r="I205" s="38"/>
      <c r="J205" s="43">
        <f t="shared" si="149"/>
        <v>70583.297999999981</v>
      </c>
      <c r="K205" s="43">
        <f t="shared" si="149"/>
        <v>32987.958999999995</v>
      </c>
      <c r="L205" s="43">
        <f t="shared" si="149"/>
        <v>19094.616999999998</v>
      </c>
      <c r="M205" s="43">
        <f t="shared" si="149"/>
        <v>18500.721999999998</v>
      </c>
      <c r="N205" s="43">
        <f t="shared" si="149"/>
        <v>7599.8069999999998</v>
      </c>
      <c r="O205" s="88">
        <f t="shared" si="150"/>
        <v>0.46736210880936729</v>
      </c>
      <c r="P205" s="88">
        <f t="shared" si="151"/>
        <v>0.27052599610746442</v>
      </c>
      <c r="Q205" s="88">
        <f t="shared" si="152"/>
        <v>0.26211189508316823</v>
      </c>
      <c r="R205" s="88">
        <f t="shared" si="153"/>
        <v>0.10767146358052017</v>
      </c>
      <c r="S205" s="38"/>
      <c r="T205" s="43">
        <f t="shared" si="154"/>
        <v>64422.664999999979</v>
      </c>
      <c r="U205" s="43">
        <f t="shared" si="154"/>
        <v>36396.022000000012</v>
      </c>
      <c r="V205" s="43">
        <f t="shared" si="154"/>
        <v>17716.955999999991</v>
      </c>
      <c r="W205" s="43">
        <f t="shared" si="154"/>
        <v>10309.687</v>
      </c>
      <c r="X205" s="43">
        <f t="shared" si="154"/>
        <v>7948.876000000002</v>
      </c>
      <c r="Y205" s="88">
        <f t="shared" si="155"/>
        <v>0.56495678966401053</v>
      </c>
      <c r="Z205" s="88">
        <f t="shared" si="156"/>
        <v>0.27501122469863659</v>
      </c>
      <c r="AA205" s="88">
        <f t="shared" si="157"/>
        <v>0.16003198563735294</v>
      </c>
      <c r="AB205" s="88">
        <f t="shared" si="158"/>
        <v>0.12338632684630486</v>
      </c>
      <c r="AC205" s="38"/>
      <c r="AD205" s="43">
        <f t="shared" si="159"/>
        <v>55542.848268281225</v>
      </c>
      <c r="AE205" s="43">
        <f t="shared" si="159"/>
        <v>30481.76400000001</v>
      </c>
      <c r="AF205" s="43">
        <f t="shared" si="159"/>
        <v>18147.724999999999</v>
      </c>
      <c r="AG205" s="43">
        <f t="shared" si="159"/>
        <v>6913.3592682812196</v>
      </c>
      <c r="AH205" s="43">
        <f t="shared" si="159"/>
        <v>5638.0429999999978</v>
      </c>
      <c r="AI205" s="88">
        <f t="shared" si="160"/>
        <v>0.54879727904424347</v>
      </c>
      <c r="AJ205" s="88">
        <f t="shared" si="161"/>
        <v>0.32673378420104521</v>
      </c>
      <c r="AK205" s="88">
        <f t="shared" si="162"/>
        <v>0.12446893675471124</v>
      </c>
      <c r="AL205" s="104">
        <f t="shared" si="163"/>
        <v>0.10150799204187926</v>
      </c>
      <c r="AM205" s="38"/>
      <c r="AN205" s="43">
        <f>SUMPRODUCT(--('Input|Historical Data'!$AU$9:$AU$981=$E205),--('Input|Historical Data'!$AW$9:$AW$981=$AN$5),'Input|Historical Data'!$AS$9:$AS$981)</f>
        <v>51752.151239999963</v>
      </c>
      <c r="AO205" s="40">
        <v>31001.371205875701</v>
      </c>
      <c r="AP205" s="40">
        <v>16828.865738332388</v>
      </c>
      <c r="AQ205" s="40">
        <v>5514.1676157917964</v>
      </c>
      <c r="AR205" s="43">
        <f>SUMPRODUCT(--('Input|Historical Data'!$AU$9:$AU$981=$E205),--('Input|Historical Data'!$AW$9:$AW$981=$AR$5),'Input|Historical Data'!$AS$9:$AS$981)</f>
        <v>8552.2778699999981</v>
      </c>
      <c r="AS205" s="88">
        <f t="shared" si="164"/>
        <v>0.58115507074423267</v>
      </c>
      <c r="AT205" s="88">
        <f t="shared" si="165"/>
        <v>0.31547574440359305</v>
      </c>
      <c r="AU205" s="88">
        <f t="shared" si="166"/>
        <v>0.10336918485217428</v>
      </c>
      <c r="AV205" s="104">
        <f t="shared" si="167"/>
        <v>0.16525453850872623</v>
      </c>
      <c r="AW205" s="38"/>
      <c r="AX205" s="88">
        <f t="shared" si="168"/>
        <v>0.55747509578390186</v>
      </c>
      <c r="AY205" s="88">
        <f t="shared" si="169"/>
        <v>0.29895825911064211</v>
      </c>
      <c r="AZ205" s="88">
        <f t="shared" si="170"/>
        <v>0.14356664510545614</v>
      </c>
      <c r="BA205" s="88">
        <f t="shared" si="171"/>
        <v>0.11325687382852527</v>
      </c>
      <c r="BB205" s="38"/>
    </row>
    <row r="206" spans="1:54" s="7" customFormat="1" x14ac:dyDescent="0.3">
      <c r="C206" s="38"/>
      <c r="D206" s="38"/>
      <c r="E206" s="38" t="s">
        <v>38</v>
      </c>
      <c r="F206" s="38"/>
      <c r="G206" s="38"/>
      <c r="H206" s="38"/>
      <c r="I206" s="38"/>
      <c r="J206" s="43">
        <f t="shared" si="149"/>
        <v>0</v>
      </c>
      <c r="K206" s="43">
        <f t="shared" si="149"/>
        <v>0</v>
      </c>
      <c r="L206" s="43">
        <f t="shared" si="149"/>
        <v>0</v>
      </c>
      <c r="M206" s="43">
        <f t="shared" si="149"/>
        <v>0</v>
      </c>
      <c r="N206" s="43">
        <f t="shared" si="149"/>
        <v>0</v>
      </c>
      <c r="O206" s="88">
        <f t="shared" si="150"/>
        <v>0</v>
      </c>
      <c r="P206" s="88">
        <f t="shared" si="151"/>
        <v>0</v>
      </c>
      <c r="Q206" s="88">
        <f t="shared" si="152"/>
        <v>0</v>
      </c>
      <c r="R206" s="88">
        <f t="shared" si="153"/>
        <v>0</v>
      </c>
      <c r="S206" s="38"/>
      <c r="T206" s="43">
        <f t="shared" si="154"/>
        <v>0</v>
      </c>
      <c r="U206" s="43">
        <f t="shared" si="154"/>
        <v>0</v>
      </c>
      <c r="V206" s="43">
        <f t="shared" si="154"/>
        <v>0</v>
      </c>
      <c r="W206" s="43">
        <f t="shared" si="154"/>
        <v>0</v>
      </c>
      <c r="X206" s="43">
        <f t="shared" si="154"/>
        <v>0</v>
      </c>
      <c r="Y206" s="88">
        <f t="shared" si="155"/>
        <v>0</v>
      </c>
      <c r="Z206" s="88">
        <f t="shared" si="156"/>
        <v>0</v>
      </c>
      <c r="AA206" s="88">
        <f t="shared" si="157"/>
        <v>0</v>
      </c>
      <c r="AB206" s="88">
        <f t="shared" si="158"/>
        <v>0</v>
      </c>
      <c r="AC206" s="38"/>
      <c r="AD206" s="43">
        <f t="shared" si="159"/>
        <v>0</v>
      </c>
      <c r="AE206" s="43">
        <f t="shared" si="159"/>
        <v>0</v>
      </c>
      <c r="AF206" s="43">
        <f t="shared" si="159"/>
        <v>0</v>
      </c>
      <c r="AG206" s="43">
        <f t="shared" si="159"/>
        <v>0</v>
      </c>
      <c r="AH206" s="43">
        <f t="shared" si="159"/>
        <v>0</v>
      </c>
      <c r="AI206" s="88">
        <f t="shared" si="160"/>
        <v>0</v>
      </c>
      <c r="AJ206" s="88">
        <f t="shared" si="161"/>
        <v>0</v>
      </c>
      <c r="AK206" s="88">
        <f t="shared" si="162"/>
        <v>0</v>
      </c>
      <c r="AL206" s="88">
        <f t="shared" si="163"/>
        <v>0</v>
      </c>
      <c r="AM206" s="38"/>
      <c r="AN206" s="43">
        <f>SUMPRODUCT(--('Input|Historical Data'!$AU$9:$AU$981=$E206),--('Input|Historical Data'!$AW$9:$AW$981=$AN$5),'Input|Historical Data'!$AS$9:$AS$981)</f>
        <v>0</v>
      </c>
      <c r="AO206" s="40">
        <v>5010.4646599999996</v>
      </c>
      <c r="AP206" s="40">
        <v>2714.7429300000008</v>
      </c>
      <c r="AQ206" s="40">
        <v>1081.2329199999995</v>
      </c>
      <c r="AR206" s="43">
        <f>SUMPRODUCT(--('Input|Historical Data'!$AU$9:$AU$981=$E206),--('Input|Historical Data'!$AW$9:$AW$981=$AR$5),'Input|Historical Data'!$AS$9:$AS$981)</f>
        <v>0</v>
      </c>
      <c r="AS206" s="88">
        <f t="shared" si="164"/>
        <v>0.5689545798112704</v>
      </c>
      <c r="AT206" s="88">
        <f t="shared" si="165"/>
        <v>0.30826790085248651</v>
      </c>
      <c r="AU206" s="88">
        <f t="shared" si="166"/>
        <v>0.12277751933624309</v>
      </c>
      <c r="AV206" s="88">
        <f t="shared" si="167"/>
        <v>0</v>
      </c>
      <c r="AW206" s="38"/>
      <c r="AX206" s="98">
        <v>0.43620515778566454</v>
      </c>
      <c r="AY206" s="98">
        <v>0.21973387706486669</v>
      </c>
      <c r="AZ206" s="98">
        <v>0.34406096514946866</v>
      </c>
      <c r="BA206" s="88">
        <f t="shared" ref="BA206:BA210" si="172">IFERROR(SUM(X206,AH206)/SUM(T206,AD206),0)</f>
        <v>0</v>
      </c>
      <c r="BB206" s="38"/>
    </row>
    <row r="207" spans="1:54" s="7" customFormat="1" x14ac:dyDescent="0.3">
      <c r="C207" s="38"/>
      <c r="D207" s="38"/>
      <c r="E207" s="38" t="s">
        <v>30</v>
      </c>
      <c r="F207" s="38"/>
      <c r="G207" s="38"/>
      <c r="H207" s="38"/>
      <c r="I207" s="38"/>
      <c r="J207" s="43">
        <f t="shared" si="149"/>
        <v>27748.824000000001</v>
      </c>
      <c r="K207" s="43">
        <f t="shared" si="149"/>
        <v>5.673</v>
      </c>
      <c r="L207" s="43">
        <f t="shared" si="149"/>
        <v>27743.151000000002</v>
      </c>
      <c r="M207" s="43">
        <f t="shared" si="149"/>
        <v>0</v>
      </c>
      <c r="N207" s="43">
        <f t="shared" si="149"/>
        <v>1013.777</v>
      </c>
      <c r="O207" s="88">
        <f t="shared" si="150"/>
        <v>2.0444109631456814E-4</v>
      </c>
      <c r="P207" s="88">
        <f t="shared" si="151"/>
        <v>0.99979555890368543</v>
      </c>
      <c r="Q207" s="88">
        <f t="shared" si="152"/>
        <v>0</v>
      </c>
      <c r="R207" s="88">
        <f t="shared" si="153"/>
        <v>3.6534052758415994E-2</v>
      </c>
      <c r="S207" s="38"/>
      <c r="T207" s="43">
        <f t="shared" si="154"/>
        <v>23243.210999999999</v>
      </c>
      <c r="U207" s="43">
        <f t="shared" si="154"/>
        <v>-0.32200000000000001</v>
      </c>
      <c r="V207" s="43">
        <f t="shared" si="154"/>
        <v>23241.494999999999</v>
      </c>
      <c r="W207" s="43">
        <f t="shared" si="154"/>
        <v>2.0380000000000003</v>
      </c>
      <c r="X207" s="43">
        <f t="shared" si="154"/>
        <v>1685.575</v>
      </c>
      <c r="Y207" s="88">
        <f t="shared" si="155"/>
        <v>-1.3853507589807623E-5</v>
      </c>
      <c r="Z207" s="88">
        <f t="shared" si="156"/>
        <v>0.99992617199060829</v>
      </c>
      <c r="AA207" s="88">
        <f t="shared" si="157"/>
        <v>8.7681516981453228E-5</v>
      </c>
      <c r="AB207" s="88">
        <f t="shared" si="158"/>
        <v>7.2519025017670755E-2</v>
      </c>
      <c r="AC207" s="38"/>
      <c r="AD207" s="43">
        <f t="shared" si="159"/>
        <v>25690.696</v>
      </c>
      <c r="AE207" s="43">
        <f t="shared" si="159"/>
        <v>0</v>
      </c>
      <c r="AF207" s="43">
        <f t="shared" si="159"/>
        <v>25690.696</v>
      </c>
      <c r="AG207" s="43">
        <f t="shared" si="159"/>
        <v>0</v>
      </c>
      <c r="AH207" s="43">
        <f t="shared" si="159"/>
        <v>830.81799999999998</v>
      </c>
      <c r="AI207" s="88">
        <f t="shared" si="160"/>
        <v>0</v>
      </c>
      <c r="AJ207" s="88">
        <f t="shared" si="161"/>
        <v>1</v>
      </c>
      <c r="AK207" s="88">
        <f t="shared" si="162"/>
        <v>0</v>
      </c>
      <c r="AL207" s="88">
        <f t="shared" si="163"/>
        <v>3.2339256203880187E-2</v>
      </c>
      <c r="AM207" s="38"/>
      <c r="AN207" s="43">
        <f>SUMPRODUCT(--('Input|Historical Data'!$AU$9:$AU$981=$E207),--('Input|Historical Data'!$AW$9:$AW$981=$AN$5),'Input|Historical Data'!$AS$9:$AS$981)</f>
        <v>25588.736950000006</v>
      </c>
      <c r="AO207" s="40">
        <v>8974.6537099999987</v>
      </c>
      <c r="AP207" s="40">
        <v>26494.02971000001</v>
      </c>
      <c r="AQ207" s="40">
        <v>15039.091915476823</v>
      </c>
      <c r="AR207" s="43">
        <f>SUMPRODUCT(--('Input|Historical Data'!$AU$9:$AU$981=$E207),--('Input|Historical Data'!$AW$9:$AW$981=$AR$5),'Input|Historical Data'!$AS$9:$AS$981)</f>
        <v>803.16655000000003</v>
      </c>
      <c r="AS207" s="224">
        <v>0.56056936204408869</v>
      </c>
      <c r="AT207" s="224">
        <v>0.22835894441058724</v>
      </c>
      <c r="AU207" s="224">
        <v>0.21107169354532415</v>
      </c>
      <c r="AV207" s="88">
        <f t="shared" si="167"/>
        <v>3.1387502695790534E-2</v>
      </c>
      <c r="AW207" s="38"/>
      <c r="AX207" s="98">
        <v>0.21</v>
      </c>
      <c r="AY207" s="98">
        <v>0.34</v>
      </c>
      <c r="AZ207" s="98">
        <v>0.45</v>
      </c>
      <c r="BA207" s="98">
        <v>0</v>
      </c>
      <c r="BB207" s="38"/>
    </row>
    <row r="208" spans="1:54" s="7" customFormat="1" x14ac:dyDescent="0.3">
      <c r="C208" s="38"/>
      <c r="D208" s="38"/>
      <c r="E208" s="38" t="s">
        <v>31</v>
      </c>
      <c r="F208" s="38"/>
      <c r="G208" s="38"/>
      <c r="H208" s="38"/>
      <c r="I208" s="38"/>
      <c r="J208" s="43">
        <f t="shared" si="149"/>
        <v>6878.6</v>
      </c>
      <c r="K208" s="43">
        <f t="shared" si="149"/>
        <v>-20.645</v>
      </c>
      <c r="L208" s="43">
        <f t="shared" si="149"/>
        <v>5158.0360000000001</v>
      </c>
      <c r="M208" s="43">
        <f t="shared" si="149"/>
        <v>1741.2089999999998</v>
      </c>
      <c r="N208" s="43">
        <f t="shared" si="149"/>
        <v>0.42599999999999999</v>
      </c>
      <c r="O208" s="88">
        <f t="shared" si="150"/>
        <v>-3.0013374814642515E-3</v>
      </c>
      <c r="P208" s="88">
        <f t="shared" si="151"/>
        <v>0.74986712412409506</v>
      </c>
      <c r="Q208" s="88">
        <f t="shared" si="152"/>
        <v>0.25313421335736924</v>
      </c>
      <c r="R208" s="88">
        <f t="shared" si="153"/>
        <v>6.1931206931643059E-5</v>
      </c>
      <c r="S208" s="38"/>
      <c r="T208" s="43">
        <f t="shared" si="154"/>
        <v>5644.679000000001</v>
      </c>
      <c r="U208" s="43">
        <f t="shared" si="154"/>
        <v>75.052999999999997</v>
      </c>
      <c r="V208" s="43">
        <f t="shared" si="154"/>
        <v>5356.6170000000011</v>
      </c>
      <c r="W208" s="43">
        <f t="shared" si="154"/>
        <v>213.00899999999996</v>
      </c>
      <c r="X208" s="43">
        <f t="shared" si="154"/>
        <v>11.162000000000001</v>
      </c>
      <c r="Y208" s="88">
        <f t="shared" si="155"/>
        <v>1.3296238811808428E-2</v>
      </c>
      <c r="Z208" s="88">
        <f t="shared" si="156"/>
        <v>0.94896751436175564</v>
      </c>
      <c r="AA208" s="88">
        <f t="shared" si="157"/>
        <v>3.7736246826435997E-2</v>
      </c>
      <c r="AB208" s="88">
        <f t="shared" si="158"/>
        <v>1.9774375123899871E-3</v>
      </c>
      <c r="AC208" s="38"/>
      <c r="AD208" s="43">
        <f t="shared" si="159"/>
        <v>4538.5280000000002</v>
      </c>
      <c r="AE208" s="43">
        <f t="shared" si="159"/>
        <v>403.24099999999999</v>
      </c>
      <c r="AF208" s="43">
        <f t="shared" si="159"/>
        <v>4032.8120000000004</v>
      </c>
      <c r="AG208" s="43">
        <f t="shared" si="159"/>
        <v>102.47500000000001</v>
      </c>
      <c r="AH208" s="43">
        <f t="shared" si="159"/>
        <v>73.126999999999995</v>
      </c>
      <c r="AI208" s="88">
        <f t="shared" si="160"/>
        <v>8.8848410762255942E-2</v>
      </c>
      <c r="AJ208" s="88">
        <f t="shared" si="161"/>
        <v>0.88857268259664812</v>
      </c>
      <c r="AK208" s="88">
        <f t="shared" si="162"/>
        <v>2.2578906641095967E-2</v>
      </c>
      <c r="AL208" s="88">
        <f t="shared" si="163"/>
        <v>1.6112492861121489E-2</v>
      </c>
      <c r="AM208" s="38"/>
      <c r="AN208" s="43">
        <f>SUMPRODUCT(--('Input|Historical Data'!$AU$9:$AU$981=$E208),--('Input|Historical Data'!$AW$9:$AW$981=$AN$5),'Input|Historical Data'!$AS$9:$AS$981)</f>
        <v>3088.9434500000002</v>
      </c>
      <c r="AO208" s="40">
        <v>39.807559999999995</v>
      </c>
      <c r="AP208" s="40">
        <v>2858.2358799999997</v>
      </c>
      <c r="AQ208" s="40">
        <v>15.162509999999999</v>
      </c>
      <c r="AR208" s="43">
        <f>SUMPRODUCT(--('Input|Historical Data'!$AU$9:$AU$981=$E208),--('Input|Historical Data'!$AW$9:$AW$981=$AR$5),'Input|Historical Data'!$AS$9:$AS$981)</f>
        <v>113.31576000000001</v>
      </c>
      <c r="AS208" s="224">
        <v>5.7938258110033815E-3</v>
      </c>
      <c r="AT208" s="224">
        <v>0.60671107357143872</v>
      </c>
      <c r="AU208" s="224">
        <v>0.38749510061755782</v>
      </c>
      <c r="AV208" s="88">
        <f t="shared" si="167"/>
        <v>3.6684310293864396E-2</v>
      </c>
      <c r="AW208" s="38"/>
      <c r="AX208" s="98">
        <v>0.1910978941707201</v>
      </c>
      <c r="AY208" s="98">
        <v>0.51335315874391985</v>
      </c>
      <c r="AZ208" s="98">
        <v>0.29554894708536006</v>
      </c>
      <c r="BA208" s="98">
        <v>0</v>
      </c>
      <c r="BB208" s="38"/>
    </row>
    <row r="209" spans="1:54" s="7" customFormat="1" x14ac:dyDescent="0.3">
      <c r="C209" s="38"/>
      <c r="D209" s="38"/>
      <c r="E209" s="38" t="s">
        <v>8</v>
      </c>
      <c r="F209" s="38"/>
      <c r="G209" s="38"/>
      <c r="H209" s="38"/>
      <c r="I209" s="38"/>
      <c r="J209" s="43">
        <f t="shared" si="149"/>
        <v>2436.2580000000003</v>
      </c>
      <c r="K209" s="43">
        <f t="shared" si="149"/>
        <v>1278.4590000000001</v>
      </c>
      <c r="L209" s="43">
        <f t="shared" si="149"/>
        <v>698.51800000000014</v>
      </c>
      <c r="M209" s="43">
        <f t="shared" si="149"/>
        <v>459.28100000000001</v>
      </c>
      <c r="N209" s="43">
        <f t="shared" si="149"/>
        <v>231.70399999999998</v>
      </c>
      <c r="O209" s="88">
        <f t="shared" si="150"/>
        <v>0.52476338712894932</v>
      </c>
      <c r="P209" s="88">
        <f t="shared" si="151"/>
        <v>0.28671758081451149</v>
      </c>
      <c r="Q209" s="88">
        <f t="shared" si="152"/>
        <v>0.18851903205653914</v>
      </c>
      <c r="R209" s="88">
        <f t="shared" si="153"/>
        <v>9.5106511707709104E-2</v>
      </c>
      <c r="S209" s="38"/>
      <c r="T209" s="43">
        <f t="shared" si="154"/>
        <v>10925.885000000002</v>
      </c>
      <c r="U209" s="43">
        <f t="shared" si="154"/>
        <v>5932.6120000000001</v>
      </c>
      <c r="V209" s="43">
        <f t="shared" si="154"/>
        <v>3272.1679999999997</v>
      </c>
      <c r="W209" s="43">
        <f t="shared" si="154"/>
        <v>1721.105</v>
      </c>
      <c r="X209" s="43">
        <f t="shared" si="154"/>
        <v>1355.0260000000001</v>
      </c>
      <c r="Y209" s="88">
        <f t="shared" si="155"/>
        <v>0.54298686101858118</v>
      </c>
      <c r="Z209" s="88">
        <f t="shared" si="156"/>
        <v>0.29948768452166574</v>
      </c>
      <c r="AA209" s="88">
        <f t="shared" si="157"/>
        <v>0.15752545445975316</v>
      </c>
      <c r="AB209" s="88">
        <f t="shared" si="158"/>
        <v>0.12401979336227681</v>
      </c>
      <c r="AC209" s="38"/>
      <c r="AD209" s="43">
        <f t="shared" si="159"/>
        <v>7973.0350000000008</v>
      </c>
      <c r="AE209" s="43">
        <f t="shared" si="159"/>
        <v>4304.1500000000005</v>
      </c>
      <c r="AF209" s="43">
        <f t="shared" si="159"/>
        <v>2268.1280000000002</v>
      </c>
      <c r="AG209" s="43">
        <f t="shared" si="159"/>
        <v>1400.7570000000001</v>
      </c>
      <c r="AH209" s="43">
        <f t="shared" si="159"/>
        <v>921.73899999999992</v>
      </c>
      <c r="AI209" s="88">
        <f t="shared" si="160"/>
        <v>0.539838342613572</v>
      </c>
      <c r="AJ209" s="88">
        <f t="shared" si="161"/>
        <v>0.28447485806847711</v>
      </c>
      <c r="AK209" s="88">
        <f t="shared" si="162"/>
        <v>0.17568679931795109</v>
      </c>
      <c r="AL209" s="88">
        <f t="shared" si="163"/>
        <v>0.11560704298927571</v>
      </c>
      <c r="AM209" s="38"/>
      <c r="AN209" s="43">
        <f>SUMPRODUCT(--('Input|Historical Data'!$AU$9:$AU$981=$E209),--('Input|Historical Data'!$AW$9:$AW$981=$AN$5),'Input|Historical Data'!$AS$9:$AS$981)</f>
        <v>682.50984999999969</v>
      </c>
      <c r="AO209" s="40">
        <v>0</v>
      </c>
      <c r="AP209" s="40">
        <v>0</v>
      </c>
      <c r="AQ209" s="40">
        <v>0</v>
      </c>
      <c r="AR209" s="43">
        <f>SUMPRODUCT(--('Input|Historical Data'!$AU$9:$AU$981=$E209),--('Input|Historical Data'!$AW$9:$AW$981=$AR$5),'Input|Historical Data'!$AS$9:$AS$981)</f>
        <v>81.955849999999998</v>
      </c>
      <c r="AS209" s="88">
        <f>AS205</f>
        <v>0.58115507074423267</v>
      </c>
      <c r="AT209" s="88">
        <f t="shared" ref="AT209:AU209" si="173">AT205</f>
        <v>0.31547574440359305</v>
      </c>
      <c r="AU209" s="88">
        <f t="shared" si="173"/>
        <v>0.10336918485217428</v>
      </c>
      <c r="AV209" s="88">
        <f t="shared" si="167"/>
        <v>0.12008009847769968</v>
      </c>
      <c r="AW209" s="38"/>
      <c r="AX209" s="88">
        <f t="shared" ref="AX209:AX210" si="174">IFERROR(SUM(U209,AE209)/SUM($U209:$W209,$AE209:$AG209),0)</f>
        <v>0.54165857096595993</v>
      </c>
      <c r="AY209" s="88">
        <f t="shared" ref="AY209:AY210" si="175">IFERROR(SUM(V209,AF209)/SUM($U209:$W209,$AE209:$AG209),0)</f>
        <v>0.29315410616056364</v>
      </c>
      <c r="AZ209" s="88">
        <f t="shared" ref="AZ209:AZ210" si="176">IFERROR(SUM(W209,AG209)/SUM($U209:$W209,$AE209:$AG209),0)</f>
        <v>0.16518732287347634</v>
      </c>
      <c r="BA209" s="104">
        <f t="shared" si="172"/>
        <v>0.12047064065036518</v>
      </c>
      <c r="BB209" s="38"/>
    </row>
    <row r="210" spans="1:54" s="7" customFormat="1" x14ac:dyDescent="0.3">
      <c r="C210" s="38"/>
      <c r="D210" s="38"/>
      <c r="E210" s="38" t="s">
        <v>44</v>
      </c>
      <c r="F210" s="38"/>
      <c r="G210" s="38"/>
      <c r="H210" s="38"/>
      <c r="I210" s="38"/>
      <c r="J210" s="43">
        <f t="shared" si="149"/>
        <v>0</v>
      </c>
      <c r="K210" s="43">
        <f t="shared" si="149"/>
        <v>0</v>
      </c>
      <c r="L210" s="43">
        <f t="shared" si="149"/>
        <v>0</v>
      </c>
      <c r="M210" s="43">
        <f t="shared" si="149"/>
        <v>0</v>
      </c>
      <c r="N210" s="43">
        <f t="shared" si="149"/>
        <v>0</v>
      </c>
      <c r="O210" s="88">
        <f t="shared" si="150"/>
        <v>0</v>
      </c>
      <c r="P210" s="88">
        <f t="shared" si="151"/>
        <v>0</v>
      </c>
      <c r="Q210" s="88">
        <f t="shared" si="152"/>
        <v>0</v>
      </c>
      <c r="R210" s="88">
        <f t="shared" si="153"/>
        <v>0</v>
      </c>
      <c r="S210" s="38"/>
      <c r="T210" s="43">
        <f t="shared" si="154"/>
        <v>0</v>
      </c>
      <c r="U210" s="43">
        <f t="shared" si="154"/>
        <v>0</v>
      </c>
      <c r="V210" s="43">
        <f t="shared" si="154"/>
        <v>0</v>
      </c>
      <c r="W210" s="43">
        <f t="shared" si="154"/>
        <v>0</v>
      </c>
      <c r="X210" s="43">
        <f t="shared" si="154"/>
        <v>0</v>
      </c>
      <c r="Y210" s="88">
        <f t="shared" si="155"/>
        <v>0</v>
      </c>
      <c r="Z210" s="88">
        <f t="shared" si="156"/>
        <v>0</v>
      </c>
      <c r="AA210" s="88">
        <f t="shared" si="157"/>
        <v>0</v>
      </c>
      <c r="AB210" s="88">
        <f t="shared" si="158"/>
        <v>0</v>
      </c>
      <c r="AC210" s="38"/>
      <c r="AD210" s="43">
        <f t="shared" si="159"/>
        <v>0</v>
      </c>
      <c r="AE210" s="43">
        <f t="shared" si="159"/>
        <v>0</v>
      </c>
      <c r="AF210" s="43">
        <f t="shared" si="159"/>
        <v>0</v>
      </c>
      <c r="AG210" s="43">
        <f t="shared" si="159"/>
        <v>0</v>
      </c>
      <c r="AH210" s="43">
        <f t="shared" si="159"/>
        <v>0</v>
      </c>
      <c r="AI210" s="88">
        <f t="shared" si="160"/>
        <v>0</v>
      </c>
      <c r="AJ210" s="88">
        <f t="shared" si="161"/>
        <v>0</v>
      </c>
      <c r="AK210" s="88">
        <f t="shared" si="162"/>
        <v>0</v>
      </c>
      <c r="AL210" s="88">
        <f t="shared" si="163"/>
        <v>0</v>
      </c>
      <c r="AM210" s="38"/>
      <c r="AN210" s="43">
        <f>SUMPRODUCT(--('Input|Historical Data'!$AU$9:$AU$981=$E210),--('Input|Historical Data'!$AW$9:$AW$981=$AN$5),'Input|Historical Data'!$AS$9:$AS$981)</f>
        <v>0</v>
      </c>
      <c r="AO210" s="40">
        <v>0</v>
      </c>
      <c r="AP210" s="40">
        <v>0</v>
      </c>
      <c r="AQ210" s="40">
        <v>0</v>
      </c>
      <c r="AR210" s="43">
        <f>SUMPRODUCT(--('Input|Historical Data'!$AU$9:$AU$981=$E210),--('Input|Historical Data'!$AW$9:$AW$981=$AR$5),'Input|Historical Data'!$AS$9:$AS$981)</f>
        <v>0</v>
      </c>
      <c r="AS210" s="88">
        <f t="shared" ref="AS210" si="177">IFERROR(AO210/SUM($AE210:$AG210),0)</f>
        <v>0</v>
      </c>
      <c r="AT210" s="88">
        <v>1</v>
      </c>
      <c r="AU210" s="88">
        <f t="shared" ref="AU210" si="178">IFERROR(AQ210/SUM($AE210:$AG210),0)</f>
        <v>0</v>
      </c>
      <c r="AV210" s="88">
        <f t="shared" si="167"/>
        <v>0</v>
      </c>
      <c r="AW210" s="38"/>
      <c r="AX210" s="88">
        <f t="shared" si="174"/>
        <v>0</v>
      </c>
      <c r="AY210" s="88">
        <f t="shared" si="175"/>
        <v>0</v>
      </c>
      <c r="AZ210" s="88">
        <f t="shared" si="176"/>
        <v>0</v>
      </c>
      <c r="BA210" s="88">
        <f t="shared" si="172"/>
        <v>0</v>
      </c>
      <c r="BB210" s="38"/>
    </row>
    <row r="211" spans="1:54" s="7" customFormat="1" x14ac:dyDescent="0.3">
      <c r="C211" s="38"/>
      <c r="D211" s="38"/>
      <c r="E211" s="56" t="s">
        <v>20</v>
      </c>
      <c r="F211" s="84"/>
      <c r="G211" s="84"/>
      <c r="H211" s="84"/>
      <c r="I211" s="84"/>
      <c r="J211" s="57">
        <f>SUM(J203:J210)</f>
        <v>187854.92599999998</v>
      </c>
      <c r="K211" s="57">
        <f t="shared" ref="K211:N211" si="179">SUM(K203:K210)</f>
        <v>73631.943999999989</v>
      </c>
      <c r="L211" s="57">
        <f t="shared" si="179"/>
        <v>75355.189999999988</v>
      </c>
      <c r="M211" s="57">
        <f t="shared" si="179"/>
        <v>38867.792000000001</v>
      </c>
      <c r="N211" s="57">
        <f t="shared" si="179"/>
        <v>15815.996999999999</v>
      </c>
      <c r="O211" s="92">
        <f t="shared" si="150"/>
        <v>0.39196174179643284</v>
      </c>
      <c r="P211" s="92">
        <f t="shared" si="151"/>
        <v>0.40113502267169721</v>
      </c>
      <c r="Q211" s="92">
        <f t="shared" si="152"/>
        <v>0.20690323553186998</v>
      </c>
      <c r="R211" s="112">
        <f t="shared" si="153"/>
        <v>8.4192612548259715E-2</v>
      </c>
      <c r="S211" s="84"/>
      <c r="T211" s="57">
        <f>SUM(T203:T210)</f>
        <v>175818.37600000002</v>
      </c>
      <c r="U211" s="57">
        <f t="shared" ref="U211:X211" si="180">SUM(U203:U210)</f>
        <v>74008.540000000008</v>
      </c>
      <c r="V211" s="57">
        <f t="shared" si="180"/>
        <v>66590.503999999986</v>
      </c>
      <c r="W211" s="57">
        <f t="shared" si="180"/>
        <v>35219.331999999995</v>
      </c>
      <c r="X211" s="57">
        <f t="shared" si="180"/>
        <v>18723.268000000004</v>
      </c>
      <c r="Y211" s="92">
        <f t="shared" si="155"/>
        <v>0.42093745650340902</v>
      </c>
      <c r="Z211" s="92">
        <f t="shared" si="156"/>
        <v>0.37874598500443429</v>
      </c>
      <c r="AA211" s="92">
        <f t="shared" si="157"/>
        <v>0.20031655849215668</v>
      </c>
      <c r="AB211" s="112">
        <f t="shared" si="158"/>
        <v>0.10649209955164186</v>
      </c>
      <c r="AC211" s="84"/>
      <c r="AD211" s="57">
        <f>SUM(AD203:AD210)</f>
        <v>164331.21926828122</v>
      </c>
      <c r="AE211" s="57">
        <f t="shared" ref="AE211" si="181">SUM(AE203:AE210)</f>
        <v>64877.870000000017</v>
      </c>
      <c r="AF211" s="57">
        <f t="shared" ref="AF211" si="182">SUM(AF203:AF210)</f>
        <v>69655.555999999997</v>
      </c>
      <c r="AG211" s="57">
        <f t="shared" ref="AG211" si="183">SUM(AG203:AG210)</f>
        <v>29797.793268281213</v>
      </c>
      <c r="AH211" s="57">
        <f t="shared" ref="AH211" si="184">SUM(AH203:AH210)</f>
        <v>13832.556999999997</v>
      </c>
      <c r="AI211" s="92">
        <f t="shared" ref="AI211" si="185">IFERROR(AE211/SUM($AE211:$AG211),0)</f>
        <v>0.39479941966524784</v>
      </c>
      <c r="AJ211" s="92">
        <f t="shared" ref="AJ211" si="186">IFERROR(AF211/SUM($AE211:$AG211),0)</f>
        <v>0.42387293364070311</v>
      </c>
      <c r="AK211" s="92">
        <f t="shared" ref="AK211" si="187">IFERROR(AG211/SUM($AE211:$AG211),0)</f>
        <v>0.18132764669404913</v>
      </c>
      <c r="AL211" s="112">
        <f t="shared" ref="AL211" si="188">IFERROR(AH211/AD211,0)</f>
        <v>8.4174857714756343E-2</v>
      </c>
      <c r="AM211" s="84"/>
      <c r="AN211" s="57">
        <f>SUM(AN203:AN210)</f>
        <v>148709.54889999813</v>
      </c>
      <c r="AO211" s="57">
        <f t="shared" ref="AO211:AR211" si="189">SUM(AO203:AO210)</f>
        <v>84836.897386932731</v>
      </c>
      <c r="AP211" s="57">
        <f t="shared" si="189"/>
        <v>63078.031511326881</v>
      </c>
      <c r="AQ211" s="57">
        <f t="shared" si="189"/>
        <v>35242.915787217113</v>
      </c>
      <c r="AR211" s="57">
        <f t="shared" si="189"/>
        <v>20671.990600000001</v>
      </c>
      <c r="AS211" s="92">
        <f>IFERROR(AO211/SUM($AO211:$AQ211),0)</f>
        <v>0.4631900835730885</v>
      </c>
      <c r="AT211" s="92">
        <f t="shared" ref="AT211:AU211" si="190">IFERROR(AP211/SUM($AO211:$AQ211),0)</f>
        <v>0.34439164546648854</v>
      </c>
      <c r="AU211" s="92">
        <f t="shared" si="190"/>
        <v>0.19241827096042288</v>
      </c>
      <c r="AV211" s="112">
        <f t="shared" si="167"/>
        <v>0.13900916755454068</v>
      </c>
      <c r="AW211" s="84"/>
      <c r="AX211" s="92">
        <f t="shared" si="168"/>
        <v>0.40830979055100208</v>
      </c>
      <c r="AY211" s="92">
        <f t="shared" si="169"/>
        <v>0.40054747056964929</v>
      </c>
      <c r="AZ211" s="92">
        <f t="shared" si="170"/>
        <v>0.19114273887934866</v>
      </c>
      <c r="BA211" s="92">
        <f t="shared" si="171"/>
        <v>9.5710315263855358E-2</v>
      </c>
      <c r="BB211" s="38"/>
    </row>
    <row r="212" spans="1:54" s="7" customFormat="1" x14ac:dyDescent="0.3">
      <c r="C212" s="38"/>
      <c r="D212" s="38"/>
      <c r="E212" s="38"/>
      <c r="F212" s="38"/>
      <c r="G212" s="38"/>
      <c r="H212" s="38"/>
      <c r="I212" s="38"/>
      <c r="J212" s="61">
        <f>J211-J199</f>
        <v>0</v>
      </c>
      <c r="K212" s="61">
        <f t="shared" ref="K212:R212" si="191">K211-K199</f>
        <v>0</v>
      </c>
      <c r="L212" s="61">
        <f t="shared" si="191"/>
        <v>0</v>
      </c>
      <c r="M212" s="61">
        <f t="shared" si="191"/>
        <v>0</v>
      </c>
      <c r="N212" s="61">
        <f t="shared" si="191"/>
        <v>0</v>
      </c>
      <c r="O212" s="61">
        <f t="shared" si="191"/>
        <v>0</v>
      </c>
      <c r="P212" s="61">
        <f t="shared" si="191"/>
        <v>0</v>
      </c>
      <c r="Q212" s="61">
        <f t="shared" si="191"/>
        <v>0</v>
      </c>
      <c r="R212" s="61">
        <f t="shared" si="191"/>
        <v>0</v>
      </c>
      <c r="S212" s="38"/>
      <c r="T212" s="61">
        <f>T211-T199</f>
        <v>0</v>
      </c>
      <c r="U212" s="61">
        <f t="shared" ref="U212:X212" si="192">U211-U199</f>
        <v>0</v>
      </c>
      <c r="V212" s="61">
        <f t="shared" si="192"/>
        <v>0</v>
      </c>
      <c r="W212" s="61">
        <f t="shared" si="192"/>
        <v>0</v>
      </c>
      <c r="X212" s="61">
        <f t="shared" si="192"/>
        <v>0</v>
      </c>
      <c r="Y212" s="61">
        <f t="shared" ref="Y212" si="193">Y211-Y199</f>
        <v>0</v>
      </c>
      <c r="Z212" s="61">
        <f t="shared" ref="Z212" si="194">Z211-Z199</f>
        <v>0</v>
      </c>
      <c r="AA212" s="61">
        <f t="shared" ref="AA212" si="195">AA211-AA199</f>
        <v>0</v>
      </c>
      <c r="AB212" s="61">
        <f t="shared" ref="AB212" si="196">AB211-AB199</f>
        <v>0</v>
      </c>
      <c r="AC212" s="38"/>
      <c r="AD212" s="61">
        <f>AD211-AD199</f>
        <v>0</v>
      </c>
      <c r="AE212" s="61">
        <f t="shared" ref="AE212" si="197">AE211-AE199</f>
        <v>0</v>
      </c>
      <c r="AF212" s="61">
        <f t="shared" ref="AF212" si="198">AF211-AF199</f>
        <v>0</v>
      </c>
      <c r="AG212" s="61">
        <f t="shared" ref="AG212" si="199">AG211-AG199</f>
        <v>0</v>
      </c>
      <c r="AH212" s="61">
        <f t="shared" ref="AH212" si="200">AH211-AH199</f>
        <v>0</v>
      </c>
      <c r="AI212" s="61">
        <f t="shared" ref="AI212" si="201">AI211-AI199</f>
        <v>0</v>
      </c>
      <c r="AJ212" s="61">
        <f t="shared" ref="AJ212" si="202">AJ211-AJ199</f>
        <v>0</v>
      </c>
      <c r="AK212" s="61">
        <f t="shared" ref="AK212" si="203">AK211-AK199</f>
        <v>0</v>
      </c>
      <c r="AL212" s="61">
        <f t="shared" ref="AL212" si="204">AL211-AL199</f>
        <v>0</v>
      </c>
      <c r="AM212" s="38"/>
      <c r="AN212" s="61"/>
      <c r="AO212" s="61"/>
      <c r="AP212" s="61"/>
      <c r="AQ212" s="61"/>
      <c r="AR212" s="61">
        <f>SUM('Input|Historical Data'!AS9:AS981)-AN211-AR211</f>
        <v>4.5474735088646412E-10</v>
      </c>
      <c r="AS212" s="61"/>
      <c r="AT212" s="61"/>
      <c r="AU212" s="61"/>
      <c r="AV212" s="61"/>
      <c r="AW212" s="38"/>
      <c r="AX212" s="61">
        <f t="shared" ref="AX212" si="205">AX211-AX199</f>
        <v>0</v>
      </c>
      <c r="AY212" s="61">
        <f t="shared" ref="AY212" si="206">AY211-AY199</f>
        <v>0</v>
      </c>
      <c r="AZ212" s="61">
        <f t="shared" ref="AZ212" si="207">AZ211-AZ199</f>
        <v>0</v>
      </c>
      <c r="BA212" s="61">
        <f t="shared" ref="BA212" si="208">BA211-BA199</f>
        <v>0</v>
      </c>
      <c r="BB212" s="38"/>
    </row>
    <row r="213" spans="1:54" s="7" customFormat="1" x14ac:dyDescent="0.3"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</row>
    <row r="214" spans="1:54" x14ac:dyDescent="0.3">
      <c r="A214" s="21" t="s">
        <v>85</v>
      </c>
      <c r="B214" s="21"/>
      <c r="C214" s="14"/>
      <c r="D214" s="23"/>
      <c r="E214" s="24"/>
      <c r="F214" s="24"/>
      <c r="G214" s="24"/>
      <c r="H214" s="24"/>
      <c r="I214" s="24"/>
      <c r="J214" s="34" t="s">
        <v>25</v>
      </c>
      <c r="K214" s="34" t="s">
        <v>25</v>
      </c>
      <c r="L214" s="34" t="s">
        <v>25</v>
      </c>
      <c r="M214" s="34" t="s">
        <v>25</v>
      </c>
      <c r="N214" s="34" t="s">
        <v>25</v>
      </c>
      <c r="O214" s="34" t="s">
        <v>27</v>
      </c>
      <c r="P214" s="34" t="s">
        <v>27</v>
      </c>
      <c r="Q214" s="34" t="s">
        <v>27</v>
      </c>
      <c r="R214" s="34" t="s">
        <v>27</v>
      </c>
      <c r="S214" s="24"/>
      <c r="T214" s="34" t="s">
        <v>25</v>
      </c>
      <c r="U214" s="34" t="s">
        <v>25</v>
      </c>
      <c r="V214" s="34" t="s">
        <v>25</v>
      </c>
      <c r="W214" s="34" t="s">
        <v>25</v>
      </c>
      <c r="X214" s="34" t="s">
        <v>25</v>
      </c>
      <c r="Y214" s="34" t="s">
        <v>27</v>
      </c>
      <c r="Z214" s="34" t="s">
        <v>27</v>
      </c>
      <c r="AA214" s="34" t="s">
        <v>27</v>
      </c>
      <c r="AB214" s="34" t="s">
        <v>27</v>
      </c>
      <c r="AC214" s="24"/>
      <c r="AD214" s="34" t="s">
        <v>25</v>
      </c>
      <c r="AE214" s="34" t="s">
        <v>25</v>
      </c>
      <c r="AF214" s="34" t="s">
        <v>25</v>
      </c>
      <c r="AG214" s="34" t="s">
        <v>25</v>
      </c>
      <c r="AH214" s="34" t="s">
        <v>25</v>
      </c>
      <c r="AI214" s="34" t="s">
        <v>27</v>
      </c>
      <c r="AJ214" s="34" t="s">
        <v>27</v>
      </c>
      <c r="AK214" s="34" t="s">
        <v>27</v>
      </c>
      <c r="AL214" s="34" t="s">
        <v>27</v>
      </c>
      <c r="AM214" s="24"/>
      <c r="AN214" s="34" t="s">
        <v>25</v>
      </c>
      <c r="AO214" s="34" t="s">
        <v>25</v>
      </c>
      <c r="AP214" s="34" t="s">
        <v>25</v>
      </c>
      <c r="AQ214" s="34" t="s">
        <v>25</v>
      </c>
      <c r="AR214" s="34" t="s">
        <v>25</v>
      </c>
      <c r="AS214" s="34" t="s">
        <v>27</v>
      </c>
      <c r="AT214" s="34" t="s">
        <v>27</v>
      </c>
      <c r="AU214" s="34" t="s">
        <v>27</v>
      </c>
      <c r="AV214" s="34" t="s">
        <v>27</v>
      </c>
      <c r="AW214" s="24"/>
      <c r="AX214" s="34" t="s">
        <v>27</v>
      </c>
      <c r="AY214" s="34" t="s">
        <v>27</v>
      </c>
      <c r="AZ214" s="34" t="s">
        <v>27</v>
      </c>
      <c r="BA214" s="34" t="s">
        <v>27</v>
      </c>
      <c r="BB214" s="24"/>
    </row>
    <row r="215" spans="1:54" s="7" customFormat="1" x14ac:dyDescent="0.3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</row>
    <row r="216" spans="1:54" s="7" customFormat="1" x14ac:dyDescent="0.3">
      <c r="C216" s="38"/>
      <c r="D216" s="38"/>
      <c r="E216" s="38" t="s">
        <v>36</v>
      </c>
      <c r="F216" s="38"/>
      <c r="G216" s="38"/>
      <c r="H216" s="38" t="s">
        <v>6</v>
      </c>
      <c r="I216" s="38"/>
      <c r="J216" s="43">
        <f>SUMPRODUCT(--($H$9:$H$198=$H216),J$9:J$198)*$BA$232</f>
        <v>15613.724263126222</v>
      </c>
      <c r="K216" s="43">
        <f>SUMPRODUCT(--($H$9:$H$198=$H216),K$9:K$198)*$BA$232</f>
        <v>7516.4664062395977</v>
      </c>
      <c r="L216" s="43">
        <f>SUMPRODUCT(--($H$9:$H$198=$H216),L$9:L$198)*$BA$232</f>
        <v>4300.242127460604</v>
      </c>
      <c r="M216" s="43">
        <f>SUMPRODUCT(--($H$9:$H$198=$H216),M$9:M$198)*$BA$232</f>
        <v>3797.0157294260157</v>
      </c>
      <c r="N216" s="43">
        <f>SUMPRODUCT(--($H$9:$H$198=$H216),N$9:N$198)*$BA$232</f>
        <v>1511.706323423281</v>
      </c>
      <c r="O216" s="88">
        <f t="shared" ref="O216:O227" si="209">IFERROR(K216/SUM($K216:$M216),0)</f>
        <v>0.48140125184551147</v>
      </c>
      <c r="P216" s="88">
        <f t="shared" ref="P216:P227" si="210">IFERROR(L216/SUM($K216:$M216),0)</f>
        <v>0.27541424806739856</v>
      </c>
      <c r="Q216" s="88">
        <f t="shared" ref="Q216:Q227" si="211">IFERROR(M216/SUM($K216:$M216),0)</f>
        <v>0.24318450008708992</v>
      </c>
      <c r="R216" s="88">
        <f t="shared" ref="R216:R227" si="212">IFERROR(N216/J216,0)</f>
        <v>9.6819073908802525E-2</v>
      </c>
      <c r="S216" s="38"/>
      <c r="T216" s="43">
        <f>SUMPRODUCT(--($H$9:$H$198=$H216),T$9:T$198)*$BA$232</f>
        <v>15116.004695553591</v>
      </c>
      <c r="U216" s="43">
        <f>SUMPRODUCT(--($H$9:$H$198=$H216),U$9:U$198)*$BA$232</f>
        <v>7563.8930019135687</v>
      </c>
      <c r="V216" s="43">
        <f>SUMPRODUCT(--($H$9:$H$198=$H216),V$9:V$198)*$BA$232</f>
        <v>3936.0678582969654</v>
      </c>
      <c r="W216" s="43">
        <f>SUMPRODUCT(--($H$9:$H$198=$H216),W$9:W$198)*$BA$232</f>
        <v>3616.0438353430536</v>
      </c>
      <c r="X216" s="43">
        <f>SUMPRODUCT(--($H$9:$H$198=$H216),X$9:X$198)*$BA$232</f>
        <v>1745.1410656597461</v>
      </c>
      <c r="Y216" s="88">
        <f t="shared" ref="Y216:Y226" si="213">IFERROR(U216/SUM($U216:$W216),0)</f>
        <v>0.50038969650085563</v>
      </c>
      <c r="Z216" s="88">
        <f t="shared" ref="Z216:Z226" si="214">IFERROR(V216/SUM($U216:$W216),0)</f>
        <v>0.26039075387789273</v>
      </c>
      <c r="AA216" s="88">
        <f t="shared" ref="AA216:AA226" si="215">IFERROR(W216/SUM($U216:$W216),0)</f>
        <v>0.23921954962125161</v>
      </c>
      <c r="AB216" s="88">
        <f t="shared" ref="AB216:AB226" si="216">IFERROR(X216/T216,0)</f>
        <v>0.11544988909490637</v>
      </c>
      <c r="AC216" s="38"/>
      <c r="AD216" s="43">
        <f>SUMPRODUCT(--($H$9:$H$198=$H216),AD$9:AD$198)*$BA$232</f>
        <v>13313.269478401699</v>
      </c>
      <c r="AE216" s="43">
        <f>SUMPRODUCT(--($H$9:$H$198=$H216),AE$9:AE$198)*$BA$232</f>
        <v>6310.3125239041865</v>
      </c>
      <c r="AF216" s="43">
        <f>SUMPRODUCT(--($H$9:$H$198=$H216),AF$9:AF$198)*$BA$232</f>
        <v>3992.8009869804096</v>
      </c>
      <c r="AG216" s="43">
        <f>SUMPRODUCT(--($H$9:$H$198=$H216),AG$9:AG$198)*$BA$232</f>
        <v>3010.1559675171056</v>
      </c>
      <c r="AH216" s="43">
        <f>SUMPRODUCT(--($H$9:$H$198=$H216),AH$9:AH$198)*$BA$232</f>
        <v>1286.6468012065793</v>
      </c>
      <c r="AI216" s="88">
        <f t="shared" ref="AI216:AI226" si="217">IFERROR(AE216/SUM($AE216:$AG216),0)</f>
        <v>0.47398668930584581</v>
      </c>
      <c r="AJ216" s="88">
        <f t="shared" ref="AJ216:AJ226" si="218">IFERROR(AF216/SUM($AE216:$AG216),0)</f>
        <v>0.29991137740116997</v>
      </c>
      <c r="AK216" s="88">
        <f t="shared" ref="AK216:AK226" si="219">IFERROR(AG216/SUM($AE216:$AG216),0)</f>
        <v>0.22610193329298434</v>
      </c>
      <c r="AL216" s="88">
        <f t="shared" ref="AL216:AL226" si="220">IFERROR(AH216/AD216,0)</f>
        <v>9.6643938838158749E-2</v>
      </c>
      <c r="AM216" s="38"/>
      <c r="AN216" s="43">
        <f>SUM(AN$203:AN$205)*$AV232</f>
        <v>10798.362049157562</v>
      </c>
      <c r="AO216" s="43">
        <f t="shared" ref="AO216:AR216" si="221">SUM(AO$203:AO$205)*$AV232</f>
        <v>6406.8488834446116</v>
      </c>
      <c r="AP216" s="43">
        <f t="shared" si="221"/>
        <v>2805.7817617363621</v>
      </c>
      <c r="AQ216" s="43">
        <f t="shared" si="221"/>
        <v>1728.7812224224747</v>
      </c>
      <c r="AR216" s="43">
        <f t="shared" si="221"/>
        <v>1780.0023765792603</v>
      </c>
      <c r="AS216" s="88">
        <f t="shared" ref="AS216" si="222">IFERROR(AO216/SUM($AO216:$AQ216),0)</f>
        <v>0.58555961159041303</v>
      </c>
      <c r="AT216" s="88">
        <f t="shared" ref="AT216" si="223">IFERROR(AP216/SUM($AO216:$AQ216),0)</f>
        <v>0.2564369018996564</v>
      </c>
      <c r="AU216" s="88">
        <f t="shared" ref="AU216" si="224">IFERROR(AQ216/SUM($AO216:$AQ216),0)</f>
        <v>0.15800348650993049</v>
      </c>
      <c r="AV216" s="88">
        <f t="shared" ref="AV216" si="225">IFERROR(AR216/AN216,0)</f>
        <v>0.16484003485677975</v>
      </c>
      <c r="AW216" s="38"/>
      <c r="AX216" s="88">
        <f t="shared" ref="AX216:AX227" si="226">IFERROR(SUM(U216,AE216)/SUM($U216:$W216,$AE216:$AG216),0)</f>
        <v>0.48802531647213965</v>
      </c>
      <c r="AY216" s="88">
        <f t="shared" ref="AY216:AY227" si="227">IFERROR(SUM(V216,AF216)/SUM($U216:$W216,$AE216:$AG216),0)</f>
        <v>0.27889803998377116</v>
      </c>
      <c r="AZ216" s="88">
        <f t="shared" ref="AZ216:AZ227" si="228">IFERROR(SUM(W216,AG216)/SUM($U216:$W216,$AE216:$AG216),0)</f>
        <v>0.23307664354408927</v>
      </c>
      <c r="BA216" s="88">
        <f t="shared" ref="BA216:BA227" si="229">IFERROR(SUM(X216,AH216)/SUM(T216,AD216),0)</f>
        <v>0.10664316817640795</v>
      </c>
      <c r="BB216" s="38"/>
    </row>
    <row r="217" spans="1:54" s="7" customFormat="1" x14ac:dyDescent="0.3">
      <c r="C217" s="38"/>
      <c r="D217" s="38"/>
      <c r="E217" s="38" t="s">
        <v>39</v>
      </c>
      <c r="F217" s="38"/>
      <c r="G217" s="38"/>
      <c r="H217" s="38" t="s">
        <v>6</v>
      </c>
      <c r="I217" s="38"/>
      <c r="J217" s="43">
        <f>SUMPRODUCT(--($H$9:$H$198=$H217),J$9:J$198)*$BA$233</f>
        <v>133496.68773687378</v>
      </c>
      <c r="K217" s="43">
        <f>SUMPRODUCT(--($H$9:$H$198=$H217),K$9:K$198)*$BA$233</f>
        <v>64265.472593760373</v>
      </c>
      <c r="L217" s="43">
        <f>SUMPRODUCT(--($H$9:$H$198=$H217),L$9:L$198)*$BA$233</f>
        <v>36766.889872539396</v>
      </c>
      <c r="M217" s="43">
        <f>SUMPRODUCT(--($H$9:$H$198=$H217),M$9:M$198)*$BA$233</f>
        <v>32464.325270573991</v>
      </c>
      <c r="N217" s="43">
        <f>SUMPRODUCT(--($H$9:$H$198=$H217),N$9:N$198)*$BA$233</f>
        <v>12925.025676576715</v>
      </c>
      <c r="O217" s="88">
        <f t="shared" si="209"/>
        <v>0.48140125184551152</v>
      </c>
      <c r="P217" s="88">
        <f t="shared" si="210"/>
        <v>0.27541424806739861</v>
      </c>
      <c r="Q217" s="88">
        <f t="shared" si="211"/>
        <v>0.24318450008708992</v>
      </c>
      <c r="R217" s="88">
        <f t="shared" si="212"/>
        <v>9.6819073908802539E-2</v>
      </c>
      <c r="S217" s="38"/>
      <c r="T217" s="43">
        <f>SUMPRODUCT(--($H$9:$H$198=$H217),T$9:T$198)*$BA$233</f>
        <v>129241.20630444636</v>
      </c>
      <c r="U217" s="43">
        <f>SUMPRODUCT(--($H$9:$H$198=$H217),U$9:U$198)*$BA$233</f>
        <v>64670.967998086373</v>
      </c>
      <c r="V217" s="43">
        <f>SUMPRODUCT(--($H$9:$H$198=$H217),V$9:V$198)*$BA$233</f>
        <v>33653.215141703047</v>
      </c>
      <c r="W217" s="43">
        <f>SUMPRODUCT(--($H$9:$H$198=$H217),W$9:W$198)*$BA$233</f>
        <v>30917.023164656912</v>
      </c>
      <c r="X217" s="43">
        <f>SUMPRODUCT(--($H$9:$H$198=$H217),X$9:X$198)*$BA$233</f>
        <v>14920.882934340249</v>
      </c>
      <c r="Y217" s="88">
        <f t="shared" si="213"/>
        <v>0.50038969650085563</v>
      </c>
      <c r="Z217" s="88">
        <f t="shared" si="214"/>
        <v>0.26039075387789279</v>
      </c>
      <c r="AA217" s="88">
        <f t="shared" si="215"/>
        <v>0.23921954962125158</v>
      </c>
      <c r="AB217" s="88">
        <f t="shared" si="216"/>
        <v>0.11544988909490639</v>
      </c>
      <c r="AC217" s="38"/>
      <c r="AD217" s="43">
        <f>SUMPRODUCT(--($H$9:$H$198=$H217),AD$9:AD$198)*$BA$233</f>
        <v>113827.89578987948</v>
      </c>
      <c r="AE217" s="43">
        <f>SUMPRODUCT(--($H$9:$H$198=$H217),AE$9:AE$198)*$BA$233</f>
        <v>53952.907476095803</v>
      </c>
      <c r="AF217" s="43">
        <f>SUMPRODUCT(--($H$9:$H$198=$H217),AF$9:AF$198)*$BA$233</f>
        <v>34138.281013019594</v>
      </c>
      <c r="AG217" s="43">
        <f>SUMPRODUCT(--($H$9:$H$198=$H217),AG$9:AG$198)*$BA$233</f>
        <v>25736.707300764105</v>
      </c>
      <c r="AH217" s="43">
        <f>SUMPRODUCT(--($H$9:$H$198=$H217),AH$9:AH$198)*$BA$233</f>
        <v>11000.776198793419</v>
      </c>
      <c r="AI217" s="88">
        <f t="shared" si="217"/>
        <v>0.47398668930584581</v>
      </c>
      <c r="AJ217" s="88">
        <f t="shared" si="218"/>
        <v>0.29991137740116997</v>
      </c>
      <c r="AK217" s="88">
        <f t="shared" si="219"/>
        <v>0.22610193329298434</v>
      </c>
      <c r="AL217" s="88">
        <f t="shared" si="220"/>
        <v>9.6643938838158736E-2</v>
      </c>
      <c r="AM217" s="38"/>
      <c r="AN217" s="43">
        <f t="shared" ref="AN217:AR217" si="230">SUM(AN$203:AN$205)*$AV233</f>
        <v>108550.99660084055</v>
      </c>
      <c r="AO217" s="43">
        <f t="shared" si="230"/>
        <v>64405.122573488123</v>
      </c>
      <c r="AP217" s="43">
        <f t="shared" si="230"/>
        <v>28205.241229590509</v>
      </c>
      <c r="AQ217" s="43">
        <f t="shared" si="230"/>
        <v>17378.647219317809</v>
      </c>
      <c r="AR217" s="43">
        <f t="shared" si="230"/>
        <v>17893.550063420738</v>
      </c>
      <c r="AS217" s="88">
        <f t="shared" ref="AS217:AS225" si="231">IFERROR(AO217/SUM($AO217:$AQ217),0)</f>
        <v>0.58555961159041314</v>
      </c>
      <c r="AT217" s="88">
        <f t="shared" ref="AT217:AT225" si="232">IFERROR(AP217/SUM($AO217:$AQ217),0)</f>
        <v>0.25643690189965646</v>
      </c>
      <c r="AU217" s="88">
        <f t="shared" ref="AU217:AU225" si="233">IFERROR(AQ217/SUM($AO217:$AQ217),0)</f>
        <v>0.15800348650993049</v>
      </c>
      <c r="AV217" s="88">
        <f t="shared" ref="AV217:AV225" si="234">IFERROR(AR217/AN217,0)</f>
        <v>0.16484003485677978</v>
      </c>
      <c r="AW217" s="38"/>
      <c r="AX217" s="88">
        <f t="shared" ref="AX217:AX226" si="235">IFERROR(SUM(U217,AE217)/SUM($U217:$W217,$AE217:$AG217),0)</f>
        <v>0.48802531647213965</v>
      </c>
      <c r="AY217" s="88">
        <f t="shared" ref="AY217:AY226" si="236">IFERROR(SUM(V217,AF217)/SUM($U217:$W217,$AE217:$AG217),0)</f>
        <v>0.27889803998377116</v>
      </c>
      <c r="AZ217" s="88">
        <f t="shared" ref="AZ217:AZ226" si="237">IFERROR(SUM(W217,AG217)/SUM($U217:$W217,$AE217:$AG217),0)</f>
        <v>0.23307664354408925</v>
      </c>
      <c r="BA217" s="88">
        <f t="shared" ref="BA217:BA226" si="238">IFERROR(SUM(X217,AH217)/SUM(T217,AD217),0)</f>
        <v>0.10664316817640797</v>
      </c>
      <c r="BB217" s="38"/>
    </row>
    <row r="218" spans="1:54" s="7" customFormat="1" x14ac:dyDescent="0.3">
      <c r="C218" s="38"/>
      <c r="D218" s="38"/>
      <c r="E218" s="38" t="s">
        <v>40</v>
      </c>
      <c r="F218" s="38"/>
      <c r="G218" s="38"/>
      <c r="H218" s="38" t="s">
        <v>40</v>
      </c>
      <c r="I218" s="38"/>
      <c r="J218" s="43">
        <f t="shared" ref="J218:N226" si="239">SUMPRODUCT(--($H$9:$H$198=$H218),J$9:J$198)</f>
        <v>0</v>
      </c>
      <c r="K218" s="43">
        <f t="shared" si="239"/>
        <v>0</v>
      </c>
      <c r="L218" s="43">
        <f t="shared" si="239"/>
        <v>0</v>
      </c>
      <c r="M218" s="43">
        <f t="shared" si="239"/>
        <v>0</v>
      </c>
      <c r="N218" s="43">
        <f t="shared" si="239"/>
        <v>0</v>
      </c>
      <c r="O218" s="88">
        <f t="shared" si="209"/>
        <v>0</v>
      </c>
      <c r="P218" s="88">
        <f t="shared" si="210"/>
        <v>0</v>
      </c>
      <c r="Q218" s="88">
        <f t="shared" si="211"/>
        <v>0</v>
      </c>
      <c r="R218" s="88">
        <f t="shared" si="212"/>
        <v>0</v>
      </c>
      <c r="S218" s="38"/>
      <c r="T218" s="43">
        <f t="shared" ref="T218:X226" si="240">SUMPRODUCT(--($H$9:$H$198=$H218),T$9:T$198)</f>
        <v>0</v>
      </c>
      <c r="U218" s="43">
        <f t="shared" si="240"/>
        <v>0</v>
      </c>
      <c r="V218" s="43">
        <f t="shared" si="240"/>
        <v>0</v>
      </c>
      <c r="W218" s="43">
        <f t="shared" si="240"/>
        <v>0</v>
      </c>
      <c r="X218" s="43">
        <f t="shared" si="240"/>
        <v>0</v>
      </c>
      <c r="Y218" s="88">
        <f t="shared" si="213"/>
        <v>0</v>
      </c>
      <c r="Z218" s="88">
        <f t="shared" si="214"/>
        <v>0</v>
      </c>
      <c r="AA218" s="88">
        <f t="shared" si="215"/>
        <v>0</v>
      </c>
      <c r="AB218" s="88">
        <f t="shared" si="216"/>
        <v>0</v>
      </c>
      <c r="AC218" s="38"/>
      <c r="AD218" s="43">
        <f t="shared" ref="AD218:AH226" si="241">SUMPRODUCT(--($H$9:$H$198=$H218),AD$9:AD$198)</f>
        <v>0</v>
      </c>
      <c r="AE218" s="43">
        <f t="shared" si="241"/>
        <v>0</v>
      </c>
      <c r="AF218" s="43">
        <f t="shared" si="241"/>
        <v>0</v>
      </c>
      <c r="AG218" s="43">
        <f t="shared" si="241"/>
        <v>0</v>
      </c>
      <c r="AH218" s="43">
        <f t="shared" si="241"/>
        <v>0</v>
      </c>
      <c r="AI218" s="88">
        <f t="shared" si="217"/>
        <v>0</v>
      </c>
      <c r="AJ218" s="88">
        <f t="shared" si="218"/>
        <v>0</v>
      </c>
      <c r="AK218" s="88">
        <f t="shared" si="219"/>
        <v>0</v>
      </c>
      <c r="AL218" s="88">
        <f t="shared" si="220"/>
        <v>0</v>
      </c>
      <c r="AM218" s="38"/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88">
        <f t="shared" si="231"/>
        <v>0</v>
      </c>
      <c r="AT218" s="88">
        <f t="shared" si="232"/>
        <v>0</v>
      </c>
      <c r="AU218" s="88">
        <f t="shared" si="233"/>
        <v>0</v>
      </c>
      <c r="AV218" s="88">
        <f t="shared" si="234"/>
        <v>0</v>
      </c>
      <c r="AW218" s="38"/>
      <c r="AX218" s="88">
        <f t="shared" si="235"/>
        <v>0</v>
      </c>
      <c r="AY218" s="88">
        <f t="shared" si="236"/>
        <v>0</v>
      </c>
      <c r="AZ218" s="88">
        <f t="shared" si="237"/>
        <v>0</v>
      </c>
      <c r="BA218" s="88">
        <f t="shared" si="238"/>
        <v>0</v>
      </c>
      <c r="BB218" s="38"/>
    </row>
    <row r="219" spans="1:54" s="7" customFormat="1" x14ac:dyDescent="0.3">
      <c r="C219" s="38"/>
      <c r="D219" s="38"/>
      <c r="E219" s="38" t="s">
        <v>41</v>
      </c>
      <c r="F219" s="38"/>
      <c r="G219" s="38"/>
      <c r="H219" s="38" t="s">
        <v>41</v>
      </c>
      <c r="I219" s="38"/>
      <c r="J219" s="43">
        <f t="shared" si="239"/>
        <v>0</v>
      </c>
      <c r="K219" s="43">
        <f t="shared" si="239"/>
        <v>0</v>
      </c>
      <c r="L219" s="43">
        <f t="shared" si="239"/>
        <v>0</v>
      </c>
      <c r="M219" s="43">
        <f t="shared" si="239"/>
        <v>0</v>
      </c>
      <c r="N219" s="43">
        <f t="shared" si="239"/>
        <v>0</v>
      </c>
      <c r="O219" s="88">
        <f t="shared" si="209"/>
        <v>0</v>
      </c>
      <c r="P219" s="88">
        <f t="shared" si="210"/>
        <v>0</v>
      </c>
      <c r="Q219" s="88">
        <f t="shared" si="211"/>
        <v>0</v>
      </c>
      <c r="R219" s="88">
        <f t="shared" si="212"/>
        <v>0</v>
      </c>
      <c r="S219" s="38"/>
      <c r="T219" s="43">
        <f t="shared" si="240"/>
        <v>0</v>
      </c>
      <c r="U219" s="43">
        <f t="shared" si="240"/>
        <v>0</v>
      </c>
      <c r="V219" s="43">
        <f t="shared" si="240"/>
        <v>0</v>
      </c>
      <c r="W219" s="43">
        <f t="shared" si="240"/>
        <v>0</v>
      </c>
      <c r="X219" s="43">
        <f t="shared" si="240"/>
        <v>0</v>
      </c>
      <c r="Y219" s="88">
        <f t="shared" si="213"/>
        <v>0</v>
      </c>
      <c r="Z219" s="88">
        <f t="shared" si="214"/>
        <v>0</v>
      </c>
      <c r="AA219" s="88">
        <f t="shared" si="215"/>
        <v>0</v>
      </c>
      <c r="AB219" s="88">
        <f t="shared" si="216"/>
        <v>0</v>
      </c>
      <c r="AC219" s="38"/>
      <c r="AD219" s="43">
        <f t="shared" si="241"/>
        <v>0</v>
      </c>
      <c r="AE219" s="43">
        <f t="shared" si="241"/>
        <v>0</v>
      </c>
      <c r="AF219" s="43">
        <f t="shared" si="241"/>
        <v>0</v>
      </c>
      <c r="AG219" s="43">
        <f t="shared" si="241"/>
        <v>0</v>
      </c>
      <c r="AH219" s="43">
        <f t="shared" si="241"/>
        <v>0</v>
      </c>
      <c r="AI219" s="88">
        <f t="shared" si="217"/>
        <v>0</v>
      </c>
      <c r="AJ219" s="88">
        <f t="shared" si="218"/>
        <v>0</v>
      </c>
      <c r="AK219" s="88">
        <f t="shared" si="219"/>
        <v>0</v>
      </c>
      <c r="AL219" s="88">
        <f t="shared" si="220"/>
        <v>0</v>
      </c>
      <c r="AM219" s="38"/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88">
        <f t="shared" si="231"/>
        <v>0</v>
      </c>
      <c r="AT219" s="88">
        <f t="shared" si="232"/>
        <v>0</v>
      </c>
      <c r="AU219" s="88">
        <f t="shared" si="233"/>
        <v>0</v>
      </c>
      <c r="AV219" s="88">
        <f t="shared" si="234"/>
        <v>0</v>
      </c>
      <c r="AW219" s="38"/>
      <c r="AX219" s="88">
        <f t="shared" si="235"/>
        <v>0</v>
      </c>
      <c r="AY219" s="88">
        <f t="shared" si="236"/>
        <v>0</v>
      </c>
      <c r="AZ219" s="88">
        <f t="shared" si="237"/>
        <v>0</v>
      </c>
      <c r="BA219" s="88">
        <f t="shared" si="238"/>
        <v>0</v>
      </c>
      <c r="BB219" s="38"/>
    </row>
    <row r="220" spans="1:54" s="7" customFormat="1" x14ac:dyDescent="0.3">
      <c r="C220" s="38"/>
      <c r="D220" s="38"/>
      <c r="E220" s="38" t="s">
        <v>579</v>
      </c>
      <c r="F220" s="38"/>
      <c r="G220" s="38"/>
      <c r="H220" s="38" t="s">
        <v>579</v>
      </c>
      <c r="I220" s="38"/>
      <c r="J220" s="43">
        <f t="shared" si="239"/>
        <v>4117.09</v>
      </c>
      <c r="K220" s="43">
        <f t="shared" si="239"/>
        <v>1864.9769999999999</v>
      </c>
      <c r="L220" s="43">
        <f t="shared" si="239"/>
        <v>1386.8709999999999</v>
      </c>
      <c r="M220" s="43">
        <f t="shared" si="239"/>
        <v>865.24199999999996</v>
      </c>
      <c r="N220" s="43">
        <f t="shared" si="239"/>
        <v>365.06200000000001</v>
      </c>
      <c r="O220" s="88">
        <f t="shared" si="209"/>
        <v>0.45298426801454422</v>
      </c>
      <c r="P220" s="88">
        <f t="shared" si="210"/>
        <v>0.33685710052488527</v>
      </c>
      <c r="Q220" s="88">
        <f t="shared" si="211"/>
        <v>0.21015863146057043</v>
      </c>
      <c r="R220" s="88">
        <f t="shared" si="212"/>
        <v>8.8669910057832105E-2</v>
      </c>
      <c r="S220" s="38"/>
      <c r="T220" s="43">
        <f t="shared" si="240"/>
        <v>2573.2749999999996</v>
      </c>
      <c r="U220" s="43">
        <f t="shared" si="240"/>
        <v>1698.9480000000001</v>
      </c>
      <c r="V220" s="43">
        <f t="shared" si="240"/>
        <v>403.10899999999998</v>
      </c>
      <c r="W220" s="43">
        <f t="shared" si="240"/>
        <v>471.21799999999996</v>
      </c>
      <c r="X220" s="43">
        <f t="shared" si="240"/>
        <v>360.50700000000001</v>
      </c>
      <c r="Y220" s="88">
        <f t="shared" si="213"/>
        <v>0.66022791967434491</v>
      </c>
      <c r="Z220" s="88">
        <f t="shared" si="214"/>
        <v>0.15665212618161681</v>
      </c>
      <c r="AA220" s="88">
        <f t="shared" si="215"/>
        <v>0.18311995414403823</v>
      </c>
      <c r="AB220" s="88">
        <f t="shared" si="216"/>
        <v>0.14009656954658947</v>
      </c>
      <c r="AC220" s="38"/>
      <c r="AD220" s="43">
        <f t="shared" si="241"/>
        <v>6960.829999999999</v>
      </c>
      <c r="AE220" s="43">
        <f t="shared" si="241"/>
        <v>4211.4089999999997</v>
      </c>
      <c r="AF220" s="43">
        <f t="shared" si="241"/>
        <v>1800.9659999999999</v>
      </c>
      <c r="AG220" s="43">
        <f t="shared" si="241"/>
        <v>948.45500000000004</v>
      </c>
      <c r="AH220" s="43">
        <f t="shared" si="241"/>
        <v>641.18899999999996</v>
      </c>
      <c r="AI220" s="88">
        <f t="shared" si="217"/>
        <v>0.60501535018094099</v>
      </c>
      <c r="AJ220" s="88">
        <f t="shared" si="218"/>
        <v>0.25872862862618395</v>
      </c>
      <c r="AK220" s="88">
        <f t="shared" si="219"/>
        <v>0.136256021192875</v>
      </c>
      <c r="AL220" s="88">
        <f t="shared" si="220"/>
        <v>9.2113871477970302E-2</v>
      </c>
      <c r="AM220" s="38"/>
      <c r="AN220" s="43">
        <f>AN206</f>
        <v>0</v>
      </c>
      <c r="AO220" s="43">
        <f t="shared" ref="AO220:AR220" si="242">AO206</f>
        <v>5010.4646599999996</v>
      </c>
      <c r="AP220" s="43">
        <f t="shared" si="242"/>
        <v>2714.7429300000008</v>
      </c>
      <c r="AQ220" s="43">
        <f t="shared" si="242"/>
        <v>1081.2329199999995</v>
      </c>
      <c r="AR220" s="43">
        <f t="shared" si="242"/>
        <v>0</v>
      </c>
      <c r="AS220" s="88">
        <f t="shared" si="231"/>
        <v>0.5689545798112704</v>
      </c>
      <c r="AT220" s="88">
        <f t="shared" si="232"/>
        <v>0.30826790085248651</v>
      </c>
      <c r="AU220" s="88">
        <f t="shared" si="233"/>
        <v>0.12277751933624309</v>
      </c>
      <c r="AV220" s="88">
        <f t="shared" si="234"/>
        <v>0</v>
      </c>
      <c r="AW220" s="38"/>
      <c r="AX220" s="98">
        <v>0.43620515778566454</v>
      </c>
      <c r="AY220" s="98">
        <v>0.21973387706486669</v>
      </c>
      <c r="AZ220" s="98">
        <v>0.34406096514946866</v>
      </c>
      <c r="BA220" s="88">
        <f t="shared" si="238"/>
        <v>0.10506450264602707</v>
      </c>
      <c r="BB220" s="38"/>
    </row>
    <row r="221" spans="1:54" s="7" customFormat="1" x14ac:dyDescent="0.3">
      <c r="C221" s="38"/>
      <c r="D221" s="38"/>
      <c r="E221" s="38" t="s">
        <v>30</v>
      </c>
      <c r="F221" s="38"/>
      <c r="G221" s="38"/>
      <c r="H221" s="38" t="s">
        <v>30</v>
      </c>
      <c r="I221" s="38"/>
      <c r="J221" s="43">
        <f t="shared" si="239"/>
        <v>27748.824000000001</v>
      </c>
      <c r="K221" s="43">
        <f t="shared" si="239"/>
        <v>5.673</v>
      </c>
      <c r="L221" s="43">
        <f t="shared" si="239"/>
        <v>27743.151000000002</v>
      </c>
      <c r="M221" s="43">
        <f t="shared" si="239"/>
        <v>0</v>
      </c>
      <c r="N221" s="43">
        <f t="shared" si="239"/>
        <v>1013.777</v>
      </c>
      <c r="O221" s="88">
        <f t="shared" si="209"/>
        <v>2.0444109631456814E-4</v>
      </c>
      <c r="P221" s="88">
        <f t="shared" si="210"/>
        <v>0.99979555890368543</v>
      </c>
      <c r="Q221" s="88">
        <f t="shared" si="211"/>
        <v>0</v>
      </c>
      <c r="R221" s="88">
        <f t="shared" si="212"/>
        <v>3.6534052758415994E-2</v>
      </c>
      <c r="S221" s="38"/>
      <c r="T221" s="43">
        <f t="shared" si="240"/>
        <v>23243.210999999999</v>
      </c>
      <c r="U221" s="43">
        <f t="shared" si="240"/>
        <v>-0.32200000000000001</v>
      </c>
      <c r="V221" s="43">
        <f t="shared" si="240"/>
        <v>23241.494999999999</v>
      </c>
      <c r="W221" s="43">
        <f t="shared" si="240"/>
        <v>2.0380000000000003</v>
      </c>
      <c r="X221" s="43">
        <f t="shared" si="240"/>
        <v>1685.575</v>
      </c>
      <c r="Y221" s="88">
        <f t="shared" si="213"/>
        <v>-1.3853507589807623E-5</v>
      </c>
      <c r="Z221" s="88">
        <f t="shared" si="214"/>
        <v>0.99992617199060829</v>
      </c>
      <c r="AA221" s="88">
        <f t="shared" si="215"/>
        <v>8.7681516981453228E-5</v>
      </c>
      <c r="AB221" s="88">
        <f t="shared" si="216"/>
        <v>7.2519025017670755E-2</v>
      </c>
      <c r="AC221" s="38"/>
      <c r="AD221" s="43">
        <f t="shared" si="241"/>
        <v>25690.696</v>
      </c>
      <c r="AE221" s="43">
        <f t="shared" si="241"/>
        <v>0</v>
      </c>
      <c r="AF221" s="43">
        <f t="shared" si="241"/>
        <v>25690.696</v>
      </c>
      <c r="AG221" s="43">
        <f t="shared" si="241"/>
        <v>0</v>
      </c>
      <c r="AH221" s="43">
        <f t="shared" si="241"/>
        <v>830.81799999999998</v>
      </c>
      <c r="AI221" s="88">
        <f t="shared" si="217"/>
        <v>0</v>
      </c>
      <c r="AJ221" s="88">
        <f t="shared" si="218"/>
        <v>1</v>
      </c>
      <c r="AK221" s="88">
        <f t="shared" si="219"/>
        <v>0</v>
      </c>
      <c r="AL221" s="88">
        <f t="shared" si="220"/>
        <v>3.2339256203880187E-2</v>
      </c>
      <c r="AM221" s="38"/>
      <c r="AN221" s="43">
        <f t="shared" ref="AN221:AR221" si="243">AN207</f>
        <v>25588.736950000006</v>
      </c>
      <c r="AO221" s="43">
        <f t="shared" si="243"/>
        <v>8974.6537099999987</v>
      </c>
      <c r="AP221" s="43">
        <f t="shared" si="243"/>
        <v>26494.02971000001</v>
      </c>
      <c r="AQ221" s="43">
        <f t="shared" si="243"/>
        <v>15039.091915476823</v>
      </c>
      <c r="AR221" s="43">
        <f t="shared" si="243"/>
        <v>803.16655000000003</v>
      </c>
      <c r="AS221" s="88">
        <f>AS207</f>
        <v>0.56056936204408869</v>
      </c>
      <c r="AT221" s="88">
        <f t="shared" ref="AT221:AU222" si="244">AT207</f>
        <v>0.22835894441058724</v>
      </c>
      <c r="AU221" s="88">
        <f t="shared" si="244"/>
        <v>0.21107169354532415</v>
      </c>
      <c r="AV221" s="88">
        <f t="shared" si="234"/>
        <v>3.1387502695790534E-2</v>
      </c>
      <c r="AW221" s="38"/>
      <c r="AX221" s="98">
        <v>0.21</v>
      </c>
      <c r="AY221" s="98">
        <v>0.34</v>
      </c>
      <c r="AZ221" s="98">
        <v>0.45</v>
      </c>
      <c r="BA221" s="98">
        <v>0</v>
      </c>
      <c r="BB221" s="38"/>
    </row>
    <row r="222" spans="1:54" s="7" customFormat="1" x14ac:dyDescent="0.3">
      <c r="C222" s="38"/>
      <c r="D222" s="38"/>
      <c r="E222" s="38" t="s">
        <v>31</v>
      </c>
      <c r="F222" s="38"/>
      <c r="G222" s="38"/>
      <c r="H222" s="38" t="s">
        <v>31</v>
      </c>
      <c r="I222" s="38"/>
      <c r="J222" s="43">
        <f t="shared" si="239"/>
        <v>6878.6</v>
      </c>
      <c r="K222" s="43">
        <f t="shared" si="239"/>
        <v>-20.645</v>
      </c>
      <c r="L222" s="43">
        <f t="shared" si="239"/>
        <v>5158.0360000000001</v>
      </c>
      <c r="M222" s="43">
        <f t="shared" si="239"/>
        <v>1741.2089999999998</v>
      </c>
      <c r="N222" s="43">
        <f t="shared" si="239"/>
        <v>0.42599999999999999</v>
      </c>
      <c r="O222" s="88">
        <f t="shared" si="209"/>
        <v>-3.0013374814642515E-3</v>
      </c>
      <c r="P222" s="88">
        <f t="shared" si="210"/>
        <v>0.74986712412409506</v>
      </c>
      <c r="Q222" s="88">
        <f t="shared" si="211"/>
        <v>0.25313421335736924</v>
      </c>
      <c r="R222" s="88">
        <f t="shared" si="212"/>
        <v>6.1931206931643059E-5</v>
      </c>
      <c r="S222" s="38"/>
      <c r="T222" s="43">
        <f t="shared" si="240"/>
        <v>5644.679000000001</v>
      </c>
      <c r="U222" s="43">
        <f t="shared" si="240"/>
        <v>75.052999999999997</v>
      </c>
      <c r="V222" s="43">
        <f t="shared" si="240"/>
        <v>5356.6170000000011</v>
      </c>
      <c r="W222" s="43">
        <f t="shared" si="240"/>
        <v>213.00899999999996</v>
      </c>
      <c r="X222" s="43">
        <f t="shared" si="240"/>
        <v>11.162000000000001</v>
      </c>
      <c r="Y222" s="88">
        <f t="shared" si="213"/>
        <v>1.3296238811808428E-2</v>
      </c>
      <c r="Z222" s="88">
        <f t="shared" si="214"/>
        <v>0.94896751436175564</v>
      </c>
      <c r="AA222" s="88">
        <f t="shared" si="215"/>
        <v>3.7736246826435997E-2</v>
      </c>
      <c r="AB222" s="88">
        <f t="shared" si="216"/>
        <v>1.9774375123899871E-3</v>
      </c>
      <c r="AC222" s="38"/>
      <c r="AD222" s="43">
        <f t="shared" si="241"/>
        <v>4538.5280000000002</v>
      </c>
      <c r="AE222" s="43">
        <f t="shared" si="241"/>
        <v>403.24099999999999</v>
      </c>
      <c r="AF222" s="43">
        <f t="shared" si="241"/>
        <v>4032.8120000000004</v>
      </c>
      <c r="AG222" s="43">
        <f t="shared" si="241"/>
        <v>102.47500000000001</v>
      </c>
      <c r="AH222" s="43">
        <f t="shared" si="241"/>
        <v>73.126999999999995</v>
      </c>
      <c r="AI222" s="88">
        <f t="shared" si="217"/>
        <v>8.8848410762255942E-2</v>
      </c>
      <c r="AJ222" s="88">
        <f t="shared" si="218"/>
        <v>0.88857268259664812</v>
      </c>
      <c r="AK222" s="88">
        <f t="shared" si="219"/>
        <v>2.2578906641095967E-2</v>
      </c>
      <c r="AL222" s="88">
        <f t="shared" si="220"/>
        <v>1.6112492861121489E-2</v>
      </c>
      <c r="AM222" s="38"/>
      <c r="AN222" s="43">
        <f t="shared" ref="AN222:AR222" si="245">AN208</f>
        <v>3088.9434500000002</v>
      </c>
      <c r="AO222" s="43">
        <f t="shared" si="245"/>
        <v>39.807559999999995</v>
      </c>
      <c r="AP222" s="43">
        <f t="shared" si="245"/>
        <v>2858.2358799999997</v>
      </c>
      <c r="AQ222" s="43">
        <f t="shared" si="245"/>
        <v>15.162509999999999</v>
      </c>
      <c r="AR222" s="43">
        <f t="shared" si="245"/>
        <v>113.31576000000001</v>
      </c>
      <c r="AS222" s="88">
        <f>AS208</f>
        <v>5.7938258110033815E-3</v>
      </c>
      <c r="AT222" s="88">
        <f t="shared" si="244"/>
        <v>0.60671107357143872</v>
      </c>
      <c r="AU222" s="88">
        <f t="shared" si="244"/>
        <v>0.38749510061755782</v>
      </c>
      <c r="AV222" s="88">
        <f t="shared" si="234"/>
        <v>3.6684310293864396E-2</v>
      </c>
      <c r="AW222" s="38"/>
      <c r="AX222" s="98">
        <v>0.1910978941707201</v>
      </c>
      <c r="AY222" s="98">
        <v>0.51335315874391985</v>
      </c>
      <c r="AZ222" s="98">
        <v>0.29554894708536006</v>
      </c>
      <c r="BA222" s="98">
        <v>0</v>
      </c>
      <c r="BB222" s="38"/>
    </row>
    <row r="223" spans="1:54" s="7" customFormat="1" x14ac:dyDescent="0.3">
      <c r="C223" s="38"/>
      <c r="D223" s="38"/>
      <c r="E223" s="38" t="s">
        <v>8</v>
      </c>
      <c r="F223" s="38"/>
      <c r="G223" s="38"/>
      <c r="H223" s="38" t="s">
        <v>60</v>
      </c>
      <c r="I223" s="38"/>
      <c r="J223" s="43">
        <f t="shared" si="239"/>
        <v>0</v>
      </c>
      <c r="K223" s="43">
        <f t="shared" si="239"/>
        <v>0</v>
      </c>
      <c r="L223" s="43">
        <f t="shared" si="239"/>
        <v>0</v>
      </c>
      <c r="M223" s="43">
        <f t="shared" si="239"/>
        <v>0</v>
      </c>
      <c r="N223" s="43">
        <f t="shared" si="239"/>
        <v>0</v>
      </c>
      <c r="O223" s="88">
        <f t="shared" si="209"/>
        <v>0</v>
      </c>
      <c r="P223" s="88">
        <f t="shared" si="210"/>
        <v>0</v>
      </c>
      <c r="Q223" s="88">
        <f t="shared" si="211"/>
        <v>0</v>
      </c>
      <c r="R223" s="88">
        <f t="shared" si="212"/>
        <v>0</v>
      </c>
      <c r="S223" s="38"/>
      <c r="T223" s="43">
        <f t="shared" si="240"/>
        <v>0</v>
      </c>
      <c r="U223" s="43">
        <f t="shared" si="240"/>
        <v>0</v>
      </c>
      <c r="V223" s="43">
        <f t="shared" si="240"/>
        <v>0</v>
      </c>
      <c r="W223" s="43">
        <f t="shared" si="240"/>
        <v>0</v>
      </c>
      <c r="X223" s="43">
        <f t="shared" si="240"/>
        <v>0</v>
      </c>
      <c r="Y223" s="88">
        <f t="shared" si="213"/>
        <v>0</v>
      </c>
      <c r="Z223" s="88">
        <f t="shared" si="214"/>
        <v>0</v>
      </c>
      <c r="AA223" s="88">
        <f t="shared" si="215"/>
        <v>0</v>
      </c>
      <c r="AB223" s="88">
        <f t="shared" si="216"/>
        <v>0</v>
      </c>
      <c r="AC223" s="38"/>
      <c r="AD223" s="43">
        <f t="shared" si="241"/>
        <v>0</v>
      </c>
      <c r="AE223" s="43">
        <f t="shared" si="241"/>
        <v>0</v>
      </c>
      <c r="AF223" s="43">
        <f t="shared" si="241"/>
        <v>0</v>
      </c>
      <c r="AG223" s="43">
        <f t="shared" si="241"/>
        <v>0</v>
      </c>
      <c r="AH223" s="43">
        <f t="shared" si="241"/>
        <v>0</v>
      </c>
      <c r="AI223" s="88">
        <f t="shared" si="217"/>
        <v>0</v>
      </c>
      <c r="AJ223" s="88">
        <f t="shared" si="218"/>
        <v>0</v>
      </c>
      <c r="AK223" s="88">
        <f t="shared" si="219"/>
        <v>0</v>
      </c>
      <c r="AL223" s="88">
        <f t="shared" si="220"/>
        <v>0</v>
      </c>
      <c r="AM223" s="38"/>
      <c r="AN223" s="43">
        <f t="shared" ref="AN223:AR223" si="246">AN209</f>
        <v>682.50984999999969</v>
      </c>
      <c r="AO223" s="43">
        <f t="shared" si="246"/>
        <v>0</v>
      </c>
      <c r="AP223" s="43">
        <f t="shared" si="246"/>
        <v>0</v>
      </c>
      <c r="AQ223" s="43">
        <f t="shared" si="246"/>
        <v>0</v>
      </c>
      <c r="AR223" s="43">
        <f t="shared" si="246"/>
        <v>81.955849999999998</v>
      </c>
      <c r="AS223" s="88">
        <f t="shared" si="231"/>
        <v>0</v>
      </c>
      <c r="AT223" s="88">
        <f t="shared" si="232"/>
        <v>0</v>
      </c>
      <c r="AU223" s="88">
        <f t="shared" si="233"/>
        <v>0</v>
      </c>
      <c r="AV223" s="88">
        <f t="shared" si="234"/>
        <v>0.12008009847769968</v>
      </c>
      <c r="AW223" s="38"/>
      <c r="AX223" s="88">
        <f t="shared" si="235"/>
        <v>0</v>
      </c>
      <c r="AY223" s="88">
        <f t="shared" si="236"/>
        <v>0</v>
      </c>
      <c r="AZ223" s="88">
        <f t="shared" si="237"/>
        <v>0</v>
      </c>
      <c r="BA223" s="88">
        <f t="shared" si="238"/>
        <v>0</v>
      </c>
      <c r="BB223" s="38"/>
    </row>
    <row r="224" spans="1:54" s="7" customFormat="1" x14ac:dyDescent="0.3">
      <c r="C224" s="38"/>
      <c r="D224" s="38"/>
      <c r="E224" s="38" t="s">
        <v>42</v>
      </c>
      <c r="F224" s="38"/>
      <c r="G224" s="38"/>
      <c r="H224" s="38" t="s">
        <v>42</v>
      </c>
      <c r="I224" s="38"/>
      <c r="J224" s="43">
        <f t="shared" si="239"/>
        <v>0</v>
      </c>
      <c r="K224" s="43">
        <f t="shared" si="239"/>
        <v>0</v>
      </c>
      <c r="L224" s="43">
        <f t="shared" si="239"/>
        <v>0</v>
      </c>
      <c r="M224" s="43">
        <f t="shared" si="239"/>
        <v>0</v>
      </c>
      <c r="N224" s="43">
        <f t="shared" si="239"/>
        <v>0</v>
      </c>
      <c r="O224" s="88">
        <f t="shared" si="209"/>
        <v>0</v>
      </c>
      <c r="P224" s="88">
        <f t="shared" si="210"/>
        <v>0</v>
      </c>
      <c r="Q224" s="88">
        <f t="shared" si="211"/>
        <v>0</v>
      </c>
      <c r="R224" s="88">
        <f t="shared" si="212"/>
        <v>0</v>
      </c>
      <c r="S224" s="38"/>
      <c r="T224" s="43">
        <f t="shared" si="240"/>
        <v>0</v>
      </c>
      <c r="U224" s="43">
        <f t="shared" si="240"/>
        <v>0</v>
      </c>
      <c r="V224" s="43">
        <f t="shared" si="240"/>
        <v>0</v>
      </c>
      <c r="W224" s="43">
        <f t="shared" si="240"/>
        <v>0</v>
      </c>
      <c r="X224" s="43">
        <f t="shared" si="240"/>
        <v>0</v>
      </c>
      <c r="Y224" s="88">
        <f t="shared" si="213"/>
        <v>0</v>
      </c>
      <c r="Z224" s="88">
        <f t="shared" si="214"/>
        <v>0</v>
      </c>
      <c r="AA224" s="88">
        <f t="shared" si="215"/>
        <v>0</v>
      </c>
      <c r="AB224" s="88">
        <f t="shared" si="216"/>
        <v>0</v>
      </c>
      <c r="AC224" s="38"/>
      <c r="AD224" s="43">
        <f t="shared" si="241"/>
        <v>0</v>
      </c>
      <c r="AE224" s="43">
        <f t="shared" si="241"/>
        <v>0</v>
      </c>
      <c r="AF224" s="43">
        <f t="shared" si="241"/>
        <v>0</v>
      </c>
      <c r="AG224" s="43">
        <f t="shared" si="241"/>
        <v>0</v>
      </c>
      <c r="AH224" s="43">
        <f t="shared" si="241"/>
        <v>0</v>
      </c>
      <c r="AI224" s="88">
        <f t="shared" si="217"/>
        <v>0</v>
      </c>
      <c r="AJ224" s="88">
        <f t="shared" si="218"/>
        <v>0</v>
      </c>
      <c r="AK224" s="88">
        <f t="shared" si="219"/>
        <v>0</v>
      </c>
      <c r="AL224" s="88">
        <f t="shared" si="220"/>
        <v>0</v>
      </c>
      <c r="AM224" s="38"/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88">
        <f t="shared" si="231"/>
        <v>0</v>
      </c>
      <c r="AT224" s="88">
        <f t="shared" si="232"/>
        <v>0</v>
      </c>
      <c r="AU224" s="88">
        <f t="shared" si="233"/>
        <v>0</v>
      </c>
      <c r="AV224" s="88">
        <f t="shared" si="234"/>
        <v>0</v>
      </c>
      <c r="AW224" s="38"/>
      <c r="AX224" s="88">
        <f t="shared" si="235"/>
        <v>0</v>
      </c>
      <c r="AY224" s="88">
        <f t="shared" si="236"/>
        <v>0</v>
      </c>
      <c r="AZ224" s="88">
        <f t="shared" si="237"/>
        <v>0</v>
      </c>
      <c r="BA224" s="88">
        <f t="shared" si="238"/>
        <v>0</v>
      </c>
      <c r="BB224" s="38"/>
    </row>
    <row r="225" spans="1:54" s="7" customFormat="1" x14ac:dyDescent="0.3">
      <c r="C225" s="38"/>
      <c r="D225" s="38"/>
      <c r="E225" s="38" t="s">
        <v>43</v>
      </c>
      <c r="F225" s="38"/>
      <c r="G225" s="38"/>
      <c r="H225" s="38" t="s">
        <v>43</v>
      </c>
      <c r="I225" s="38"/>
      <c r="J225" s="43">
        <f t="shared" si="239"/>
        <v>0</v>
      </c>
      <c r="K225" s="43">
        <f t="shared" si="239"/>
        <v>0</v>
      </c>
      <c r="L225" s="43">
        <f t="shared" si="239"/>
        <v>0</v>
      </c>
      <c r="M225" s="43">
        <f t="shared" si="239"/>
        <v>0</v>
      </c>
      <c r="N225" s="43">
        <f t="shared" si="239"/>
        <v>0</v>
      </c>
      <c r="O225" s="88">
        <f t="shared" si="209"/>
        <v>0</v>
      </c>
      <c r="P225" s="88">
        <f t="shared" si="210"/>
        <v>0</v>
      </c>
      <c r="Q225" s="88">
        <f t="shared" si="211"/>
        <v>0</v>
      </c>
      <c r="R225" s="88">
        <f t="shared" si="212"/>
        <v>0</v>
      </c>
      <c r="S225" s="38"/>
      <c r="T225" s="43">
        <f t="shared" si="240"/>
        <v>0</v>
      </c>
      <c r="U225" s="43">
        <f t="shared" si="240"/>
        <v>0</v>
      </c>
      <c r="V225" s="43">
        <f t="shared" si="240"/>
        <v>0</v>
      </c>
      <c r="W225" s="43">
        <f t="shared" si="240"/>
        <v>0</v>
      </c>
      <c r="X225" s="43">
        <f t="shared" si="240"/>
        <v>0</v>
      </c>
      <c r="Y225" s="88">
        <f t="shared" si="213"/>
        <v>0</v>
      </c>
      <c r="Z225" s="88">
        <f t="shared" si="214"/>
        <v>0</v>
      </c>
      <c r="AA225" s="88">
        <f t="shared" si="215"/>
        <v>0</v>
      </c>
      <c r="AB225" s="88">
        <f t="shared" si="216"/>
        <v>0</v>
      </c>
      <c r="AC225" s="38"/>
      <c r="AD225" s="43">
        <f t="shared" si="241"/>
        <v>0</v>
      </c>
      <c r="AE225" s="43">
        <f t="shared" si="241"/>
        <v>0</v>
      </c>
      <c r="AF225" s="43">
        <f t="shared" si="241"/>
        <v>0</v>
      </c>
      <c r="AG225" s="43">
        <f t="shared" si="241"/>
        <v>0</v>
      </c>
      <c r="AH225" s="43">
        <f t="shared" si="241"/>
        <v>0</v>
      </c>
      <c r="AI225" s="88">
        <f t="shared" si="217"/>
        <v>0</v>
      </c>
      <c r="AJ225" s="88">
        <f t="shared" si="218"/>
        <v>0</v>
      </c>
      <c r="AK225" s="88">
        <f t="shared" si="219"/>
        <v>0</v>
      </c>
      <c r="AL225" s="88">
        <f t="shared" si="220"/>
        <v>0</v>
      </c>
      <c r="AM225" s="38"/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88">
        <f t="shared" si="231"/>
        <v>0</v>
      </c>
      <c r="AT225" s="88">
        <f t="shared" si="232"/>
        <v>0</v>
      </c>
      <c r="AU225" s="88">
        <f t="shared" si="233"/>
        <v>0</v>
      </c>
      <c r="AV225" s="88">
        <f t="shared" si="234"/>
        <v>0</v>
      </c>
      <c r="AW225" s="38"/>
      <c r="AX225" s="88">
        <f t="shared" si="235"/>
        <v>0</v>
      </c>
      <c r="AY225" s="88">
        <f t="shared" si="236"/>
        <v>0</v>
      </c>
      <c r="AZ225" s="88">
        <f t="shared" si="237"/>
        <v>0</v>
      </c>
      <c r="BA225" s="88">
        <f t="shared" si="238"/>
        <v>0</v>
      </c>
      <c r="BB225" s="38"/>
    </row>
    <row r="226" spans="1:54" s="7" customFormat="1" x14ac:dyDescent="0.3">
      <c r="C226" s="38"/>
      <c r="D226" s="38"/>
      <c r="E226" s="38" t="s">
        <v>44</v>
      </c>
      <c r="F226" s="38"/>
      <c r="G226" s="38"/>
      <c r="H226" s="38" t="s">
        <v>44</v>
      </c>
      <c r="I226" s="38"/>
      <c r="J226" s="43">
        <f t="shared" si="239"/>
        <v>0</v>
      </c>
      <c r="K226" s="43">
        <f t="shared" si="239"/>
        <v>0</v>
      </c>
      <c r="L226" s="43">
        <f t="shared" si="239"/>
        <v>0</v>
      </c>
      <c r="M226" s="43">
        <f t="shared" si="239"/>
        <v>0</v>
      </c>
      <c r="N226" s="43">
        <f t="shared" si="239"/>
        <v>0</v>
      </c>
      <c r="O226" s="88">
        <f t="shared" si="209"/>
        <v>0</v>
      </c>
      <c r="P226" s="88">
        <f t="shared" si="210"/>
        <v>0</v>
      </c>
      <c r="Q226" s="88">
        <f t="shared" si="211"/>
        <v>0</v>
      </c>
      <c r="R226" s="88">
        <f t="shared" si="212"/>
        <v>0</v>
      </c>
      <c r="S226" s="38"/>
      <c r="T226" s="43">
        <f t="shared" si="240"/>
        <v>0</v>
      </c>
      <c r="U226" s="43">
        <f t="shared" si="240"/>
        <v>0</v>
      </c>
      <c r="V226" s="43">
        <f t="shared" si="240"/>
        <v>0</v>
      </c>
      <c r="W226" s="43">
        <f t="shared" si="240"/>
        <v>0</v>
      </c>
      <c r="X226" s="43">
        <f t="shared" si="240"/>
        <v>0</v>
      </c>
      <c r="Y226" s="88">
        <f t="shared" si="213"/>
        <v>0</v>
      </c>
      <c r="Z226" s="88">
        <f t="shared" si="214"/>
        <v>0</v>
      </c>
      <c r="AA226" s="88">
        <f t="shared" si="215"/>
        <v>0</v>
      </c>
      <c r="AB226" s="88">
        <f t="shared" si="216"/>
        <v>0</v>
      </c>
      <c r="AC226" s="38"/>
      <c r="AD226" s="43">
        <f t="shared" si="241"/>
        <v>0</v>
      </c>
      <c r="AE226" s="43">
        <f t="shared" si="241"/>
        <v>0</v>
      </c>
      <c r="AF226" s="43">
        <f t="shared" si="241"/>
        <v>0</v>
      </c>
      <c r="AG226" s="43">
        <f t="shared" si="241"/>
        <v>0</v>
      </c>
      <c r="AH226" s="43">
        <f t="shared" si="241"/>
        <v>0</v>
      </c>
      <c r="AI226" s="88">
        <f t="shared" si="217"/>
        <v>0</v>
      </c>
      <c r="AJ226" s="88">
        <f t="shared" si="218"/>
        <v>0</v>
      </c>
      <c r="AK226" s="88">
        <f t="shared" si="219"/>
        <v>0</v>
      </c>
      <c r="AL226" s="88">
        <f t="shared" si="220"/>
        <v>0</v>
      </c>
      <c r="AM226" s="38"/>
      <c r="AN226" s="43">
        <f>AN210</f>
        <v>0</v>
      </c>
      <c r="AO226" s="43">
        <f t="shared" ref="AO226:AR226" si="247">AO210</f>
        <v>0</v>
      </c>
      <c r="AP226" s="43">
        <f t="shared" si="247"/>
        <v>0</v>
      </c>
      <c r="AQ226" s="43">
        <f t="shared" si="247"/>
        <v>0</v>
      </c>
      <c r="AR226" s="43">
        <f t="shared" si="247"/>
        <v>0</v>
      </c>
      <c r="AS226" s="88">
        <f>AS210</f>
        <v>0</v>
      </c>
      <c r="AT226" s="88">
        <f t="shared" ref="AT226:AV226" si="248">AT210</f>
        <v>1</v>
      </c>
      <c r="AU226" s="88">
        <f t="shared" si="248"/>
        <v>0</v>
      </c>
      <c r="AV226" s="88">
        <f t="shared" si="248"/>
        <v>0</v>
      </c>
      <c r="AW226" s="38"/>
      <c r="AX226" s="88">
        <f t="shared" si="235"/>
        <v>0</v>
      </c>
      <c r="AY226" s="88">
        <f t="shared" si="236"/>
        <v>0</v>
      </c>
      <c r="AZ226" s="88">
        <f t="shared" si="237"/>
        <v>0</v>
      </c>
      <c r="BA226" s="88">
        <f t="shared" si="238"/>
        <v>0</v>
      </c>
      <c r="BB226" s="38"/>
    </row>
    <row r="227" spans="1:54" s="7" customFormat="1" x14ac:dyDescent="0.3">
      <c r="C227" s="38"/>
      <c r="D227" s="38"/>
      <c r="E227" s="38"/>
      <c r="F227" s="38"/>
      <c r="G227" s="38"/>
      <c r="H227" s="38"/>
      <c r="I227" s="38"/>
      <c r="J227" s="57">
        <f>SUM(J216:J226)</f>
        <v>187854.92600000001</v>
      </c>
      <c r="K227" s="57">
        <f t="shared" ref="K227:N227" si="249">SUM(K216:K226)</f>
        <v>73631.943999999959</v>
      </c>
      <c r="L227" s="57">
        <f t="shared" si="249"/>
        <v>75355.19</v>
      </c>
      <c r="M227" s="57">
        <f t="shared" si="249"/>
        <v>38867.792000000009</v>
      </c>
      <c r="N227" s="57">
        <f t="shared" si="249"/>
        <v>15815.996999999996</v>
      </c>
      <c r="O227" s="92">
        <f t="shared" si="209"/>
        <v>0.39196174179643267</v>
      </c>
      <c r="P227" s="92">
        <f t="shared" si="210"/>
        <v>0.40113502267169726</v>
      </c>
      <c r="Q227" s="92">
        <f t="shared" si="211"/>
        <v>0.20690323553187001</v>
      </c>
      <c r="R227" s="92">
        <f t="shared" si="212"/>
        <v>8.4192612548259688E-2</v>
      </c>
      <c r="S227" s="38"/>
      <c r="T227" s="57">
        <f>SUM(T216:T226)</f>
        <v>175818.37599999996</v>
      </c>
      <c r="U227" s="57">
        <f t="shared" ref="U227:X227" si="250">SUM(U216:U226)</f>
        <v>74008.53999999995</v>
      </c>
      <c r="V227" s="57">
        <f t="shared" si="250"/>
        <v>66590.504000000001</v>
      </c>
      <c r="W227" s="57">
        <f t="shared" si="250"/>
        <v>35219.331999999966</v>
      </c>
      <c r="X227" s="57">
        <f t="shared" si="250"/>
        <v>18723.267999999996</v>
      </c>
      <c r="Y227" s="92">
        <f t="shared" ref="Y227" si="251">IFERROR(U227/SUM($U227:$W227),0)</f>
        <v>0.42093745650340891</v>
      </c>
      <c r="Z227" s="92">
        <f t="shared" ref="Z227" si="252">IFERROR(V227/SUM($U227:$W227),0)</f>
        <v>0.37874598500443457</v>
      </c>
      <c r="AA227" s="92">
        <f t="shared" ref="AA227" si="253">IFERROR(W227/SUM($U227:$W227),0)</f>
        <v>0.20031655849215663</v>
      </c>
      <c r="AB227" s="92">
        <f t="shared" ref="AB227" si="254">IFERROR(X227/T227,0)</f>
        <v>0.10649209955164186</v>
      </c>
      <c r="AC227" s="38"/>
      <c r="AD227" s="57">
        <f>SUM(AD216:AD226)</f>
        <v>164331.21926828116</v>
      </c>
      <c r="AE227" s="57">
        <f t="shared" ref="AE227" si="255">SUM(AE216:AE226)</f>
        <v>64877.869999999988</v>
      </c>
      <c r="AF227" s="57">
        <f t="shared" ref="AF227" si="256">SUM(AF216:AF226)</f>
        <v>69655.556000000011</v>
      </c>
      <c r="AG227" s="57">
        <f t="shared" ref="AG227" si="257">SUM(AG216:AG226)</f>
        <v>29797.79326828121</v>
      </c>
      <c r="AH227" s="57">
        <f t="shared" ref="AH227" si="258">SUM(AH216:AH226)</f>
        <v>13832.556999999999</v>
      </c>
      <c r="AI227" s="92">
        <f t="shared" ref="AI227" si="259">IFERROR(AE227/SUM($AE227:$AG227),0)</f>
        <v>0.39479941966524768</v>
      </c>
      <c r="AJ227" s="92">
        <f t="shared" ref="AJ227" si="260">IFERROR(AF227/SUM($AE227:$AG227),0)</f>
        <v>0.42387293364070322</v>
      </c>
      <c r="AK227" s="92">
        <f t="shared" ref="AK227" si="261">IFERROR(AG227/SUM($AE227:$AG227),0)</f>
        <v>0.1813276466940491</v>
      </c>
      <c r="AL227" s="92">
        <f t="shared" ref="AL227" si="262">IFERROR(AH227/AD227,0)</f>
        <v>8.4174857714756385E-2</v>
      </c>
      <c r="AM227" s="38"/>
      <c r="AN227" s="57">
        <f>SUM(AN216:AN226)</f>
        <v>148709.5488999981</v>
      </c>
      <c r="AO227" s="57">
        <f t="shared" ref="AO227:AR227" si="263">SUM(AO216:AO226)</f>
        <v>84836.897386932731</v>
      </c>
      <c r="AP227" s="57">
        <f t="shared" si="263"/>
        <v>63078.031511326881</v>
      </c>
      <c r="AQ227" s="57">
        <f t="shared" si="263"/>
        <v>35242.915787217113</v>
      </c>
      <c r="AR227" s="57">
        <f t="shared" si="263"/>
        <v>20671.990600000001</v>
      </c>
      <c r="AS227" s="92">
        <f>IFERROR(AO227/SUM($AO227:$AQ227),0)</f>
        <v>0.4631900835730885</v>
      </c>
      <c r="AT227" s="92">
        <f t="shared" ref="AT227" si="264">IFERROR(AP227/SUM($AO227:$AQ227),0)</f>
        <v>0.34439164546648854</v>
      </c>
      <c r="AU227" s="92">
        <f t="shared" ref="AU227" si="265">IFERROR(AQ227/SUM($AO227:$AQ227),0)</f>
        <v>0.19241827096042288</v>
      </c>
      <c r="AV227" s="112">
        <f t="shared" ref="AV227" si="266">IFERROR(AR227/AN227,0)</f>
        <v>0.13900916755454071</v>
      </c>
      <c r="AW227" s="38"/>
      <c r="AX227" s="92">
        <f t="shared" si="226"/>
        <v>0.40830979055100192</v>
      </c>
      <c r="AY227" s="92">
        <f t="shared" si="227"/>
        <v>0.40054747056964946</v>
      </c>
      <c r="AZ227" s="92">
        <f t="shared" si="228"/>
        <v>0.19114273887934863</v>
      </c>
      <c r="BA227" s="92">
        <f t="shared" si="229"/>
        <v>9.5710315263855386E-2</v>
      </c>
      <c r="BB227" s="38"/>
    </row>
    <row r="228" spans="1:54" s="7" customFormat="1" x14ac:dyDescent="0.3">
      <c r="C228" s="38"/>
      <c r="D228" s="38"/>
      <c r="E228" s="38"/>
      <c r="F228" s="38"/>
      <c r="G228" s="38"/>
      <c r="H228" s="38"/>
      <c r="I228" s="38"/>
      <c r="J228" s="61">
        <f>J227-J199</f>
        <v>0</v>
      </c>
      <c r="K228" s="61">
        <f t="shared" ref="K228:R228" si="267">K227-K199</f>
        <v>0</v>
      </c>
      <c r="L228" s="61">
        <f t="shared" si="267"/>
        <v>0</v>
      </c>
      <c r="M228" s="61">
        <f t="shared" si="267"/>
        <v>0</v>
      </c>
      <c r="N228" s="61">
        <f t="shared" si="267"/>
        <v>0</v>
      </c>
      <c r="O228" s="61">
        <f t="shared" si="267"/>
        <v>0</v>
      </c>
      <c r="P228" s="61">
        <f t="shared" si="267"/>
        <v>0</v>
      </c>
      <c r="Q228" s="61">
        <f t="shared" si="267"/>
        <v>0</v>
      </c>
      <c r="R228" s="61">
        <f t="shared" si="267"/>
        <v>0</v>
      </c>
      <c r="S228" s="38"/>
      <c r="T228" s="61">
        <f>T227-T199</f>
        <v>0</v>
      </c>
      <c r="U228" s="61">
        <f t="shared" ref="U228:AB228" si="268">U227-U199</f>
        <v>0</v>
      </c>
      <c r="V228" s="61">
        <f t="shared" si="268"/>
        <v>0</v>
      </c>
      <c r="W228" s="61">
        <f t="shared" si="268"/>
        <v>0</v>
      </c>
      <c r="X228" s="61">
        <f t="shared" si="268"/>
        <v>0</v>
      </c>
      <c r="Y228" s="61">
        <f t="shared" si="268"/>
        <v>0</v>
      </c>
      <c r="Z228" s="61">
        <f t="shared" si="268"/>
        <v>0</v>
      </c>
      <c r="AA228" s="61">
        <f t="shared" si="268"/>
        <v>0</v>
      </c>
      <c r="AB228" s="61">
        <f t="shared" si="268"/>
        <v>0</v>
      </c>
      <c r="AC228" s="38"/>
      <c r="AD228" s="61">
        <f>AD227-AD199</f>
        <v>0</v>
      </c>
      <c r="AE228" s="61">
        <f t="shared" ref="AE228" si="269">AE227-AE199</f>
        <v>0</v>
      </c>
      <c r="AF228" s="61">
        <f t="shared" ref="AF228" si="270">AF227-AF199</f>
        <v>0</v>
      </c>
      <c r="AG228" s="61">
        <f t="shared" ref="AG228" si="271">AG227-AG199</f>
        <v>0</v>
      </c>
      <c r="AH228" s="61">
        <f t="shared" ref="AH228" si="272">AH227-AH199</f>
        <v>0</v>
      </c>
      <c r="AI228" s="61">
        <f t="shared" ref="AI228" si="273">AI227-AI199</f>
        <v>0</v>
      </c>
      <c r="AJ228" s="61">
        <f t="shared" ref="AJ228" si="274">AJ227-AJ199</f>
        <v>0</v>
      </c>
      <c r="AK228" s="61">
        <f t="shared" ref="AK228" si="275">AK227-AK199</f>
        <v>0</v>
      </c>
      <c r="AL228" s="61">
        <f t="shared" ref="AL228" si="276">AL227-AL199</f>
        <v>0</v>
      </c>
      <c r="AM228" s="38"/>
      <c r="AN228" s="61">
        <f>AN227-AN211</f>
        <v>0</v>
      </c>
      <c r="AO228" s="61">
        <f t="shared" ref="AO228:AR228" si="277">AO227-AO211</f>
        <v>0</v>
      </c>
      <c r="AP228" s="61">
        <f t="shared" si="277"/>
        <v>0</v>
      </c>
      <c r="AQ228" s="61">
        <f t="shared" si="277"/>
        <v>0</v>
      </c>
      <c r="AR228" s="61">
        <f t="shared" si="277"/>
        <v>0</v>
      </c>
      <c r="AS228" s="61"/>
      <c r="AT228" s="61"/>
      <c r="AU228" s="61"/>
      <c r="AV228" s="61"/>
      <c r="AW228" s="38"/>
      <c r="AX228" s="61">
        <f t="shared" ref="AX228" si="278">AX227-AX199</f>
        <v>0</v>
      </c>
      <c r="AY228" s="61">
        <f t="shared" ref="AY228" si="279">AY227-AY199</f>
        <v>0</v>
      </c>
      <c r="AZ228" s="61">
        <f t="shared" ref="AZ228" si="280">AZ227-AZ199</f>
        <v>0</v>
      </c>
      <c r="BA228" s="61">
        <f t="shared" ref="BA228" si="281">BA227-BA199</f>
        <v>0</v>
      </c>
      <c r="BB228" s="38"/>
    </row>
    <row r="229" spans="1:54" s="7" customFormat="1" x14ac:dyDescent="0.3"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</row>
    <row r="230" spans="1:54" x14ac:dyDescent="0.3">
      <c r="A230" s="21" t="s">
        <v>35</v>
      </c>
      <c r="B230" s="21"/>
      <c r="C230" s="14"/>
      <c r="D230" s="23"/>
      <c r="E230" s="24"/>
      <c r="F230" s="24"/>
      <c r="G230" s="24"/>
      <c r="H230" s="24"/>
      <c r="I230" s="24"/>
      <c r="J230" s="34" t="s">
        <v>25</v>
      </c>
      <c r="K230" s="34"/>
      <c r="L230" s="34"/>
      <c r="M230" s="34"/>
      <c r="N230" s="34"/>
      <c r="O230" s="34"/>
      <c r="P230" s="34"/>
      <c r="Q230" s="34"/>
      <c r="R230" s="34" t="s">
        <v>27</v>
      </c>
      <c r="S230" s="24"/>
      <c r="T230" s="34" t="s">
        <v>25</v>
      </c>
      <c r="U230" s="34"/>
      <c r="V230" s="34"/>
      <c r="W230" s="34"/>
      <c r="X230" s="34"/>
      <c r="Y230" s="34"/>
      <c r="Z230" s="34"/>
      <c r="AA230" s="34"/>
      <c r="AB230" s="34" t="s">
        <v>27</v>
      </c>
      <c r="AC230" s="24"/>
      <c r="AD230" s="34" t="s">
        <v>25</v>
      </c>
      <c r="AE230" s="34"/>
      <c r="AF230" s="34"/>
      <c r="AG230" s="34"/>
      <c r="AH230" s="34"/>
      <c r="AI230" s="34"/>
      <c r="AJ230" s="34"/>
      <c r="AK230" s="34"/>
      <c r="AL230" s="34" t="s">
        <v>27</v>
      </c>
      <c r="AM230" s="24"/>
      <c r="AN230" s="34" t="s">
        <v>25</v>
      </c>
      <c r="AO230" s="34"/>
      <c r="AP230" s="34"/>
      <c r="AQ230" s="34"/>
      <c r="AR230" s="34"/>
      <c r="AS230" s="34"/>
      <c r="AT230" s="34"/>
      <c r="AU230" s="34"/>
      <c r="AV230" s="34" t="s">
        <v>27</v>
      </c>
      <c r="AW230" s="24"/>
      <c r="AX230" s="34"/>
      <c r="AY230" s="34"/>
      <c r="AZ230" s="34"/>
      <c r="BA230" s="34" t="s">
        <v>27</v>
      </c>
      <c r="BB230" s="24"/>
    </row>
    <row r="231" spans="1:54" s="7" customFormat="1" x14ac:dyDescent="0.3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</row>
    <row r="232" spans="1:54" s="7" customFormat="1" x14ac:dyDescent="0.3">
      <c r="C232" s="38"/>
      <c r="D232" s="38"/>
      <c r="E232" s="38" t="s">
        <v>36</v>
      </c>
      <c r="F232" s="38"/>
      <c r="G232" s="38"/>
      <c r="H232" s="38"/>
      <c r="I232" s="38"/>
      <c r="S232" s="38"/>
      <c r="T232" s="40">
        <v>15918.63025</v>
      </c>
      <c r="U232" s="38"/>
      <c r="V232" s="38"/>
      <c r="W232" s="38"/>
      <c r="X232" s="38"/>
      <c r="Y232" s="38"/>
      <c r="Z232" s="38"/>
      <c r="AA232" s="38"/>
      <c r="AB232" s="45">
        <f>T232/SUM($T$232:$T$233)</f>
        <v>9.028812021714587E-2</v>
      </c>
      <c r="AC232" s="38"/>
      <c r="AD232" s="40">
        <v>18840.585999999999</v>
      </c>
      <c r="AE232" s="43"/>
      <c r="AF232" s="38"/>
      <c r="AG232" s="38"/>
      <c r="AH232" s="38"/>
      <c r="AI232" s="38"/>
      <c r="AJ232" s="38"/>
      <c r="AK232" s="38"/>
      <c r="AL232" s="45">
        <f>AD232/SUM($AD$232:$AD$233)</f>
        <v>0.12105248393271797</v>
      </c>
      <c r="AM232" s="38"/>
      <c r="AN232" s="40">
        <v>8223.1996000000036</v>
      </c>
      <c r="AO232" s="43"/>
      <c r="AP232" s="38"/>
      <c r="AQ232" s="38"/>
      <c r="AR232" s="38"/>
      <c r="AS232" s="38"/>
      <c r="AT232" s="38"/>
      <c r="AU232" s="38"/>
      <c r="AV232" s="45">
        <f>AN232/SUM($AN$232:$AN$233)</f>
        <v>9.0476917272967111E-2</v>
      </c>
      <c r="AW232" s="38"/>
      <c r="AX232" s="38"/>
      <c r="AY232" s="38"/>
      <c r="AZ232" s="38"/>
      <c r="BA232" s="45">
        <f>SUM(T232,AD232)/SUM($T$232:$T$233,$AD$232:$AD$233)</f>
        <v>0.10471250165364855</v>
      </c>
      <c r="BB232" s="38"/>
    </row>
    <row r="233" spans="1:54" s="7" customFormat="1" x14ac:dyDescent="0.3">
      <c r="C233" s="38"/>
      <c r="D233" s="38"/>
      <c r="E233" s="38" t="s">
        <v>37</v>
      </c>
      <c r="F233" s="38"/>
      <c r="G233" s="38"/>
      <c r="H233" s="38"/>
      <c r="I233" s="38"/>
      <c r="S233" s="38"/>
      <c r="T233" s="40">
        <v>160390.61410811907</v>
      </c>
      <c r="U233" s="38"/>
      <c r="V233" s="38"/>
      <c r="W233" s="38"/>
      <c r="X233" s="38"/>
      <c r="Y233" s="38"/>
      <c r="Z233" s="38"/>
      <c r="AA233" s="38"/>
      <c r="AB233" s="45">
        <f>T233/SUM($T$232:$T$233)</f>
        <v>0.90971187978285417</v>
      </c>
      <c r="AC233" s="38"/>
      <c r="AD233" s="40">
        <v>136799.22730999999</v>
      </c>
      <c r="AE233" s="43"/>
      <c r="AF233" s="38"/>
      <c r="AG233" s="38"/>
      <c r="AH233" s="38"/>
      <c r="AI233" s="38"/>
      <c r="AJ233" s="38"/>
      <c r="AK233" s="38"/>
      <c r="AL233" s="45">
        <f>AD233/SUM($AD$232:$AD$233)</f>
        <v>0.87894751606728194</v>
      </c>
      <c r="AM233" s="38"/>
      <c r="AN233" s="40">
        <v>82664.065879998263</v>
      </c>
      <c r="AO233" s="43"/>
      <c r="AP233" s="38"/>
      <c r="AQ233" s="38"/>
      <c r="AR233" s="38"/>
      <c r="AS233" s="38"/>
      <c r="AT233" s="38"/>
      <c r="AU233" s="38"/>
      <c r="AV233" s="45">
        <f>AN233/SUM($AN$232:$AN$233)</f>
        <v>0.90952308272703286</v>
      </c>
      <c r="AW233" s="38"/>
      <c r="AX233" s="38"/>
      <c r="AY233" s="38"/>
      <c r="AZ233" s="38"/>
      <c r="BA233" s="45">
        <f>SUM(T233,AD233)/SUM($T$232:$T$233,$AD$232:$AD$233)</f>
        <v>0.89528749834635124</v>
      </c>
      <c r="BB233" s="38"/>
    </row>
    <row r="234" spans="1:54" s="7" customFormat="1" x14ac:dyDescent="0.3"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</row>
    <row r="235" spans="1:54" s="7" customFormat="1" x14ac:dyDescent="0.3"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</row>
    <row r="236" spans="1:54" x14ac:dyDescent="0.3">
      <c r="A236" s="21" t="s">
        <v>561</v>
      </c>
      <c r="B236" s="21"/>
      <c r="C236" s="14"/>
      <c r="D236" s="23"/>
      <c r="E236" s="24"/>
      <c r="F236" s="24"/>
      <c r="G236" s="24"/>
      <c r="H236" s="24"/>
      <c r="I236" s="24"/>
      <c r="J236" s="34" t="s">
        <v>25</v>
      </c>
      <c r="K236" s="34" t="s">
        <v>25</v>
      </c>
      <c r="L236" s="34" t="s">
        <v>25</v>
      </c>
      <c r="M236" s="34" t="s">
        <v>25</v>
      </c>
      <c r="N236" s="34" t="s">
        <v>25</v>
      </c>
      <c r="O236" s="34" t="s">
        <v>27</v>
      </c>
      <c r="P236" s="34" t="s">
        <v>27</v>
      </c>
      <c r="Q236" s="34" t="s">
        <v>27</v>
      </c>
      <c r="R236" s="34" t="s">
        <v>27</v>
      </c>
      <c r="S236" s="24"/>
      <c r="T236" s="34" t="s">
        <v>25</v>
      </c>
      <c r="U236" s="34" t="s">
        <v>25</v>
      </c>
      <c r="V236" s="34" t="s">
        <v>25</v>
      </c>
      <c r="W236" s="34" t="s">
        <v>25</v>
      </c>
      <c r="X236" s="34" t="s">
        <v>25</v>
      </c>
      <c r="Y236" s="34" t="s">
        <v>27</v>
      </c>
      <c r="Z236" s="34" t="s">
        <v>27</v>
      </c>
      <c r="AA236" s="34" t="s">
        <v>27</v>
      </c>
      <c r="AB236" s="34" t="s">
        <v>27</v>
      </c>
      <c r="AC236" s="24"/>
      <c r="AD236" s="34" t="s">
        <v>25</v>
      </c>
      <c r="AE236" s="34" t="s">
        <v>25</v>
      </c>
      <c r="AF236" s="34" t="s">
        <v>25</v>
      </c>
      <c r="AG236" s="34" t="s">
        <v>25</v>
      </c>
      <c r="AH236" s="34" t="s">
        <v>25</v>
      </c>
      <c r="AI236" s="34" t="s">
        <v>27</v>
      </c>
      <c r="AJ236" s="34" t="s">
        <v>27</v>
      </c>
      <c r="AK236" s="34" t="s">
        <v>27</v>
      </c>
      <c r="AL236" s="34" t="s">
        <v>27</v>
      </c>
      <c r="AM236" s="24"/>
      <c r="AN236" s="34" t="s">
        <v>25</v>
      </c>
      <c r="AO236" s="34" t="s">
        <v>25</v>
      </c>
      <c r="AP236" s="34" t="s">
        <v>25</v>
      </c>
      <c r="AQ236" s="34" t="s">
        <v>25</v>
      </c>
      <c r="AR236" s="34" t="s">
        <v>25</v>
      </c>
      <c r="AS236" s="34" t="s">
        <v>27</v>
      </c>
      <c r="AT236" s="34" t="s">
        <v>27</v>
      </c>
      <c r="AU236" s="34" t="s">
        <v>27</v>
      </c>
      <c r="AV236" s="34" t="s">
        <v>27</v>
      </c>
      <c r="AW236" s="24"/>
      <c r="AX236" s="34" t="s">
        <v>27</v>
      </c>
      <c r="AY236" s="34" t="s">
        <v>27</v>
      </c>
      <c r="AZ236" s="34" t="s">
        <v>27</v>
      </c>
      <c r="BA236" s="34" t="s">
        <v>27</v>
      </c>
      <c r="BB236" s="24"/>
    </row>
    <row r="237" spans="1:54" s="7" customFormat="1" x14ac:dyDescent="0.3"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</row>
    <row r="238" spans="1:54" s="7" customFormat="1" x14ac:dyDescent="0.3">
      <c r="C238" s="38"/>
      <c r="D238" s="38"/>
      <c r="E238" s="38" t="s">
        <v>562</v>
      </c>
      <c r="F238" s="38"/>
      <c r="G238" s="38"/>
      <c r="H238" s="38"/>
      <c r="I238" s="38"/>
      <c r="J238" s="113">
        <f>J211-J210-J208-J207</f>
        <v>153227.50199999998</v>
      </c>
      <c r="K238" s="38"/>
      <c r="L238" s="38"/>
      <c r="M238" s="38"/>
      <c r="N238" s="38"/>
      <c r="O238" s="38"/>
      <c r="P238" s="38"/>
      <c r="Q238" s="38"/>
      <c r="R238" s="38"/>
      <c r="S238" s="38"/>
      <c r="T238" s="113">
        <f>T211-T210-T208-T207</f>
        <v>146930.486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113">
        <f>AD211-AD210-AD208-AD207</f>
        <v>134101.99526828123</v>
      </c>
      <c r="AE238" s="38"/>
      <c r="AF238" s="38"/>
      <c r="AG238" s="38"/>
      <c r="AH238" s="38"/>
      <c r="AI238" s="38"/>
      <c r="AJ238" s="38"/>
      <c r="AK238" s="38"/>
      <c r="AL238" s="38"/>
      <c r="AM238" s="38"/>
      <c r="AN238" s="113">
        <f>AN211-AN210-AN208-AN207</f>
        <v>120031.86849999813</v>
      </c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</row>
    <row r="239" spans="1:54" s="7" customFormat="1" x14ac:dyDescent="0.3">
      <c r="C239" s="38"/>
      <c r="D239" s="38"/>
      <c r="E239" s="38" t="s">
        <v>563</v>
      </c>
      <c r="F239" s="38"/>
      <c r="G239" s="38"/>
      <c r="H239" s="38"/>
      <c r="I239" s="38"/>
      <c r="J239" s="38"/>
      <c r="K239" s="38"/>
      <c r="L239" s="38"/>
      <c r="M239" s="38"/>
      <c r="N239" s="113">
        <f>N211</f>
        <v>15815.996999999999</v>
      </c>
      <c r="O239" s="38"/>
      <c r="P239" s="38"/>
      <c r="Q239" s="38"/>
      <c r="R239" s="38"/>
      <c r="S239" s="38"/>
      <c r="T239" s="38"/>
      <c r="U239" s="38"/>
      <c r="V239" s="38"/>
      <c r="W239" s="38"/>
      <c r="X239" s="113">
        <f>X211</f>
        <v>18723.268000000004</v>
      </c>
      <c r="Y239" s="38"/>
      <c r="Z239" s="38"/>
      <c r="AA239" s="38"/>
      <c r="AB239" s="38"/>
      <c r="AC239" s="38"/>
      <c r="AD239" s="38"/>
      <c r="AE239" s="38"/>
      <c r="AF239" s="38"/>
      <c r="AG239" s="38"/>
      <c r="AH239" s="113">
        <f>AH211</f>
        <v>13832.556999999997</v>
      </c>
      <c r="AI239" s="38"/>
      <c r="AJ239" s="38"/>
      <c r="AK239" s="38"/>
      <c r="AL239" s="38"/>
      <c r="AM239" s="38"/>
      <c r="AN239" s="38"/>
      <c r="AO239" s="38"/>
      <c r="AP239" s="38"/>
      <c r="AQ239" s="38"/>
      <c r="AR239" s="113">
        <f>AR211</f>
        <v>20671.990600000001</v>
      </c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</row>
    <row r="240" spans="1:54" s="7" customFormat="1" x14ac:dyDescent="0.3"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</row>
    <row r="241" spans="1:54" s="7" customFormat="1" x14ac:dyDescent="0.3">
      <c r="C241" s="38"/>
      <c r="D241" s="38"/>
      <c r="E241" s="38" t="s">
        <v>564</v>
      </c>
      <c r="F241" s="38"/>
      <c r="G241" s="38"/>
      <c r="H241" s="38"/>
      <c r="I241" s="38"/>
      <c r="J241" s="38"/>
      <c r="K241" s="38"/>
      <c r="L241" s="38"/>
      <c r="M241" s="38"/>
      <c r="N241" s="114">
        <f>N239/J238</f>
        <v>0.10321904875797036</v>
      </c>
      <c r="O241" s="38"/>
      <c r="P241" s="38"/>
      <c r="Q241" s="38"/>
      <c r="R241" s="38"/>
      <c r="S241" s="38"/>
      <c r="T241" s="38"/>
      <c r="U241" s="38"/>
      <c r="V241" s="38"/>
      <c r="W241" s="38"/>
      <c r="X241" s="114">
        <f>X239/T238</f>
        <v>0.12742942945142102</v>
      </c>
      <c r="Y241" s="38"/>
      <c r="Z241" s="38"/>
      <c r="AA241" s="38"/>
      <c r="AB241" s="38"/>
      <c r="AC241" s="38"/>
      <c r="AD241" s="38"/>
      <c r="AE241" s="38"/>
      <c r="AF241" s="38"/>
      <c r="AG241" s="38"/>
      <c r="AH241" s="114">
        <f>AH239/AD238</f>
        <v>0.1031495241538123</v>
      </c>
      <c r="AI241" s="38"/>
      <c r="AJ241" s="38"/>
      <c r="AK241" s="38"/>
      <c r="AL241" s="38"/>
      <c r="AM241" s="38"/>
      <c r="AN241" s="38"/>
      <c r="AO241" s="38"/>
      <c r="AP241" s="38"/>
      <c r="AQ241" s="38"/>
      <c r="AR241" s="114">
        <f>AR239/AN238</f>
        <v>0.17222085149828625</v>
      </c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</row>
    <row r="242" spans="1:54" s="7" customFormat="1" x14ac:dyDescent="0.3"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</row>
    <row r="243" spans="1:54" s="7" customFormat="1" x14ac:dyDescent="0.3"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</row>
    <row r="244" spans="1:54" s="7" customFormat="1" x14ac:dyDescent="0.3"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</row>
    <row r="245" spans="1:54" s="7" customFormat="1" x14ac:dyDescent="0.3"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</row>
    <row r="246" spans="1:54" s="7" customFormat="1" x14ac:dyDescent="0.3"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</row>
    <row r="247" spans="1:54" s="7" customFormat="1" x14ac:dyDescent="0.3"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</row>
    <row r="248" spans="1:54" s="7" customFormat="1" x14ac:dyDescent="0.3"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</row>
    <row r="249" spans="1:54" s="20" customFormat="1" x14ac:dyDescent="0.3">
      <c r="A249" s="21" t="s">
        <v>4</v>
      </c>
      <c r="B249" s="21"/>
      <c r="C249" s="14"/>
      <c r="D249" s="23"/>
      <c r="E249" s="24"/>
      <c r="F249" s="24"/>
      <c r="G249" s="24"/>
      <c r="H249" s="24"/>
      <c r="I249" s="24"/>
      <c r="J249" s="24"/>
      <c r="K249" s="25"/>
      <c r="L249" s="19"/>
      <c r="M249" s="19"/>
      <c r="N249" s="24"/>
      <c r="O249" s="24"/>
      <c r="P249" s="24"/>
      <c r="Q249" s="24"/>
      <c r="R249" s="24"/>
      <c r="S249" s="24"/>
      <c r="T249" s="24"/>
      <c r="U249" s="25"/>
      <c r="V249" s="19"/>
      <c r="W249" s="19"/>
      <c r="X249" s="24"/>
      <c r="Y249" s="24"/>
      <c r="Z249" s="24"/>
      <c r="AA249" s="24"/>
      <c r="AB249" s="24"/>
      <c r="AC249" s="24"/>
      <c r="AD249" s="24"/>
      <c r="AE249" s="25"/>
      <c r="AF249" s="19"/>
      <c r="AG249" s="19"/>
      <c r="AH249" s="24"/>
      <c r="AI249" s="24"/>
      <c r="AJ249" s="24"/>
      <c r="AK249" s="24"/>
      <c r="AL249" s="24"/>
      <c r="AM249" s="24"/>
      <c r="AN249" s="24"/>
      <c r="AO249" s="25"/>
      <c r="AP249" s="19"/>
      <c r="AQ249" s="19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</row>
    <row r="250" spans="1:54" x14ac:dyDescent="0.3">
      <c r="A250" s="7"/>
      <c r="B250" s="7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</row>
    <row r="251" spans="1:54" hidden="1" x14ac:dyDescent="0.3">
      <c r="A251" s="7"/>
      <c r="B251" s="7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</row>
    <row r="252" spans="1:54" hidden="1" x14ac:dyDescent="0.3">
      <c r="A252" s="7"/>
      <c r="B252" s="7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</row>
  </sheetData>
  <mergeCells count="6">
    <mergeCell ref="T4:AB4"/>
    <mergeCell ref="AD4:AL4"/>
    <mergeCell ref="AX4:BA4"/>
    <mergeCell ref="E5:F5"/>
    <mergeCell ref="J4:R4"/>
    <mergeCell ref="AN4:AV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CCFFCC"/>
  </sheetPr>
  <dimension ref="A1:XFC105"/>
  <sheetViews>
    <sheetView zoomScaleNormal="100" workbookViewId="0">
      <pane ySplit="5" topLeftCell="A33" activePane="bottomLeft" state="frozen"/>
      <selection activeCell="R66" sqref="R66"/>
      <selection pane="bottomLeft" activeCell="J49" sqref="J49"/>
    </sheetView>
  </sheetViews>
  <sheetFormatPr defaultColWidth="0" defaultRowHeight="12.75" customHeight="1" zeroHeight="1" x14ac:dyDescent="0.3"/>
  <cols>
    <col min="1" max="1" width="2.4609375" customWidth="1"/>
    <col min="2" max="4" width="2.3828125" customWidth="1"/>
    <col min="5" max="5" width="10.765625" bestFit="1" customWidth="1"/>
    <col min="6" max="7" width="20.4609375" bestFit="1" customWidth="1"/>
    <col min="8" max="8" width="10.23046875" customWidth="1"/>
    <col min="9" max="19" width="11.61328125" bestFit="1" customWidth="1"/>
    <col min="20" max="20" width="10.23046875" customWidth="1"/>
  </cols>
  <sheetData>
    <row r="1" spans="1:20" ht="13.5" x14ac:dyDescent="0.3">
      <c r="A1" s="13" t="str">
        <f>Control!$G$9</f>
        <v>UE Consolidated Capex</v>
      </c>
      <c r="B1" s="13"/>
      <c r="C1" s="14"/>
      <c r="D1" s="15"/>
      <c r="E1" s="16"/>
      <c r="F1" s="16"/>
      <c r="G1" s="17"/>
      <c r="H1" s="16"/>
      <c r="I1" s="18"/>
      <c r="J1" s="18"/>
      <c r="K1" s="19"/>
      <c r="L1" s="19"/>
      <c r="M1" s="16"/>
      <c r="N1" s="16"/>
      <c r="O1" s="16"/>
      <c r="P1" s="16"/>
      <c r="Q1" s="16"/>
      <c r="R1" s="16"/>
      <c r="S1" s="16"/>
      <c r="T1" s="16"/>
    </row>
    <row r="2" spans="1:20" ht="13.5" x14ac:dyDescent="0.3">
      <c r="A2" s="21" t="str">
        <f ca="1" xml:space="preserve"> "Sheet: " &amp; RIGHT(CELL("filename", $A$1), LEN(CELL("filename", $A$1)) - SEARCH("]", CELL("filename", $A$1)))</f>
        <v>Sheet: Calc|Overheads</v>
      </c>
      <c r="B2" s="21"/>
      <c r="C2" s="14"/>
      <c r="D2" s="15"/>
      <c r="E2" s="16"/>
      <c r="F2" s="16"/>
      <c r="G2" s="16"/>
      <c r="H2" s="16"/>
      <c r="I2" s="22"/>
      <c r="J2" s="22"/>
      <c r="K2" s="19"/>
      <c r="L2" s="19"/>
      <c r="M2" s="16"/>
      <c r="N2" s="16"/>
      <c r="O2" s="16"/>
      <c r="P2" s="16"/>
      <c r="Q2" s="16"/>
      <c r="R2" s="16"/>
      <c r="S2" s="16"/>
      <c r="T2" s="16"/>
    </row>
    <row r="3" spans="1:20" ht="13.5" x14ac:dyDescent="0.3">
      <c r="A3" s="21" t="s">
        <v>0</v>
      </c>
      <c r="B3" s="21"/>
      <c r="C3" s="14"/>
      <c r="D3" s="15"/>
      <c r="E3" s="15"/>
      <c r="F3" s="15"/>
      <c r="G3" s="15"/>
      <c r="H3" s="16"/>
      <c r="I3" s="15"/>
      <c r="J3" s="15"/>
      <c r="K3" s="15"/>
      <c r="L3" s="19"/>
      <c r="M3" s="16"/>
      <c r="N3" s="16"/>
      <c r="O3" s="16"/>
      <c r="P3" s="16"/>
      <c r="Q3" s="16"/>
      <c r="R3" s="16"/>
      <c r="S3" s="16"/>
      <c r="T3" s="16"/>
    </row>
    <row r="4" spans="1:20" ht="13.5" x14ac:dyDescent="0.3">
      <c r="A4" s="21"/>
      <c r="B4" s="21"/>
      <c r="C4" s="14"/>
      <c r="D4" s="15"/>
      <c r="E4" s="16"/>
      <c r="F4" s="16"/>
      <c r="G4" s="16"/>
      <c r="H4" s="16"/>
      <c r="I4" s="22"/>
      <c r="J4" s="22"/>
      <c r="K4" s="19"/>
      <c r="L4" s="19"/>
      <c r="M4" s="16"/>
      <c r="N4" s="16"/>
      <c r="O4" s="16"/>
      <c r="P4" s="16"/>
      <c r="Q4" s="16"/>
      <c r="R4" s="16"/>
      <c r="S4" s="16"/>
      <c r="T4" s="16"/>
    </row>
    <row r="5" spans="1:20" ht="13.5" x14ac:dyDescent="0.3">
      <c r="A5" s="21"/>
      <c r="B5" s="21"/>
      <c r="C5" s="21"/>
      <c r="D5" s="21"/>
      <c r="E5" s="21"/>
      <c r="F5" s="16"/>
      <c r="G5" s="16"/>
      <c r="H5" s="16"/>
      <c r="I5" s="108">
        <v>2015</v>
      </c>
      <c r="J5" s="108">
        <v>2016</v>
      </c>
      <c r="K5" s="108">
        <v>2017</v>
      </c>
      <c r="L5" s="108">
        <v>2018</v>
      </c>
      <c r="M5" s="30">
        <v>2019</v>
      </c>
      <c r="N5" s="30">
        <v>2020</v>
      </c>
      <c r="O5" s="30" t="s">
        <v>603</v>
      </c>
      <c r="P5" s="30" t="s">
        <v>604</v>
      </c>
      <c r="Q5" s="30" t="s">
        <v>605</v>
      </c>
      <c r="R5" s="30" t="s">
        <v>606</v>
      </c>
      <c r="S5" s="30" t="s">
        <v>607</v>
      </c>
      <c r="T5" s="16"/>
    </row>
    <row r="6" spans="1:20" ht="13.5" x14ac:dyDescent="0.3">
      <c r="A6" s="1"/>
      <c r="B6" s="1"/>
      <c r="C6" s="2"/>
      <c r="D6" s="3"/>
      <c r="E6" s="4"/>
      <c r="F6" s="4"/>
      <c r="G6" s="4"/>
      <c r="H6" s="4"/>
      <c r="I6" s="5"/>
      <c r="J6" s="5"/>
      <c r="K6" s="6"/>
      <c r="L6" s="6"/>
      <c r="M6" s="4"/>
      <c r="N6" s="4"/>
      <c r="O6" s="4"/>
      <c r="P6" s="4"/>
      <c r="Q6" s="4"/>
      <c r="R6" s="4"/>
      <c r="S6" s="4"/>
      <c r="T6" s="4"/>
    </row>
    <row r="7" spans="1:20" ht="13.5" x14ac:dyDescent="0.3">
      <c r="A7" s="21" t="s">
        <v>569</v>
      </c>
      <c r="B7" s="21"/>
      <c r="C7" s="14"/>
      <c r="D7" s="23"/>
      <c r="E7" s="24"/>
      <c r="F7" s="24"/>
      <c r="G7" s="24"/>
      <c r="H7" s="24"/>
      <c r="I7" s="53"/>
      <c r="J7" s="53"/>
      <c r="K7" s="53"/>
      <c r="L7" s="34"/>
      <c r="M7" s="34" t="s">
        <v>602</v>
      </c>
      <c r="N7" s="34" t="s">
        <v>602</v>
      </c>
      <c r="O7" s="34" t="s">
        <v>602</v>
      </c>
      <c r="P7" s="34" t="s">
        <v>602</v>
      </c>
      <c r="Q7" s="34" t="s">
        <v>602</v>
      </c>
      <c r="R7" s="34" t="s">
        <v>602</v>
      </c>
      <c r="S7" s="34" t="s">
        <v>602</v>
      </c>
      <c r="T7" s="24"/>
    </row>
    <row r="8" spans="1:20" ht="13.5" x14ac:dyDescent="0.3">
      <c r="A8" s="38"/>
      <c r="B8" s="38"/>
      <c r="C8" s="38"/>
      <c r="D8" s="38"/>
      <c r="E8" s="38"/>
      <c r="F8" s="38"/>
      <c r="G8" s="38"/>
      <c r="H8" s="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7"/>
    </row>
    <row r="9" spans="1:20" ht="13.5" x14ac:dyDescent="0.3">
      <c r="A9" s="211" t="s">
        <v>1038</v>
      </c>
      <c r="B9" s="138"/>
      <c r="C9" s="138"/>
      <c r="D9" s="138"/>
      <c r="E9" s="138"/>
      <c r="F9" s="13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13.5" x14ac:dyDescent="0.3">
      <c r="A10" s="38"/>
      <c r="B10" s="38"/>
      <c r="C10" s="38"/>
      <c r="D10" s="38"/>
      <c r="E10" s="38"/>
      <c r="F10" s="38"/>
      <c r="G10" s="38"/>
      <c r="H10" s="7"/>
      <c r="I10" s="38"/>
      <c r="J10" s="312" t="s">
        <v>1097</v>
      </c>
      <c r="K10" s="38"/>
      <c r="L10" s="311"/>
      <c r="M10" s="38"/>
      <c r="N10" s="38"/>
      <c r="O10" s="38"/>
      <c r="P10" s="38"/>
      <c r="Q10" s="38"/>
      <c r="R10" s="38"/>
      <c r="S10" s="38"/>
      <c r="T10" s="7"/>
    </row>
    <row r="11" spans="1:20" ht="13.5" x14ac:dyDescent="0.3">
      <c r="A11" s="38"/>
      <c r="B11" s="38"/>
      <c r="C11" s="38"/>
      <c r="D11" s="38"/>
      <c r="E11" s="38" t="s">
        <v>565</v>
      </c>
      <c r="F11" s="38"/>
      <c r="G11" s="38" t="s">
        <v>53</v>
      </c>
      <c r="H11" s="7"/>
      <c r="I11" s="38"/>
      <c r="J11" s="284">
        <v>18648.28</v>
      </c>
      <c r="K11" s="284">
        <v>14544.337</v>
      </c>
      <c r="L11" s="284">
        <f>'Calc|Weightings'!AR211</f>
        <v>20671.990600000001</v>
      </c>
      <c r="M11" s="215">
        <f>M52</f>
        <v>20137.682000000001</v>
      </c>
      <c r="N11" s="38"/>
      <c r="O11" s="38"/>
      <c r="P11" s="38"/>
      <c r="Q11" s="38"/>
      <c r="R11" s="38"/>
      <c r="S11" s="38"/>
      <c r="T11" s="7"/>
    </row>
    <row r="12" spans="1:20" ht="13.5" x14ac:dyDescent="0.3">
      <c r="A12" s="38"/>
      <c r="B12" s="38"/>
      <c r="C12" s="38"/>
      <c r="D12" s="38"/>
      <c r="E12" s="38"/>
      <c r="F12" s="38"/>
      <c r="G12" s="38" t="s">
        <v>602</v>
      </c>
      <c r="H12" s="7"/>
      <c r="I12" s="38"/>
      <c r="J12" s="153">
        <f>J11*Inflation!M$26</f>
        <v>20125.031454880296</v>
      </c>
      <c r="K12" s="153">
        <f>K11*Inflation!N$26</f>
        <v>15398.340527551942</v>
      </c>
      <c r="L12" s="153">
        <f>L11*Inflation!O$26</f>
        <v>21440.33007362832</v>
      </c>
      <c r="M12" s="153">
        <f>M11*Inflation!P$26</f>
        <v>20558.678836236937</v>
      </c>
      <c r="N12" s="43"/>
      <c r="O12" s="303">
        <f>O47</f>
        <v>18717.680934309061</v>
      </c>
      <c r="P12" s="303">
        <f t="shared" ref="P12:S12" si="0">P47</f>
        <v>18945.508855340355</v>
      </c>
      <c r="Q12" s="303">
        <f t="shared" si="0"/>
        <v>18870.873667422398</v>
      </c>
      <c r="R12" s="303">
        <f t="shared" si="0"/>
        <v>18839.843195245307</v>
      </c>
      <c r="S12" s="303">
        <f t="shared" si="0"/>
        <v>18646.604986761748</v>
      </c>
      <c r="T12" s="7"/>
    </row>
    <row r="13" spans="1:20" ht="13.5" x14ac:dyDescent="0.3">
      <c r="A13" s="38"/>
      <c r="B13" s="38"/>
      <c r="C13" s="38"/>
      <c r="D13" s="38"/>
      <c r="E13" s="38"/>
      <c r="F13" s="38"/>
      <c r="G13" s="38"/>
      <c r="H13" s="7"/>
      <c r="I13" s="38"/>
      <c r="J13" s="279"/>
      <c r="L13" s="288" t="s">
        <v>1087</v>
      </c>
      <c r="M13" s="289">
        <f>AVERAGE($J12:M12)</f>
        <v>19380.595223074375</v>
      </c>
      <c r="N13" s="43"/>
      <c r="O13" s="43"/>
      <c r="P13" s="43"/>
      <c r="Q13" s="43"/>
      <c r="R13" s="43"/>
      <c r="S13" s="43"/>
      <c r="T13" s="7"/>
    </row>
    <row r="14" spans="1:20" ht="13.5" x14ac:dyDescent="0.3">
      <c r="A14" s="55" t="s">
        <v>566</v>
      </c>
      <c r="B14" s="12"/>
      <c r="C14" s="12"/>
      <c r="D14" s="12"/>
      <c r="E14" s="12"/>
      <c r="F14" s="12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13.5" x14ac:dyDescent="0.3">
      <c r="A15" s="38"/>
      <c r="B15" s="38"/>
      <c r="C15" s="38"/>
      <c r="D15" s="38"/>
      <c r="E15" s="38"/>
      <c r="F15" s="38"/>
      <c r="G15" s="38"/>
      <c r="H15" s="7"/>
      <c r="I15" s="38"/>
      <c r="J15" s="38"/>
      <c r="K15" s="43"/>
      <c r="L15" s="43"/>
      <c r="M15" s="43"/>
      <c r="N15" s="43"/>
      <c r="O15" s="43"/>
      <c r="P15" s="43"/>
      <c r="Q15" s="43"/>
      <c r="R15" s="43"/>
      <c r="S15" s="43"/>
      <c r="T15" s="7"/>
    </row>
    <row r="16" spans="1:20" ht="13.5" x14ac:dyDescent="0.3">
      <c r="A16" s="38"/>
      <c r="B16" s="38"/>
      <c r="C16" s="38"/>
      <c r="D16" s="38"/>
      <c r="E16" s="38" t="s">
        <v>567</v>
      </c>
      <c r="F16" s="38"/>
      <c r="G16" s="38"/>
      <c r="H16" s="7"/>
      <c r="I16" s="38"/>
      <c r="J16" s="38"/>
      <c r="K16" s="43"/>
      <c r="L16" s="43"/>
      <c r="M16" s="43"/>
      <c r="N16" s="236">
        <f>O16</f>
        <v>6.1852367946577669E-3</v>
      </c>
      <c r="O16" s="237">
        <v>6.1852367946577669E-3</v>
      </c>
      <c r="P16" s="237">
        <v>7.1266204233215724E-3</v>
      </c>
      <c r="Q16" s="237">
        <v>8.3220450962175896E-3</v>
      </c>
      <c r="R16" s="237">
        <v>8.8329386204251126E-3</v>
      </c>
      <c r="S16" s="237">
        <v>9.884935221589064E-3</v>
      </c>
      <c r="T16" s="7"/>
    </row>
    <row r="17" spans="1:20" ht="13.5" x14ac:dyDescent="0.3">
      <c r="A17" s="38"/>
      <c r="B17" s="38"/>
      <c r="C17" s="38"/>
      <c r="D17" s="38"/>
      <c r="E17" s="213" t="s">
        <v>1039</v>
      </c>
      <c r="F17" s="38"/>
      <c r="G17" s="38"/>
      <c r="H17" s="7"/>
      <c r="I17" s="38"/>
      <c r="J17" s="38"/>
      <c r="K17" s="43"/>
      <c r="L17" s="212">
        <v>1</v>
      </c>
      <c r="M17" s="169">
        <f>L17*(1+M16)</f>
        <v>1</v>
      </c>
      <c r="N17" s="169">
        <f t="shared" ref="N17:S17" si="1">M17*(1+N16)</f>
        <v>1.0061852367946578</v>
      </c>
      <c r="O17" s="169">
        <f t="shared" si="1"/>
        <v>1.0124087307435214</v>
      </c>
      <c r="P17" s="169">
        <f t="shared" si="1"/>
        <v>1.0196237834807873</v>
      </c>
      <c r="Q17" s="169">
        <f t="shared" si="1"/>
        <v>1.0281091385880905</v>
      </c>
      <c r="R17" s="169">
        <f t="shared" si="1"/>
        <v>1.0371903635043371</v>
      </c>
      <c r="S17" s="169">
        <f t="shared" si="1"/>
        <v>1.0474429230600339</v>
      </c>
      <c r="T17" s="7"/>
    </row>
    <row r="18" spans="1:20" ht="13.5" x14ac:dyDescent="0.3">
      <c r="A18" s="55" t="s">
        <v>568</v>
      </c>
      <c r="B18" s="12"/>
      <c r="C18" s="12"/>
      <c r="D18" s="12"/>
      <c r="E18" s="12"/>
      <c r="F18" s="12"/>
      <c r="G18" s="59"/>
      <c r="H18" s="59"/>
      <c r="I18" s="59"/>
      <c r="J18" s="59"/>
      <c r="K18" s="59"/>
      <c r="L18" s="59"/>
      <c r="M18" s="59"/>
      <c r="N18" s="59" t="s">
        <v>602</v>
      </c>
      <c r="O18" s="59" t="s">
        <v>602</v>
      </c>
      <c r="P18" s="59" t="s">
        <v>602</v>
      </c>
      <c r="Q18" s="59" t="s">
        <v>602</v>
      </c>
      <c r="R18" s="59" t="s">
        <v>602</v>
      </c>
      <c r="S18" s="59" t="s">
        <v>602</v>
      </c>
      <c r="T18" s="59"/>
    </row>
    <row r="19" spans="1:20" ht="13.5" x14ac:dyDescent="0.3">
      <c r="A19" s="38"/>
      <c r="B19" s="38"/>
      <c r="C19" s="38"/>
      <c r="D19" s="38"/>
      <c r="E19" s="38"/>
      <c r="F19" s="38"/>
      <c r="G19" s="38"/>
      <c r="H19" s="7"/>
      <c r="I19" s="38"/>
      <c r="J19" s="38"/>
      <c r="K19" s="43"/>
      <c r="L19" s="43"/>
      <c r="M19" s="43"/>
      <c r="N19" s="43"/>
      <c r="O19" s="43"/>
      <c r="P19" s="43"/>
      <c r="Q19" s="43"/>
      <c r="R19" s="43"/>
      <c r="S19" s="43"/>
      <c r="T19" s="7"/>
    </row>
    <row r="20" spans="1:20" ht="13.5" x14ac:dyDescent="0.3">
      <c r="A20" s="38"/>
      <c r="B20" s="38"/>
      <c r="C20" s="38"/>
      <c r="D20" s="38"/>
      <c r="E20" s="38" t="s">
        <v>565</v>
      </c>
      <c r="F20" s="38"/>
      <c r="G20" s="38" t="s">
        <v>602</v>
      </c>
      <c r="H20" s="7"/>
      <c r="I20" s="38"/>
      <c r="J20" s="302">
        <f>J12</f>
        <v>20125.031454880296</v>
      </c>
      <c r="K20" s="302">
        <f t="shared" ref="K20:M20" si="2">K12</f>
        <v>15398.340527551942</v>
      </c>
      <c r="L20" s="302">
        <f t="shared" si="2"/>
        <v>21440.33007362832</v>
      </c>
      <c r="M20" s="302">
        <f t="shared" si="2"/>
        <v>20558.678836236937</v>
      </c>
      <c r="N20" s="43"/>
      <c r="O20" s="43">
        <f t="shared" ref="O20:S20" si="3">O12*O17</f>
        <v>18949.943597166046</v>
      </c>
      <c r="P20" s="43">
        <f t="shared" si="3"/>
        <v>19317.291419050893</v>
      </c>
      <c r="Q20" s="43">
        <f t="shared" si="3"/>
        <v>19401.317670618322</v>
      </c>
      <c r="R20" s="43">
        <f t="shared" si="3"/>
        <v>19540.503812041192</v>
      </c>
      <c r="S20" s="43">
        <f t="shared" si="3"/>
        <v>19531.254432479531</v>
      </c>
      <c r="T20" s="93">
        <f>SUM(O20:S20)</f>
        <v>96740.310931355983</v>
      </c>
    </row>
    <row r="21" spans="1:20" ht="13.5" x14ac:dyDescent="0.3">
      <c r="A21" s="38"/>
      <c r="B21" s="38"/>
      <c r="C21" s="38"/>
      <c r="D21" s="38"/>
      <c r="E21" s="38"/>
      <c r="F21" s="38"/>
      <c r="G21" s="38"/>
      <c r="H21" s="7"/>
      <c r="I21" s="38"/>
      <c r="J21" s="38"/>
      <c r="K21" s="43"/>
      <c r="L21" s="43"/>
      <c r="M21" s="43"/>
      <c r="N21" s="43"/>
      <c r="O21" s="43"/>
      <c r="P21" s="43"/>
      <c r="Q21" s="43"/>
      <c r="R21" s="43"/>
      <c r="S21" s="43"/>
      <c r="T21" s="7"/>
    </row>
    <row r="22" spans="1:20" ht="13.5" x14ac:dyDescent="0.3">
      <c r="A22" s="21" t="s">
        <v>570</v>
      </c>
      <c r="B22" s="21"/>
      <c r="C22" s="14"/>
      <c r="D22" s="23"/>
      <c r="E22" s="24"/>
      <c r="F22" s="24"/>
      <c r="G22" s="24"/>
      <c r="H22" s="24"/>
      <c r="I22" s="53"/>
      <c r="J22" s="53"/>
      <c r="K22" s="53"/>
      <c r="L22" s="34"/>
      <c r="M22" s="34"/>
      <c r="N22" s="34"/>
      <c r="O22" s="34"/>
      <c r="P22" s="34"/>
      <c r="Q22" s="34"/>
      <c r="R22" s="34"/>
      <c r="S22" s="34"/>
      <c r="T22" s="24"/>
    </row>
    <row r="23" spans="1:20" ht="13.5" x14ac:dyDescent="0.3">
      <c r="A23" s="38"/>
      <c r="B23" s="38"/>
      <c r="C23" s="38"/>
      <c r="D23" s="38"/>
      <c r="E23" s="38"/>
      <c r="F23" s="38"/>
      <c r="G23" s="38"/>
      <c r="H23" s="7"/>
      <c r="I23" s="38"/>
      <c r="J23" s="38"/>
      <c r="K23" s="43"/>
      <c r="L23" s="43"/>
      <c r="M23" s="43"/>
      <c r="N23" s="43"/>
      <c r="O23" s="43"/>
      <c r="P23" s="43"/>
      <c r="Q23" s="43"/>
      <c r="R23" s="43"/>
      <c r="S23" s="43"/>
      <c r="T23" s="7"/>
    </row>
    <row r="24" spans="1:20" ht="13.5" x14ac:dyDescent="0.3">
      <c r="A24" s="55" t="s">
        <v>571</v>
      </c>
      <c r="B24" s="12"/>
      <c r="C24" s="12"/>
      <c r="D24" s="12"/>
      <c r="E24" s="12"/>
      <c r="F24" s="12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ht="13.5" x14ac:dyDescent="0.3">
      <c r="A25" s="38"/>
      <c r="B25" s="38"/>
      <c r="C25" s="38"/>
      <c r="D25" s="38"/>
      <c r="E25" s="38"/>
      <c r="F25" s="38"/>
      <c r="G25" s="38"/>
      <c r="H25" s="7"/>
      <c r="I25" s="38"/>
      <c r="J25" s="38"/>
      <c r="K25" s="43"/>
      <c r="L25" s="43"/>
      <c r="M25" s="43"/>
      <c r="N25" s="43"/>
      <c r="O25" s="43"/>
      <c r="P25" s="43"/>
      <c r="Q25" s="43"/>
      <c r="R25" s="43"/>
      <c r="S25" s="43"/>
      <c r="T25" s="7"/>
    </row>
    <row r="26" spans="1:20" ht="13.5" x14ac:dyDescent="0.3">
      <c r="A26" s="38"/>
      <c r="B26" s="279"/>
      <c r="C26" s="279"/>
      <c r="D26" s="279"/>
      <c r="E26" s="279" t="s">
        <v>572</v>
      </c>
      <c r="F26" s="279"/>
      <c r="G26" s="279" t="s">
        <v>602</v>
      </c>
      <c r="H26" s="7"/>
      <c r="I26" s="38"/>
      <c r="J26" s="38"/>
      <c r="K26" s="43"/>
      <c r="L26" s="43"/>
      <c r="M26" s="43"/>
      <c r="N26" s="43"/>
      <c r="O26" s="43">
        <f>('Output|Functional'!G38-'Output|Functional'!G35-'Output|Functional'!G32-'Output|Functional'!G31)*1000</f>
        <v>138302.94843413422</v>
      </c>
      <c r="P26" s="43">
        <f>('Output|Functional'!H38-'Output|Functional'!H35-'Output|Functional'!H32-'Output|Functional'!H31)*1000</f>
        <v>145837.02455687276</v>
      </c>
      <c r="Q26" s="43">
        <f>('Output|Functional'!I38-'Output|Functional'!I35-'Output|Functional'!I32-'Output|Functional'!I31)*1000</f>
        <v>143368.90219213619</v>
      </c>
      <c r="R26" s="43">
        <f>('Output|Functional'!J38-'Output|Functional'!J35-'Output|Functional'!J32-'Output|Functional'!J31)*1000</f>
        <v>142342.75079485145</v>
      </c>
      <c r="S26" s="43">
        <f>('Output|Functional'!K38-'Output|Functional'!K35-'Output|Functional'!K32-'Output|Functional'!K31)*1000</f>
        <v>135952.52712978641</v>
      </c>
      <c r="T26" s="7"/>
    </row>
    <row r="27" spans="1:20" ht="13.5" x14ac:dyDescent="0.3">
      <c r="A27" s="38"/>
      <c r="B27" s="279"/>
      <c r="C27" s="279"/>
      <c r="D27" s="279"/>
      <c r="E27" s="279" t="s">
        <v>573</v>
      </c>
      <c r="F27" s="279"/>
      <c r="G27" s="279" t="s">
        <v>27</v>
      </c>
      <c r="H27" s="7"/>
      <c r="I27" s="38"/>
      <c r="J27" s="38"/>
      <c r="K27" s="43"/>
      <c r="L27" s="115"/>
      <c r="M27" s="115"/>
      <c r="N27" s="115"/>
      <c r="O27" s="115">
        <f>O12/O26</f>
        <v>0.13533826390710116</v>
      </c>
      <c r="P27" s="115">
        <f>P12/P26</f>
        <v>0.12990877256928735</v>
      </c>
      <c r="Q27" s="115">
        <f>Q12/Q26</f>
        <v>0.13162459486599506</v>
      </c>
      <c r="R27" s="115">
        <f>R12/R26</f>
        <v>0.13235548062716479</v>
      </c>
      <c r="S27" s="115">
        <f>S12/S26</f>
        <v>0.13715526574184869</v>
      </c>
      <c r="T27" s="7"/>
    </row>
    <row r="28" spans="1:20" ht="13.5" x14ac:dyDescent="0.3">
      <c r="A28" s="38"/>
      <c r="B28" s="279"/>
      <c r="C28" s="279"/>
      <c r="D28" s="279"/>
      <c r="E28" s="279"/>
      <c r="F28" s="279"/>
      <c r="G28" s="279"/>
      <c r="H28" s="7"/>
      <c r="I28" s="38"/>
      <c r="J28" s="38"/>
      <c r="K28" s="43"/>
      <c r="L28" s="43"/>
      <c r="M28" s="43"/>
      <c r="N28" s="43"/>
      <c r="O28" s="43"/>
      <c r="P28" s="43"/>
      <c r="Q28" s="43"/>
      <c r="R28" s="43"/>
      <c r="S28" s="43"/>
      <c r="T28" s="7"/>
    </row>
    <row r="29" spans="1:20" ht="13.5" x14ac:dyDescent="0.3">
      <c r="A29" s="55" t="s">
        <v>574</v>
      </c>
      <c r="B29" s="12"/>
      <c r="C29" s="12"/>
      <c r="D29" s="12"/>
      <c r="E29" s="12"/>
      <c r="F29" s="12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 ht="13.5" x14ac:dyDescent="0.3">
      <c r="A30" s="38"/>
      <c r="B30" s="38"/>
      <c r="C30" s="38"/>
      <c r="D30" s="38"/>
      <c r="E30" s="38"/>
      <c r="F30" s="38"/>
      <c r="G30" s="38"/>
      <c r="H30" s="7"/>
      <c r="I30" s="38"/>
      <c r="J30" s="38"/>
      <c r="K30" s="43"/>
      <c r="L30" s="43"/>
      <c r="M30" s="43"/>
      <c r="N30" s="43"/>
      <c r="O30" s="43"/>
      <c r="P30" s="43"/>
      <c r="Q30" s="43"/>
      <c r="R30" s="43"/>
      <c r="S30" s="43"/>
      <c r="T30" s="7"/>
    </row>
    <row r="31" spans="1:20" ht="13.5" x14ac:dyDescent="0.3">
      <c r="A31" s="38"/>
      <c r="B31" s="38"/>
      <c r="C31" s="38"/>
      <c r="D31" s="38"/>
      <c r="E31" s="38" t="s">
        <v>572</v>
      </c>
      <c r="F31" s="38"/>
      <c r="G31" s="38" t="s">
        <v>602</v>
      </c>
      <c r="H31" s="7"/>
      <c r="I31" s="38"/>
      <c r="J31" s="153">
        <f>J41</f>
        <v>228120.10348066303</v>
      </c>
      <c r="K31" s="153">
        <f t="shared" ref="K31:M31" si="4">K41</f>
        <v>156672.76731345983</v>
      </c>
      <c r="L31" s="153">
        <f t="shared" si="4"/>
        <v>123841.31224424779</v>
      </c>
      <c r="M31" s="153">
        <f t="shared" si="4"/>
        <v>132265.66388850176</v>
      </c>
      <c r="N31" s="43"/>
      <c r="O31" s="43">
        <f>('Output|Functional'!G104-'Output|Functional'!G101-'Output|Functional'!G98-'Output|Functional'!G97)*1000</f>
        <v>139114.94211521596</v>
      </c>
      <c r="P31" s="43">
        <f>('Output|Functional'!H104-'Output|Functional'!H101-'Output|Functional'!H98-'Output|Functional'!H97)*1000</f>
        <v>147266.90837481822</v>
      </c>
      <c r="Q31" s="43">
        <f>('Output|Functional'!I104-'Output|Functional'!I101-'Output|Functional'!I98-'Output|Functional'!I97)*1000</f>
        <v>145299.32339335245</v>
      </c>
      <c r="R31" s="43">
        <f>('Output|Functional'!J104-'Output|Functional'!J101-'Output|Functional'!J98-'Output|Functional'!J97)*1000</f>
        <v>144885.02212970916</v>
      </c>
      <c r="S31" s="43">
        <f>('Output|Functional'!K104-'Output|Functional'!K101-'Output|Functional'!K98-'Output|Functional'!K97)*1000</f>
        <v>139165.22729383412</v>
      </c>
      <c r="T31" s="7"/>
    </row>
    <row r="32" spans="1:20" ht="13.5" x14ac:dyDescent="0.3">
      <c r="A32" s="38"/>
      <c r="B32" s="38"/>
      <c r="C32" s="38"/>
      <c r="D32" s="38"/>
      <c r="E32" s="38" t="s">
        <v>573</v>
      </c>
      <c r="F32" s="38"/>
      <c r="G32" s="38" t="s">
        <v>27</v>
      </c>
      <c r="H32" s="7"/>
      <c r="I32" s="38"/>
      <c r="J32" s="115">
        <f>J20/J31</f>
        <v>8.8221209563786762E-2</v>
      </c>
      <c r="K32" s="115">
        <f>K20/K31</f>
        <v>9.8283452776091115E-2</v>
      </c>
      <c r="L32" s="115">
        <f>L20/L31</f>
        <v>0.17312744580211104</v>
      </c>
      <c r="M32" s="115">
        <f>M20/M31</f>
        <v>0.15543473817639955</v>
      </c>
      <c r="N32" s="115"/>
      <c r="O32" s="115">
        <f>O20/O31</f>
        <v>0.13621788794960335</v>
      </c>
      <c r="P32" s="115">
        <f>P20/P31</f>
        <v>0.13117197632671995</v>
      </c>
      <c r="Q32" s="115">
        <f>Q20/Q31</f>
        <v>0.13352655206862407</v>
      </c>
      <c r="R32" s="115">
        <f>R20/R31</f>
        <v>0.13486903977243031</v>
      </c>
      <c r="S32" s="115">
        <f>S20/S31</f>
        <v>0.14034579479571538</v>
      </c>
      <c r="T32" s="7"/>
    </row>
    <row r="33" spans="1:1012 1027:2038 2053:3064 3079:4090 4105:5116 5131:6142 6157:7168 7183:10227 10242:11253 11268:12279 12294:13305 13320:14331 14346:15357 15372:16383" ht="13.5" x14ac:dyDescent="0.3">
      <c r="A33" s="279"/>
      <c r="B33" s="279"/>
      <c r="C33" s="279"/>
      <c r="D33" s="279"/>
      <c r="E33" s="279"/>
      <c r="F33" s="279"/>
      <c r="G33" s="279"/>
      <c r="H33" s="280"/>
      <c r="I33" s="279"/>
      <c r="J33" s="279"/>
      <c r="K33" s="153"/>
      <c r="L33" s="153"/>
      <c r="M33" s="153"/>
      <c r="N33" s="153"/>
      <c r="O33" s="153"/>
      <c r="P33" s="153"/>
      <c r="Q33" s="153"/>
      <c r="R33" s="153"/>
      <c r="S33" s="153"/>
      <c r="T33" s="7"/>
    </row>
    <row r="34" spans="1:1012 1027:2038 2053:3064 3079:4090 4105:5116 5131:6142 6157:7168 7183:10227 10242:11253 11268:12279 12294:13305 13320:14331 14346:15357 15372:16383" ht="13.5" x14ac:dyDescent="0.3">
      <c r="A34" s="279"/>
      <c r="B34" s="279"/>
      <c r="C34" s="279"/>
      <c r="D34" s="279"/>
      <c r="E34" s="279"/>
      <c r="F34" s="279"/>
      <c r="G34" s="279"/>
      <c r="H34" s="280"/>
      <c r="I34" s="279"/>
      <c r="J34" s="279"/>
      <c r="K34" s="153"/>
      <c r="L34" s="153"/>
      <c r="M34" s="153"/>
      <c r="N34" s="153"/>
      <c r="O34" s="153"/>
      <c r="P34" s="153"/>
      <c r="Q34" s="153"/>
      <c r="R34" s="153"/>
      <c r="S34" s="153"/>
      <c r="T34" s="7"/>
    </row>
    <row r="35" spans="1:1012 1027:2038 2053:3064 3079:4090 4105:5116 5131:6142 6157:7168 7183:10227 10242:11253 11268:12279 12294:13305 13320:14331 14346:15357 15372:16383" ht="13.5" x14ac:dyDescent="0.3">
      <c r="A35" s="279"/>
      <c r="B35" s="279"/>
      <c r="C35" s="279"/>
      <c r="D35" s="279"/>
      <c r="E35" s="279"/>
      <c r="F35" s="279"/>
      <c r="G35" s="279"/>
      <c r="H35" s="280"/>
      <c r="I35" s="279"/>
      <c r="J35" s="279"/>
      <c r="K35" s="153"/>
      <c r="L35" s="153"/>
      <c r="M35" s="153"/>
      <c r="N35" s="153"/>
      <c r="O35" s="153"/>
      <c r="P35" s="153"/>
      <c r="Q35" s="153"/>
      <c r="R35" s="153"/>
      <c r="S35" s="153"/>
      <c r="T35" s="7"/>
    </row>
    <row r="36" spans="1:1012 1027:2038 2053:3064 3079:4090 4105:5116 5131:6142 6157:7168 7183:10227 10242:11253 11268:12279 12294:13305 13320:14331 14346:15357 15372:16383" ht="13.5" x14ac:dyDescent="0.3">
      <c r="A36" s="279"/>
      <c r="B36" s="279"/>
      <c r="C36" s="279"/>
      <c r="D36" s="279"/>
      <c r="E36" s="279"/>
      <c r="F36" s="279"/>
      <c r="G36" s="279"/>
      <c r="H36" s="280"/>
      <c r="I36" s="279"/>
      <c r="J36" s="279"/>
      <c r="K36" s="153"/>
      <c r="L36" s="153"/>
      <c r="M36" s="153"/>
      <c r="N36" s="153"/>
      <c r="O36" s="153"/>
      <c r="P36" s="153"/>
      <c r="Q36" s="153"/>
      <c r="R36" s="153"/>
      <c r="S36" s="153"/>
      <c r="T36" s="7"/>
    </row>
    <row r="37" spans="1:1012 1027:2038 2053:3064 3079:4090 4105:5116 5131:6142 6157:7168 7183:10227 10242:11253 11268:12279 12294:13305 13320:14331 14346:15357 15372:16383" ht="13.5" x14ac:dyDescent="0.3">
      <c r="A37" s="279"/>
      <c r="B37" s="279"/>
      <c r="C37" s="279"/>
      <c r="D37" s="279"/>
      <c r="E37" s="279"/>
      <c r="F37" s="279"/>
      <c r="G37" s="279"/>
      <c r="H37" s="280"/>
      <c r="I37" s="279"/>
      <c r="J37" s="279"/>
      <c r="K37" s="153"/>
      <c r="L37" s="153"/>
      <c r="M37" s="153"/>
      <c r="N37" s="153"/>
      <c r="O37" s="153"/>
      <c r="P37" s="153"/>
      <c r="Q37" s="153"/>
      <c r="R37" s="153"/>
      <c r="S37" s="153"/>
      <c r="T37" s="7"/>
    </row>
    <row r="38" spans="1:1012 1027:2038 2053:3064 3079:4090 4105:5116 5131:6142 6157:7168 7183:10227 10242:11253 11268:12279 12294:13305 13320:14331 14346:15357 15372:16383" s="59" customFormat="1" ht="13.5" x14ac:dyDescent="0.3">
      <c r="A38" s="281" t="s">
        <v>1085</v>
      </c>
      <c r="B38" s="12"/>
      <c r="C38" s="12"/>
      <c r="D38" s="12"/>
      <c r="E38" s="12"/>
      <c r="T38" s="12"/>
      <c r="U38" s="12"/>
      <c r="V38" s="12"/>
      <c r="W38" s="12"/>
      <c r="X38" s="12"/>
      <c r="AM38" s="12"/>
      <c r="AN38" s="12"/>
      <c r="AO38" s="12"/>
      <c r="AP38" s="12"/>
      <c r="AQ38" s="12"/>
      <c r="BF38" s="12"/>
      <c r="BG38" s="12"/>
      <c r="BH38" s="12"/>
      <c r="BI38" s="12"/>
      <c r="BJ38" s="12"/>
      <c r="BY38" s="12"/>
      <c r="BZ38" s="12"/>
      <c r="CA38" s="12"/>
      <c r="CB38" s="12"/>
      <c r="CC38" s="12"/>
      <c r="CR38" s="12"/>
      <c r="CS38" s="12"/>
      <c r="CT38" s="12"/>
      <c r="CU38" s="12"/>
      <c r="CV38" s="12"/>
      <c r="DK38" s="12"/>
      <c r="DL38" s="12"/>
      <c r="DM38" s="12"/>
      <c r="DN38" s="12"/>
      <c r="DO38" s="12"/>
      <c r="ED38" s="12"/>
      <c r="EE38" s="12"/>
      <c r="EF38" s="12"/>
      <c r="EG38" s="12"/>
      <c r="EH38" s="12"/>
      <c r="EW38" s="12"/>
      <c r="EX38" s="12"/>
      <c r="EY38" s="12"/>
      <c r="EZ38" s="12"/>
      <c r="FA38" s="12"/>
      <c r="FP38" s="12"/>
      <c r="FQ38" s="12"/>
      <c r="FR38" s="12"/>
      <c r="FS38" s="12"/>
      <c r="FT38" s="12"/>
      <c r="GI38" s="12"/>
      <c r="GJ38" s="12"/>
      <c r="GK38" s="12"/>
      <c r="GL38" s="12"/>
      <c r="GM38" s="12"/>
      <c r="HB38" s="12"/>
      <c r="HC38" s="12"/>
      <c r="HD38" s="12"/>
      <c r="HE38" s="12"/>
      <c r="HF38" s="12"/>
      <c r="HU38" s="12"/>
      <c r="HV38" s="12"/>
      <c r="HW38" s="12"/>
      <c r="HX38" s="12"/>
      <c r="HY38" s="12"/>
      <c r="IN38" s="12"/>
      <c r="IO38" s="12"/>
      <c r="IP38" s="12"/>
      <c r="IQ38" s="12"/>
      <c r="IR38" s="12"/>
      <c r="JG38" s="12"/>
      <c r="JH38" s="12"/>
      <c r="JI38" s="12"/>
      <c r="JJ38" s="12"/>
      <c r="JK38" s="12"/>
      <c r="JZ38" s="12"/>
      <c r="KA38" s="12"/>
      <c r="KB38" s="12"/>
      <c r="KC38" s="12"/>
      <c r="KD38" s="12"/>
      <c r="KS38" s="12"/>
      <c r="KT38" s="12"/>
      <c r="KU38" s="12"/>
      <c r="KV38" s="12"/>
      <c r="KW38" s="12"/>
      <c r="LL38" s="12"/>
      <c r="LM38" s="12"/>
      <c r="LN38" s="12"/>
      <c r="LO38" s="12"/>
      <c r="LP38" s="12"/>
      <c r="ME38" s="12"/>
      <c r="MF38" s="12"/>
      <c r="MG38" s="12"/>
      <c r="MH38" s="12"/>
      <c r="MI38" s="12"/>
      <c r="MX38" s="12"/>
      <c r="MY38" s="12"/>
      <c r="MZ38" s="12"/>
      <c r="NA38" s="12"/>
      <c r="NB38" s="12"/>
      <c r="NQ38" s="12"/>
      <c r="NR38" s="12"/>
      <c r="NS38" s="12"/>
      <c r="NT38" s="12"/>
      <c r="NU38" s="12"/>
      <c r="OJ38" s="12"/>
      <c r="OK38" s="12"/>
      <c r="OL38" s="12"/>
      <c r="OM38" s="12"/>
      <c r="ON38" s="12"/>
      <c r="PC38" s="12"/>
      <c r="PD38" s="12"/>
      <c r="PE38" s="12"/>
      <c r="PF38" s="12"/>
      <c r="PG38" s="12"/>
      <c r="PV38" s="12"/>
      <c r="PW38" s="12"/>
      <c r="PX38" s="12"/>
      <c r="PY38" s="12"/>
      <c r="PZ38" s="12"/>
      <c r="QO38" s="12"/>
      <c r="QP38" s="12"/>
      <c r="QQ38" s="12"/>
      <c r="QR38" s="12"/>
      <c r="QS38" s="12"/>
      <c r="RH38" s="12"/>
      <c r="RI38" s="12"/>
      <c r="RJ38" s="12"/>
      <c r="RK38" s="12"/>
      <c r="RL38" s="12"/>
      <c r="SA38" s="12"/>
      <c r="SB38" s="12"/>
      <c r="SC38" s="12"/>
      <c r="SD38" s="12"/>
      <c r="SE38" s="12"/>
      <c r="ST38" s="12"/>
      <c r="SU38" s="12"/>
      <c r="SV38" s="12"/>
      <c r="SW38" s="12"/>
      <c r="SX38" s="12"/>
      <c r="TM38" s="12"/>
      <c r="TN38" s="12"/>
      <c r="TO38" s="12"/>
      <c r="TP38" s="12"/>
      <c r="TQ38" s="12"/>
      <c r="UF38" s="12"/>
      <c r="UG38" s="12"/>
      <c r="UH38" s="12"/>
      <c r="UI38" s="12"/>
      <c r="UJ38" s="12"/>
      <c r="UY38" s="12"/>
      <c r="UZ38" s="12"/>
      <c r="VA38" s="12"/>
      <c r="VB38" s="12"/>
      <c r="VC38" s="12"/>
      <c r="VR38" s="12"/>
      <c r="VS38" s="12"/>
      <c r="VT38" s="12"/>
      <c r="VU38" s="12"/>
      <c r="VV38" s="12"/>
      <c r="WK38" s="12"/>
      <c r="WL38" s="12"/>
      <c r="WM38" s="12"/>
      <c r="WN38" s="12"/>
      <c r="WO38" s="12"/>
      <c r="XD38" s="12"/>
      <c r="XE38" s="12"/>
      <c r="XF38" s="12"/>
      <c r="XG38" s="12"/>
      <c r="XH38" s="12"/>
      <c r="XW38" s="12"/>
      <c r="XX38" s="12"/>
      <c r="XY38" s="12"/>
      <c r="XZ38" s="12"/>
      <c r="YA38" s="12"/>
      <c r="YP38" s="12"/>
      <c r="YQ38" s="12"/>
      <c r="YR38" s="12"/>
      <c r="YS38" s="12"/>
      <c r="YT38" s="12"/>
      <c r="ZI38" s="12"/>
      <c r="ZJ38" s="12"/>
      <c r="ZK38" s="12"/>
      <c r="ZL38" s="12"/>
      <c r="ZM38" s="12"/>
      <c r="AAB38" s="12"/>
      <c r="AAC38" s="12"/>
      <c r="AAD38" s="12"/>
      <c r="AAE38" s="12"/>
      <c r="AAF38" s="12"/>
      <c r="AAU38" s="12"/>
      <c r="AAV38" s="12"/>
      <c r="AAW38" s="12"/>
      <c r="AAX38" s="12"/>
      <c r="AAY38" s="12"/>
      <c r="ABN38" s="12"/>
      <c r="ABO38" s="12"/>
      <c r="ABP38" s="12"/>
      <c r="ABQ38" s="12"/>
      <c r="ABR38" s="12"/>
      <c r="ACG38" s="12"/>
      <c r="ACH38" s="12"/>
      <c r="ACI38" s="12"/>
      <c r="ACJ38" s="12"/>
      <c r="ACK38" s="12"/>
      <c r="ACZ38" s="12"/>
      <c r="ADA38" s="12"/>
      <c r="ADB38" s="12"/>
      <c r="ADC38" s="12"/>
      <c r="ADD38" s="12"/>
      <c r="ADS38" s="12"/>
      <c r="ADT38" s="12"/>
      <c r="ADU38" s="12"/>
      <c r="ADV38" s="12"/>
      <c r="ADW38" s="12"/>
      <c r="AEL38" s="12"/>
      <c r="AEM38" s="12"/>
      <c r="AEN38" s="12"/>
      <c r="AEO38" s="12"/>
      <c r="AEP38" s="12"/>
      <c r="AFE38" s="12"/>
      <c r="AFF38" s="12"/>
      <c r="AFG38" s="12"/>
      <c r="AFH38" s="12"/>
      <c r="AFI38" s="12"/>
      <c r="AFX38" s="12"/>
      <c r="AFY38" s="12"/>
      <c r="AFZ38" s="12"/>
      <c r="AGA38" s="12"/>
      <c r="AGB38" s="12"/>
      <c r="AGQ38" s="12"/>
      <c r="AGR38" s="12"/>
      <c r="AGS38" s="12"/>
      <c r="AGT38" s="12"/>
      <c r="AGU38" s="12"/>
      <c r="AHJ38" s="12"/>
      <c r="AHK38" s="12"/>
      <c r="AHL38" s="12"/>
      <c r="AHM38" s="12"/>
      <c r="AHN38" s="12"/>
      <c r="AIC38" s="12"/>
      <c r="AID38" s="12"/>
      <c r="AIE38" s="12"/>
      <c r="AIF38" s="12"/>
      <c r="AIG38" s="12"/>
      <c r="AIV38" s="12"/>
      <c r="AIW38" s="12"/>
      <c r="AIX38" s="12"/>
      <c r="AIY38" s="12"/>
      <c r="AIZ38" s="12"/>
      <c r="AJO38" s="12"/>
      <c r="AJP38" s="12"/>
      <c r="AJQ38" s="12"/>
      <c r="AJR38" s="12"/>
      <c r="AJS38" s="12"/>
      <c r="AKH38" s="12"/>
      <c r="AKI38" s="12"/>
      <c r="AKJ38" s="12"/>
      <c r="AKK38" s="12"/>
      <c r="AKL38" s="12"/>
      <c r="ALA38" s="12"/>
      <c r="ALB38" s="12"/>
      <c r="ALC38" s="12"/>
      <c r="ALD38" s="12"/>
      <c r="ALE38" s="12"/>
      <c r="ALT38" s="12"/>
      <c r="ALU38" s="12"/>
      <c r="ALV38" s="12"/>
      <c r="ALW38" s="12"/>
      <c r="ALX38" s="12"/>
      <c r="AMM38" s="12"/>
      <c r="AMN38" s="12"/>
      <c r="AMO38" s="12"/>
      <c r="AMP38" s="12"/>
      <c r="AMQ38" s="12"/>
      <c r="ANF38" s="12"/>
      <c r="ANG38" s="12"/>
      <c r="ANH38" s="12"/>
      <c r="ANI38" s="12"/>
      <c r="ANJ38" s="12"/>
      <c r="ANY38" s="12"/>
      <c r="ANZ38" s="12"/>
      <c r="AOA38" s="12"/>
      <c r="AOB38" s="12"/>
      <c r="AOC38" s="12"/>
      <c r="AOR38" s="12"/>
      <c r="AOS38" s="12"/>
      <c r="AOT38" s="12"/>
      <c r="AOU38" s="12"/>
      <c r="AOV38" s="12"/>
      <c r="APK38" s="12"/>
      <c r="APL38" s="12"/>
      <c r="APM38" s="12"/>
      <c r="APN38" s="12"/>
      <c r="APO38" s="12"/>
      <c r="AQD38" s="12"/>
      <c r="AQE38" s="12"/>
      <c r="AQF38" s="12"/>
      <c r="AQG38" s="12"/>
      <c r="AQH38" s="12"/>
      <c r="AQW38" s="12"/>
      <c r="AQX38" s="12"/>
      <c r="AQY38" s="12"/>
      <c r="AQZ38" s="12"/>
      <c r="ARA38" s="12"/>
      <c r="ARP38" s="12"/>
      <c r="ARQ38" s="12"/>
      <c r="ARR38" s="12"/>
      <c r="ARS38" s="12"/>
      <c r="ART38" s="12"/>
      <c r="ASI38" s="12"/>
      <c r="ASJ38" s="12"/>
      <c r="ASK38" s="12"/>
      <c r="ASL38" s="12"/>
      <c r="ASM38" s="12"/>
      <c r="ATB38" s="12"/>
      <c r="ATC38" s="12"/>
      <c r="ATD38" s="12"/>
      <c r="ATE38" s="12"/>
      <c r="ATF38" s="12"/>
      <c r="ATU38" s="12"/>
      <c r="ATV38" s="12"/>
      <c r="ATW38" s="12"/>
      <c r="ATX38" s="12"/>
      <c r="ATY38" s="12"/>
      <c r="AUN38" s="12"/>
      <c r="AUO38" s="12"/>
      <c r="AUP38" s="12"/>
      <c r="AUQ38" s="12"/>
      <c r="AUR38" s="12"/>
      <c r="AVG38" s="12"/>
      <c r="AVH38" s="12"/>
      <c r="AVI38" s="12"/>
      <c r="AVJ38" s="12"/>
      <c r="AVK38" s="12"/>
      <c r="AVZ38" s="12"/>
      <c r="AWA38" s="12"/>
      <c r="AWB38" s="12"/>
      <c r="AWC38" s="12"/>
      <c r="AWD38" s="12"/>
      <c r="AWS38" s="12"/>
      <c r="AWT38" s="12"/>
      <c r="AWU38" s="12"/>
      <c r="AWV38" s="12"/>
      <c r="AWW38" s="12"/>
      <c r="AXL38" s="12"/>
      <c r="AXM38" s="12"/>
      <c r="AXN38" s="12"/>
      <c r="AXO38" s="12"/>
      <c r="AXP38" s="12"/>
      <c r="AYE38" s="12"/>
      <c r="AYF38" s="12"/>
      <c r="AYG38" s="12"/>
      <c r="AYH38" s="12"/>
      <c r="AYI38" s="12"/>
      <c r="AYX38" s="12"/>
      <c r="AYY38" s="12"/>
      <c r="AYZ38" s="12"/>
      <c r="AZA38" s="12"/>
      <c r="AZB38" s="12"/>
      <c r="AZQ38" s="12"/>
      <c r="AZR38" s="12"/>
      <c r="AZS38" s="12"/>
      <c r="AZT38" s="12"/>
      <c r="AZU38" s="12"/>
      <c r="BAJ38" s="12"/>
      <c r="BAK38" s="12"/>
      <c r="BAL38" s="12"/>
      <c r="BAM38" s="12"/>
      <c r="BAN38" s="12"/>
      <c r="BBC38" s="12"/>
      <c r="BBD38" s="12"/>
      <c r="BBE38" s="12"/>
      <c r="BBF38" s="12"/>
      <c r="BBG38" s="12"/>
      <c r="BBV38" s="12"/>
      <c r="BBW38" s="12"/>
      <c r="BBX38" s="12"/>
      <c r="BBY38" s="12"/>
      <c r="BBZ38" s="12"/>
      <c r="BCO38" s="12"/>
      <c r="BCP38" s="12"/>
      <c r="BCQ38" s="12"/>
      <c r="BCR38" s="12"/>
      <c r="BCS38" s="12"/>
      <c r="BDH38" s="12"/>
      <c r="BDI38" s="12"/>
      <c r="BDJ38" s="12"/>
      <c r="BDK38" s="12"/>
      <c r="BDL38" s="12"/>
      <c r="BEA38" s="12"/>
      <c r="BEB38" s="12"/>
      <c r="BEC38" s="12"/>
      <c r="BED38" s="12"/>
      <c r="BEE38" s="12"/>
      <c r="BET38" s="12"/>
      <c r="BEU38" s="12"/>
      <c r="BEV38" s="12"/>
      <c r="BEW38" s="12"/>
      <c r="BEX38" s="12"/>
      <c r="BFM38" s="12"/>
      <c r="BFN38" s="12"/>
      <c r="BFO38" s="12"/>
      <c r="BFP38" s="12"/>
      <c r="BFQ38" s="12"/>
      <c r="BGF38" s="12"/>
      <c r="BGG38" s="12"/>
      <c r="BGH38" s="12"/>
      <c r="BGI38" s="12"/>
      <c r="BGJ38" s="12"/>
      <c r="BGY38" s="12"/>
      <c r="BGZ38" s="12"/>
      <c r="BHA38" s="12"/>
      <c r="BHB38" s="12"/>
      <c r="BHC38" s="12"/>
      <c r="BHR38" s="12"/>
      <c r="BHS38" s="12"/>
      <c r="BHT38" s="12"/>
      <c r="BHU38" s="12"/>
      <c r="BHV38" s="12"/>
      <c r="BIK38" s="12"/>
      <c r="BIL38" s="12"/>
      <c r="BIM38" s="12"/>
      <c r="BIN38" s="12"/>
      <c r="BIO38" s="12"/>
      <c r="BJD38" s="12"/>
      <c r="BJE38" s="12"/>
      <c r="BJF38" s="12"/>
      <c r="BJG38" s="12"/>
      <c r="BJH38" s="12"/>
      <c r="BJW38" s="12"/>
      <c r="BJX38" s="12"/>
      <c r="BJY38" s="12"/>
      <c r="BJZ38" s="12"/>
      <c r="BKA38" s="12"/>
      <c r="BKP38" s="12"/>
      <c r="BKQ38" s="12"/>
      <c r="BKR38" s="12"/>
      <c r="BKS38" s="12"/>
      <c r="BKT38" s="12"/>
      <c r="BLI38" s="12"/>
      <c r="BLJ38" s="12"/>
      <c r="BLK38" s="12"/>
      <c r="BLL38" s="12"/>
      <c r="BLM38" s="12"/>
      <c r="BMB38" s="12"/>
      <c r="BMC38" s="12"/>
      <c r="BMD38" s="12"/>
      <c r="BME38" s="12"/>
      <c r="BMF38" s="12"/>
      <c r="BMU38" s="12"/>
      <c r="BMV38" s="12"/>
      <c r="BMW38" s="12"/>
      <c r="BMX38" s="12"/>
      <c r="BMY38" s="12"/>
      <c r="BNN38" s="12"/>
      <c r="BNO38" s="12"/>
      <c r="BNP38" s="12"/>
      <c r="BNQ38" s="12"/>
      <c r="BNR38" s="12"/>
      <c r="BOG38" s="12"/>
      <c r="BOH38" s="12"/>
      <c r="BOI38" s="12"/>
      <c r="BOJ38" s="12"/>
      <c r="BOK38" s="12"/>
      <c r="BOZ38" s="12"/>
      <c r="BPA38" s="12"/>
      <c r="BPB38" s="12"/>
      <c r="BPC38" s="12"/>
      <c r="BPD38" s="12"/>
      <c r="BPS38" s="12"/>
      <c r="BPT38" s="12"/>
      <c r="BPU38" s="12"/>
      <c r="BPV38" s="12"/>
      <c r="BPW38" s="12"/>
      <c r="BQL38" s="12"/>
      <c r="BQM38" s="12"/>
      <c r="BQN38" s="12"/>
      <c r="BQO38" s="12"/>
      <c r="BQP38" s="12"/>
      <c r="BRE38" s="12"/>
      <c r="BRF38" s="12"/>
      <c r="BRG38" s="12"/>
      <c r="BRH38" s="12"/>
      <c r="BRI38" s="12"/>
      <c r="BRX38" s="12"/>
      <c r="BRY38" s="12"/>
      <c r="BRZ38" s="12"/>
      <c r="BSA38" s="12"/>
      <c r="BSB38" s="12"/>
      <c r="BSQ38" s="12"/>
      <c r="BSR38" s="12"/>
      <c r="BSS38" s="12"/>
      <c r="BST38" s="12"/>
      <c r="BSU38" s="12"/>
      <c r="BTJ38" s="12"/>
      <c r="BTK38" s="12"/>
      <c r="BTL38" s="12"/>
      <c r="BTM38" s="12"/>
      <c r="BTN38" s="12"/>
      <c r="BUC38" s="12"/>
      <c r="BUD38" s="12"/>
      <c r="BUE38" s="12"/>
      <c r="BUF38" s="12"/>
      <c r="BUG38" s="12"/>
      <c r="BUV38" s="12"/>
      <c r="BUW38" s="12"/>
      <c r="BUX38" s="12"/>
      <c r="BUY38" s="12"/>
      <c r="BUZ38" s="12"/>
      <c r="BVO38" s="12"/>
      <c r="BVP38" s="12"/>
      <c r="BVQ38" s="12"/>
      <c r="BVR38" s="12"/>
      <c r="BVS38" s="12"/>
      <c r="BWH38" s="12"/>
      <c r="BWI38" s="12"/>
      <c r="BWJ38" s="12"/>
      <c r="BWK38" s="12"/>
      <c r="BWL38" s="12"/>
      <c r="BXA38" s="12"/>
      <c r="BXB38" s="12"/>
      <c r="BXC38" s="12"/>
      <c r="BXD38" s="12"/>
      <c r="BXE38" s="12"/>
      <c r="BXT38" s="12"/>
      <c r="BXU38" s="12"/>
      <c r="BXV38" s="12"/>
      <c r="BXW38" s="12"/>
      <c r="BXX38" s="12"/>
      <c r="BYM38" s="12"/>
      <c r="BYN38" s="12"/>
      <c r="BYO38" s="12"/>
      <c r="BYP38" s="12"/>
      <c r="BYQ38" s="12"/>
      <c r="BZF38" s="12"/>
      <c r="BZG38" s="12"/>
      <c r="BZH38" s="12"/>
      <c r="BZI38" s="12"/>
      <c r="BZJ38" s="12"/>
      <c r="BZY38" s="12"/>
      <c r="BZZ38" s="12"/>
      <c r="CAA38" s="12"/>
      <c r="CAB38" s="12"/>
      <c r="CAC38" s="12"/>
      <c r="CAR38" s="12"/>
      <c r="CAS38" s="12"/>
      <c r="CAT38" s="12"/>
      <c r="CAU38" s="12"/>
      <c r="CAV38" s="12"/>
      <c r="CBK38" s="12"/>
      <c r="CBL38" s="12"/>
      <c r="CBM38" s="12"/>
      <c r="CBN38" s="12"/>
      <c r="CBO38" s="12"/>
      <c r="CCD38" s="12"/>
      <c r="CCE38" s="12"/>
      <c r="CCF38" s="12"/>
      <c r="CCG38" s="12"/>
      <c r="CCH38" s="12"/>
      <c r="CCW38" s="12"/>
      <c r="CCX38" s="12"/>
      <c r="CCY38" s="12"/>
      <c r="CCZ38" s="12"/>
      <c r="CDA38" s="12"/>
      <c r="CDP38" s="12"/>
      <c r="CDQ38" s="12"/>
      <c r="CDR38" s="12"/>
      <c r="CDS38" s="12"/>
      <c r="CDT38" s="12"/>
      <c r="CEI38" s="12"/>
      <c r="CEJ38" s="12"/>
      <c r="CEK38" s="12"/>
      <c r="CEL38" s="12"/>
      <c r="CEM38" s="12"/>
      <c r="CFB38" s="12"/>
      <c r="CFC38" s="12"/>
      <c r="CFD38" s="12"/>
      <c r="CFE38" s="12"/>
      <c r="CFF38" s="12"/>
      <c r="CFU38" s="12"/>
      <c r="CFV38" s="12"/>
      <c r="CFW38" s="12"/>
      <c r="CFX38" s="12"/>
      <c r="CFY38" s="12"/>
      <c r="CGN38" s="12"/>
      <c r="CGO38" s="12"/>
      <c r="CGP38" s="12"/>
      <c r="CGQ38" s="12"/>
      <c r="CGR38" s="12"/>
      <c r="CHG38" s="12"/>
      <c r="CHH38" s="12"/>
      <c r="CHI38" s="12"/>
      <c r="CHJ38" s="12"/>
      <c r="CHK38" s="12"/>
      <c r="CHZ38" s="12"/>
      <c r="CIA38" s="12"/>
      <c r="CIB38" s="12"/>
      <c r="CIC38" s="12"/>
      <c r="CID38" s="12"/>
      <c r="CIS38" s="12"/>
      <c r="CIT38" s="12"/>
      <c r="CIU38" s="12"/>
      <c r="CIV38" s="12"/>
      <c r="CIW38" s="12"/>
      <c r="CJL38" s="12"/>
      <c r="CJM38" s="12"/>
      <c r="CJN38" s="12"/>
      <c r="CJO38" s="12"/>
      <c r="CJP38" s="12"/>
      <c r="CKE38" s="12"/>
      <c r="CKF38" s="12"/>
      <c r="CKG38" s="12"/>
      <c r="CKH38" s="12"/>
      <c r="CKI38" s="12"/>
      <c r="CKX38" s="12"/>
      <c r="CKY38" s="12"/>
      <c r="CKZ38" s="12"/>
      <c r="CLA38" s="12"/>
      <c r="CLB38" s="12"/>
      <c r="CLQ38" s="12"/>
      <c r="CLR38" s="12"/>
      <c r="CLS38" s="12"/>
      <c r="CLT38" s="12"/>
      <c r="CLU38" s="12"/>
      <c r="CMJ38" s="12"/>
      <c r="CMK38" s="12"/>
      <c r="CML38" s="12"/>
      <c r="CMM38" s="12"/>
      <c r="CMN38" s="12"/>
      <c r="CNC38" s="12"/>
      <c r="CND38" s="12"/>
      <c r="CNE38" s="12"/>
      <c r="CNF38" s="12"/>
      <c r="CNG38" s="12"/>
      <c r="CNV38" s="12"/>
      <c r="CNW38" s="12"/>
      <c r="CNX38" s="12"/>
      <c r="CNY38" s="12"/>
      <c r="CNZ38" s="12"/>
      <c r="COO38" s="12"/>
      <c r="COP38" s="12"/>
      <c r="COQ38" s="12"/>
      <c r="COR38" s="12"/>
      <c r="COS38" s="12"/>
      <c r="CPH38" s="12"/>
      <c r="CPI38" s="12"/>
      <c r="CPJ38" s="12"/>
      <c r="CPK38" s="12"/>
      <c r="CPL38" s="12"/>
      <c r="CQA38" s="12"/>
      <c r="CQB38" s="12"/>
      <c r="CQC38" s="12"/>
      <c r="CQD38" s="12"/>
      <c r="CQE38" s="12"/>
      <c r="CQT38" s="12"/>
      <c r="CQU38" s="12"/>
      <c r="CQV38" s="12"/>
      <c r="CQW38" s="12"/>
      <c r="CQX38" s="12"/>
      <c r="CRM38" s="12"/>
      <c r="CRN38" s="12"/>
      <c r="CRO38" s="12"/>
      <c r="CRP38" s="12"/>
      <c r="CRQ38" s="12"/>
      <c r="CSF38" s="12"/>
      <c r="CSG38" s="12"/>
      <c r="CSH38" s="12"/>
      <c r="CSI38" s="12"/>
      <c r="CSJ38" s="12"/>
      <c r="CSY38" s="12"/>
      <c r="CSZ38" s="12"/>
      <c r="CTA38" s="12"/>
      <c r="CTB38" s="12"/>
      <c r="CTC38" s="12"/>
      <c r="CTR38" s="12"/>
      <c r="CTS38" s="12"/>
      <c r="CTT38" s="12"/>
      <c r="CTU38" s="12"/>
      <c r="CTV38" s="12"/>
      <c r="CUK38" s="12"/>
      <c r="CUL38" s="12"/>
      <c r="CUM38" s="12"/>
      <c r="CUN38" s="12"/>
      <c r="CUO38" s="12"/>
      <c r="CVD38" s="12"/>
      <c r="CVE38" s="12"/>
      <c r="CVF38" s="12"/>
      <c r="CVG38" s="12"/>
      <c r="CVH38" s="12"/>
      <c r="CVW38" s="12"/>
      <c r="CVX38" s="12"/>
      <c r="CVY38" s="12"/>
      <c r="CVZ38" s="12"/>
      <c r="CWA38" s="12"/>
      <c r="CWP38" s="12"/>
      <c r="CWQ38" s="12"/>
      <c r="CWR38" s="12"/>
      <c r="CWS38" s="12"/>
      <c r="CWT38" s="12"/>
      <c r="CXI38" s="12"/>
      <c r="CXJ38" s="12"/>
      <c r="CXK38" s="12"/>
      <c r="CXL38" s="12"/>
      <c r="CXM38" s="12"/>
      <c r="CYB38" s="12"/>
      <c r="CYC38" s="12"/>
      <c r="CYD38" s="12"/>
      <c r="CYE38" s="12"/>
      <c r="CYF38" s="12"/>
      <c r="CYU38" s="12"/>
      <c r="CYV38" s="12"/>
      <c r="CYW38" s="12"/>
      <c r="CYX38" s="12"/>
      <c r="CYY38" s="12"/>
      <c r="CZN38" s="12"/>
      <c r="CZO38" s="12"/>
      <c r="CZP38" s="12"/>
      <c r="CZQ38" s="12"/>
      <c r="CZR38" s="12"/>
      <c r="DAG38" s="12"/>
      <c r="DAH38" s="12"/>
      <c r="DAI38" s="12"/>
      <c r="DAJ38" s="12"/>
      <c r="DAK38" s="12"/>
      <c r="DAZ38" s="12"/>
      <c r="DBA38" s="12"/>
      <c r="DBB38" s="12"/>
      <c r="DBC38" s="12"/>
      <c r="DBD38" s="12"/>
      <c r="DBS38" s="12"/>
      <c r="DBT38" s="12"/>
      <c r="DBU38" s="12"/>
      <c r="DBV38" s="12"/>
      <c r="DBW38" s="12"/>
      <c r="DCL38" s="12"/>
      <c r="DCM38" s="12"/>
      <c r="DCN38" s="12"/>
      <c r="DCO38" s="12"/>
      <c r="DCP38" s="12"/>
      <c r="DDE38" s="12"/>
      <c r="DDF38" s="12"/>
      <c r="DDG38" s="12"/>
      <c r="DDH38" s="12"/>
      <c r="DDI38" s="12"/>
      <c r="DDX38" s="12"/>
      <c r="DDY38" s="12"/>
      <c r="DDZ38" s="12"/>
      <c r="DEA38" s="12"/>
      <c r="DEB38" s="12"/>
      <c r="DEQ38" s="12"/>
      <c r="DER38" s="12"/>
      <c r="DES38" s="12"/>
      <c r="DET38" s="12"/>
      <c r="DEU38" s="12"/>
      <c r="DFJ38" s="12"/>
      <c r="DFK38" s="12"/>
      <c r="DFL38" s="12"/>
      <c r="DFM38" s="12"/>
      <c r="DFN38" s="12"/>
      <c r="DGC38" s="12"/>
      <c r="DGD38" s="12"/>
      <c r="DGE38" s="12"/>
      <c r="DGF38" s="12"/>
      <c r="DGG38" s="12"/>
      <c r="DGV38" s="12"/>
      <c r="DGW38" s="12"/>
      <c r="DGX38" s="12"/>
      <c r="DGY38" s="12"/>
      <c r="DGZ38" s="12"/>
      <c r="DHO38" s="12"/>
      <c r="DHP38" s="12"/>
      <c r="DHQ38" s="12"/>
      <c r="DHR38" s="12"/>
      <c r="DHS38" s="12"/>
      <c r="DIH38" s="12"/>
      <c r="DII38" s="12"/>
      <c r="DIJ38" s="12"/>
      <c r="DIK38" s="12"/>
      <c r="DIL38" s="12"/>
      <c r="DJA38" s="12"/>
      <c r="DJB38" s="12"/>
      <c r="DJC38" s="12"/>
      <c r="DJD38" s="12"/>
      <c r="DJE38" s="12"/>
      <c r="DJT38" s="12"/>
      <c r="DJU38" s="12"/>
      <c r="DJV38" s="12"/>
      <c r="DJW38" s="12"/>
      <c r="DJX38" s="12"/>
      <c r="DKM38" s="12"/>
      <c r="DKN38" s="12"/>
      <c r="DKO38" s="12"/>
      <c r="DKP38" s="12"/>
      <c r="DKQ38" s="12"/>
      <c r="DLF38" s="12"/>
      <c r="DLG38" s="12"/>
      <c r="DLH38" s="12"/>
      <c r="DLI38" s="12"/>
      <c r="DLJ38" s="12"/>
      <c r="DLY38" s="12"/>
      <c r="DLZ38" s="12"/>
      <c r="DMA38" s="12"/>
      <c r="DMB38" s="12"/>
      <c r="DMC38" s="12"/>
      <c r="DMR38" s="12"/>
      <c r="DMS38" s="12"/>
      <c r="DMT38" s="12"/>
      <c r="DMU38" s="12"/>
      <c r="DMV38" s="12"/>
      <c r="DNK38" s="12"/>
      <c r="DNL38" s="12"/>
      <c r="DNM38" s="12"/>
      <c r="DNN38" s="12"/>
      <c r="DNO38" s="12"/>
      <c r="DOD38" s="12"/>
      <c r="DOE38" s="12"/>
      <c r="DOF38" s="12"/>
      <c r="DOG38" s="12"/>
      <c r="DOH38" s="12"/>
      <c r="DOW38" s="12"/>
      <c r="DOX38" s="12"/>
      <c r="DOY38" s="12"/>
      <c r="DOZ38" s="12"/>
      <c r="DPA38" s="12"/>
      <c r="DPP38" s="12"/>
      <c r="DPQ38" s="12"/>
      <c r="DPR38" s="12"/>
      <c r="DPS38" s="12"/>
      <c r="DPT38" s="12"/>
      <c r="DQI38" s="12"/>
      <c r="DQJ38" s="12"/>
      <c r="DQK38" s="12"/>
      <c r="DQL38" s="12"/>
      <c r="DQM38" s="12"/>
      <c r="DRB38" s="12"/>
      <c r="DRC38" s="12"/>
      <c r="DRD38" s="12"/>
      <c r="DRE38" s="12"/>
      <c r="DRF38" s="12"/>
      <c r="DRU38" s="12"/>
      <c r="DRV38" s="12"/>
      <c r="DRW38" s="12"/>
      <c r="DRX38" s="12"/>
      <c r="DRY38" s="12"/>
      <c r="DSN38" s="12"/>
      <c r="DSO38" s="12"/>
      <c r="DSP38" s="12"/>
      <c r="DSQ38" s="12"/>
      <c r="DSR38" s="12"/>
      <c r="DTG38" s="12"/>
      <c r="DTH38" s="12"/>
      <c r="DTI38" s="12"/>
      <c r="DTJ38" s="12"/>
      <c r="DTK38" s="12"/>
      <c r="DTZ38" s="12"/>
      <c r="DUA38" s="12"/>
      <c r="DUB38" s="12"/>
      <c r="DUC38" s="12"/>
      <c r="DUD38" s="12"/>
      <c r="DUS38" s="12"/>
      <c r="DUT38" s="12"/>
      <c r="DUU38" s="12"/>
      <c r="DUV38" s="12"/>
      <c r="DUW38" s="12"/>
      <c r="DVL38" s="12"/>
      <c r="DVM38" s="12"/>
      <c r="DVN38" s="12"/>
      <c r="DVO38" s="12"/>
      <c r="DVP38" s="12"/>
      <c r="DWE38" s="12"/>
      <c r="DWF38" s="12"/>
      <c r="DWG38" s="12"/>
      <c r="DWH38" s="12"/>
      <c r="DWI38" s="12"/>
      <c r="DWX38" s="12"/>
      <c r="DWY38" s="12"/>
      <c r="DWZ38" s="12"/>
      <c r="DXA38" s="12"/>
      <c r="DXB38" s="12"/>
      <c r="DXQ38" s="12"/>
      <c r="DXR38" s="12"/>
      <c r="DXS38" s="12"/>
      <c r="DXT38" s="12"/>
      <c r="DXU38" s="12"/>
      <c r="DYJ38" s="12"/>
      <c r="DYK38" s="12"/>
      <c r="DYL38" s="12"/>
      <c r="DYM38" s="12"/>
      <c r="DYN38" s="12"/>
      <c r="DZC38" s="12"/>
      <c r="DZD38" s="12"/>
      <c r="DZE38" s="12"/>
      <c r="DZF38" s="12"/>
      <c r="DZG38" s="12"/>
      <c r="DZV38" s="12"/>
      <c r="DZW38" s="12"/>
      <c r="DZX38" s="12"/>
      <c r="DZY38" s="12"/>
      <c r="DZZ38" s="12"/>
      <c r="EAO38" s="12"/>
      <c r="EAP38" s="12"/>
      <c r="EAQ38" s="12"/>
      <c r="EAR38" s="12"/>
      <c r="EAS38" s="12"/>
      <c r="EBH38" s="12"/>
      <c r="EBI38" s="12"/>
      <c r="EBJ38" s="12"/>
      <c r="EBK38" s="12"/>
      <c r="EBL38" s="12"/>
      <c r="ECA38" s="12"/>
      <c r="ECB38" s="12"/>
      <c r="ECC38" s="12"/>
      <c r="ECD38" s="12"/>
      <c r="ECE38" s="12"/>
      <c r="ECT38" s="12"/>
      <c r="ECU38" s="12"/>
      <c r="ECV38" s="12"/>
      <c r="ECW38" s="12"/>
      <c r="ECX38" s="12"/>
      <c r="EDM38" s="12"/>
      <c r="EDN38" s="12"/>
      <c r="EDO38" s="12"/>
      <c r="EDP38" s="12"/>
      <c r="EDQ38" s="12"/>
      <c r="EEF38" s="12"/>
      <c r="EEG38" s="12"/>
      <c r="EEH38" s="12"/>
      <c r="EEI38" s="12"/>
      <c r="EEJ38" s="12"/>
      <c r="EEY38" s="12"/>
      <c r="EEZ38" s="12"/>
      <c r="EFA38" s="12"/>
      <c r="EFB38" s="12"/>
      <c r="EFC38" s="12"/>
      <c r="EFR38" s="12"/>
      <c r="EFS38" s="12"/>
      <c r="EFT38" s="12"/>
      <c r="EFU38" s="12"/>
      <c r="EFV38" s="12"/>
      <c r="EGK38" s="12"/>
      <c r="EGL38" s="12"/>
      <c r="EGM38" s="12"/>
      <c r="EGN38" s="12"/>
      <c r="EGO38" s="12"/>
      <c r="EHD38" s="12"/>
      <c r="EHE38" s="12"/>
      <c r="EHF38" s="12"/>
      <c r="EHG38" s="12"/>
      <c r="EHH38" s="12"/>
      <c r="EHW38" s="12"/>
      <c r="EHX38" s="12"/>
      <c r="EHY38" s="12"/>
      <c r="EHZ38" s="12"/>
      <c r="EIA38" s="12"/>
      <c r="EIP38" s="12"/>
      <c r="EIQ38" s="12"/>
      <c r="EIR38" s="12"/>
      <c r="EIS38" s="12"/>
      <c r="EIT38" s="12"/>
      <c r="EJI38" s="12"/>
      <c r="EJJ38" s="12"/>
      <c r="EJK38" s="12"/>
      <c r="EJL38" s="12"/>
      <c r="EJM38" s="12"/>
      <c r="EKB38" s="12"/>
      <c r="EKC38" s="12"/>
      <c r="EKD38" s="12"/>
      <c r="EKE38" s="12"/>
      <c r="EKF38" s="12"/>
      <c r="EKU38" s="12"/>
      <c r="EKV38" s="12"/>
      <c r="EKW38" s="12"/>
      <c r="EKX38" s="12"/>
      <c r="EKY38" s="12"/>
      <c r="ELN38" s="12"/>
      <c r="ELO38" s="12"/>
      <c r="ELP38" s="12"/>
      <c r="ELQ38" s="12"/>
      <c r="ELR38" s="12"/>
      <c r="EMG38" s="12"/>
      <c r="EMH38" s="12"/>
      <c r="EMI38" s="12"/>
      <c r="EMJ38" s="12"/>
      <c r="EMK38" s="12"/>
      <c r="EMZ38" s="12"/>
      <c r="ENA38" s="12"/>
      <c r="ENB38" s="12"/>
      <c r="ENC38" s="12"/>
      <c r="END38" s="12"/>
      <c r="ENS38" s="12"/>
      <c r="ENT38" s="12"/>
      <c r="ENU38" s="12"/>
      <c r="ENV38" s="12"/>
      <c r="ENW38" s="12"/>
      <c r="EOL38" s="12"/>
      <c r="EOM38" s="12"/>
      <c r="EON38" s="12"/>
      <c r="EOO38" s="12"/>
      <c r="EOP38" s="12"/>
      <c r="EPE38" s="12"/>
      <c r="EPF38" s="12"/>
      <c r="EPG38" s="12"/>
      <c r="EPH38" s="12"/>
      <c r="EPI38" s="12"/>
      <c r="EPX38" s="12"/>
      <c r="EPY38" s="12"/>
      <c r="EPZ38" s="12"/>
      <c r="EQA38" s="12"/>
      <c r="EQB38" s="12"/>
      <c r="EQQ38" s="12"/>
      <c r="EQR38" s="12"/>
      <c r="EQS38" s="12"/>
      <c r="EQT38" s="12"/>
      <c r="EQU38" s="12"/>
      <c r="ERJ38" s="12"/>
      <c r="ERK38" s="12"/>
      <c r="ERL38" s="12"/>
      <c r="ERM38" s="12"/>
      <c r="ERN38" s="12"/>
      <c r="ESC38" s="12"/>
      <c r="ESD38" s="12"/>
      <c r="ESE38" s="12"/>
      <c r="ESF38" s="12"/>
      <c r="ESG38" s="12"/>
      <c r="ESV38" s="12"/>
      <c r="ESW38" s="12"/>
      <c r="ESX38" s="12"/>
      <c r="ESY38" s="12"/>
      <c r="ESZ38" s="12"/>
      <c r="ETO38" s="12"/>
      <c r="ETP38" s="12"/>
      <c r="ETQ38" s="12"/>
      <c r="ETR38" s="12"/>
      <c r="ETS38" s="12"/>
      <c r="EUH38" s="12"/>
      <c r="EUI38" s="12"/>
      <c r="EUJ38" s="12"/>
      <c r="EUK38" s="12"/>
      <c r="EUL38" s="12"/>
      <c r="EVA38" s="12"/>
      <c r="EVB38" s="12"/>
      <c r="EVC38" s="12"/>
      <c r="EVD38" s="12"/>
      <c r="EVE38" s="12"/>
      <c r="EVT38" s="12"/>
      <c r="EVU38" s="12"/>
      <c r="EVV38" s="12"/>
      <c r="EVW38" s="12"/>
      <c r="EVX38" s="12"/>
      <c r="EWM38" s="12"/>
      <c r="EWN38" s="12"/>
      <c r="EWO38" s="12"/>
      <c r="EWP38" s="12"/>
      <c r="EWQ38" s="12"/>
      <c r="EXF38" s="12"/>
      <c r="EXG38" s="12"/>
      <c r="EXH38" s="12"/>
      <c r="EXI38" s="12"/>
      <c r="EXJ38" s="12"/>
      <c r="EXY38" s="12"/>
      <c r="EXZ38" s="12"/>
      <c r="EYA38" s="12"/>
      <c r="EYB38" s="12"/>
      <c r="EYC38" s="12"/>
      <c r="EYR38" s="12"/>
      <c r="EYS38" s="12"/>
      <c r="EYT38" s="12"/>
      <c r="EYU38" s="12"/>
      <c r="EYV38" s="12"/>
      <c r="EZK38" s="12"/>
      <c r="EZL38" s="12"/>
      <c r="EZM38" s="12"/>
      <c r="EZN38" s="12"/>
      <c r="EZO38" s="12"/>
      <c r="FAD38" s="12"/>
      <c r="FAE38" s="12"/>
      <c r="FAF38" s="12"/>
      <c r="FAG38" s="12"/>
      <c r="FAH38" s="12"/>
      <c r="FAW38" s="12"/>
      <c r="FAX38" s="12"/>
      <c r="FAY38" s="12"/>
      <c r="FAZ38" s="12"/>
      <c r="FBA38" s="12"/>
      <c r="FBP38" s="12"/>
      <c r="FBQ38" s="12"/>
      <c r="FBR38" s="12"/>
      <c r="FBS38" s="12"/>
      <c r="FBT38" s="12"/>
      <c r="FCI38" s="12"/>
      <c r="FCJ38" s="12"/>
      <c r="FCK38" s="12"/>
      <c r="FCL38" s="12"/>
      <c r="FCM38" s="12"/>
      <c r="FDB38" s="12"/>
      <c r="FDC38" s="12"/>
      <c r="FDD38" s="12"/>
      <c r="FDE38" s="12"/>
      <c r="FDF38" s="12"/>
      <c r="FDU38" s="12"/>
      <c r="FDV38" s="12"/>
      <c r="FDW38" s="12"/>
      <c r="FDX38" s="12"/>
      <c r="FDY38" s="12"/>
      <c r="FEN38" s="12"/>
      <c r="FEO38" s="12"/>
      <c r="FEP38" s="12"/>
      <c r="FEQ38" s="12"/>
      <c r="FER38" s="12"/>
      <c r="FFG38" s="12"/>
      <c r="FFH38" s="12"/>
      <c r="FFI38" s="12"/>
      <c r="FFJ38" s="12"/>
      <c r="FFK38" s="12"/>
      <c r="FFZ38" s="12"/>
      <c r="FGA38" s="12"/>
      <c r="FGB38" s="12"/>
      <c r="FGC38" s="12"/>
      <c r="FGD38" s="12"/>
      <c r="FGS38" s="12"/>
      <c r="FGT38" s="12"/>
      <c r="FGU38" s="12"/>
      <c r="FGV38" s="12"/>
      <c r="FGW38" s="12"/>
      <c r="FHL38" s="12"/>
      <c r="FHM38" s="12"/>
      <c r="FHN38" s="12"/>
      <c r="FHO38" s="12"/>
      <c r="FHP38" s="12"/>
      <c r="FIE38" s="12"/>
      <c r="FIF38" s="12"/>
      <c r="FIG38" s="12"/>
      <c r="FIH38" s="12"/>
      <c r="FII38" s="12"/>
      <c r="FIX38" s="12"/>
      <c r="FIY38" s="12"/>
      <c r="FIZ38" s="12"/>
      <c r="FJA38" s="12"/>
      <c r="FJB38" s="12"/>
      <c r="FJQ38" s="12"/>
      <c r="FJR38" s="12"/>
      <c r="FJS38" s="12"/>
      <c r="FJT38" s="12"/>
      <c r="FJU38" s="12"/>
      <c r="FKJ38" s="12"/>
      <c r="FKK38" s="12"/>
      <c r="FKL38" s="12"/>
      <c r="FKM38" s="12"/>
      <c r="FKN38" s="12"/>
      <c r="FLC38" s="12"/>
      <c r="FLD38" s="12"/>
      <c r="FLE38" s="12"/>
      <c r="FLF38" s="12"/>
      <c r="FLG38" s="12"/>
      <c r="FLV38" s="12"/>
      <c r="FLW38" s="12"/>
      <c r="FLX38" s="12"/>
      <c r="FLY38" s="12"/>
      <c r="FLZ38" s="12"/>
      <c r="FMO38" s="12"/>
      <c r="FMP38" s="12"/>
      <c r="FMQ38" s="12"/>
      <c r="FMR38" s="12"/>
      <c r="FMS38" s="12"/>
      <c r="FNH38" s="12"/>
      <c r="FNI38" s="12"/>
      <c r="FNJ38" s="12"/>
      <c r="FNK38" s="12"/>
      <c r="FNL38" s="12"/>
      <c r="FOA38" s="12"/>
      <c r="FOB38" s="12"/>
      <c r="FOC38" s="12"/>
      <c r="FOD38" s="12"/>
      <c r="FOE38" s="12"/>
      <c r="FOT38" s="12"/>
      <c r="FOU38" s="12"/>
      <c r="FOV38" s="12"/>
      <c r="FOW38" s="12"/>
      <c r="FOX38" s="12"/>
      <c r="FPM38" s="12"/>
      <c r="FPN38" s="12"/>
      <c r="FPO38" s="12"/>
      <c r="FPP38" s="12"/>
      <c r="FPQ38" s="12"/>
      <c r="FQF38" s="12"/>
      <c r="FQG38" s="12"/>
      <c r="FQH38" s="12"/>
      <c r="FQI38" s="12"/>
      <c r="FQJ38" s="12"/>
      <c r="FQY38" s="12"/>
      <c r="FQZ38" s="12"/>
      <c r="FRA38" s="12"/>
      <c r="FRB38" s="12"/>
      <c r="FRC38" s="12"/>
      <c r="FRR38" s="12"/>
      <c r="FRS38" s="12"/>
      <c r="FRT38" s="12"/>
      <c r="FRU38" s="12"/>
      <c r="FRV38" s="12"/>
      <c r="FSK38" s="12"/>
      <c r="FSL38" s="12"/>
      <c r="FSM38" s="12"/>
      <c r="FSN38" s="12"/>
      <c r="FSO38" s="12"/>
      <c r="FTD38" s="12"/>
      <c r="FTE38" s="12"/>
      <c r="FTF38" s="12"/>
      <c r="FTG38" s="12"/>
      <c r="FTH38" s="12"/>
      <c r="FTW38" s="12"/>
      <c r="FTX38" s="12"/>
      <c r="FTY38" s="12"/>
      <c r="FTZ38" s="12"/>
      <c r="FUA38" s="12"/>
      <c r="FUP38" s="12"/>
      <c r="FUQ38" s="12"/>
      <c r="FUR38" s="12"/>
      <c r="FUS38" s="12"/>
      <c r="FUT38" s="12"/>
      <c r="FVI38" s="12"/>
      <c r="FVJ38" s="12"/>
      <c r="FVK38" s="12"/>
      <c r="FVL38" s="12"/>
      <c r="FVM38" s="12"/>
      <c r="FWB38" s="12"/>
      <c r="FWC38" s="12"/>
      <c r="FWD38" s="12"/>
      <c r="FWE38" s="12"/>
      <c r="FWF38" s="12"/>
      <c r="FWU38" s="12"/>
      <c r="FWV38" s="12"/>
      <c r="FWW38" s="12"/>
      <c r="FWX38" s="12"/>
      <c r="FWY38" s="12"/>
      <c r="FXN38" s="12"/>
      <c r="FXO38" s="12"/>
      <c r="FXP38" s="12"/>
      <c r="FXQ38" s="12"/>
      <c r="FXR38" s="12"/>
      <c r="FYG38" s="12"/>
      <c r="FYH38" s="12"/>
      <c r="FYI38" s="12"/>
      <c r="FYJ38" s="12"/>
      <c r="FYK38" s="12"/>
      <c r="FYZ38" s="12"/>
      <c r="FZA38" s="12"/>
      <c r="FZB38" s="12"/>
      <c r="FZC38" s="12"/>
      <c r="FZD38" s="12"/>
      <c r="FZS38" s="12"/>
      <c r="FZT38" s="12"/>
      <c r="FZU38" s="12"/>
      <c r="FZV38" s="12"/>
      <c r="FZW38" s="12"/>
      <c r="GAL38" s="12"/>
      <c r="GAM38" s="12"/>
      <c r="GAN38" s="12"/>
      <c r="GAO38" s="12"/>
      <c r="GAP38" s="12"/>
      <c r="GBE38" s="12"/>
      <c r="GBF38" s="12"/>
      <c r="GBG38" s="12"/>
      <c r="GBH38" s="12"/>
      <c r="GBI38" s="12"/>
      <c r="GBX38" s="12"/>
      <c r="GBY38" s="12"/>
      <c r="GBZ38" s="12"/>
      <c r="GCA38" s="12"/>
      <c r="GCB38" s="12"/>
      <c r="GCQ38" s="12"/>
      <c r="GCR38" s="12"/>
      <c r="GCS38" s="12"/>
      <c r="GCT38" s="12"/>
      <c r="GCU38" s="12"/>
      <c r="GDJ38" s="12"/>
      <c r="GDK38" s="12"/>
      <c r="GDL38" s="12"/>
      <c r="GDM38" s="12"/>
      <c r="GDN38" s="12"/>
      <c r="GEC38" s="12"/>
      <c r="GED38" s="12"/>
      <c r="GEE38" s="12"/>
      <c r="GEF38" s="12"/>
      <c r="GEG38" s="12"/>
      <c r="GEV38" s="12"/>
      <c r="GEW38" s="12"/>
      <c r="GEX38" s="12"/>
      <c r="GEY38" s="12"/>
      <c r="GEZ38" s="12"/>
      <c r="GFO38" s="12"/>
      <c r="GFP38" s="12"/>
      <c r="GFQ38" s="12"/>
      <c r="GFR38" s="12"/>
      <c r="GFS38" s="12"/>
      <c r="GGH38" s="12"/>
      <c r="GGI38" s="12"/>
      <c r="GGJ38" s="12"/>
      <c r="GGK38" s="12"/>
      <c r="GGL38" s="12"/>
      <c r="GHA38" s="12"/>
      <c r="GHB38" s="12"/>
      <c r="GHC38" s="12"/>
      <c r="GHD38" s="12"/>
      <c r="GHE38" s="12"/>
      <c r="GHT38" s="12"/>
      <c r="GHU38" s="12"/>
      <c r="GHV38" s="12"/>
      <c r="GHW38" s="12"/>
      <c r="GHX38" s="12"/>
      <c r="GIM38" s="12"/>
      <c r="GIN38" s="12"/>
      <c r="GIO38" s="12"/>
      <c r="GIP38" s="12"/>
      <c r="GIQ38" s="12"/>
      <c r="GJF38" s="12"/>
      <c r="GJG38" s="12"/>
      <c r="GJH38" s="12"/>
      <c r="GJI38" s="12"/>
      <c r="GJJ38" s="12"/>
      <c r="GJY38" s="12"/>
      <c r="GJZ38" s="12"/>
      <c r="GKA38" s="12"/>
      <c r="GKB38" s="12"/>
      <c r="GKC38" s="12"/>
      <c r="GKR38" s="12"/>
      <c r="GKS38" s="12"/>
      <c r="GKT38" s="12"/>
      <c r="GKU38" s="12"/>
      <c r="GKV38" s="12"/>
      <c r="GLK38" s="12"/>
      <c r="GLL38" s="12"/>
      <c r="GLM38" s="12"/>
      <c r="GLN38" s="12"/>
      <c r="GLO38" s="12"/>
      <c r="GMD38" s="12"/>
      <c r="GME38" s="12"/>
      <c r="GMF38" s="12"/>
      <c r="GMG38" s="12"/>
      <c r="GMH38" s="12"/>
      <c r="GMW38" s="12"/>
      <c r="GMX38" s="12"/>
      <c r="GMY38" s="12"/>
      <c r="GMZ38" s="12"/>
      <c r="GNA38" s="12"/>
      <c r="GNP38" s="12"/>
      <c r="GNQ38" s="12"/>
      <c r="GNR38" s="12"/>
      <c r="GNS38" s="12"/>
      <c r="GNT38" s="12"/>
      <c r="GOI38" s="12"/>
      <c r="GOJ38" s="12"/>
      <c r="GOK38" s="12"/>
      <c r="GOL38" s="12"/>
      <c r="GOM38" s="12"/>
      <c r="GPB38" s="12"/>
      <c r="GPC38" s="12"/>
      <c r="GPD38" s="12"/>
      <c r="GPE38" s="12"/>
      <c r="GPF38" s="12"/>
      <c r="GPU38" s="12"/>
      <c r="GPV38" s="12"/>
      <c r="GPW38" s="12"/>
      <c r="GPX38" s="12"/>
      <c r="GPY38" s="12"/>
      <c r="GQN38" s="12"/>
      <c r="GQO38" s="12"/>
      <c r="GQP38" s="12"/>
      <c r="GQQ38" s="12"/>
      <c r="GQR38" s="12"/>
      <c r="GRG38" s="12"/>
      <c r="GRH38" s="12"/>
      <c r="GRI38" s="12"/>
      <c r="GRJ38" s="12"/>
      <c r="GRK38" s="12"/>
      <c r="GRZ38" s="12"/>
      <c r="GSA38" s="12"/>
      <c r="GSB38" s="12"/>
      <c r="GSC38" s="12"/>
      <c r="GSD38" s="12"/>
      <c r="GSS38" s="12"/>
      <c r="GST38" s="12"/>
      <c r="GSU38" s="12"/>
      <c r="GSV38" s="12"/>
      <c r="GSW38" s="12"/>
      <c r="GTL38" s="12"/>
      <c r="GTM38" s="12"/>
      <c r="GTN38" s="12"/>
      <c r="GTO38" s="12"/>
      <c r="GTP38" s="12"/>
      <c r="GUE38" s="12"/>
      <c r="GUF38" s="12"/>
      <c r="GUG38" s="12"/>
      <c r="GUH38" s="12"/>
      <c r="GUI38" s="12"/>
      <c r="GUX38" s="12"/>
      <c r="GUY38" s="12"/>
      <c r="GUZ38" s="12"/>
      <c r="GVA38" s="12"/>
      <c r="GVB38" s="12"/>
      <c r="GVQ38" s="12"/>
      <c r="GVR38" s="12"/>
      <c r="GVS38" s="12"/>
      <c r="GVT38" s="12"/>
      <c r="GVU38" s="12"/>
      <c r="GWJ38" s="12"/>
      <c r="GWK38" s="12"/>
      <c r="GWL38" s="12"/>
      <c r="GWM38" s="12"/>
      <c r="GWN38" s="12"/>
      <c r="GXC38" s="12"/>
      <c r="GXD38" s="12"/>
      <c r="GXE38" s="12"/>
      <c r="GXF38" s="12"/>
      <c r="GXG38" s="12"/>
      <c r="GXV38" s="12"/>
      <c r="GXW38" s="12"/>
      <c r="GXX38" s="12"/>
      <c r="GXY38" s="12"/>
      <c r="GXZ38" s="12"/>
      <c r="GYO38" s="12"/>
      <c r="GYP38" s="12"/>
      <c r="GYQ38" s="12"/>
      <c r="GYR38" s="12"/>
      <c r="GYS38" s="12"/>
      <c r="GZH38" s="12"/>
      <c r="GZI38" s="12"/>
      <c r="GZJ38" s="12"/>
      <c r="GZK38" s="12"/>
      <c r="GZL38" s="12"/>
      <c r="HAA38" s="12"/>
      <c r="HAB38" s="12"/>
      <c r="HAC38" s="12"/>
      <c r="HAD38" s="12"/>
      <c r="HAE38" s="12"/>
      <c r="HAT38" s="12"/>
      <c r="HAU38" s="12"/>
      <c r="HAV38" s="12"/>
      <c r="HAW38" s="12"/>
      <c r="HAX38" s="12"/>
      <c r="HBM38" s="12"/>
      <c r="HBN38" s="12"/>
      <c r="HBO38" s="12"/>
      <c r="HBP38" s="12"/>
      <c r="HBQ38" s="12"/>
      <c r="HCF38" s="12"/>
      <c r="HCG38" s="12"/>
      <c r="HCH38" s="12"/>
      <c r="HCI38" s="12"/>
      <c r="HCJ38" s="12"/>
      <c r="HCY38" s="12"/>
      <c r="HCZ38" s="12"/>
      <c r="HDA38" s="12"/>
      <c r="HDB38" s="12"/>
      <c r="HDC38" s="12"/>
      <c r="HDR38" s="12"/>
      <c r="HDS38" s="12"/>
      <c r="HDT38" s="12"/>
      <c r="HDU38" s="12"/>
      <c r="HDV38" s="12"/>
      <c r="HEK38" s="12"/>
      <c r="HEL38" s="12"/>
      <c r="HEM38" s="12"/>
      <c r="HEN38" s="12"/>
      <c r="HEO38" s="12"/>
      <c r="HFD38" s="12"/>
      <c r="HFE38" s="12"/>
      <c r="HFF38" s="12"/>
      <c r="HFG38" s="12"/>
      <c r="HFH38" s="12"/>
      <c r="HFW38" s="12"/>
      <c r="HFX38" s="12"/>
      <c r="HFY38" s="12"/>
      <c r="HFZ38" s="12"/>
      <c r="HGA38" s="12"/>
      <c r="HGP38" s="12"/>
      <c r="HGQ38" s="12"/>
      <c r="HGR38" s="12"/>
      <c r="HGS38" s="12"/>
      <c r="HGT38" s="12"/>
      <c r="HHI38" s="12"/>
      <c r="HHJ38" s="12"/>
      <c r="HHK38" s="12"/>
      <c r="HHL38" s="12"/>
      <c r="HHM38" s="12"/>
      <c r="HIB38" s="12"/>
      <c r="HIC38" s="12"/>
      <c r="HID38" s="12"/>
      <c r="HIE38" s="12"/>
      <c r="HIF38" s="12"/>
      <c r="HIU38" s="12"/>
      <c r="HIV38" s="12"/>
      <c r="HIW38" s="12"/>
      <c r="HIX38" s="12"/>
      <c r="HIY38" s="12"/>
      <c r="HJN38" s="12"/>
      <c r="HJO38" s="12"/>
      <c r="HJP38" s="12"/>
      <c r="HJQ38" s="12"/>
      <c r="HJR38" s="12"/>
      <c r="HKG38" s="12"/>
      <c r="HKH38" s="12"/>
      <c r="HKI38" s="12"/>
      <c r="HKJ38" s="12"/>
      <c r="HKK38" s="12"/>
      <c r="HKZ38" s="12"/>
      <c r="HLA38" s="12"/>
      <c r="HLB38" s="12"/>
      <c r="HLC38" s="12"/>
      <c r="HLD38" s="12"/>
      <c r="HLS38" s="12"/>
      <c r="HLT38" s="12"/>
      <c r="HLU38" s="12"/>
      <c r="HLV38" s="12"/>
      <c r="HLW38" s="12"/>
      <c r="HML38" s="12"/>
      <c r="HMM38" s="12"/>
      <c r="HMN38" s="12"/>
      <c r="HMO38" s="12"/>
      <c r="HMP38" s="12"/>
      <c r="HNE38" s="12"/>
      <c r="HNF38" s="12"/>
      <c r="HNG38" s="12"/>
      <c r="HNH38" s="12"/>
      <c r="HNI38" s="12"/>
      <c r="HNX38" s="12"/>
      <c r="HNY38" s="12"/>
      <c r="HNZ38" s="12"/>
      <c r="HOA38" s="12"/>
      <c r="HOB38" s="12"/>
      <c r="HOQ38" s="12"/>
      <c r="HOR38" s="12"/>
      <c r="HOS38" s="12"/>
      <c r="HOT38" s="12"/>
      <c r="HOU38" s="12"/>
      <c r="HPJ38" s="12"/>
      <c r="HPK38" s="12"/>
      <c r="HPL38" s="12"/>
      <c r="HPM38" s="12"/>
      <c r="HPN38" s="12"/>
      <c r="HQC38" s="12"/>
      <c r="HQD38" s="12"/>
      <c r="HQE38" s="12"/>
      <c r="HQF38" s="12"/>
      <c r="HQG38" s="12"/>
      <c r="HQV38" s="12"/>
      <c r="HQW38" s="12"/>
      <c r="HQX38" s="12"/>
      <c r="HQY38" s="12"/>
      <c r="HQZ38" s="12"/>
      <c r="HRO38" s="12"/>
      <c r="HRP38" s="12"/>
      <c r="HRQ38" s="12"/>
      <c r="HRR38" s="12"/>
      <c r="HRS38" s="12"/>
      <c r="HSH38" s="12"/>
      <c r="HSI38" s="12"/>
      <c r="HSJ38" s="12"/>
      <c r="HSK38" s="12"/>
      <c r="HSL38" s="12"/>
      <c r="HTA38" s="12"/>
      <c r="HTB38" s="12"/>
      <c r="HTC38" s="12"/>
      <c r="HTD38" s="12"/>
      <c r="HTE38" s="12"/>
      <c r="HTT38" s="12"/>
      <c r="HTU38" s="12"/>
      <c r="HTV38" s="12"/>
      <c r="HTW38" s="12"/>
      <c r="HTX38" s="12"/>
      <c r="HUM38" s="12"/>
      <c r="HUN38" s="12"/>
      <c r="HUO38" s="12"/>
      <c r="HUP38" s="12"/>
      <c r="HUQ38" s="12"/>
      <c r="HVF38" s="12"/>
      <c r="HVG38" s="12"/>
      <c r="HVH38" s="12"/>
      <c r="HVI38" s="12"/>
      <c r="HVJ38" s="12"/>
      <c r="HVY38" s="12"/>
      <c r="HVZ38" s="12"/>
      <c r="HWA38" s="12"/>
      <c r="HWB38" s="12"/>
      <c r="HWC38" s="12"/>
      <c r="HWR38" s="12"/>
      <c r="HWS38" s="12"/>
      <c r="HWT38" s="12"/>
      <c r="HWU38" s="12"/>
      <c r="HWV38" s="12"/>
      <c r="HXK38" s="12"/>
      <c r="HXL38" s="12"/>
      <c r="HXM38" s="12"/>
      <c r="HXN38" s="12"/>
      <c r="HXO38" s="12"/>
      <c r="HYD38" s="12"/>
      <c r="HYE38" s="12"/>
      <c r="HYF38" s="12"/>
      <c r="HYG38" s="12"/>
      <c r="HYH38" s="12"/>
      <c r="HYW38" s="12"/>
      <c r="HYX38" s="12"/>
      <c r="HYY38" s="12"/>
      <c r="HYZ38" s="12"/>
      <c r="HZA38" s="12"/>
      <c r="HZP38" s="12"/>
      <c r="HZQ38" s="12"/>
      <c r="HZR38" s="12"/>
      <c r="HZS38" s="12"/>
      <c r="HZT38" s="12"/>
      <c r="IAI38" s="12"/>
      <c r="IAJ38" s="12"/>
      <c r="IAK38" s="12"/>
      <c r="IAL38" s="12"/>
      <c r="IAM38" s="12"/>
      <c r="IBB38" s="12"/>
      <c r="IBC38" s="12"/>
      <c r="IBD38" s="12"/>
      <c r="IBE38" s="12"/>
      <c r="IBF38" s="12"/>
      <c r="IBU38" s="12"/>
      <c r="IBV38" s="12"/>
      <c r="IBW38" s="12"/>
      <c r="IBX38" s="12"/>
      <c r="IBY38" s="12"/>
      <c r="ICN38" s="12"/>
      <c r="ICO38" s="12"/>
      <c r="ICP38" s="12"/>
      <c r="ICQ38" s="12"/>
      <c r="ICR38" s="12"/>
      <c r="IDG38" s="12"/>
      <c r="IDH38" s="12"/>
      <c r="IDI38" s="12"/>
      <c r="IDJ38" s="12"/>
      <c r="IDK38" s="12"/>
      <c r="IDZ38" s="12"/>
      <c r="IEA38" s="12"/>
      <c r="IEB38" s="12"/>
      <c r="IEC38" s="12"/>
      <c r="IED38" s="12"/>
      <c r="IES38" s="12"/>
      <c r="IET38" s="12"/>
      <c r="IEU38" s="12"/>
      <c r="IEV38" s="12"/>
      <c r="IEW38" s="12"/>
      <c r="IFL38" s="12"/>
      <c r="IFM38" s="12"/>
      <c r="IFN38" s="12"/>
      <c r="IFO38" s="12"/>
      <c r="IFP38" s="12"/>
      <c r="IGE38" s="12"/>
      <c r="IGF38" s="12"/>
      <c r="IGG38" s="12"/>
      <c r="IGH38" s="12"/>
      <c r="IGI38" s="12"/>
      <c r="IGX38" s="12"/>
      <c r="IGY38" s="12"/>
      <c r="IGZ38" s="12"/>
      <c r="IHA38" s="12"/>
      <c r="IHB38" s="12"/>
      <c r="IHQ38" s="12"/>
      <c r="IHR38" s="12"/>
      <c r="IHS38" s="12"/>
      <c r="IHT38" s="12"/>
      <c r="IHU38" s="12"/>
      <c r="IIJ38" s="12"/>
      <c r="IIK38" s="12"/>
      <c r="IIL38" s="12"/>
      <c r="IIM38" s="12"/>
      <c r="IIN38" s="12"/>
      <c r="IJC38" s="12"/>
      <c r="IJD38" s="12"/>
      <c r="IJE38" s="12"/>
      <c r="IJF38" s="12"/>
      <c r="IJG38" s="12"/>
      <c r="IJV38" s="12"/>
      <c r="IJW38" s="12"/>
      <c r="IJX38" s="12"/>
      <c r="IJY38" s="12"/>
      <c r="IJZ38" s="12"/>
      <c r="IKO38" s="12"/>
      <c r="IKP38" s="12"/>
      <c r="IKQ38" s="12"/>
      <c r="IKR38" s="12"/>
      <c r="IKS38" s="12"/>
      <c r="ILH38" s="12"/>
      <c r="ILI38" s="12"/>
      <c r="ILJ38" s="12"/>
      <c r="ILK38" s="12"/>
      <c r="ILL38" s="12"/>
      <c r="IMA38" s="12"/>
      <c r="IMB38" s="12"/>
      <c r="IMC38" s="12"/>
      <c r="IMD38" s="12"/>
      <c r="IME38" s="12"/>
      <c r="IMT38" s="12"/>
      <c r="IMU38" s="12"/>
      <c r="IMV38" s="12"/>
      <c r="IMW38" s="12"/>
      <c r="IMX38" s="12"/>
      <c r="INM38" s="12"/>
      <c r="INN38" s="12"/>
      <c r="INO38" s="12"/>
      <c r="INP38" s="12"/>
      <c r="INQ38" s="12"/>
      <c r="IOF38" s="12"/>
      <c r="IOG38" s="12"/>
      <c r="IOH38" s="12"/>
      <c r="IOI38" s="12"/>
      <c r="IOJ38" s="12"/>
      <c r="IOY38" s="12"/>
      <c r="IOZ38" s="12"/>
      <c r="IPA38" s="12"/>
      <c r="IPB38" s="12"/>
      <c r="IPC38" s="12"/>
      <c r="IPR38" s="12"/>
      <c r="IPS38" s="12"/>
      <c r="IPT38" s="12"/>
      <c r="IPU38" s="12"/>
      <c r="IPV38" s="12"/>
      <c r="IQK38" s="12"/>
      <c r="IQL38" s="12"/>
      <c r="IQM38" s="12"/>
      <c r="IQN38" s="12"/>
      <c r="IQO38" s="12"/>
      <c r="IRD38" s="12"/>
      <c r="IRE38" s="12"/>
      <c r="IRF38" s="12"/>
      <c r="IRG38" s="12"/>
      <c r="IRH38" s="12"/>
      <c r="IRW38" s="12"/>
      <c r="IRX38" s="12"/>
      <c r="IRY38" s="12"/>
      <c r="IRZ38" s="12"/>
      <c r="ISA38" s="12"/>
      <c r="ISP38" s="12"/>
      <c r="ISQ38" s="12"/>
      <c r="ISR38" s="12"/>
      <c r="ISS38" s="12"/>
      <c r="IST38" s="12"/>
      <c r="ITI38" s="12"/>
      <c r="ITJ38" s="12"/>
      <c r="ITK38" s="12"/>
      <c r="ITL38" s="12"/>
      <c r="ITM38" s="12"/>
      <c r="IUB38" s="12"/>
      <c r="IUC38" s="12"/>
      <c r="IUD38" s="12"/>
      <c r="IUE38" s="12"/>
      <c r="IUF38" s="12"/>
      <c r="IUU38" s="12"/>
      <c r="IUV38" s="12"/>
      <c r="IUW38" s="12"/>
      <c r="IUX38" s="12"/>
      <c r="IUY38" s="12"/>
      <c r="IVN38" s="12"/>
      <c r="IVO38" s="12"/>
      <c r="IVP38" s="12"/>
      <c r="IVQ38" s="12"/>
      <c r="IVR38" s="12"/>
      <c r="IWG38" s="12"/>
      <c r="IWH38" s="12"/>
      <c r="IWI38" s="12"/>
      <c r="IWJ38" s="12"/>
      <c r="IWK38" s="12"/>
      <c r="IWZ38" s="12"/>
      <c r="IXA38" s="12"/>
      <c r="IXB38" s="12"/>
      <c r="IXC38" s="12"/>
      <c r="IXD38" s="12"/>
      <c r="IXS38" s="12"/>
      <c r="IXT38" s="12"/>
      <c r="IXU38" s="12"/>
      <c r="IXV38" s="12"/>
      <c r="IXW38" s="12"/>
      <c r="IYL38" s="12"/>
      <c r="IYM38" s="12"/>
      <c r="IYN38" s="12"/>
      <c r="IYO38" s="12"/>
      <c r="IYP38" s="12"/>
      <c r="IZE38" s="12"/>
      <c r="IZF38" s="12"/>
      <c r="IZG38" s="12"/>
      <c r="IZH38" s="12"/>
      <c r="IZI38" s="12"/>
      <c r="IZX38" s="12"/>
      <c r="IZY38" s="12"/>
      <c r="IZZ38" s="12"/>
      <c r="JAA38" s="12"/>
      <c r="JAB38" s="12"/>
      <c r="JAQ38" s="12"/>
      <c r="JAR38" s="12"/>
      <c r="JAS38" s="12"/>
      <c r="JAT38" s="12"/>
      <c r="JAU38" s="12"/>
      <c r="JBJ38" s="12"/>
      <c r="JBK38" s="12"/>
      <c r="JBL38" s="12"/>
      <c r="JBM38" s="12"/>
      <c r="JBN38" s="12"/>
      <c r="JCC38" s="12"/>
      <c r="JCD38" s="12"/>
      <c r="JCE38" s="12"/>
      <c r="JCF38" s="12"/>
      <c r="JCG38" s="12"/>
      <c r="JCV38" s="12"/>
      <c r="JCW38" s="12"/>
      <c r="JCX38" s="12"/>
      <c r="JCY38" s="12"/>
      <c r="JCZ38" s="12"/>
      <c r="JDO38" s="12"/>
      <c r="JDP38" s="12"/>
      <c r="JDQ38" s="12"/>
      <c r="JDR38" s="12"/>
      <c r="JDS38" s="12"/>
      <c r="JEH38" s="12"/>
      <c r="JEI38" s="12"/>
      <c r="JEJ38" s="12"/>
      <c r="JEK38" s="12"/>
      <c r="JEL38" s="12"/>
      <c r="JFA38" s="12"/>
      <c r="JFB38" s="12"/>
      <c r="JFC38" s="12"/>
      <c r="JFD38" s="12"/>
      <c r="JFE38" s="12"/>
      <c r="JFT38" s="12"/>
      <c r="JFU38" s="12"/>
      <c r="JFV38" s="12"/>
      <c r="JFW38" s="12"/>
      <c r="JFX38" s="12"/>
      <c r="JGM38" s="12"/>
      <c r="JGN38" s="12"/>
      <c r="JGO38" s="12"/>
      <c r="JGP38" s="12"/>
      <c r="JGQ38" s="12"/>
      <c r="JHF38" s="12"/>
      <c r="JHG38" s="12"/>
      <c r="JHH38" s="12"/>
      <c r="JHI38" s="12"/>
      <c r="JHJ38" s="12"/>
      <c r="JHY38" s="12"/>
      <c r="JHZ38" s="12"/>
      <c r="JIA38" s="12"/>
      <c r="JIB38" s="12"/>
      <c r="JIC38" s="12"/>
      <c r="JIR38" s="12"/>
      <c r="JIS38" s="12"/>
      <c r="JIT38" s="12"/>
      <c r="JIU38" s="12"/>
      <c r="JIV38" s="12"/>
      <c r="JJK38" s="12"/>
      <c r="JJL38" s="12"/>
      <c r="JJM38" s="12"/>
      <c r="JJN38" s="12"/>
      <c r="JJO38" s="12"/>
      <c r="JKD38" s="12"/>
      <c r="JKE38" s="12"/>
      <c r="JKF38" s="12"/>
      <c r="JKG38" s="12"/>
      <c r="JKH38" s="12"/>
      <c r="JKW38" s="12"/>
      <c r="JKX38" s="12"/>
      <c r="JKY38" s="12"/>
      <c r="JKZ38" s="12"/>
      <c r="JLA38" s="12"/>
      <c r="JLP38" s="12"/>
      <c r="JLQ38" s="12"/>
      <c r="JLR38" s="12"/>
      <c r="JLS38" s="12"/>
      <c r="JLT38" s="12"/>
      <c r="JMI38" s="12"/>
      <c r="JMJ38" s="12"/>
      <c r="JMK38" s="12"/>
      <c r="JML38" s="12"/>
      <c r="JMM38" s="12"/>
      <c r="JNB38" s="12"/>
      <c r="JNC38" s="12"/>
      <c r="JND38" s="12"/>
      <c r="JNE38" s="12"/>
      <c r="JNF38" s="12"/>
      <c r="JNU38" s="12"/>
      <c r="JNV38" s="12"/>
      <c r="JNW38" s="12"/>
      <c r="JNX38" s="12"/>
      <c r="JNY38" s="12"/>
      <c r="JON38" s="12"/>
      <c r="JOO38" s="12"/>
      <c r="JOP38" s="12"/>
      <c r="JOQ38" s="12"/>
      <c r="JOR38" s="12"/>
      <c r="JPG38" s="12"/>
      <c r="JPH38" s="12"/>
      <c r="JPI38" s="12"/>
      <c r="JPJ38" s="12"/>
      <c r="JPK38" s="12"/>
      <c r="JPZ38" s="12"/>
      <c r="JQA38" s="12"/>
      <c r="JQB38" s="12"/>
      <c r="JQC38" s="12"/>
      <c r="JQD38" s="12"/>
      <c r="JQS38" s="12"/>
      <c r="JQT38" s="12"/>
      <c r="JQU38" s="12"/>
      <c r="JQV38" s="12"/>
      <c r="JQW38" s="12"/>
      <c r="JRL38" s="12"/>
      <c r="JRM38" s="12"/>
      <c r="JRN38" s="12"/>
      <c r="JRO38" s="12"/>
      <c r="JRP38" s="12"/>
      <c r="JSE38" s="12"/>
      <c r="JSF38" s="12"/>
      <c r="JSG38" s="12"/>
      <c r="JSH38" s="12"/>
      <c r="JSI38" s="12"/>
      <c r="JSX38" s="12"/>
      <c r="JSY38" s="12"/>
      <c r="JSZ38" s="12"/>
      <c r="JTA38" s="12"/>
      <c r="JTB38" s="12"/>
      <c r="JTQ38" s="12"/>
      <c r="JTR38" s="12"/>
      <c r="JTS38" s="12"/>
      <c r="JTT38" s="12"/>
      <c r="JTU38" s="12"/>
      <c r="JUJ38" s="12"/>
      <c r="JUK38" s="12"/>
      <c r="JUL38" s="12"/>
      <c r="JUM38" s="12"/>
      <c r="JUN38" s="12"/>
      <c r="JVC38" s="12"/>
      <c r="JVD38" s="12"/>
      <c r="JVE38" s="12"/>
      <c r="JVF38" s="12"/>
      <c r="JVG38" s="12"/>
      <c r="JVV38" s="12"/>
      <c r="JVW38" s="12"/>
      <c r="JVX38" s="12"/>
      <c r="JVY38" s="12"/>
      <c r="JVZ38" s="12"/>
      <c r="JWO38" s="12"/>
      <c r="JWP38" s="12"/>
      <c r="JWQ38" s="12"/>
      <c r="JWR38" s="12"/>
      <c r="JWS38" s="12"/>
      <c r="JXH38" s="12"/>
      <c r="JXI38" s="12"/>
      <c r="JXJ38" s="12"/>
      <c r="JXK38" s="12"/>
      <c r="JXL38" s="12"/>
      <c r="JYA38" s="12"/>
      <c r="JYB38" s="12"/>
      <c r="JYC38" s="12"/>
      <c r="JYD38" s="12"/>
      <c r="JYE38" s="12"/>
      <c r="JYT38" s="12"/>
      <c r="JYU38" s="12"/>
      <c r="JYV38" s="12"/>
      <c r="JYW38" s="12"/>
      <c r="JYX38" s="12"/>
      <c r="JZM38" s="12"/>
      <c r="JZN38" s="12"/>
      <c r="JZO38" s="12"/>
      <c r="JZP38" s="12"/>
      <c r="JZQ38" s="12"/>
      <c r="KAF38" s="12"/>
      <c r="KAG38" s="12"/>
      <c r="KAH38" s="12"/>
      <c r="KAI38" s="12"/>
      <c r="KAJ38" s="12"/>
      <c r="KAY38" s="12"/>
      <c r="KAZ38" s="12"/>
      <c r="KBA38" s="12"/>
      <c r="KBB38" s="12"/>
      <c r="KBC38" s="12"/>
      <c r="KBR38" s="12"/>
      <c r="KBS38" s="12"/>
      <c r="KBT38" s="12"/>
      <c r="KBU38" s="12"/>
      <c r="KBV38" s="12"/>
      <c r="KCK38" s="12"/>
      <c r="KCL38" s="12"/>
      <c r="KCM38" s="12"/>
      <c r="KCN38" s="12"/>
      <c r="KCO38" s="12"/>
      <c r="KDD38" s="12"/>
      <c r="KDE38" s="12"/>
      <c r="KDF38" s="12"/>
      <c r="KDG38" s="12"/>
      <c r="KDH38" s="12"/>
      <c r="KDW38" s="12"/>
      <c r="KDX38" s="12"/>
      <c r="KDY38" s="12"/>
      <c r="KDZ38" s="12"/>
      <c r="KEA38" s="12"/>
      <c r="KEP38" s="12"/>
      <c r="KEQ38" s="12"/>
      <c r="KER38" s="12"/>
      <c r="KES38" s="12"/>
      <c r="KET38" s="12"/>
      <c r="KFI38" s="12"/>
      <c r="KFJ38" s="12"/>
      <c r="KFK38" s="12"/>
      <c r="KFL38" s="12"/>
      <c r="KFM38" s="12"/>
      <c r="KGB38" s="12"/>
      <c r="KGC38" s="12"/>
      <c r="KGD38" s="12"/>
      <c r="KGE38" s="12"/>
      <c r="KGF38" s="12"/>
      <c r="KGU38" s="12"/>
      <c r="KGV38" s="12"/>
      <c r="KGW38" s="12"/>
      <c r="KGX38" s="12"/>
      <c r="KGY38" s="12"/>
      <c r="KHN38" s="12"/>
      <c r="KHO38" s="12"/>
      <c r="KHP38" s="12"/>
      <c r="KHQ38" s="12"/>
      <c r="KHR38" s="12"/>
      <c r="KIG38" s="12"/>
      <c r="KIH38" s="12"/>
      <c r="KII38" s="12"/>
      <c r="KIJ38" s="12"/>
      <c r="KIK38" s="12"/>
      <c r="KIZ38" s="12"/>
      <c r="KJA38" s="12"/>
      <c r="KJB38" s="12"/>
      <c r="KJC38" s="12"/>
      <c r="KJD38" s="12"/>
      <c r="KJS38" s="12"/>
      <c r="KJT38" s="12"/>
      <c r="KJU38" s="12"/>
      <c r="KJV38" s="12"/>
      <c r="KJW38" s="12"/>
      <c r="KKL38" s="12"/>
      <c r="KKM38" s="12"/>
      <c r="KKN38" s="12"/>
      <c r="KKO38" s="12"/>
      <c r="KKP38" s="12"/>
      <c r="KLE38" s="12"/>
      <c r="KLF38" s="12"/>
      <c r="KLG38" s="12"/>
      <c r="KLH38" s="12"/>
      <c r="KLI38" s="12"/>
      <c r="KLX38" s="12"/>
      <c r="KLY38" s="12"/>
      <c r="KLZ38" s="12"/>
      <c r="KMA38" s="12"/>
      <c r="KMB38" s="12"/>
      <c r="KMQ38" s="12"/>
      <c r="KMR38" s="12"/>
      <c r="KMS38" s="12"/>
      <c r="KMT38" s="12"/>
      <c r="KMU38" s="12"/>
      <c r="KNJ38" s="12"/>
      <c r="KNK38" s="12"/>
      <c r="KNL38" s="12"/>
      <c r="KNM38" s="12"/>
      <c r="KNN38" s="12"/>
      <c r="KOC38" s="12"/>
      <c r="KOD38" s="12"/>
      <c r="KOE38" s="12"/>
      <c r="KOF38" s="12"/>
      <c r="KOG38" s="12"/>
      <c r="KOV38" s="12"/>
      <c r="KOW38" s="12"/>
      <c r="KOX38" s="12"/>
      <c r="KOY38" s="12"/>
      <c r="KOZ38" s="12"/>
      <c r="KPO38" s="12"/>
      <c r="KPP38" s="12"/>
      <c r="KPQ38" s="12"/>
      <c r="KPR38" s="12"/>
      <c r="KPS38" s="12"/>
      <c r="KQH38" s="12"/>
      <c r="KQI38" s="12"/>
      <c r="KQJ38" s="12"/>
      <c r="KQK38" s="12"/>
      <c r="KQL38" s="12"/>
      <c r="KRA38" s="12"/>
      <c r="KRB38" s="12"/>
      <c r="KRC38" s="12"/>
      <c r="KRD38" s="12"/>
      <c r="KRE38" s="12"/>
      <c r="KRT38" s="12"/>
      <c r="KRU38" s="12"/>
      <c r="KRV38" s="12"/>
      <c r="KRW38" s="12"/>
      <c r="KRX38" s="12"/>
      <c r="KSM38" s="12"/>
      <c r="KSN38" s="12"/>
      <c r="KSO38" s="12"/>
      <c r="KSP38" s="12"/>
      <c r="KSQ38" s="12"/>
      <c r="KTF38" s="12"/>
      <c r="KTG38" s="12"/>
      <c r="KTH38" s="12"/>
      <c r="KTI38" s="12"/>
      <c r="KTJ38" s="12"/>
      <c r="KTY38" s="12"/>
      <c r="KTZ38" s="12"/>
      <c r="KUA38" s="12"/>
      <c r="KUB38" s="12"/>
      <c r="KUC38" s="12"/>
      <c r="KUR38" s="12"/>
      <c r="KUS38" s="12"/>
      <c r="KUT38" s="12"/>
      <c r="KUU38" s="12"/>
      <c r="KUV38" s="12"/>
      <c r="KVK38" s="12"/>
      <c r="KVL38" s="12"/>
      <c r="KVM38" s="12"/>
      <c r="KVN38" s="12"/>
      <c r="KVO38" s="12"/>
      <c r="KWD38" s="12"/>
      <c r="KWE38" s="12"/>
      <c r="KWF38" s="12"/>
      <c r="KWG38" s="12"/>
      <c r="KWH38" s="12"/>
      <c r="KWW38" s="12"/>
      <c r="KWX38" s="12"/>
      <c r="KWY38" s="12"/>
      <c r="KWZ38" s="12"/>
      <c r="KXA38" s="12"/>
      <c r="KXP38" s="12"/>
      <c r="KXQ38" s="12"/>
      <c r="KXR38" s="12"/>
      <c r="KXS38" s="12"/>
      <c r="KXT38" s="12"/>
      <c r="KYI38" s="12"/>
      <c r="KYJ38" s="12"/>
      <c r="KYK38" s="12"/>
      <c r="KYL38" s="12"/>
      <c r="KYM38" s="12"/>
      <c r="KZB38" s="12"/>
      <c r="KZC38" s="12"/>
      <c r="KZD38" s="12"/>
      <c r="KZE38" s="12"/>
      <c r="KZF38" s="12"/>
      <c r="KZU38" s="12"/>
      <c r="KZV38" s="12"/>
      <c r="KZW38" s="12"/>
      <c r="KZX38" s="12"/>
      <c r="KZY38" s="12"/>
      <c r="LAN38" s="12"/>
      <c r="LAO38" s="12"/>
      <c r="LAP38" s="12"/>
      <c r="LAQ38" s="12"/>
      <c r="LAR38" s="12"/>
      <c r="LBG38" s="12"/>
      <c r="LBH38" s="12"/>
      <c r="LBI38" s="12"/>
      <c r="LBJ38" s="12"/>
      <c r="LBK38" s="12"/>
      <c r="LBZ38" s="12"/>
      <c r="LCA38" s="12"/>
      <c r="LCB38" s="12"/>
      <c r="LCC38" s="12"/>
      <c r="LCD38" s="12"/>
      <c r="LCS38" s="12"/>
      <c r="LCT38" s="12"/>
      <c r="LCU38" s="12"/>
      <c r="LCV38" s="12"/>
      <c r="LCW38" s="12"/>
      <c r="LDL38" s="12"/>
      <c r="LDM38" s="12"/>
      <c r="LDN38" s="12"/>
      <c r="LDO38" s="12"/>
      <c r="LDP38" s="12"/>
      <c r="LEE38" s="12"/>
      <c r="LEF38" s="12"/>
      <c r="LEG38" s="12"/>
      <c r="LEH38" s="12"/>
      <c r="LEI38" s="12"/>
      <c r="LEX38" s="12"/>
      <c r="LEY38" s="12"/>
      <c r="LEZ38" s="12"/>
      <c r="LFA38" s="12"/>
      <c r="LFB38" s="12"/>
      <c r="LFQ38" s="12"/>
      <c r="LFR38" s="12"/>
      <c r="LFS38" s="12"/>
      <c r="LFT38" s="12"/>
      <c r="LFU38" s="12"/>
      <c r="LGJ38" s="12"/>
      <c r="LGK38" s="12"/>
      <c r="LGL38" s="12"/>
      <c r="LGM38" s="12"/>
      <c r="LGN38" s="12"/>
      <c r="LHC38" s="12"/>
      <c r="LHD38" s="12"/>
      <c r="LHE38" s="12"/>
      <c r="LHF38" s="12"/>
      <c r="LHG38" s="12"/>
      <c r="LHV38" s="12"/>
      <c r="LHW38" s="12"/>
      <c r="LHX38" s="12"/>
      <c r="LHY38" s="12"/>
      <c r="LHZ38" s="12"/>
      <c r="LIO38" s="12"/>
      <c r="LIP38" s="12"/>
      <c r="LIQ38" s="12"/>
      <c r="LIR38" s="12"/>
      <c r="LIS38" s="12"/>
      <c r="LJH38" s="12"/>
      <c r="LJI38" s="12"/>
      <c r="LJJ38" s="12"/>
      <c r="LJK38" s="12"/>
      <c r="LJL38" s="12"/>
      <c r="LKA38" s="12"/>
      <c r="LKB38" s="12"/>
      <c r="LKC38" s="12"/>
      <c r="LKD38" s="12"/>
      <c r="LKE38" s="12"/>
      <c r="LKT38" s="12"/>
      <c r="LKU38" s="12"/>
      <c r="LKV38" s="12"/>
      <c r="LKW38" s="12"/>
      <c r="LKX38" s="12"/>
      <c r="LLM38" s="12"/>
      <c r="LLN38" s="12"/>
      <c r="LLO38" s="12"/>
      <c r="LLP38" s="12"/>
      <c r="LLQ38" s="12"/>
      <c r="LMF38" s="12"/>
      <c r="LMG38" s="12"/>
      <c r="LMH38" s="12"/>
      <c r="LMI38" s="12"/>
      <c r="LMJ38" s="12"/>
      <c r="LMY38" s="12"/>
      <c r="LMZ38" s="12"/>
      <c r="LNA38" s="12"/>
      <c r="LNB38" s="12"/>
      <c r="LNC38" s="12"/>
      <c r="LNR38" s="12"/>
      <c r="LNS38" s="12"/>
      <c r="LNT38" s="12"/>
      <c r="LNU38" s="12"/>
      <c r="LNV38" s="12"/>
      <c r="LOK38" s="12"/>
      <c r="LOL38" s="12"/>
      <c r="LOM38" s="12"/>
      <c r="LON38" s="12"/>
      <c r="LOO38" s="12"/>
      <c r="LPD38" s="12"/>
      <c r="LPE38" s="12"/>
      <c r="LPF38" s="12"/>
      <c r="LPG38" s="12"/>
      <c r="LPH38" s="12"/>
      <c r="LPW38" s="12"/>
      <c r="LPX38" s="12"/>
      <c r="LPY38" s="12"/>
      <c r="LPZ38" s="12"/>
      <c r="LQA38" s="12"/>
      <c r="LQP38" s="12"/>
      <c r="LQQ38" s="12"/>
      <c r="LQR38" s="12"/>
      <c r="LQS38" s="12"/>
      <c r="LQT38" s="12"/>
      <c r="LRI38" s="12"/>
      <c r="LRJ38" s="12"/>
      <c r="LRK38" s="12"/>
      <c r="LRL38" s="12"/>
      <c r="LRM38" s="12"/>
      <c r="LSB38" s="12"/>
      <c r="LSC38" s="12"/>
      <c r="LSD38" s="12"/>
      <c r="LSE38" s="12"/>
      <c r="LSF38" s="12"/>
      <c r="LSU38" s="12"/>
      <c r="LSV38" s="12"/>
      <c r="LSW38" s="12"/>
      <c r="LSX38" s="12"/>
      <c r="LSY38" s="12"/>
      <c r="LTN38" s="12"/>
      <c r="LTO38" s="12"/>
      <c r="LTP38" s="12"/>
      <c r="LTQ38" s="12"/>
      <c r="LTR38" s="12"/>
      <c r="LUG38" s="12"/>
      <c r="LUH38" s="12"/>
      <c r="LUI38" s="12"/>
      <c r="LUJ38" s="12"/>
      <c r="LUK38" s="12"/>
      <c r="LUZ38" s="12"/>
      <c r="LVA38" s="12"/>
      <c r="LVB38" s="12"/>
      <c r="LVC38" s="12"/>
      <c r="LVD38" s="12"/>
      <c r="LVS38" s="12"/>
      <c r="LVT38" s="12"/>
      <c r="LVU38" s="12"/>
      <c r="LVV38" s="12"/>
      <c r="LVW38" s="12"/>
      <c r="LWL38" s="12"/>
      <c r="LWM38" s="12"/>
      <c r="LWN38" s="12"/>
      <c r="LWO38" s="12"/>
      <c r="LWP38" s="12"/>
      <c r="LXE38" s="12"/>
      <c r="LXF38" s="12"/>
      <c r="LXG38" s="12"/>
      <c r="LXH38" s="12"/>
      <c r="LXI38" s="12"/>
      <c r="LXX38" s="12"/>
      <c r="LXY38" s="12"/>
      <c r="LXZ38" s="12"/>
      <c r="LYA38" s="12"/>
      <c r="LYB38" s="12"/>
      <c r="LYQ38" s="12"/>
      <c r="LYR38" s="12"/>
      <c r="LYS38" s="12"/>
      <c r="LYT38" s="12"/>
      <c r="LYU38" s="12"/>
      <c r="LZJ38" s="12"/>
      <c r="LZK38" s="12"/>
      <c r="LZL38" s="12"/>
      <c r="LZM38" s="12"/>
      <c r="LZN38" s="12"/>
      <c r="MAC38" s="12"/>
      <c r="MAD38" s="12"/>
      <c r="MAE38" s="12"/>
      <c r="MAF38" s="12"/>
      <c r="MAG38" s="12"/>
      <c r="MAV38" s="12"/>
      <c r="MAW38" s="12"/>
      <c r="MAX38" s="12"/>
      <c r="MAY38" s="12"/>
      <c r="MAZ38" s="12"/>
      <c r="MBO38" s="12"/>
      <c r="MBP38" s="12"/>
      <c r="MBQ38" s="12"/>
      <c r="MBR38" s="12"/>
      <c r="MBS38" s="12"/>
      <c r="MCH38" s="12"/>
      <c r="MCI38" s="12"/>
      <c r="MCJ38" s="12"/>
      <c r="MCK38" s="12"/>
      <c r="MCL38" s="12"/>
      <c r="MDA38" s="12"/>
      <c r="MDB38" s="12"/>
      <c r="MDC38" s="12"/>
      <c r="MDD38" s="12"/>
      <c r="MDE38" s="12"/>
      <c r="MDT38" s="12"/>
      <c r="MDU38" s="12"/>
      <c r="MDV38" s="12"/>
      <c r="MDW38" s="12"/>
      <c r="MDX38" s="12"/>
      <c r="MEM38" s="12"/>
      <c r="MEN38" s="12"/>
      <c r="MEO38" s="12"/>
      <c r="MEP38" s="12"/>
      <c r="MEQ38" s="12"/>
      <c r="MFF38" s="12"/>
      <c r="MFG38" s="12"/>
      <c r="MFH38" s="12"/>
      <c r="MFI38" s="12"/>
      <c r="MFJ38" s="12"/>
      <c r="MFY38" s="12"/>
      <c r="MFZ38" s="12"/>
      <c r="MGA38" s="12"/>
      <c r="MGB38" s="12"/>
      <c r="MGC38" s="12"/>
      <c r="MGR38" s="12"/>
      <c r="MGS38" s="12"/>
      <c r="MGT38" s="12"/>
      <c r="MGU38" s="12"/>
      <c r="MGV38" s="12"/>
      <c r="MHK38" s="12"/>
      <c r="MHL38" s="12"/>
      <c r="MHM38" s="12"/>
      <c r="MHN38" s="12"/>
      <c r="MHO38" s="12"/>
      <c r="MID38" s="12"/>
      <c r="MIE38" s="12"/>
      <c r="MIF38" s="12"/>
      <c r="MIG38" s="12"/>
      <c r="MIH38" s="12"/>
      <c r="MIW38" s="12"/>
      <c r="MIX38" s="12"/>
      <c r="MIY38" s="12"/>
      <c r="MIZ38" s="12"/>
      <c r="MJA38" s="12"/>
      <c r="MJP38" s="12"/>
      <c r="MJQ38" s="12"/>
      <c r="MJR38" s="12"/>
      <c r="MJS38" s="12"/>
      <c r="MJT38" s="12"/>
      <c r="MKI38" s="12"/>
      <c r="MKJ38" s="12"/>
      <c r="MKK38" s="12"/>
      <c r="MKL38" s="12"/>
      <c r="MKM38" s="12"/>
      <c r="MLB38" s="12"/>
      <c r="MLC38" s="12"/>
      <c r="MLD38" s="12"/>
      <c r="MLE38" s="12"/>
      <c r="MLF38" s="12"/>
      <c r="MLU38" s="12"/>
      <c r="MLV38" s="12"/>
      <c r="MLW38" s="12"/>
      <c r="MLX38" s="12"/>
      <c r="MLY38" s="12"/>
      <c r="MMN38" s="12"/>
      <c r="MMO38" s="12"/>
      <c r="MMP38" s="12"/>
      <c r="MMQ38" s="12"/>
      <c r="MMR38" s="12"/>
      <c r="MNG38" s="12"/>
      <c r="MNH38" s="12"/>
      <c r="MNI38" s="12"/>
      <c r="MNJ38" s="12"/>
      <c r="MNK38" s="12"/>
      <c r="MNZ38" s="12"/>
      <c r="MOA38" s="12"/>
      <c r="MOB38" s="12"/>
      <c r="MOC38" s="12"/>
      <c r="MOD38" s="12"/>
      <c r="MOS38" s="12"/>
      <c r="MOT38" s="12"/>
      <c r="MOU38" s="12"/>
      <c r="MOV38" s="12"/>
      <c r="MOW38" s="12"/>
      <c r="MPL38" s="12"/>
      <c r="MPM38" s="12"/>
      <c r="MPN38" s="12"/>
      <c r="MPO38" s="12"/>
      <c r="MPP38" s="12"/>
      <c r="MQE38" s="12"/>
      <c r="MQF38" s="12"/>
      <c r="MQG38" s="12"/>
      <c r="MQH38" s="12"/>
      <c r="MQI38" s="12"/>
      <c r="MQX38" s="12"/>
      <c r="MQY38" s="12"/>
      <c r="MQZ38" s="12"/>
      <c r="MRA38" s="12"/>
      <c r="MRB38" s="12"/>
      <c r="MRQ38" s="12"/>
      <c r="MRR38" s="12"/>
      <c r="MRS38" s="12"/>
      <c r="MRT38" s="12"/>
      <c r="MRU38" s="12"/>
      <c r="MSJ38" s="12"/>
      <c r="MSK38" s="12"/>
      <c r="MSL38" s="12"/>
      <c r="MSM38" s="12"/>
      <c r="MSN38" s="12"/>
      <c r="MTC38" s="12"/>
      <c r="MTD38" s="12"/>
      <c r="MTE38" s="12"/>
      <c r="MTF38" s="12"/>
      <c r="MTG38" s="12"/>
      <c r="MTV38" s="12"/>
      <c r="MTW38" s="12"/>
      <c r="MTX38" s="12"/>
      <c r="MTY38" s="12"/>
      <c r="MTZ38" s="12"/>
      <c r="MUO38" s="12"/>
      <c r="MUP38" s="12"/>
      <c r="MUQ38" s="12"/>
      <c r="MUR38" s="12"/>
      <c r="MUS38" s="12"/>
      <c r="MVH38" s="12"/>
      <c r="MVI38" s="12"/>
      <c r="MVJ38" s="12"/>
      <c r="MVK38" s="12"/>
      <c r="MVL38" s="12"/>
      <c r="MWA38" s="12"/>
      <c r="MWB38" s="12"/>
      <c r="MWC38" s="12"/>
      <c r="MWD38" s="12"/>
      <c r="MWE38" s="12"/>
      <c r="MWT38" s="12"/>
      <c r="MWU38" s="12"/>
      <c r="MWV38" s="12"/>
      <c r="MWW38" s="12"/>
      <c r="MWX38" s="12"/>
      <c r="MXM38" s="12"/>
      <c r="MXN38" s="12"/>
      <c r="MXO38" s="12"/>
      <c r="MXP38" s="12"/>
      <c r="MXQ38" s="12"/>
      <c r="MYF38" s="12"/>
      <c r="MYG38" s="12"/>
      <c r="MYH38" s="12"/>
      <c r="MYI38" s="12"/>
      <c r="MYJ38" s="12"/>
      <c r="MYY38" s="12"/>
      <c r="MYZ38" s="12"/>
      <c r="MZA38" s="12"/>
      <c r="MZB38" s="12"/>
      <c r="MZC38" s="12"/>
      <c r="MZR38" s="12"/>
      <c r="MZS38" s="12"/>
      <c r="MZT38" s="12"/>
      <c r="MZU38" s="12"/>
      <c r="MZV38" s="12"/>
      <c r="NAK38" s="12"/>
      <c r="NAL38" s="12"/>
      <c r="NAM38" s="12"/>
      <c r="NAN38" s="12"/>
      <c r="NAO38" s="12"/>
      <c r="NBD38" s="12"/>
      <c r="NBE38" s="12"/>
      <c r="NBF38" s="12"/>
      <c r="NBG38" s="12"/>
      <c r="NBH38" s="12"/>
      <c r="NBW38" s="12"/>
      <c r="NBX38" s="12"/>
      <c r="NBY38" s="12"/>
      <c r="NBZ38" s="12"/>
      <c r="NCA38" s="12"/>
      <c r="NCP38" s="12"/>
      <c r="NCQ38" s="12"/>
      <c r="NCR38" s="12"/>
      <c r="NCS38" s="12"/>
      <c r="NCT38" s="12"/>
      <c r="NDI38" s="12"/>
      <c r="NDJ38" s="12"/>
      <c r="NDK38" s="12"/>
      <c r="NDL38" s="12"/>
      <c r="NDM38" s="12"/>
      <c r="NEB38" s="12"/>
      <c r="NEC38" s="12"/>
      <c r="NED38" s="12"/>
      <c r="NEE38" s="12"/>
      <c r="NEF38" s="12"/>
      <c r="NEU38" s="12"/>
      <c r="NEV38" s="12"/>
      <c r="NEW38" s="12"/>
      <c r="NEX38" s="12"/>
      <c r="NEY38" s="12"/>
      <c r="NFN38" s="12"/>
      <c r="NFO38" s="12"/>
      <c r="NFP38" s="12"/>
      <c r="NFQ38" s="12"/>
      <c r="NFR38" s="12"/>
      <c r="NGG38" s="12"/>
      <c r="NGH38" s="12"/>
      <c r="NGI38" s="12"/>
      <c r="NGJ38" s="12"/>
      <c r="NGK38" s="12"/>
      <c r="NGZ38" s="12"/>
      <c r="NHA38" s="12"/>
      <c r="NHB38" s="12"/>
      <c r="NHC38" s="12"/>
      <c r="NHD38" s="12"/>
      <c r="NHS38" s="12"/>
      <c r="NHT38" s="12"/>
      <c r="NHU38" s="12"/>
      <c r="NHV38" s="12"/>
      <c r="NHW38" s="12"/>
      <c r="NIL38" s="12"/>
      <c r="NIM38" s="12"/>
      <c r="NIN38" s="12"/>
      <c r="NIO38" s="12"/>
      <c r="NIP38" s="12"/>
      <c r="NJE38" s="12"/>
      <c r="NJF38" s="12"/>
      <c r="NJG38" s="12"/>
      <c r="NJH38" s="12"/>
      <c r="NJI38" s="12"/>
      <c r="NJX38" s="12"/>
      <c r="NJY38" s="12"/>
      <c r="NJZ38" s="12"/>
      <c r="NKA38" s="12"/>
      <c r="NKB38" s="12"/>
      <c r="NKQ38" s="12"/>
      <c r="NKR38" s="12"/>
      <c r="NKS38" s="12"/>
      <c r="NKT38" s="12"/>
      <c r="NKU38" s="12"/>
      <c r="NLJ38" s="12"/>
      <c r="NLK38" s="12"/>
      <c r="NLL38" s="12"/>
      <c r="NLM38" s="12"/>
      <c r="NLN38" s="12"/>
      <c r="NMC38" s="12"/>
      <c r="NMD38" s="12"/>
      <c r="NME38" s="12"/>
      <c r="NMF38" s="12"/>
      <c r="NMG38" s="12"/>
      <c r="NMV38" s="12"/>
      <c r="NMW38" s="12"/>
      <c r="NMX38" s="12"/>
      <c r="NMY38" s="12"/>
      <c r="NMZ38" s="12"/>
      <c r="NNO38" s="12"/>
      <c r="NNP38" s="12"/>
      <c r="NNQ38" s="12"/>
      <c r="NNR38" s="12"/>
      <c r="NNS38" s="12"/>
      <c r="NOH38" s="12"/>
      <c r="NOI38" s="12"/>
      <c r="NOJ38" s="12"/>
      <c r="NOK38" s="12"/>
      <c r="NOL38" s="12"/>
      <c r="NPA38" s="12"/>
      <c r="NPB38" s="12"/>
      <c r="NPC38" s="12"/>
      <c r="NPD38" s="12"/>
      <c r="NPE38" s="12"/>
      <c r="NPT38" s="12"/>
      <c r="NPU38" s="12"/>
      <c r="NPV38" s="12"/>
      <c r="NPW38" s="12"/>
      <c r="NPX38" s="12"/>
      <c r="NQM38" s="12"/>
      <c r="NQN38" s="12"/>
      <c r="NQO38" s="12"/>
      <c r="NQP38" s="12"/>
      <c r="NQQ38" s="12"/>
      <c r="NRF38" s="12"/>
      <c r="NRG38" s="12"/>
      <c r="NRH38" s="12"/>
      <c r="NRI38" s="12"/>
      <c r="NRJ38" s="12"/>
      <c r="NRY38" s="12"/>
      <c r="NRZ38" s="12"/>
      <c r="NSA38" s="12"/>
      <c r="NSB38" s="12"/>
      <c r="NSC38" s="12"/>
      <c r="NSR38" s="12"/>
      <c r="NSS38" s="12"/>
      <c r="NST38" s="12"/>
      <c r="NSU38" s="12"/>
      <c r="NSV38" s="12"/>
      <c r="NTK38" s="12"/>
      <c r="NTL38" s="12"/>
      <c r="NTM38" s="12"/>
      <c r="NTN38" s="12"/>
      <c r="NTO38" s="12"/>
      <c r="NUD38" s="12"/>
      <c r="NUE38" s="12"/>
      <c r="NUF38" s="12"/>
      <c r="NUG38" s="12"/>
      <c r="NUH38" s="12"/>
      <c r="NUW38" s="12"/>
      <c r="NUX38" s="12"/>
      <c r="NUY38" s="12"/>
      <c r="NUZ38" s="12"/>
      <c r="NVA38" s="12"/>
      <c r="NVP38" s="12"/>
      <c r="NVQ38" s="12"/>
      <c r="NVR38" s="12"/>
      <c r="NVS38" s="12"/>
      <c r="NVT38" s="12"/>
      <c r="NWI38" s="12"/>
      <c r="NWJ38" s="12"/>
      <c r="NWK38" s="12"/>
      <c r="NWL38" s="12"/>
      <c r="NWM38" s="12"/>
      <c r="NXB38" s="12"/>
      <c r="NXC38" s="12"/>
      <c r="NXD38" s="12"/>
      <c r="NXE38" s="12"/>
      <c r="NXF38" s="12"/>
      <c r="NXU38" s="12"/>
      <c r="NXV38" s="12"/>
      <c r="NXW38" s="12"/>
      <c r="NXX38" s="12"/>
      <c r="NXY38" s="12"/>
      <c r="NYN38" s="12"/>
      <c r="NYO38" s="12"/>
      <c r="NYP38" s="12"/>
      <c r="NYQ38" s="12"/>
      <c r="NYR38" s="12"/>
      <c r="NZG38" s="12"/>
      <c r="NZH38" s="12"/>
      <c r="NZI38" s="12"/>
      <c r="NZJ38" s="12"/>
      <c r="NZK38" s="12"/>
      <c r="NZZ38" s="12"/>
      <c r="OAA38" s="12"/>
      <c r="OAB38" s="12"/>
      <c r="OAC38" s="12"/>
      <c r="OAD38" s="12"/>
      <c r="OAS38" s="12"/>
      <c r="OAT38" s="12"/>
      <c r="OAU38" s="12"/>
      <c r="OAV38" s="12"/>
      <c r="OAW38" s="12"/>
      <c r="OBL38" s="12"/>
      <c r="OBM38" s="12"/>
      <c r="OBN38" s="12"/>
      <c r="OBO38" s="12"/>
      <c r="OBP38" s="12"/>
      <c r="OCE38" s="12"/>
      <c r="OCF38" s="12"/>
      <c r="OCG38" s="12"/>
      <c r="OCH38" s="12"/>
      <c r="OCI38" s="12"/>
      <c r="OCX38" s="12"/>
      <c r="OCY38" s="12"/>
      <c r="OCZ38" s="12"/>
      <c r="ODA38" s="12"/>
      <c r="ODB38" s="12"/>
      <c r="ODQ38" s="12"/>
      <c r="ODR38" s="12"/>
      <c r="ODS38" s="12"/>
      <c r="ODT38" s="12"/>
      <c r="ODU38" s="12"/>
      <c r="OEJ38" s="12"/>
      <c r="OEK38" s="12"/>
      <c r="OEL38" s="12"/>
      <c r="OEM38" s="12"/>
      <c r="OEN38" s="12"/>
      <c r="OFC38" s="12"/>
      <c r="OFD38" s="12"/>
      <c r="OFE38" s="12"/>
      <c r="OFF38" s="12"/>
      <c r="OFG38" s="12"/>
      <c r="OFV38" s="12"/>
      <c r="OFW38" s="12"/>
      <c r="OFX38" s="12"/>
      <c r="OFY38" s="12"/>
      <c r="OFZ38" s="12"/>
      <c r="OGO38" s="12"/>
      <c r="OGP38" s="12"/>
      <c r="OGQ38" s="12"/>
      <c r="OGR38" s="12"/>
      <c r="OGS38" s="12"/>
      <c r="OHH38" s="12"/>
      <c r="OHI38" s="12"/>
      <c r="OHJ38" s="12"/>
      <c r="OHK38" s="12"/>
      <c r="OHL38" s="12"/>
      <c r="OIA38" s="12"/>
      <c r="OIB38" s="12"/>
      <c r="OIC38" s="12"/>
      <c r="OID38" s="12"/>
      <c r="OIE38" s="12"/>
      <c r="OIT38" s="12"/>
      <c r="OIU38" s="12"/>
      <c r="OIV38" s="12"/>
      <c r="OIW38" s="12"/>
      <c r="OIX38" s="12"/>
      <c r="OJM38" s="12"/>
      <c r="OJN38" s="12"/>
      <c r="OJO38" s="12"/>
      <c r="OJP38" s="12"/>
      <c r="OJQ38" s="12"/>
      <c r="OKF38" s="12"/>
      <c r="OKG38" s="12"/>
      <c r="OKH38" s="12"/>
      <c r="OKI38" s="12"/>
      <c r="OKJ38" s="12"/>
      <c r="OKY38" s="12"/>
      <c r="OKZ38" s="12"/>
      <c r="OLA38" s="12"/>
      <c r="OLB38" s="12"/>
      <c r="OLC38" s="12"/>
      <c r="OLR38" s="12"/>
      <c r="OLS38" s="12"/>
      <c r="OLT38" s="12"/>
      <c r="OLU38" s="12"/>
      <c r="OLV38" s="12"/>
      <c r="OMK38" s="12"/>
      <c r="OML38" s="12"/>
      <c r="OMM38" s="12"/>
      <c r="OMN38" s="12"/>
      <c r="OMO38" s="12"/>
      <c r="OND38" s="12"/>
      <c r="ONE38" s="12"/>
      <c r="ONF38" s="12"/>
      <c r="ONG38" s="12"/>
      <c r="ONH38" s="12"/>
      <c r="ONW38" s="12"/>
      <c r="ONX38" s="12"/>
      <c r="ONY38" s="12"/>
      <c r="ONZ38" s="12"/>
      <c r="OOA38" s="12"/>
      <c r="OOP38" s="12"/>
      <c r="OOQ38" s="12"/>
      <c r="OOR38" s="12"/>
      <c r="OOS38" s="12"/>
      <c r="OOT38" s="12"/>
      <c r="OPI38" s="12"/>
      <c r="OPJ38" s="12"/>
      <c r="OPK38" s="12"/>
      <c r="OPL38" s="12"/>
      <c r="OPM38" s="12"/>
      <c r="OQB38" s="12"/>
      <c r="OQC38" s="12"/>
      <c r="OQD38" s="12"/>
      <c r="OQE38" s="12"/>
      <c r="OQF38" s="12"/>
      <c r="OQU38" s="12"/>
      <c r="OQV38" s="12"/>
      <c r="OQW38" s="12"/>
      <c r="OQX38" s="12"/>
      <c r="OQY38" s="12"/>
      <c r="ORN38" s="12"/>
      <c r="ORO38" s="12"/>
      <c r="ORP38" s="12"/>
      <c r="ORQ38" s="12"/>
      <c r="ORR38" s="12"/>
      <c r="OSG38" s="12"/>
      <c r="OSH38" s="12"/>
      <c r="OSI38" s="12"/>
      <c r="OSJ38" s="12"/>
      <c r="OSK38" s="12"/>
      <c r="OSZ38" s="12"/>
      <c r="OTA38" s="12"/>
      <c r="OTB38" s="12"/>
      <c r="OTC38" s="12"/>
      <c r="OTD38" s="12"/>
      <c r="OTS38" s="12"/>
      <c r="OTT38" s="12"/>
      <c r="OTU38" s="12"/>
      <c r="OTV38" s="12"/>
      <c r="OTW38" s="12"/>
      <c r="OUL38" s="12"/>
      <c r="OUM38" s="12"/>
      <c r="OUN38" s="12"/>
      <c r="OUO38" s="12"/>
      <c r="OUP38" s="12"/>
      <c r="OVE38" s="12"/>
      <c r="OVF38" s="12"/>
      <c r="OVG38" s="12"/>
      <c r="OVH38" s="12"/>
      <c r="OVI38" s="12"/>
      <c r="OVX38" s="12"/>
      <c r="OVY38" s="12"/>
      <c r="OVZ38" s="12"/>
      <c r="OWA38" s="12"/>
      <c r="OWB38" s="12"/>
      <c r="OWQ38" s="12"/>
      <c r="OWR38" s="12"/>
      <c r="OWS38" s="12"/>
      <c r="OWT38" s="12"/>
      <c r="OWU38" s="12"/>
      <c r="OXJ38" s="12"/>
      <c r="OXK38" s="12"/>
      <c r="OXL38" s="12"/>
      <c r="OXM38" s="12"/>
      <c r="OXN38" s="12"/>
      <c r="OYC38" s="12"/>
      <c r="OYD38" s="12"/>
      <c r="OYE38" s="12"/>
      <c r="OYF38" s="12"/>
      <c r="OYG38" s="12"/>
      <c r="OYV38" s="12"/>
      <c r="OYW38" s="12"/>
      <c r="OYX38" s="12"/>
      <c r="OYY38" s="12"/>
      <c r="OYZ38" s="12"/>
      <c r="OZO38" s="12"/>
      <c r="OZP38" s="12"/>
      <c r="OZQ38" s="12"/>
      <c r="OZR38" s="12"/>
      <c r="OZS38" s="12"/>
      <c r="PAH38" s="12"/>
      <c r="PAI38" s="12"/>
      <c r="PAJ38" s="12"/>
      <c r="PAK38" s="12"/>
      <c r="PAL38" s="12"/>
      <c r="PBA38" s="12"/>
      <c r="PBB38" s="12"/>
      <c r="PBC38" s="12"/>
      <c r="PBD38" s="12"/>
      <c r="PBE38" s="12"/>
      <c r="PBT38" s="12"/>
      <c r="PBU38" s="12"/>
      <c r="PBV38" s="12"/>
      <c r="PBW38" s="12"/>
      <c r="PBX38" s="12"/>
      <c r="PCM38" s="12"/>
      <c r="PCN38" s="12"/>
      <c r="PCO38" s="12"/>
      <c r="PCP38" s="12"/>
      <c r="PCQ38" s="12"/>
      <c r="PDF38" s="12"/>
      <c r="PDG38" s="12"/>
      <c r="PDH38" s="12"/>
      <c r="PDI38" s="12"/>
      <c r="PDJ38" s="12"/>
      <c r="PDY38" s="12"/>
      <c r="PDZ38" s="12"/>
      <c r="PEA38" s="12"/>
      <c r="PEB38" s="12"/>
      <c r="PEC38" s="12"/>
      <c r="PER38" s="12"/>
      <c r="PES38" s="12"/>
      <c r="PET38" s="12"/>
      <c r="PEU38" s="12"/>
      <c r="PEV38" s="12"/>
      <c r="PFK38" s="12"/>
      <c r="PFL38" s="12"/>
      <c r="PFM38" s="12"/>
      <c r="PFN38" s="12"/>
      <c r="PFO38" s="12"/>
      <c r="PGD38" s="12"/>
      <c r="PGE38" s="12"/>
      <c r="PGF38" s="12"/>
      <c r="PGG38" s="12"/>
      <c r="PGH38" s="12"/>
      <c r="PGW38" s="12"/>
      <c r="PGX38" s="12"/>
      <c r="PGY38" s="12"/>
      <c r="PGZ38" s="12"/>
      <c r="PHA38" s="12"/>
      <c r="PHP38" s="12"/>
      <c r="PHQ38" s="12"/>
      <c r="PHR38" s="12"/>
      <c r="PHS38" s="12"/>
      <c r="PHT38" s="12"/>
      <c r="PII38" s="12"/>
      <c r="PIJ38" s="12"/>
      <c r="PIK38" s="12"/>
      <c r="PIL38" s="12"/>
      <c r="PIM38" s="12"/>
      <c r="PJB38" s="12"/>
      <c r="PJC38" s="12"/>
      <c r="PJD38" s="12"/>
      <c r="PJE38" s="12"/>
      <c r="PJF38" s="12"/>
      <c r="PJU38" s="12"/>
      <c r="PJV38" s="12"/>
      <c r="PJW38" s="12"/>
      <c r="PJX38" s="12"/>
      <c r="PJY38" s="12"/>
      <c r="PKN38" s="12"/>
      <c r="PKO38" s="12"/>
      <c r="PKP38" s="12"/>
      <c r="PKQ38" s="12"/>
      <c r="PKR38" s="12"/>
      <c r="PLG38" s="12"/>
      <c r="PLH38" s="12"/>
      <c r="PLI38" s="12"/>
      <c r="PLJ38" s="12"/>
      <c r="PLK38" s="12"/>
      <c r="PLZ38" s="12"/>
      <c r="PMA38" s="12"/>
      <c r="PMB38" s="12"/>
      <c r="PMC38" s="12"/>
      <c r="PMD38" s="12"/>
      <c r="PMS38" s="12"/>
      <c r="PMT38" s="12"/>
      <c r="PMU38" s="12"/>
      <c r="PMV38" s="12"/>
      <c r="PMW38" s="12"/>
      <c r="PNL38" s="12"/>
      <c r="PNM38" s="12"/>
      <c r="PNN38" s="12"/>
      <c r="PNO38" s="12"/>
      <c r="PNP38" s="12"/>
      <c r="POE38" s="12"/>
      <c r="POF38" s="12"/>
      <c r="POG38" s="12"/>
      <c r="POH38" s="12"/>
      <c r="POI38" s="12"/>
      <c r="POX38" s="12"/>
      <c r="POY38" s="12"/>
      <c r="POZ38" s="12"/>
      <c r="PPA38" s="12"/>
      <c r="PPB38" s="12"/>
      <c r="PPQ38" s="12"/>
      <c r="PPR38" s="12"/>
      <c r="PPS38" s="12"/>
      <c r="PPT38" s="12"/>
      <c r="PPU38" s="12"/>
      <c r="PQJ38" s="12"/>
      <c r="PQK38" s="12"/>
      <c r="PQL38" s="12"/>
      <c r="PQM38" s="12"/>
      <c r="PQN38" s="12"/>
      <c r="PRC38" s="12"/>
      <c r="PRD38" s="12"/>
      <c r="PRE38" s="12"/>
      <c r="PRF38" s="12"/>
      <c r="PRG38" s="12"/>
      <c r="PRV38" s="12"/>
      <c r="PRW38" s="12"/>
      <c r="PRX38" s="12"/>
      <c r="PRY38" s="12"/>
      <c r="PRZ38" s="12"/>
      <c r="PSO38" s="12"/>
      <c r="PSP38" s="12"/>
      <c r="PSQ38" s="12"/>
      <c r="PSR38" s="12"/>
      <c r="PSS38" s="12"/>
      <c r="PTH38" s="12"/>
      <c r="PTI38" s="12"/>
      <c r="PTJ38" s="12"/>
      <c r="PTK38" s="12"/>
      <c r="PTL38" s="12"/>
      <c r="PUA38" s="12"/>
      <c r="PUB38" s="12"/>
      <c r="PUC38" s="12"/>
      <c r="PUD38" s="12"/>
      <c r="PUE38" s="12"/>
      <c r="PUT38" s="12"/>
      <c r="PUU38" s="12"/>
      <c r="PUV38" s="12"/>
      <c r="PUW38" s="12"/>
      <c r="PUX38" s="12"/>
      <c r="PVM38" s="12"/>
      <c r="PVN38" s="12"/>
      <c r="PVO38" s="12"/>
      <c r="PVP38" s="12"/>
      <c r="PVQ38" s="12"/>
      <c r="PWF38" s="12"/>
      <c r="PWG38" s="12"/>
      <c r="PWH38" s="12"/>
      <c r="PWI38" s="12"/>
      <c r="PWJ38" s="12"/>
      <c r="PWY38" s="12"/>
      <c r="PWZ38" s="12"/>
      <c r="PXA38" s="12"/>
      <c r="PXB38" s="12"/>
      <c r="PXC38" s="12"/>
      <c r="PXR38" s="12"/>
      <c r="PXS38" s="12"/>
      <c r="PXT38" s="12"/>
      <c r="PXU38" s="12"/>
      <c r="PXV38" s="12"/>
      <c r="PYK38" s="12"/>
      <c r="PYL38" s="12"/>
      <c r="PYM38" s="12"/>
      <c r="PYN38" s="12"/>
      <c r="PYO38" s="12"/>
      <c r="PZD38" s="12"/>
      <c r="PZE38" s="12"/>
      <c r="PZF38" s="12"/>
      <c r="PZG38" s="12"/>
      <c r="PZH38" s="12"/>
      <c r="PZW38" s="12"/>
      <c r="PZX38" s="12"/>
      <c r="PZY38" s="12"/>
      <c r="PZZ38" s="12"/>
      <c r="QAA38" s="12"/>
      <c r="QAP38" s="12"/>
      <c r="QAQ38" s="12"/>
      <c r="QAR38" s="12"/>
      <c r="QAS38" s="12"/>
      <c r="QAT38" s="12"/>
      <c r="QBI38" s="12"/>
      <c r="QBJ38" s="12"/>
      <c r="QBK38" s="12"/>
      <c r="QBL38" s="12"/>
      <c r="QBM38" s="12"/>
      <c r="QCB38" s="12"/>
      <c r="QCC38" s="12"/>
      <c r="QCD38" s="12"/>
      <c r="QCE38" s="12"/>
      <c r="QCF38" s="12"/>
      <c r="QCU38" s="12"/>
      <c r="QCV38" s="12"/>
      <c r="QCW38" s="12"/>
      <c r="QCX38" s="12"/>
      <c r="QCY38" s="12"/>
      <c r="QDN38" s="12"/>
      <c r="QDO38" s="12"/>
      <c r="QDP38" s="12"/>
      <c r="QDQ38" s="12"/>
      <c r="QDR38" s="12"/>
      <c r="QEG38" s="12"/>
      <c r="QEH38" s="12"/>
      <c r="QEI38" s="12"/>
      <c r="QEJ38" s="12"/>
      <c r="QEK38" s="12"/>
      <c r="QEZ38" s="12"/>
      <c r="QFA38" s="12"/>
      <c r="QFB38" s="12"/>
      <c r="QFC38" s="12"/>
      <c r="QFD38" s="12"/>
      <c r="QFS38" s="12"/>
      <c r="QFT38" s="12"/>
      <c r="QFU38" s="12"/>
      <c r="QFV38" s="12"/>
      <c r="QFW38" s="12"/>
      <c r="QGL38" s="12"/>
      <c r="QGM38" s="12"/>
      <c r="QGN38" s="12"/>
      <c r="QGO38" s="12"/>
      <c r="QGP38" s="12"/>
      <c r="QHE38" s="12"/>
      <c r="QHF38" s="12"/>
      <c r="QHG38" s="12"/>
      <c r="QHH38" s="12"/>
      <c r="QHI38" s="12"/>
      <c r="QHX38" s="12"/>
      <c r="QHY38" s="12"/>
      <c r="QHZ38" s="12"/>
      <c r="QIA38" s="12"/>
      <c r="QIB38" s="12"/>
      <c r="QIQ38" s="12"/>
      <c r="QIR38" s="12"/>
      <c r="QIS38" s="12"/>
      <c r="QIT38" s="12"/>
      <c r="QIU38" s="12"/>
      <c r="QJJ38" s="12"/>
      <c r="QJK38" s="12"/>
      <c r="QJL38" s="12"/>
      <c r="QJM38" s="12"/>
      <c r="QJN38" s="12"/>
      <c r="QKC38" s="12"/>
      <c r="QKD38" s="12"/>
      <c r="QKE38" s="12"/>
      <c r="QKF38" s="12"/>
      <c r="QKG38" s="12"/>
      <c r="QKV38" s="12"/>
      <c r="QKW38" s="12"/>
      <c r="QKX38" s="12"/>
      <c r="QKY38" s="12"/>
      <c r="QKZ38" s="12"/>
      <c r="QLO38" s="12"/>
      <c r="QLP38" s="12"/>
      <c r="QLQ38" s="12"/>
      <c r="QLR38" s="12"/>
      <c r="QLS38" s="12"/>
      <c r="QMH38" s="12"/>
      <c r="QMI38" s="12"/>
      <c r="QMJ38" s="12"/>
      <c r="QMK38" s="12"/>
      <c r="QML38" s="12"/>
      <c r="QNA38" s="12"/>
      <c r="QNB38" s="12"/>
      <c r="QNC38" s="12"/>
      <c r="QND38" s="12"/>
      <c r="QNE38" s="12"/>
      <c r="QNT38" s="12"/>
      <c r="QNU38" s="12"/>
      <c r="QNV38" s="12"/>
      <c r="QNW38" s="12"/>
      <c r="QNX38" s="12"/>
      <c r="QOM38" s="12"/>
      <c r="QON38" s="12"/>
      <c r="QOO38" s="12"/>
      <c r="QOP38" s="12"/>
      <c r="QOQ38" s="12"/>
      <c r="QPF38" s="12"/>
      <c r="QPG38" s="12"/>
      <c r="QPH38" s="12"/>
      <c r="QPI38" s="12"/>
      <c r="QPJ38" s="12"/>
      <c r="QPY38" s="12"/>
      <c r="QPZ38" s="12"/>
      <c r="QQA38" s="12"/>
      <c r="QQB38" s="12"/>
      <c r="QQC38" s="12"/>
      <c r="QQR38" s="12"/>
      <c r="QQS38" s="12"/>
      <c r="QQT38" s="12"/>
      <c r="QQU38" s="12"/>
      <c r="QQV38" s="12"/>
      <c r="QRK38" s="12"/>
      <c r="QRL38" s="12"/>
      <c r="QRM38" s="12"/>
      <c r="QRN38" s="12"/>
      <c r="QRO38" s="12"/>
      <c r="QSD38" s="12"/>
      <c r="QSE38" s="12"/>
      <c r="QSF38" s="12"/>
      <c r="QSG38" s="12"/>
      <c r="QSH38" s="12"/>
      <c r="QSW38" s="12"/>
      <c r="QSX38" s="12"/>
      <c r="QSY38" s="12"/>
      <c r="QSZ38" s="12"/>
      <c r="QTA38" s="12"/>
      <c r="QTP38" s="12"/>
      <c r="QTQ38" s="12"/>
      <c r="QTR38" s="12"/>
      <c r="QTS38" s="12"/>
      <c r="QTT38" s="12"/>
      <c r="QUI38" s="12"/>
      <c r="QUJ38" s="12"/>
      <c r="QUK38" s="12"/>
      <c r="QUL38" s="12"/>
      <c r="QUM38" s="12"/>
      <c r="QVB38" s="12"/>
      <c r="QVC38" s="12"/>
      <c r="QVD38" s="12"/>
      <c r="QVE38" s="12"/>
      <c r="QVF38" s="12"/>
      <c r="QVU38" s="12"/>
      <c r="QVV38" s="12"/>
      <c r="QVW38" s="12"/>
      <c r="QVX38" s="12"/>
      <c r="QVY38" s="12"/>
      <c r="QWN38" s="12"/>
      <c r="QWO38" s="12"/>
      <c r="QWP38" s="12"/>
      <c r="QWQ38" s="12"/>
      <c r="QWR38" s="12"/>
      <c r="QXG38" s="12"/>
      <c r="QXH38" s="12"/>
      <c r="QXI38" s="12"/>
      <c r="QXJ38" s="12"/>
      <c r="QXK38" s="12"/>
      <c r="QXZ38" s="12"/>
      <c r="QYA38" s="12"/>
      <c r="QYB38" s="12"/>
      <c r="QYC38" s="12"/>
      <c r="QYD38" s="12"/>
      <c r="QYS38" s="12"/>
      <c r="QYT38" s="12"/>
      <c r="QYU38" s="12"/>
      <c r="QYV38" s="12"/>
      <c r="QYW38" s="12"/>
      <c r="QZL38" s="12"/>
      <c r="QZM38" s="12"/>
      <c r="QZN38" s="12"/>
      <c r="QZO38" s="12"/>
      <c r="QZP38" s="12"/>
      <c r="RAE38" s="12"/>
      <c r="RAF38" s="12"/>
      <c r="RAG38" s="12"/>
      <c r="RAH38" s="12"/>
      <c r="RAI38" s="12"/>
      <c r="RAX38" s="12"/>
      <c r="RAY38" s="12"/>
      <c r="RAZ38" s="12"/>
      <c r="RBA38" s="12"/>
      <c r="RBB38" s="12"/>
      <c r="RBQ38" s="12"/>
      <c r="RBR38" s="12"/>
      <c r="RBS38" s="12"/>
      <c r="RBT38" s="12"/>
      <c r="RBU38" s="12"/>
      <c r="RCJ38" s="12"/>
      <c r="RCK38" s="12"/>
      <c r="RCL38" s="12"/>
      <c r="RCM38" s="12"/>
      <c r="RCN38" s="12"/>
      <c r="RDC38" s="12"/>
      <c r="RDD38" s="12"/>
      <c r="RDE38" s="12"/>
      <c r="RDF38" s="12"/>
      <c r="RDG38" s="12"/>
      <c r="RDV38" s="12"/>
      <c r="RDW38" s="12"/>
      <c r="RDX38" s="12"/>
      <c r="RDY38" s="12"/>
      <c r="RDZ38" s="12"/>
      <c r="REO38" s="12"/>
      <c r="REP38" s="12"/>
      <c r="REQ38" s="12"/>
      <c r="RER38" s="12"/>
      <c r="RES38" s="12"/>
      <c r="RFH38" s="12"/>
      <c r="RFI38" s="12"/>
      <c r="RFJ38" s="12"/>
      <c r="RFK38" s="12"/>
      <c r="RFL38" s="12"/>
      <c r="RGA38" s="12"/>
      <c r="RGB38" s="12"/>
      <c r="RGC38" s="12"/>
      <c r="RGD38" s="12"/>
      <c r="RGE38" s="12"/>
      <c r="RGT38" s="12"/>
      <c r="RGU38" s="12"/>
      <c r="RGV38" s="12"/>
      <c r="RGW38" s="12"/>
      <c r="RGX38" s="12"/>
      <c r="RHM38" s="12"/>
      <c r="RHN38" s="12"/>
      <c r="RHO38" s="12"/>
      <c r="RHP38" s="12"/>
      <c r="RHQ38" s="12"/>
      <c r="RIF38" s="12"/>
      <c r="RIG38" s="12"/>
      <c r="RIH38" s="12"/>
      <c r="RII38" s="12"/>
      <c r="RIJ38" s="12"/>
      <c r="RIY38" s="12"/>
      <c r="RIZ38" s="12"/>
      <c r="RJA38" s="12"/>
      <c r="RJB38" s="12"/>
      <c r="RJC38" s="12"/>
      <c r="RJR38" s="12"/>
      <c r="RJS38" s="12"/>
      <c r="RJT38" s="12"/>
      <c r="RJU38" s="12"/>
      <c r="RJV38" s="12"/>
      <c r="RKK38" s="12"/>
      <c r="RKL38" s="12"/>
      <c r="RKM38" s="12"/>
      <c r="RKN38" s="12"/>
      <c r="RKO38" s="12"/>
      <c r="RLD38" s="12"/>
      <c r="RLE38" s="12"/>
      <c r="RLF38" s="12"/>
      <c r="RLG38" s="12"/>
      <c r="RLH38" s="12"/>
      <c r="RLW38" s="12"/>
      <c r="RLX38" s="12"/>
      <c r="RLY38" s="12"/>
      <c r="RLZ38" s="12"/>
      <c r="RMA38" s="12"/>
      <c r="RMP38" s="12"/>
      <c r="RMQ38" s="12"/>
      <c r="RMR38" s="12"/>
      <c r="RMS38" s="12"/>
      <c r="RMT38" s="12"/>
      <c r="RNI38" s="12"/>
      <c r="RNJ38" s="12"/>
      <c r="RNK38" s="12"/>
      <c r="RNL38" s="12"/>
      <c r="RNM38" s="12"/>
      <c r="ROB38" s="12"/>
      <c r="ROC38" s="12"/>
      <c r="ROD38" s="12"/>
      <c r="ROE38" s="12"/>
      <c r="ROF38" s="12"/>
      <c r="ROU38" s="12"/>
      <c r="ROV38" s="12"/>
      <c r="ROW38" s="12"/>
      <c r="ROX38" s="12"/>
      <c r="ROY38" s="12"/>
      <c r="RPN38" s="12"/>
      <c r="RPO38" s="12"/>
      <c r="RPP38" s="12"/>
      <c r="RPQ38" s="12"/>
      <c r="RPR38" s="12"/>
      <c r="RQG38" s="12"/>
      <c r="RQH38" s="12"/>
      <c r="RQI38" s="12"/>
      <c r="RQJ38" s="12"/>
      <c r="RQK38" s="12"/>
      <c r="RQZ38" s="12"/>
      <c r="RRA38" s="12"/>
      <c r="RRB38" s="12"/>
      <c r="RRC38" s="12"/>
      <c r="RRD38" s="12"/>
      <c r="RRS38" s="12"/>
      <c r="RRT38" s="12"/>
      <c r="RRU38" s="12"/>
      <c r="RRV38" s="12"/>
      <c r="RRW38" s="12"/>
      <c r="RSL38" s="12"/>
      <c r="RSM38" s="12"/>
      <c r="RSN38" s="12"/>
      <c r="RSO38" s="12"/>
      <c r="RSP38" s="12"/>
      <c r="RTE38" s="12"/>
      <c r="RTF38" s="12"/>
      <c r="RTG38" s="12"/>
      <c r="RTH38" s="12"/>
      <c r="RTI38" s="12"/>
      <c r="RTX38" s="12"/>
      <c r="RTY38" s="12"/>
      <c r="RTZ38" s="12"/>
      <c r="RUA38" s="12"/>
      <c r="RUB38" s="12"/>
      <c r="RUQ38" s="12"/>
      <c r="RUR38" s="12"/>
      <c r="RUS38" s="12"/>
      <c r="RUT38" s="12"/>
      <c r="RUU38" s="12"/>
      <c r="RVJ38" s="12"/>
      <c r="RVK38" s="12"/>
      <c r="RVL38" s="12"/>
      <c r="RVM38" s="12"/>
      <c r="RVN38" s="12"/>
      <c r="RWC38" s="12"/>
      <c r="RWD38" s="12"/>
      <c r="RWE38" s="12"/>
      <c r="RWF38" s="12"/>
      <c r="RWG38" s="12"/>
      <c r="RWV38" s="12"/>
      <c r="RWW38" s="12"/>
      <c r="RWX38" s="12"/>
      <c r="RWY38" s="12"/>
      <c r="RWZ38" s="12"/>
      <c r="RXO38" s="12"/>
      <c r="RXP38" s="12"/>
      <c r="RXQ38" s="12"/>
      <c r="RXR38" s="12"/>
      <c r="RXS38" s="12"/>
      <c r="RYH38" s="12"/>
      <c r="RYI38" s="12"/>
      <c r="RYJ38" s="12"/>
      <c r="RYK38" s="12"/>
      <c r="RYL38" s="12"/>
      <c r="RZA38" s="12"/>
      <c r="RZB38" s="12"/>
      <c r="RZC38" s="12"/>
      <c r="RZD38" s="12"/>
      <c r="RZE38" s="12"/>
      <c r="RZT38" s="12"/>
      <c r="RZU38" s="12"/>
      <c r="RZV38" s="12"/>
      <c r="RZW38" s="12"/>
      <c r="RZX38" s="12"/>
      <c r="SAM38" s="12"/>
      <c r="SAN38" s="12"/>
      <c r="SAO38" s="12"/>
      <c r="SAP38" s="12"/>
      <c r="SAQ38" s="12"/>
      <c r="SBF38" s="12"/>
      <c r="SBG38" s="12"/>
      <c r="SBH38" s="12"/>
      <c r="SBI38" s="12"/>
      <c r="SBJ38" s="12"/>
      <c r="SBY38" s="12"/>
      <c r="SBZ38" s="12"/>
      <c r="SCA38" s="12"/>
      <c r="SCB38" s="12"/>
      <c r="SCC38" s="12"/>
      <c r="SCR38" s="12"/>
      <c r="SCS38" s="12"/>
      <c r="SCT38" s="12"/>
      <c r="SCU38" s="12"/>
      <c r="SCV38" s="12"/>
      <c r="SDK38" s="12"/>
      <c r="SDL38" s="12"/>
      <c r="SDM38" s="12"/>
      <c r="SDN38" s="12"/>
      <c r="SDO38" s="12"/>
      <c r="SED38" s="12"/>
      <c r="SEE38" s="12"/>
      <c r="SEF38" s="12"/>
      <c r="SEG38" s="12"/>
      <c r="SEH38" s="12"/>
      <c r="SEW38" s="12"/>
      <c r="SEX38" s="12"/>
      <c r="SEY38" s="12"/>
      <c r="SEZ38" s="12"/>
      <c r="SFA38" s="12"/>
      <c r="SFP38" s="12"/>
      <c r="SFQ38" s="12"/>
      <c r="SFR38" s="12"/>
      <c r="SFS38" s="12"/>
      <c r="SFT38" s="12"/>
      <c r="SGI38" s="12"/>
      <c r="SGJ38" s="12"/>
      <c r="SGK38" s="12"/>
      <c r="SGL38" s="12"/>
      <c r="SGM38" s="12"/>
      <c r="SHB38" s="12"/>
      <c r="SHC38" s="12"/>
      <c r="SHD38" s="12"/>
      <c r="SHE38" s="12"/>
      <c r="SHF38" s="12"/>
      <c r="SHU38" s="12"/>
      <c r="SHV38" s="12"/>
      <c r="SHW38" s="12"/>
      <c r="SHX38" s="12"/>
      <c r="SHY38" s="12"/>
      <c r="SIN38" s="12"/>
      <c r="SIO38" s="12"/>
      <c r="SIP38" s="12"/>
      <c r="SIQ38" s="12"/>
      <c r="SIR38" s="12"/>
      <c r="SJG38" s="12"/>
      <c r="SJH38" s="12"/>
      <c r="SJI38" s="12"/>
      <c r="SJJ38" s="12"/>
      <c r="SJK38" s="12"/>
      <c r="SJZ38" s="12"/>
      <c r="SKA38" s="12"/>
      <c r="SKB38" s="12"/>
      <c r="SKC38" s="12"/>
      <c r="SKD38" s="12"/>
      <c r="SKS38" s="12"/>
      <c r="SKT38" s="12"/>
      <c r="SKU38" s="12"/>
      <c r="SKV38" s="12"/>
      <c r="SKW38" s="12"/>
      <c r="SLL38" s="12"/>
      <c r="SLM38" s="12"/>
      <c r="SLN38" s="12"/>
      <c r="SLO38" s="12"/>
      <c r="SLP38" s="12"/>
      <c r="SME38" s="12"/>
      <c r="SMF38" s="12"/>
      <c r="SMG38" s="12"/>
      <c r="SMH38" s="12"/>
      <c r="SMI38" s="12"/>
      <c r="SMX38" s="12"/>
      <c r="SMY38" s="12"/>
      <c r="SMZ38" s="12"/>
      <c r="SNA38" s="12"/>
      <c r="SNB38" s="12"/>
      <c r="SNQ38" s="12"/>
      <c r="SNR38" s="12"/>
      <c r="SNS38" s="12"/>
      <c r="SNT38" s="12"/>
      <c r="SNU38" s="12"/>
      <c r="SOJ38" s="12"/>
      <c r="SOK38" s="12"/>
      <c r="SOL38" s="12"/>
      <c r="SOM38" s="12"/>
      <c r="SON38" s="12"/>
      <c r="SPC38" s="12"/>
      <c r="SPD38" s="12"/>
      <c r="SPE38" s="12"/>
      <c r="SPF38" s="12"/>
      <c r="SPG38" s="12"/>
      <c r="SPV38" s="12"/>
      <c r="SPW38" s="12"/>
      <c r="SPX38" s="12"/>
      <c r="SPY38" s="12"/>
      <c r="SPZ38" s="12"/>
      <c r="SQO38" s="12"/>
      <c r="SQP38" s="12"/>
      <c r="SQQ38" s="12"/>
      <c r="SQR38" s="12"/>
      <c r="SQS38" s="12"/>
      <c r="SRH38" s="12"/>
      <c r="SRI38" s="12"/>
      <c r="SRJ38" s="12"/>
      <c r="SRK38" s="12"/>
      <c r="SRL38" s="12"/>
      <c r="SSA38" s="12"/>
      <c r="SSB38" s="12"/>
      <c r="SSC38" s="12"/>
      <c r="SSD38" s="12"/>
      <c r="SSE38" s="12"/>
      <c r="SST38" s="12"/>
      <c r="SSU38" s="12"/>
      <c r="SSV38" s="12"/>
      <c r="SSW38" s="12"/>
      <c r="SSX38" s="12"/>
      <c r="STM38" s="12"/>
      <c r="STN38" s="12"/>
      <c r="STO38" s="12"/>
      <c r="STP38" s="12"/>
      <c r="STQ38" s="12"/>
      <c r="SUF38" s="12"/>
      <c r="SUG38" s="12"/>
      <c r="SUH38" s="12"/>
      <c r="SUI38" s="12"/>
      <c r="SUJ38" s="12"/>
      <c r="SUY38" s="12"/>
      <c r="SUZ38" s="12"/>
      <c r="SVA38" s="12"/>
      <c r="SVB38" s="12"/>
      <c r="SVC38" s="12"/>
      <c r="SVR38" s="12"/>
      <c r="SVS38" s="12"/>
      <c r="SVT38" s="12"/>
      <c r="SVU38" s="12"/>
      <c r="SVV38" s="12"/>
      <c r="SWK38" s="12"/>
      <c r="SWL38" s="12"/>
      <c r="SWM38" s="12"/>
      <c r="SWN38" s="12"/>
      <c r="SWO38" s="12"/>
      <c r="SXD38" s="12"/>
      <c r="SXE38" s="12"/>
      <c r="SXF38" s="12"/>
      <c r="SXG38" s="12"/>
      <c r="SXH38" s="12"/>
      <c r="SXW38" s="12"/>
      <c r="SXX38" s="12"/>
      <c r="SXY38" s="12"/>
      <c r="SXZ38" s="12"/>
      <c r="SYA38" s="12"/>
      <c r="SYP38" s="12"/>
      <c r="SYQ38" s="12"/>
      <c r="SYR38" s="12"/>
      <c r="SYS38" s="12"/>
      <c r="SYT38" s="12"/>
      <c r="SZI38" s="12"/>
      <c r="SZJ38" s="12"/>
      <c r="SZK38" s="12"/>
      <c r="SZL38" s="12"/>
      <c r="SZM38" s="12"/>
      <c r="TAB38" s="12"/>
      <c r="TAC38" s="12"/>
      <c r="TAD38" s="12"/>
      <c r="TAE38" s="12"/>
      <c r="TAF38" s="12"/>
      <c r="TAU38" s="12"/>
      <c r="TAV38" s="12"/>
      <c r="TAW38" s="12"/>
      <c r="TAX38" s="12"/>
      <c r="TAY38" s="12"/>
      <c r="TBN38" s="12"/>
      <c r="TBO38" s="12"/>
      <c r="TBP38" s="12"/>
      <c r="TBQ38" s="12"/>
      <c r="TBR38" s="12"/>
      <c r="TCG38" s="12"/>
      <c r="TCH38" s="12"/>
      <c r="TCI38" s="12"/>
      <c r="TCJ38" s="12"/>
      <c r="TCK38" s="12"/>
      <c r="TCZ38" s="12"/>
      <c r="TDA38" s="12"/>
      <c r="TDB38" s="12"/>
      <c r="TDC38" s="12"/>
      <c r="TDD38" s="12"/>
      <c r="TDS38" s="12"/>
      <c r="TDT38" s="12"/>
      <c r="TDU38" s="12"/>
      <c r="TDV38" s="12"/>
      <c r="TDW38" s="12"/>
      <c r="TEL38" s="12"/>
      <c r="TEM38" s="12"/>
      <c r="TEN38" s="12"/>
      <c r="TEO38" s="12"/>
      <c r="TEP38" s="12"/>
      <c r="TFE38" s="12"/>
      <c r="TFF38" s="12"/>
      <c r="TFG38" s="12"/>
      <c r="TFH38" s="12"/>
      <c r="TFI38" s="12"/>
      <c r="TFX38" s="12"/>
      <c r="TFY38" s="12"/>
      <c r="TFZ38" s="12"/>
      <c r="TGA38" s="12"/>
      <c r="TGB38" s="12"/>
      <c r="TGQ38" s="12"/>
      <c r="TGR38" s="12"/>
      <c r="TGS38" s="12"/>
      <c r="TGT38" s="12"/>
      <c r="TGU38" s="12"/>
      <c r="THJ38" s="12"/>
      <c r="THK38" s="12"/>
      <c r="THL38" s="12"/>
      <c r="THM38" s="12"/>
      <c r="THN38" s="12"/>
      <c r="TIC38" s="12"/>
      <c r="TID38" s="12"/>
      <c r="TIE38" s="12"/>
      <c r="TIF38" s="12"/>
      <c r="TIG38" s="12"/>
      <c r="TIV38" s="12"/>
      <c r="TIW38" s="12"/>
      <c r="TIX38" s="12"/>
      <c r="TIY38" s="12"/>
      <c r="TIZ38" s="12"/>
      <c r="TJO38" s="12"/>
      <c r="TJP38" s="12"/>
      <c r="TJQ38" s="12"/>
      <c r="TJR38" s="12"/>
      <c r="TJS38" s="12"/>
      <c r="TKH38" s="12"/>
      <c r="TKI38" s="12"/>
      <c r="TKJ38" s="12"/>
      <c r="TKK38" s="12"/>
      <c r="TKL38" s="12"/>
      <c r="TLA38" s="12"/>
      <c r="TLB38" s="12"/>
      <c r="TLC38" s="12"/>
      <c r="TLD38" s="12"/>
      <c r="TLE38" s="12"/>
      <c r="TLT38" s="12"/>
      <c r="TLU38" s="12"/>
      <c r="TLV38" s="12"/>
      <c r="TLW38" s="12"/>
      <c r="TLX38" s="12"/>
      <c r="TMM38" s="12"/>
      <c r="TMN38" s="12"/>
      <c r="TMO38" s="12"/>
      <c r="TMP38" s="12"/>
      <c r="TMQ38" s="12"/>
      <c r="TNF38" s="12"/>
      <c r="TNG38" s="12"/>
      <c r="TNH38" s="12"/>
      <c r="TNI38" s="12"/>
      <c r="TNJ38" s="12"/>
      <c r="TNY38" s="12"/>
      <c r="TNZ38" s="12"/>
      <c r="TOA38" s="12"/>
      <c r="TOB38" s="12"/>
      <c r="TOC38" s="12"/>
      <c r="TOR38" s="12"/>
      <c r="TOS38" s="12"/>
      <c r="TOT38" s="12"/>
      <c r="TOU38" s="12"/>
      <c r="TOV38" s="12"/>
      <c r="TPK38" s="12"/>
      <c r="TPL38" s="12"/>
      <c r="TPM38" s="12"/>
      <c r="TPN38" s="12"/>
      <c r="TPO38" s="12"/>
      <c r="TQD38" s="12"/>
      <c r="TQE38" s="12"/>
      <c r="TQF38" s="12"/>
      <c r="TQG38" s="12"/>
      <c r="TQH38" s="12"/>
      <c r="TQW38" s="12"/>
      <c r="TQX38" s="12"/>
      <c r="TQY38" s="12"/>
      <c r="TQZ38" s="12"/>
      <c r="TRA38" s="12"/>
      <c r="TRP38" s="12"/>
      <c r="TRQ38" s="12"/>
      <c r="TRR38" s="12"/>
      <c r="TRS38" s="12"/>
      <c r="TRT38" s="12"/>
      <c r="TSI38" s="12"/>
      <c r="TSJ38" s="12"/>
      <c r="TSK38" s="12"/>
      <c r="TSL38" s="12"/>
      <c r="TSM38" s="12"/>
      <c r="TTB38" s="12"/>
      <c r="TTC38" s="12"/>
      <c r="TTD38" s="12"/>
      <c r="TTE38" s="12"/>
      <c r="TTF38" s="12"/>
      <c r="TTU38" s="12"/>
      <c r="TTV38" s="12"/>
      <c r="TTW38" s="12"/>
      <c r="TTX38" s="12"/>
      <c r="TTY38" s="12"/>
      <c r="TUN38" s="12"/>
      <c r="TUO38" s="12"/>
      <c r="TUP38" s="12"/>
      <c r="TUQ38" s="12"/>
      <c r="TUR38" s="12"/>
      <c r="TVG38" s="12"/>
      <c r="TVH38" s="12"/>
      <c r="TVI38" s="12"/>
      <c r="TVJ38" s="12"/>
      <c r="TVK38" s="12"/>
      <c r="TVZ38" s="12"/>
      <c r="TWA38" s="12"/>
      <c r="TWB38" s="12"/>
      <c r="TWC38" s="12"/>
      <c r="TWD38" s="12"/>
      <c r="TWS38" s="12"/>
      <c r="TWT38" s="12"/>
      <c r="TWU38" s="12"/>
      <c r="TWV38" s="12"/>
      <c r="TWW38" s="12"/>
      <c r="TXL38" s="12"/>
      <c r="TXM38" s="12"/>
      <c r="TXN38" s="12"/>
      <c r="TXO38" s="12"/>
      <c r="TXP38" s="12"/>
      <c r="TYE38" s="12"/>
      <c r="TYF38" s="12"/>
      <c r="TYG38" s="12"/>
      <c r="TYH38" s="12"/>
      <c r="TYI38" s="12"/>
      <c r="TYX38" s="12"/>
      <c r="TYY38" s="12"/>
      <c r="TYZ38" s="12"/>
      <c r="TZA38" s="12"/>
      <c r="TZB38" s="12"/>
      <c r="TZQ38" s="12"/>
      <c r="TZR38" s="12"/>
      <c r="TZS38" s="12"/>
      <c r="TZT38" s="12"/>
      <c r="TZU38" s="12"/>
      <c r="UAJ38" s="12"/>
      <c r="UAK38" s="12"/>
      <c r="UAL38" s="12"/>
      <c r="UAM38" s="12"/>
      <c r="UAN38" s="12"/>
      <c r="UBC38" s="12"/>
      <c r="UBD38" s="12"/>
      <c r="UBE38" s="12"/>
      <c r="UBF38" s="12"/>
      <c r="UBG38" s="12"/>
      <c r="UBV38" s="12"/>
      <c r="UBW38" s="12"/>
      <c r="UBX38" s="12"/>
      <c r="UBY38" s="12"/>
      <c r="UBZ38" s="12"/>
      <c r="UCO38" s="12"/>
      <c r="UCP38" s="12"/>
      <c r="UCQ38" s="12"/>
      <c r="UCR38" s="12"/>
      <c r="UCS38" s="12"/>
      <c r="UDH38" s="12"/>
      <c r="UDI38" s="12"/>
      <c r="UDJ38" s="12"/>
      <c r="UDK38" s="12"/>
      <c r="UDL38" s="12"/>
      <c r="UEA38" s="12"/>
      <c r="UEB38" s="12"/>
      <c r="UEC38" s="12"/>
      <c r="UED38" s="12"/>
      <c r="UEE38" s="12"/>
      <c r="UET38" s="12"/>
      <c r="UEU38" s="12"/>
      <c r="UEV38" s="12"/>
      <c r="UEW38" s="12"/>
      <c r="UEX38" s="12"/>
      <c r="UFM38" s="12"/>
      <c r="UFN38" s="12"/>
      <c r="UFO38" s="12"/>
      <c r="UFP38" s="12"/>
      <c r="UFQ38" s="12"/>
      <c r="UGF38" s="12"/>
      <c r="UGG38" s="12"/>
      <c r="UGH38" s="12"/>
      <c r="UGI38" s="12"/>
      <c r="UGJ38" s="12"/>
      <c r="UGY38" s="12"/>
      <c r="UGZ38" s="12"/>
      <c r="UHA38" s="12"/>
      <c r="UHB38" s="12"/>
      <c r="UHC38" s="12"/>
      <c r="UHR38" s="12"/>
      <c r="UHS38" s="12"/>
      <c r="UHT38" s="12"/>
      <c r="UHU38" s="12"/>
      <c r="UHV38" s="12"/>
      <c r="UIK38" s="12"/>
      <c r="UIL38" s="12"/>
      <c r="UIM38" s="12"/>
      <c r="UIN38" s="12"/>
      <c r="UIO38" s="12"/>
      <c r="UJD38" s="12"/>
      <c r="UJE38" s="12"/>
      <c r="UJF38" s="12"/>
      <c r="UJG38" s="12"/>
      <c r="UJH38" s="12"/>
      <c r="UJW38" s="12"/>
      <c r="UJX38" s="12"/>
      <c r="UJY38" s="12"/>
      <c r="UJZ38" s="12"/>
      <c r="UKA38" s="12"/>
      <c r="UKP38" s="12"/>
      <c r="UKQ38" s="12"/>
      <c r="UKR38" s="12"/>
      <c r="UKS38" s="12"/>
      <c r="UKT38" s="12"/>
      <c r="ULI38" s="12"/>
      <c r="ULJ38" s="12"/>
      <c r="ULK38" s="12"/>
      <c r="ULL38" s="12"/>
      <c r="ULM38" s="12"/>
      <c r="UMB38" s="12"/>
      <c r="UMC38" s="12"/>
      <c r="UMD38" s="12"/>
      <c r="UME38" s="12"/>
      <c r="UMF38" s="12"/>
      <c r="UMU38" s="12"/>
      <c r="UMV38" s="12"/>
      <c r="UMW38" s="12"/>
      <c r="UMX38" s="12"/>
      <c r="UMY38" s="12"/>
      <c r="UNN38" s="12"/>
      <c r="UNO38" s="12"/>
      <c r="UNP38" s="12"/>
      <c r="UNQ38" s="12"/>
      <c r="UNR38" s="12"/>
      <c r="UOG38" s="12"/>
      <c r="UOH38" s="12"/>
      <c r="UOI38" s="12"/>
      <c r="UOJ38" s="12"/>
      <c r="UOK38" s="12"/>
      <c r="UOZ38" s="12"/>
      <c r="UPA38" s="12"/>
      <c r="UPB38" s="12"/>
      <c r="UPC38" s="12"/>
      <c r="UPD38" s="12"/>
      <c r="UPS38" s="12"/>
      <c r="UPT38" s="12"/>
      <c r="UPU38" s="12"/>
      <c r="UPV38" s="12"/>
      <c r="UPW38" s="12"/>
      <c r="UQL38" s="12"/>
      <c r="UQM38" s="12"/>
      <c r="UQN38" s="12"/>
      <c r="UQO38" s="12"/>
      <c r="UQP38" s="12"/>
      <c r="URE38" s="12"/>
      <c r="URF38" s="12"/>
      <c r="URG38" s="12"/>
      <c r="URH38" s="12"/>
      <c r="URI38" s="12"/>
      <c r="URX38" s="12"/>
      <c r="URY38" s="12"/>
      <c r="URZ38" s="12"/>
      <c r="USA38" s="12"/>
      <c r="USB38" s="12"/>
      <c r="USQ38" s="12"/>
      <c r="USR38" s="12"/>
      <c r="USS38" s="12"/>
      <c r="UST38" s="12"/>
      <c r="USU38" s="12"/>
      <c r="UTJ38" s="12"/>
      <c r="UTK38" s="12"/>
      <c r="UTL38" s="12"/>
      <c r="UTM38" s="12"/>
      <c r="UTN38" s="12"/>
      <c r="UUC38" s="12"/>
      <c r="UUD38" s="12"/>
      <c r="UUE38" s="12"/>
      <c r="UUF38" s="12"/>
      <c r="UUG38" s="12"/>
      <c r="UUV38" s="12"/>
      <c r="UUW38" s="12"/>
      <c r="UUX38" s="12"/>
      <c r="UUY38" s="12"/>
      <c r="UUZ38" s="12"/>
      <c r="UVO38" s="12"/>
      <c r="UVP38" s="12"/>
      <c r="UVQ38" s="12"/>
      <c r="UVR38" s="12"/>
      <c r="UVS38" s="12"/>
      <c r="UWH38" s="12"/>
      <c r="UWI38" s="12"/>
      <c r="UWJ38" s="12"/>
      <c r="UWK38" s="12"/>
      <c r="UWL38" s="12"/>
      <c r="UXA38" s="12"/>
      <c r="UXB38" s="12"/>
      <c r="UXC38" s="12"/>
      <c r="UXD38" s="12"/>
      <c r="UXE38" s="12"/>
      <c r="UXT38" s="12"/>
      <c r="UXU38" s="12"/>
      <c r="UXV38" s="12"/>
      <c r="UXW38" s="12"/>
      <c r="UXX38" s="12"/>
      <c r="UYM38" s="12"/>
      <c r="UYN38" s="12"/>
      <c r="UYO38" s="12"/>
      <c r="UYP38" s="12"/>
      <c r="UYQ38" s="12"/>
      <c r="UZF38" s="12"/>
      <c r="UZG38" s="12"/>
      <c r="UZH38" s="12"/>
      <c r="UZI38" s="12"/>
      <c r="UZJ38" s="12"/>
      <c r="UZY38" s="12"/>
      <c r="UZZ38" s="12"/>
      <c r="VAA38" s="12"/>
      <c r="VAB38" s="12"/>
      <c r="VAC38" s="12"/>
      <c r="VAR38" s="12"/>
      <c r="VAS38" s="12"/>
      <c r="VAT38" s="12"/>
      <c r="VAU38" s="12"/>
      <c r="VAV38" s="12"/>
      <c r="VBK38" s="12"/>
      <c r="VBL38" s="12"/>
      <c r="VBM38" s="12"/>
      <c r="VBN38" s="12"/>
      <c r="VBO38" s="12"/>
      <c r="VCD38" s="12"/>
      <c r="VCE38" s="12"/>
      <c r="VCF38" s="12"/>
      <c r="VCG38" s="12"/>
      <c r="VCH38" s="12"/>
      <c r="VCW38" s="12"/>
      <c r="VCX38" s="12"/>
      <c r="VCY38" s="12"/>
      <c r="VCZ38" s="12"/>
      <c r="VDA38" s="12"/>
      <c r="VDP38" s="12"/>
      <c r="VDQ38" s="12"/>
      <c r="VDR38" s="12"/>
      <c r="VDS38" s="12"/>
      <c r="VDT38" s="12"/>
      <c r="VEI38" s="12"/>
      <c r="VEJ38" s="12"/>
      <c r="VEK38" s="12"/>
      <c r="VEL38" s="12"/>
      <c r="VEM38" s="12"/>
      <c r="VFB38" s="12"/>
      <c r="VFC38" s="12"/>
      <c r="VFD38" s="12"/>
      <c r="VFE38" s="12"/>
      <c r="VFF38" s="12"/>
      <c r="VFU38" s="12"/>
      <c r="VFV38" s="12"/>
      <c r="VFW38" s="12"/>
      <c r="VFX38" s="12"/>
      <c r="VFY38" s="12"/>
      <c r="VGN38" s="12"/>
      <c r="VGO38" s="12"/>
      <c r="VGP38" s="12"/>
      <c r="VGQ38" s="12"/>
      <c r="VGR38" s="12"/>
      <c r="VHG38" s="12"/>
      <c r="VHH38" s="12"/>
      <c r="VHI38" s="12"/>
      <c r="VHJ38" s="12"/>
      <c r="VHK38" s="12"/>
      <c r="VHZ38" s="12"/>
      <c r="VIA38" s="12"/>
      <c r="VIB38" s="12"/>
      <c r="VIC38" s="12"/>
      <c r="VID38" s="12"/>
      <c r="VIS38" s="12"/>
      <c r="VIT38" s="12"/>
      <c r="VIU38" s="12"/>
      <c r="VIV38" s="12"/>
      <c r="VIW38" s="12"/>
      <c r="VJL38" s="12"/>
      <c r="VJM38" s="12"/>
      <c r="VJN38" s="12"/>
      <c r="VJO38" s="12"/>
      <c r="VJP38" s="12"/>
      <c r="VKE38" s="12"/>
      <c r="VKF38" s="12"/>
      <c r="VKG38" s="12"/>
      <c r="VKH38" s="12"/>
      <c r="VKI38" s="12"/>
      <c r="VKX38" s="12"/>
      <c r="VKY38" s="12"/>
      <c r="VKZ38" s="12"/>
      <c r="VLA38" s="12"/>
      <c r="VLB38" s="12"/>
      <c r="VLQ38" s="12"/>
      <c r="VLR38" s="12"/>
      <c r="VLS38" s="12"/>
      <c r="VLT38" s="12"/>
      <c r="VLU38" s="12"/>
      <c r="VMJ38" s="12"/>
      <c r="VMK38" s="12"/>
      <c r="VML38" s="12"/>
      <c r="VMM38" s="12"/>
      <c r="VMN38" s="12"/>
      <c r="VNC38" s="12"/>
      <c r="VND38" s="12"/>
      <c r="VNE38" s="12"/>
      <c r="VNF38" s="12"/>
      <c r="VNG38" s="12"/>
      <c r="VNV38" s="12"/>
      <c r="VNW38" s="12"/>
      <c r="VNX38" s="12"/>
      <c r="VNY38" s="12"/>
      <c r="VNZ38" s="12"/>
      <c r="VOO38" s="12"/>
      <c r="VOP38" s="12"/>
      <c r="VOQ38" s="12"/>
      <c r="VOR38" s="12"/>
      <c r="VOS38" s="12"/>
      <c r="VPH38" s="12"/>
      <c r="VPI38" s="12"/>
      <c r="VPJ38" s="12"/>
      <c r="VPK38" s="12"/>
      <c r="VPL38" s="12"/>
      <c r="VQA38" s="12"/>
      <c r="VQB38" s="12"/>
      <c r="VQC38" s="12"/>
      <c r="VQD38" s="12"/>
      <c r="VQE38" s="12"/>
      <c r="VQT38" s="12"/>
      <c r="VQU38" s="12"/>
      <c r="VQV38" s="12"/>
      <c r="VQW38" s="12"/>
      <c r="VQX38" s="12"/>
      <c r="VRM38" s="12"/>
      <c r="VRN38" s="12"/>
      <c r="VRO38" s="12"/>
      <c r="VRP38" s="12"/>
      <c r="VRQ38" s="12"/>
      <c r="VSF38" s="12"/>
      <c r="VSG38" s="12"/>
      <c r="VSH38" s="12"/>
      <c r="VSI38" s="12"/>
      <c r="VSJ38" s="12"/>
      <c r="VSY38" s="12"/>
      <c r="VSZ38" s="12"/>
      <c r="VTA38" s="12"/>
      <c r="VTB38" s="12"/>
      <c r="VTC38" s="12"/>
      <c r="VTR38" s="12"/>
      <c r="VTS38" s="12"/>
      <c r="VTT38" s="12"/>
      <c r="VTU38" s="12"/>
      <c r="VTV38" s="12"/>
      <c r="VUK38" s="12"/>
      <c r="VUL38" s="12"/>
      <c r="VUM38" s="12"/>
      <c r="VUN38" s="12"/>
      <c r="VUO38" s="12"/>
      <c r="VVD38" s="12"/>
      <c r="VVE38" s="12"/>
      <c r="VVF38" s="12"/>
      <c r="VVG38" s="12"/>
      <c r="VVH38" s="12"/>
      <c r="VVW38" s="12"/>
      <c r="VVX38" s="12"/>
      <c r="VVY38" s="12"/>
      <c r="VVZ38" s="12"/>
      <c r="VWA38" s="12"/>
      <c r="VWP38" s="12"/>
      <c r="VWQ38" s="12"/>
      <c r="VWR38" s="12"/>
      <c r="VWS38" s="12"/>
      <c r="VWT38" s="12"/>
      <c r="VXI38" s="12"/>
      <c r="VXJ38" s="12"/>
      <c r="VXK38" s="12"/>
      <c r="VXL38" s="12"/>
      <c r="VXM38" s="12"/>
      <c r="VYB38" s="12"/>
      <c r="VYC38" s="12"/>
      <c r="VYD38" s="12"/>
      <c r="VYE38" s="12"/>
      <c r="VYF38" s="12"/>
      <c r="VYU38" s="12"/>
      <c r="VYV38" s="12"/>
      <c r="VYW38" s="12"/>
      <c r="VYX38" s="12"/>
      <c r="VYY38" s="12"/>
      <c r="VZN38" s="12"/>
      <c r="VZO38" s="12"/>
      <c r="VZP38" s="12"/>
      <c r="VZQ38" s="12"/>
      <c r="VZR38" s="12"/>
      <c r="WAG38" s="12"/>
      <c r="WAH38" s="12"/>
      <c r="WAI38" s="12"/>
      <c r="WAJ38" s="12"/>
      <c r="WAK38" s="12"/>
      <c r="WAZ38" s="12"/>
      <c r="WBA38" s="12"/>
      <c r="WBB38" s="12"/>
      <c r="WBC38" s="12"/>
      <c r="WBD38" s="12"/>
      <c r="WBS38" s="12"/>
      <c r="WBT38" s="12"/>
      <c r="WBU38" s="12"/>
      <c r="WBV38" s="12"/>
      <c r="WBW38" s="12"/>
      <c r="WCL38" s="12"/>
      <c r="WCM38" s="12"/>
      <c r="WCN38" s="12"/>
      <c r="WCO38" s="12"/>
      <c r="WCP38" s="12"/>
      <c r="WDE38" s="12"/>
      <c r="WDF38" s="12"/>
      <c r="WDG38" s="12"/>
      <c r="WDH38" s="12"/>
      <c r="WDI38" s="12"/>
      <c r="WDX38" s="12"/>
      <c r="WDY38" s="12"/>
      <c r="WDZ38" s="12"/>
      <c r="WEA38" s="12"/>
      <c r="WEB38" s="12"/>
      <c r="WEQ38" s="12"/>
      <c r="WER38" s="12"/>
      <c r="WES38" s="12"/>
      <c r="WET38" s="12"/>
      <c r="WEU38" s="12"/>
      <c r="WFJ38" s="12"/>
      <c r="WFK38" s="12"/>
      <c r="WFL38" s="12"/>
      <c r="WFM38" s="12"/>
      <c r="WFN38" s="12"/>
      <c r="WGC38" s="12"/>
      <c r="WGD38" s="12"/>
      <c r="WGE38" s="12"/>
      <c r="WGF38" s="12"/>
      <c r="WGG38" s="12"/>
      <c r="WGV38" s="12"/>
      <c r="WGW38" s="12"/>
      <c r="WGX38" s="12"/>
      <c r="WGY38" s="12"/>
      <c r="WGZ38" s="12"/>
      <c r="WHO38" s="12"/>
      <c r="WHP38" s="12"/>
      <c r="WHQ38" s="12"/>
      <c r="WHR38" s="12"/>
      <c r="WHS38" s="12"/>
      <c r="WIH38" s="12"/>
      <c r="WII38" s="12"/>
      <c r="WIJ38" s="12"/>
      <c r="WIK38" s="12"/>
      <c r="WIL38" s="12"/>
      <c r="WJA38" s="12"/>
      <c r="WJB38" s="12"/>
      <c r="WJC38" s="12"/>
      <c r="WJD38" s="12"/>
      <c r="WJE38" s="12"/>
      <c r="WJT38" s="12"/>
      <c r="WJU38" s="12"/>
      <c r="WJV38" s="12"/>
      <c r="WJW38" s="12"/>
      <c r="WJX38" s="12"/>
      <c r="WKM38" s="12"/>
      <c r="WKN38" s="12"/>
      <c r="WKO38" s="12"/>
      <c r="WKP38" s="12"/>
      <c r="WKQ38" s="12"/>
      <c r="WLF38" s="12"/>
      <c r="WLG38" s="12"/>
      <c r="WLH38" s="12"/>
      <c r="WLI38" s="12"/>
      <c r="WLJ38" s="12"/>
      <c r="WLY38" s="12"/>
      <c r="WLZ38" s="12"/>
      <c r="WMA38" s="12"/>
      <c r="WMB38" s="12"/>
      <c r="WMC38" s="12"/>
      <c r="WMR38" s="12"/>
      <c r="WMS38" s="12"/>
      <c r="WMT38" s="12"/>
      <c r="WMU38" s="12"/>
      <c r="WMV38" s="12"/>
      <c r="WNK38" s="12"/>
      <c r="WNL38" s="12"/>
      <c r="WNM38" s="12"/>
      <c r="WNN38" s="12"/>
      <c r="WNO38" s="12"/>
      <c r="WOD38" s="12"/>
      <c r="WOE38" s="12"/>
      <c r="WOF38" s="12"/>
      <c r="WOG38" s="12"/>
      <c r="WOH38" s="12"/>
      <c r="WOW38" s="12"/>
      <c r="WOX38" s="12"/>
      <c r="WOY38" s="12"/>
      <c r="WOZ38" s="12"/>
      <c r="WPA38" s="12"/>
      <c r="WPP38" s="12"/>
      <c r="WPQ38" s="12"/>
      <c r="WPR38" s="12"/>
      <c r="WPS38" s="12"/>
      <c r="WPT38" s="12"/>
      <c r="WQI38" s="12"/>
      <c r="WQJ38" s="12"/>
      <c r="WQK38" s="12"/>
      <c r="WQL38" s="12"/>
      <c r="WQM38" s="12"/>
      <c r="WRB38" s="12"/>
      <c r="WRC38" s="12"/>
      <c r="WRD38" s="12"/>
      <c r="WRE38" s="12"/>
      <c r="WRF38" s="12"/>
      <c r="WRU38" s="12"/>
      <c r="WRV38" s="12"/>
      <c r="WRW38" s="12"/>
      <c r="WRX38" s="12"/>
      <c r="WRY38" s="12"/>
      <c r="WSN38" s="12"/>
      <c r="WSO38" s="12"/>
      <c r="WSP38" s="12"/>
      <c r="WSQ38" s="12"/>
      <c r="WSR38" s="12"/>
      <c r="WTG38" s="12"/>
      <c r="WTH38" s="12"/>
      <c r="WTI38" s="12"/>
      <c r="WTJ38" s="12"/>
      <c r="WTK38" s="12"/>
      <c r="WTZ38" s="12"/>
      <c r="WUA38" s="12"/>
      <c r="WUB38" s="12"/>
      <c r="WUC38" s="12"/>
      <c r="WUD38" s="12"/>
      <c r="WUS38" s="12"/>
      <c r="WUT38" s="12"/>
      <c r="WUU38" s="12"/>
      <c r="WUV38" s="12"/>
      <c r="WUW38" s="12"/>
      <c r="WVL38" s="12"/>
      <c r="WVM38" s="12"/>
      <c r="WVN38" s="12"/>
      <c r="WVO38" s="12"/>
      <c r="WVP38" s="12"/>
      <c r="WWE38" s="12"/>
      <c r="WWF38" s="12"/>
      <c r="WWG38" s="12"/>
      <c r="WWH38" s="12"/>
      <c r="WWI38" s="12"/>
      <c r="WWX38" s="12"/>
      <c r="WWY38" s="12"/>
      <c r="WWZ38" s="12"/>
      <c r="WXA38" s="12"/>
      <c r="WXB38" s="12"/>
      <c r="WXQ38" s="12"/>
      <c r="WXR38" s="12"/>
      <c r="WXS38" s="12"/>
      <c r="WXT38" s="12"/>
      <c r="WXU38" s="12"/>
      <c r="WYJ38" s="12"/>
      <c r="WYK38" s="12"/>
      <c r="WYL38" s="12"/>
      <c r="WYM38" s="12"/>
      <c r="WYN38" s="12"/>
      <c r="WZC38" s="12"/>
      <c r="WZD38" s="12"/>
      <c r="WZE38" s="12"/>
      <c r="WZF38" s="12"/>
      <c r="WZG38" s="12"/>
      <c r="WZV38" s="12"/>
      <c r="WZW38" s="12"/>
      <c r="WZX38" s="12"/>
      <c r="WZY38" s="12"/>
      <c r="WZZ38" s="12"/>
      <c r="XAO38" s="12"/>
      <c r="XAP38" s="12"/>
      <c r="XAQ38" s="12"/>
      <c r="XAR38" s="12"/>
      <c r="XAS38" s="12"/>
      <c r="XBH38" s="12"/>
      <c r="XBI38" s="12"/>
      <c r="XBJ38" s="12"/>
      <c r="XBK38" s="12"/>
      <c r="XBL38" s="12"/>
      <c r="XCA38" s="12"/>
      <c r="XCB38" s="12"/>
      <c r="XCC38" s="12"/>
      <c r="XCD38" s="12"/>
      <c r="XCE38" s="12"/>
      <c r="XCT38" s="12"/>
      <c r="XCU38" s="12"/>
      <c r="XCV38" s="12"/>
      <c r="XCW38" s="12"/>
      <c r="XCX38" s="12"/>
      <c r="XDM38" s="12"/>
      <c r="XDN38" s="12"/>
      <c r="XDO38" s="12"/>
      <c r="XDP38" s="12"/>
      <c r="XDQ38" s="12"/>
      <c r="XEF38" s="12"/>
      <c r="XEG38" s="12"/>
      <c r="XEH38" s="12"/>
      <c r="XEI38" s="12"/>
      <c r="XEJ38" s="12"/>
      <c r="XEY38" s="12"/>
      <c r="XEZ38" s="12"/>
      <c r="XFA38" s="12"/>
      <c r="XFB38" s="12"/>
      <c r="XFC38" s="12"/>
    </row>
    <row r="39" spans="1:1012 1027:2038 2053:3064 3079:4090 4105:5116 5131:6142 6157:7168 7183:10227 10242:11253 11268:12279 12294:13305 13320:14331 14346:15357 15372:16383" ht="13.5" x14ac:dyDescent="0.3">
      <c r="A39" s="7"/>
      <c r="B39" s="7"/>
      <c r="C39" s="7"/>
      <c r="D39" s="7"/>
      <c r="E39" s="7"/>
      <c r="F39" s="7"/>
      <c r="G39" s="7"/>
      <c r="H39" s="7"/>
      <c r="I39" s="7"/>
      <c r="J39" s="312" t="s">
        <v>1097</v>
      </c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1012 1027:2038 2053:3064 3079:4090 4105:5116 5131:6142 6157:7168 7183:10227 10242:11253 11268:12279 12294:13305 13320:14331 14346:15357 15372:16383" ht="13.5" x14ac:dyDescent="0.3">
      <c r="A40" s="282" t="s">
        <v>571</v>
      </c>
      <c r="B40" s="279"/>
      <c r="C40" s="279"/>
      <c r="D40" s="279"/>
      <c r="E40" s="279"/>
      <c r="F40" s="279"/>
      <c r="G40" s="279" t="s">
        <v>53</v>
      </c>
      <c r="H40" s="7"/>
      <c r="I40" s="283"/>
      <c r="J40" s="284">
        <v>211380.91500000001</v>
      </c>
      <c r="K40" s="284">
        <v>147983.57800000001</v>
      </c>
      <c r="L40" s="284">
        <v>119403.31299999999</v>
      </c>
      <c r="M40" s="285">
        <f>M53</f>
        <v>129557.152</v>
      </c>
      <c r="N40" s="286" t="s">
        <v>1086</v>
      </c>
      <c r="O40" s="7"/>
      <c r="P40" s="7"/>
      <c r="Q40" s="7"/>
      <c r="R40" s="7"/>
      <c r="S40" s="7"/>
      <c r="T40" s="7"/>
    </row>
    <row r="41" spans="1:1012 1027:2038 2053:3064 3079:4090 4105:5116 5131:6142 6157:7168 7183:10227 10242:11253 11268:12279 12294:13305 13320:14331 14346:15357 15372:16383" ht="13.5" x14ac:dyDescent="0.3">
      <c r="A41" s="279"/>
      <c r="B41" s="279"/>
      <c r="C41" s="279"/>
      <c r="D41" s="279"/>
      <c r="E41" s="279" t="s">
        <v>572</v>
      </c>
      <c r="F41" s="279"/>
      <c r="G41" s="279" t="s">
        <v>602</v>
      </c>
      <c r="H41" s="7"/>
      <c r="I41" s="279"/>
      <c r="J41" s="153">
        <f>J40*Inflation!M$26</f>
        <v>228120.10348066303</v>
      </c>
      <c r="K41" s="153">
        <f>K40*Inflation!N$26</f>
        <v>156672.76731345983</v>
      </c>
      <c r="L41" s="153">
        <f>L40*Inflation!O$26</f>
        <v>123841.31224424779</v>
      </c>
      <c r="M41" s="153">
        <f>M40*Inflation!P$26</f>
        <v>132265.66388850176</v>
      </c>
      <c r="O41" s="7"/>
      <c r="P41" s="7"/>
      <c r="Q41" s="7"/>
      <c r="R41" s="7"/>
      <c r="S41" s="7"/>
      <c r="T41" s="7"/>
    </row>
    <row r="42" spans="1:1012 1027:2038 2053:3064 3079:4090 4105:5116 5131:6142 6157:7168 7183:10227 10242:11253 11268:12279 12294:13305 13320:14331 14346:15357 15372:16383" ht="13.5" x14ac:dyDescent="0.3">
      <c r="A42" s="279"/>
      <c r="B42" s="279"/>
      <c r="C42" s="279"/>
      <c r="D42" s="279"/>
      <c r="E42" s="279"/>
      <c r="F42" s="279"/>
      <c r="G42" s="287" t="s">
        <v>602</v>
      </c>
      <c r="H42" s="7"/>
      <c r="I42" s="279"/>
      <c r="J42" s="279"/>
      <c r="K42" s="7"/>
      <c r="L42" s="288" t="s">
        <v>1087</v>
      </c>
      <c r="M42" s="289">
        <f>AVERAGE($J41:M41)</f>
        <v>160224.9617317181</v>
      </c>
      <c r="N42" s="7"/>
      <c r="O42" s="7"/>
      <c r="P42" s="7"/>
      <c r="Q42" s="7"/>
      <c r="R42" s="7"/>
      <c r="S42" s="7"/>
      <c r="T42" s="7"/>
    </row>
    <row r="43" spans="1:1012 1027:2038 2053:3064 3079:4090 4105:5116 5131:6142 6157:7168 7183:10227 10242:11253 11268:12279 12294:13305 13320:14331 14346:15357 15372:16383" ht="13.5" x14ac:dyDescent="0.3">
      <c r="A43" s="290" t="s">
        <v>565</v>
      </c>
      <c r="B43" s="279"/>
      <c r="C43" s="279"/>
      <c r="D43" s="279"/>
      <c r="F43" s="279"/>
      <c r="G43" s="279"/>
      <c r="H43" s="7"/>
      <c r="I43" s="279"/>
      <c r="J43" s="279"/>
      <c r="K43" s="7"/>
      <c r="L43" s="153"/>
      <c r="M43" s="153"/>
      <c r="N43" s="153"/>
      <c r="O43" s="7"/>
      <c r="P43" s="7"/>
      <c r="Q43" s="7"/>
      <c r="R43" s="7"/>
      <c r="S43" s="7"/>
      <c r="T43" s="7"/>
    </row>
    <row r="44" spans="1:1012 1027:2038 2053:3064 3079:4090 4105:5116 5131:6142 6157:7168 7183:10227 10242:11253 11268:12279 12294:13305 13320:14331 14346:15357 15372:16383" ht="13.5" x14ac:dyDescent="0.3">
      <c r="A44" s="279"/>
      <c r="B44" s="279"/>
      <c r="C44" s="279"/>
      <c r="D44" s="279"/>
      <c r="E44" s="279" t="s">
        <v>1088</v>
      </c>
      <c r="F44" s="279"/>
      <c r="G44" s="291">
        <v>0.75</v>
      </c>
      <c r="H44" s="7"/>
      <c r="I44" s="279"/>
      <c r="J44" s="279"/>
      <c r="K44" s="7"/>
      <c r="L44" s="153"/>
      <c r="M44" s="153">
        <f>$G44*$M13</f>
        <v>14535.446417305782</v>
      </c>
      <c r="N44" s="7"/>
      <c r="O44" s="153">
        <f>$M44</f>
        <v>14535.446417305782</v>
      </c>
      <c r="P44" s="153">
        <f>$M44</f>
        <v>14535.446417305782</v>
      </c>
      <c r="Q44" s="153">
        <f>$M44</f>
        <v>14535.446417305782</v>
      </c>
      <c r="R44" s="153">
        <f>$M44</f>
        <v>14535.446417305782</v>
      </c>
      <c r="S44" s="153">
        <f>$M44</f>
        <v>14535.446417305782</v>
      </c>
      <c r="T44" s="7"/>
    </row>
    <row r="45" spans="1:1012 1027:2038 2053:3064 3079:4090 4105:5116 5131:6142 6157:7168 7183:10227 10242:11253 11268:12279 12294:13305 13320:14331 14346:15357 15372:16383" ht="13.5" x14ac:dyDescent="0.3">
      <c r="A45" s="279"/>
      <c r="B45" s="279"/>
      <c r="C45" s="279"/>
      <c r="D45" s="279"/>
      <c r="E45" s="292" t="s">
        <v>1089</v>
      </c>
      <c r="F45" s="279"/>
      <c r="G45" s="293">
        <f>1-G44</f>
        <v>0.25</v>
      </c>
      <c r="H45" s="7"/>
      <c r="I45" s="279"/>
      <c r="J45" s="279"/>
      <c r="K45" s="7"/>
      <c r="L45" s="153"/>
      <c r="M45" s="153">
        <f>M13-M44</f>
        <v>4845.1488057685929</v>
      </c>
      <c r="N45" s="7"/>
      <c r="O45" s="153">
        <f>$M46*O26</f>
        <v>4182.2345170032777</v>
      </c>
      <c r="P45" s="153">
        <f>$M46*P26</f>
        <v>4410.0624380345735</v>
      </c>
      <c r="Q45" s="153">
        <f>$M46*Q26</f>
        <v>4335.427250116617</v>
      </c>
      <c r="R45" s="153">
        <f>$M46*R26</f>
        <v>4304.3967779395243</v>
      </c>
      <c r="S45" s="153">
        <f>$M46*S26</f>
        <v>4111.1585694559644</v>
      </c>
      <c r="T45" s="7"/>
    </row>
    <row r="46" spans="1:1012 1027:2038 2053:3064 3079:4090 4105:5116 5131:6142 6157:7168 7183:10227 10242:11253 11268:12279 12294:13305 13320:14331 14346:15357 15372:16383" ht="13.5" x14ac:dyDescent="0.3">
      <c r="A46" s="279"/>
      <c r="B46" s="279"/>
      <c r="C46" s="279"/>
      <c r="D46" s="279"/>
      <c r="E46" s="292" t="s">
        <v>1090</v>
      </c>
      <c r="F46" s="279"/>
      <c r="G46" s="279"/>
      <c r="H46" s="7"/>
      <c r="I46" s="279"/>
      <c r="J46" s="279"/>
      <c r="K46" s="7"/>
      <c r="L46" s="279"/>
      <c r="M46" s="294">
        <f>M45/M42</f>
        <v>3.0239662742946052E-2</v>
      </c>
      <c r="N46" s="7"/>
      <c r="O46" s="294"/>
      <c r="P46" s="294"/>
      <c r="Q46" s="294"/>
      <c r="R46" s="294"/>
      <c r="S46" s="294"/>
      <c r="T46" s="7"/>
    </row>
    <row r="47" spans="1:1012 1027:2038 2053:3064 3079:4090 4105:5116 5131:6142 6157:7168 7183:10227 10242:11253 11268:12279 12294:13305 13320:14331 14346:15357 15372:16383" ht="13.5" x14ac:dyDescent="0.3">
      <c r="A47" s="279"/>
      <c r="B47" s="279"/>
      <c r="C47" s="279"/>
      <c r="D47" s="279"/>
      <c r="E47" s="295" t="s">
        <v>1091</v>
      </c>
      <c r="F47" s="279"/>
      <c r="G47" s="9" t="s">
        <v>602</v>
      </c>
      <c r="I47" s="279"/>
      <c r="J47" s="279"/>
      <c r="L47" s="279"/>
      <c r="M47" s="296">
        <f>SUM(M44:M45)</f>
        <v>19380.595223074375</v>
      </c>
      <c r="N47" s="7"/>
      <c r="O47" s="296">
        <f t="shared" ref="O47:S47" si="5">SUM(O44:O45)</f>
        <v>18717.680934309061</v>
      </c>
      <c r="P47" s="296">
        <f t="shared" si="5"/>
        <v>18945.508855340355</v>
      </c>
      <c r="Q47" s="296">
        <f t="shared" si="5"/>
        <v>18870.873667422398</v>
      </c>
      <c r="R47" s="296">
        <f t="shared" si="5"/>
        <v>18839.843195245307</v>
      </c>
      <c r="S47" s="296">
        <f t="shared" si="5"/>
        <v>18646.604986761748</v>
      </c>
      <c r="T47" s="7"/>
    </row>
    <row r="48" spans="1:1012 1027:2038 2053:3064 3079:4090 4105:5116 5131:6142 6157:7168 7183:10227 10242:11253 11268:12279 12294:13305 13320:14331 14346:15357 15372:16383" s="7" customFormat="1" ht="13.5" x14ac:dyDescent="0.3">
      <c r="A48" s="279"/>
      <c r="B48" s="279"/>
      <c r="C48" s="279"/>
      <c r="D48" s="279"/>
      <c r="E48" s="295"/>
      <c r="F48" s="279"/>
      <c r="G48" s="9"/>
      <c r="I48" s="279"/>
      <c r="J48" s="279"/>
      <c r="L48" s="279"/>
      <c r="M48" s="110"/>
    </row>
    <row r="49" spans="1:20" ht="13.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17">
        <v>172326.85200000001</v>
      </c>
      <c r="N49" s="7" t="s">
        <v>1092</v>
      </c>
      <c r="O49" s="7"/>
      <c r="P49" s="7"/>
      <c r="Q49" s="7"/>
      <c r="R49" s="7"/>
      <c r="S49" s="7"/>
      <c r="T49" s="7"/>
    </row>
    <row r="50" spans="1:20" ht="14.2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297"/>
      <c r="M50" s="298">
        <v>22632.018</v>
      </c>
      <c r="N50" s="279" t="s">
        <v>1093</v>
      </c>
      <c r="O50" s="7"/>
      <c r="P50" s="7"/>
      <c r="Q50" s="7"/>
      <c r="R50" s="7"/>
      <c r="S50" s="7"/>
      <c r="T50" s="7"/>
    </row>
    <row r="51" spans="1:20" ht="13.5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93">
        <f>M49-M50</f>
        <v>149694.834</v>
      </c>
      <c r="N51" s="279" t="s">
        <v>1094</v>
      </c>
      <c r="O51" s="7"/>
      <c r="P51" s="7"/>
      <c r="Q51" s="7"/>
      <c r="R51" s="7"/>
      <c r="S51" s="7"/>
      <c r="T51" s="7"/>
    </row>
    <row r="52" spans="1:20" ht="13.5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99">
        <v>20137.682000000001</v>
      </c>
      <c r="N52" s="300" t="s">
        <v>1095</v>
      </c>
      <c r="O52" s="138"/>
      <c r="P52" s="138"/>
      <c r="Q52" s="138"/>
      <c r="R52" s="7"/>
      <c r="S52" s="7"/>
      <c r="T52" s="7"/>
    </row>
    <row r="53" spans="1:20" ht="13.5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301">
        <f>M51-M52</f>
        <v>129557.152</v>
      </c>
      <c r="N53" s="300" t="s">
        <v>1096</v>
      </c>
      <c r="O53" s="138"/>
      <c r="P53" s="138"/>
      <c r="Q53" s="138"/>
      <c r="R53" s="7"/>
      <c r="S53" s="7"/>
      <c r="T53" s="7"/>
    </row>
    <row r="54" spans="1:20" ht="13.5" x14ac:dyDescent="0.3">
      <c r="A54" s="38"/>
      <c r="B54" s="38"/>
      <c r="C54" s="38"/>
      <c r="D54" s="38"/>
      <c r="E54" s="38"/>
      <c r="F54" s="38"/>
      <c r="G54" s="38"/>
      <c r="H54" s="7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7"/>
    </row>
    <row r="55" spans="1:20" ht="13.5" x14ac:dyDescent="0.3">
      <c r="A55" s="7"/>
      <c r="B55" s="7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7"/>
    </row>
    <row r="56" spans="1:20" ht="14.25" customHeight="1" x14ac:dyDescent="0.3">
      <c r="A56" s="7"/>
      <c r="B56" s="7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7"/>
    </row>
    <row r="57" spans="1:20" ht="13.5" x14ac:dyDescent="0.3">
      <c r="A57" s="7"/>
      <c r="B57" s="7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7"/>
    </row>
    <row r="58" spans="1:20" ht="13.5" x14ac:dyDescent="0.3">
      <c r="A58" s="7"/>
      <c r="B58" s="7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7"/>
    </row>
    <row r="59" spans="1:20" ht="13.5" x14ac:dyDescent="0.3">
      <c r="A59" s="38"/>
      <c r="B59" s="38"/>
      <c r="C59" s="38"/>
      <c r="D59" s="38"/>
      <c r="E59" s="38"/>
      <c r="F59" s="38"/>
      <c r="G59" s="38"/>
      <c r="H59" s="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7"/>
    </row>
    <row r="60" spans="1:20" ht="14.25" customHeight="1" x14ac:dyDescent="0.3">
      <c r="A60" s="21" t="s">
        <v>4</v>
      </c>
      <c r="B60" s="21"/>
      <c r="C60" s="14"/>
      <c r="D60" s="23"/>
      <c r="E60" s="24"/>
      <c r="F60" s="24"/>
      <c r="G60" s="24"/>
      <c r="H60" s="24"/>
      <c r="I60" s="25"/>
      <c r="J60" s="25"/>
      <c r="K60" s="19"/>
      <c r="L60" s="19"/>
      <c r="M60" s="24"/>
      <c r="N60" s="24"/>
      <c r="O60" s="24"/>
      <c r="P60" s="24"/>
      <c r="Q60" s="24"/>
      <c r="R60" s="24"/>
      <c r="S60" s="24"/>
      <c r="T60" s="24"/>
    </row>
    <row r="61" spans="1:20" ht="13.5" hidden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3.5" hidden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3.5" hidden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3.5" hidden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3.5" hidden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3.5" hidden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3.5" hidden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3.5" hidden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3.5" hidden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3.5" hidden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3.5" hidden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3.5" hidden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3.5" hidden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3.5" hidden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3.5" hidden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3.5" hidden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3.5" hidden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3.5" hidden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3.5" hidden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3.5" hidden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3.5" hidden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3.5" hidden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3.5" hidden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3.5" hidden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3.5" hidden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3.5" hidden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3.5" hidden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3.5" hidden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3.5" hidden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3.5" hidden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3.5" hidden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3.5" hidden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3.5" hidden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3.5" hidden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3.5" hidden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3.5" hidden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3.5" hidden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 customHeight="1" x14ac:dyDescent="0.3"/>
    <row r="99" spans="1:20" ht="12.75" customHeight="1" x14ac:dyDescent="0.3"/>
    <row r="100" spans="1:20" ht="12.75" customHeight="1" x14ac:dyDescent="0.3"/>
    <row r="101" spans="1:20" ht="12.75" customHeight="1" x14ac:dyDescent="0.3"/>
    <row r="102" spans="1:20" ht="12.75" customHeight="1" x14ac:dyDescent="0.3"/>
    <row r="103" spans="1:20" ht="12.75" customHeight="1" x14ac:dyDescent="0.3"/>
    <row r="104" spans="1:20" ht="12.75" customHeight="1" x14ac:dyDescent="0.3"/>
    <row r="105" spans="1:20" ht="12.75" customHeight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CFFCC"/>
  </sheetPr>
  <dimension ref="A1:O676"/>
  <sheetViews>
    <sheetView zoomScale="80" zoomScaleNormal="80" workbookViewId="0">
      <pane ySplit="5" topLeftCell="A6" activePane="bottomLeft" state="frozen"/>
      <selection activeCell="R66" sqref="R66"/>
      <selection pane="bottomLeft" activeCell="W167" sqref="W167"/>
    </sheetView>
  </sheetViews>
  <sheetFormatPr defaultColWidth="9" defaultRowHeight="13.5" x14ac:dyDescent="0.3"/>
  <cols>
    <col min="1" max="1" width="2.4609375" customWidth="1"/>
    <col min="2" max="2" width="2.3828125" customWidth="1"/>
    <col min="3" max="3" width="3.84375" style="159" customWidth="1"/>
    <col min="4" max="4" width="2.3828125" customWidth="1"/>
    <col min="5" max="5" width="10.765625" bestFit="1" customWidth="1"/>
    <col min="6" max="6" width="31.765625" bestFit="1" customWidth="1"/>
    <col min="7" max="7" width="27.3828125" customWidth="1"/>
    <col min="8" max="8" width="31.765625" customWidth="1"/>
    <col min="9" max="13" width="15" bestFit="1" customWidth="1"/>
    <col min="14" max="15" width="9" customWidth="1"/>
  </cols>
  <sheetData>
    <row r="1" spans="1:15" x14ac:dyDescent="0.3">
      <c r="A1" s="13" t="str">
        <f>Control!$G$9</f>
        <v>UE Consolidated Capex</v>
      </c>
      <c r="B1" s="13"/>
      <c r="C1" s="155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3">
      <c r="A2" s="21" t="str">
        <f ca="1" xml:space="preserve"> "Sheet: " &amp; RIGHT(CELL("filename", $A$1), LEN(CELL("filename", $A$1)) - SEARCH("]", CELL("filename", $A$1)))</f>
        <v>Sheet: Calc|Consolidated Capex</v>
      </c>
      <c r="B2" s="21"/>
      <c r="C2" s="155"/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3">
      <c r="A3" s="21" t="s">
        <v>0</v>
      </c>
      <c r="B3" s="21"/>
      <c r="C3" s="155"/>
      <c r="D3" s="15"/>
      <c r="E3" s="15"/>
      <c r="F3" s="15"/>
      <c r="G3" s="15"/>
      <c r="H3" s="15"/>
      <c r="I3" s="16"/>
      <c r="J3" s="16"/>
      <c r="K3" s="16"/>
      <c r="L3" s="16"/>
      <c r="M3" s="16"/>
      <c r="N3" s="16"/>
      <c r="O3" s="16"/>
    </row>
    <row r="4" spans="1:15" x14ac:dyDescent="0.3">
      <c r="A4" s="21"/>
      <c r="B4" s="21"/>
      <c r="C4" s="15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3">
      <c r="A5" s="21"/>
      <c r="B5" s="21"/>
      <c r="C5" s="156"/>
      <c r="D5" s="21"/>
      <c r="E5" s="321" t="s">
        <v>14</v>
      </c>
      <c r="F5" s="322"/>
      <c r="G5" s="50" t="s">
        <v>86</v>
      </c>
      <c r="H5" s="28" t="s">
        <v>34</v>
      </c>
      <c r="I5" s="30" t="s">
        <v>603</v>
      </c>
      <c r="J5" s="30" t="s">
        <v>604</v>
      </c>
      <c r="K5" s="30" t="s">
        <v>605</v>
      </c>
      <c r="L5" s="30" t="s">
        <v>606</v>
      </c>
      <c r="M5" s="30" t="s">
        <v>607</v>
      </c>
      <c r="N5" s="16"/>
      <c r="O5" s="16"/>
    </row>
    <row r="6" spans="1:15" x14ac:dyDescent="0.3">
      <c r="A6" s="1"/>
      <c r="B6" s="1"/>
      <c r="C6" s="157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21" t="s">
        <v>76</v>
      </c>
      <c r="B7" s="21"/>
      <c r="C7" s="155"/>
      <c r="D7" s="23"/>
      <c r="E7" s="24"/>
      <c r="F7" s="24"/>
      <c r="G7" s="24"/>
      <c r="H7" s="24"/>
      <c r="I7" s="34" t="s">
        <v>602</v>
      </c>
      <c r="J7" s="34" t="s">
        <v>602</v>
      </c>
      <c r="K7" s="34" t="s">
        <v>602</v>
      </c>
      <c r="L7" s="34" t="s">
        <v>602</v>
      </c>
      <c r="M7" s="34" t="s">
        <v>602</v>
      </c>
      <c r="N7" s="24"/>
      <c r="O7" s="24"/>
    </row>
    <row r="8" spans="1:15" x14ac:dyDescent="0.3">
      <c r="A8" s="7"/>
      <c r="B8" s="7"/>
      <c r="C8" s="158" t="s">
        <v>1036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3"/>
    </row>
    <row r="9" spans="1:15" x14ac:dyDescent="0.3">
      <c r="A9" s="7"/>
      <c r="B9" s="7"/>
      <c r="C9" s="158">
        <v>0</v>
      </c>
      <c r="D9" s="7"/>
      <c r="E9" s="38" t="s">
        <v>96</v>
      </c>
      <c r="F9" s="38" t="s">
        <v>270</v>
      </c>
      <c r="G9" s="38" t="str">
        <f>VLOOKUP(E9,Mapping!$E$11:$G$204,3,0)</f>
        <v>Connections</v>
      </c>
      <c r="H9" s="38" t="str">
        <f>VLOOKUP(E9,Mapping!$E$11:$K$204,7,0)</f>
        <v>SCS</v>
      </c>
      <c r="I9" s="43">
        <f>'Input|Forecast Data'!G9-SUMPRODUCT(--('Input|VBRC Calc'!$E$9:$E$19=$E9),'Input|VBRC Calc'!J$9:J$19)</f>
        <v>0</v>
      </c>
      <c r="J9" s="43">
        <f>'Input|Forecast Data'!H9-SUMPRODUCT(--('Input|VBRC Calc'!$E$9:$E$19=$E9),'Input|VBRC Calc'!K$9:K$19)</f>
        <v>0</v>
      </c>
      <c r="K9" s="43">
        <f>'Input|Forecast Data'!I9-SUMPRODUCT(--('Input|VBRC Calc'!$E$9:$E$19=$E9),'Input|VBRC Calc'!L$9:L$19)</f>
        <v>0</v>
      </c>
      <c r="L9" s="43">
        <f>'Input|Forecast Data'!J9-SUMPRODUCT(--('Input|VBRC Calc'!$E$9:$E$19=$E9),'Input|VBRC Calc'!M$9:M$19)</f>
        <v>0</v>
      </c>
      <c r="M9" s="43">
        <f>'Input|Forecast Data'!K9-SUMPRODUCT(--('Input|VBRC Calc'!$E$9:$E$19=$E9),'Input|VBRC Calc'!N$9:N$19)</f>
        <v>0</v>
      </c>
      <c r="N9" s="7"/>
      <c r="O9" s="7"/>
    </row>
    <row r="10" spans="1:15" x14ac:dyDescent="0.3">
      <c r="A10" s="7"/>
      <c r="B10" s="7"/>
      <c r="C10" s="158">
        <v>0</v>
      </c>
      <c r="D10" s="7"/>
      <c r="E10" s="38" t="s">
        <v>546</v>
      </c>
      <c r="F10" s="38" t="s">
        <v>271</v>
      </c>
      <c r="G10" s="38" t="str">
        <f>VLOOKUP(E10,Mapping!$E$11:$G$204,3,0)</f>
        <v>Connections</v>
      </c>
      <c r="H10" s="38" t="str">
        <f>VLOOKUP(E10,Mapping!$E$11:$K$204,7,0)</f>
        <v>SCS</v>
      </c>
      <c r="I10" s="227">
        <f>'Input|Forecast Data'!G10-SUMPRODUCT(--('Input|VBRC Calc'!$E$9:$E$19=$E10),'Input|VBRC Calc'!J$9:J$19)+'Input|Customer Contributions'!J32-'Input|Customer Contributions'!J9</f>
        <v>1839.8942100336935</v>
      </c>
      <c r="J10" s="227">
        <f>'Input|Forecast Data'!H10+'Input|Customer Contributions'!K32-'Input|Customer Contributions'!K9</f>
        <v>1770.0217349078832</v>
      </c>
      <c r="K10" s="227">
        <f>'Input|Forecast Data'!I10-SUMPRODUCT(--('Input|VBRC Calc'!$E$9:$E$19=$E10),'Input|VBRC Calc'!L$9:L$19)+'Input|Customer Contributions'!L32-'Input|Customer Contributions'!L9</f>
        <v>1666.9240894114148</v>
      </c>
      <c r="L10" s="227">
        <f>'Input|Forecast Data'!J10-SUMPRODUCT(--('Input|VBRC Calc'!$E$9:$E$19=$E10),'Input|VBRC Calc'!M$9:M$19)+'Input|Customer Contributions'!M32-'Input|Customer Contributions'!M9</f>
        <v>1769.9211100392351</v>
      </c>
      <c r="M10" s="227">
        <f>'Input|Forecast Data'!K10-SUMPRODUCT(--('Input|VBRC Calc'!$E$9:$E$19=$E10),'Input|VBRC Calc'!N$9:N$19)+'Input|Customer Contributions'!N32-'Input|Customer Contributions'!N9</f>
        <v>1954.3793913130908</v>
      </c>
      <c r="N10" s="7"/>
      <c r="O10" s="7"/>
    </row>
    <row r="11" spans="1:15" x14ac:dyDescent="0.3">
      <c r="A11" s="7"/>
      <c r="B11" s="7"/>
      <c r="C11" s="158">
        <v>0</v>
      </c>
      <c r="D11" s="7"/>
      <c r="E11" s="38" t="s">
        <v>547</v>
      </c>
      <c r="F11" s="38" t="s">
        <v>272</v>
      </c>
      <c r="G11" s="38" t="str">
        <f>VLOOKUP(E11,Mapping!$E$11:$G$204,3,0)</f>
        <v>Connections</v>
      </c>
      <c r="H11" s="38" t="str">
        <f>VLOOKUP(E11,Mapping!$E$11:$K$204,7,0)</f>
        <v>SCS</v>
      </c>
      <c r="I11" s="227">
        <f>'Input|Forecast Data'!G11-SUMPRODUCT(--('Input|VBRC Calc'!$E$9:$E$19=$E11),'Input|VBRC Calc'!J$9:J$19)+'Input|Customer Contributions'!J33-'Input|Customer Contributions'!J10</f>
        <v>226.91996822076288</v>
      </c>
      <c r="J11" s="227">
        <f>'Input|Forecast Data'!H11-SUMPRODUCT(--('Input|VBRC Calc'!$E$9:$E$19=$E11),'Input|VBRC Calc'!K$9:K$19)+'Input|Customer Contributions'!K33-'Input|Customer Contributions'!K10</f>
        <v>219.8363295792067</v>
      </c>
      <c r="K11" s="227">
        <f>'Input|Forecast Data'!I11-SUMPRODUCT(--('Input|VBRC Calc'!$E$9:$E$19=$E11),'Input|VBRC Calc'!L$9:L$19)+'Input|Customer Contributions'!L33-'Input|Customer Contributions'!L10</f>
        <v>206.85484717403773</v>
      </c>
      <c r="L11" s="227">
        <f>'Input|Forecast Data'!J11-SUMPRODUCT(--('Input|VBRC Calc'!$E$9:$E$19=$E11),'Input|VBRC Calc'!M$9:M$19)+'Input|Customer Contributions'!M33-'Input|Customer Contributions'!M10</f>
        <v>219.83687543215746</v>
      </c>
      <c r="M11" s="227">
        <f>'Input|Forecast Data'!K11-SUMPRODUCT(--('Input|VBRC Calc'!$E$9:$E$19=$E11),'Input|VBRC Calc'!N$9:N$19)+'Input|Customer Contributions'!N33-'Input|Customer Contributions'!N10</f>
        <v>242.57701437092012</v>
      </c>
      <c r="N11" s="7"/>
      <c r="O11" s="7"/>
    </row>
    <row r="12" spans="1:15" x14ac:dyDescent="0.3">
      <c r="A12" s="7"/>
      <c r="B12" s="7"/>
      <c r="C12" s="158">
        <v>0</v>
      </c>
      <c r="D12" s="7"/>
      <c r="E12" s="38" t="s">
        <v>548</v>
      </c>
      <c r="F12" s="38" t="s">
        <v>273</v>
      </c>
      <c r="G12" s="38" t="str">
        <f>VLOOKUP(E12,Mapping!$E$11:$G$204,3,0)</f>
        <v>Connections</v>
      </c>
      <c r="H12" s="38" t="str">
        <f>VLOOKUP(E12,Mapping!$E$11:$K$204,7,0)</f>
        <v>SCS</v>
      </c>
      <c r="I12" s="227">
        <f>'Input|Forecast Data'!G12-SUMPRODUCT(--('Input|VBRC Calc'!$E$9:$E$19=$E12),'Input|VBRC Calc'!J$9:J$19)+'Input|Customer Contributions'!J34-'Input|Customer Contributions'!J11</f>
        <v>320.4083956488451</v>
      </c>
      <c r="J12" s="227">
        <f>'Input|Forecast Data'!H12-SUMPRODUCT(--('Input|VBRC Calc'!$E$9:$E$19=$E12),'Input|VBRC Calc'!K$9:K$19)+'Input|Customer Contributions'!K34-'Input|Customer Contributions'!K11</f>
        <v>332.86793016530277</v>
      </c>
      <c r="K12" s="227">
        <f>'Input|Forecast Data'!I12-SUMPRODUCT(--('Input|VBRC Calc'!$E$9:$E$19=$E12),'Input|VBRC Calc'!L$9:L$19)+'Input|Customer Contributions'!L34-'Input|Customer Contributions'!L11</f>
        <v>316.6137381133193</v>
      </c>
      <c r="L12" s="227">
        <f>'Input|Forecast Data'!J12-SUMPRODUCT(--('Input|VBRC Calc'!$E$9:$E$19=$E12),'Input|VBRC Calc'!M$9:M$19)+'Input|Customer Contributions'!M34-'Input|Customer Contributions'!M11</f>
        <v>327.31202368172552</v>
      </c>
      <c r="M12" s="227">
        <f>'Input|Forecast Data'!K12-SUMPRODUCT(--('Input|VBRC Calc'!$E$9:$E$19=$E12),'Input|VBRC Calc'!N$9:N$19)+'Input|Customer Contributions'!N34-'Input|Customer Contributions'!N11</f>
        <v>357.23549568102999</v>
      </c>
      <c r="N12" s="7"/>
      <c r="O12" s="7"/>
    </row>
    <row r="13" spans="1:15" x14ac:dyDescent="0.3">
      <c r="A13" s="7"/>
      <c r="B13" s="7"/>
      <c r="C13" s="158">
        <v>0</v>
      </c>
      <c r="D13" s="7"/>
      <c r="E13" s="38" t="s">
        <v>555</v>
      </c>
      <c r="F13" s="38" t="s">
        <v>273</v>
      </c>
      <c r="G13" s="38" t="str">
        <f>VLOOKUP(E13,Mapping!$E$11:$G$204,3,0)</f>
        <v>Connections</v>
      </c>
      <c r="H13" s="38" t="str">
        <f>VLOOKUP(E13,Mapping!$E$11:$K$204,7,0)</f>
        <v>SCS</v>
      </c>
      <c r="I13" s="227">
        <f>'Input|Forecast Data'!G13-SUMPRODUCT(--('Input|VBRC Calc'!$E$9:$E$19=$E13),'Input|VBRC Calc'!J$9:J$19)+'Input|Customer Contributions'!J35-'Input|Customer Contributions'!J12</f>
        <v>1874.279029357707</v>
      </c>
      <c r="J13" s="227">
        <f>'Input|Forecast Data'!H13-SUMPRODUCT(--('Input|VBRC Calc'!$E$9:$E$19=$E13),'Input|VBRC Calc'!K$9:K$19)+'Input|Customer Contributions'!K35-'Input|Customer Contributions'!K12</f>
        <v>2689.9744902034913</v>
      </c>
      <c r="K13" s="227">
        <f>'Input|Forecast Data'!I13-SUMPRODUCT(--('Input|VBRC Calc'!$E$9:$E$19=$E13),'Input|VBRC Calc'!L$9:L$19)+'Input|Customer Contributions'!L35-'Input|Customer Contributions'!L12</f>
        <v>1531.721947048766</v>
      </c>
      <c r="L13" s="227">
        <f>'Input|Forecast Data'!J13-SUMPRODUCT(--('Input|VBRC Calc'!$E$9:$E$19=$E13),'Input|VBRC Calc'!M$9:M$19)+'Input|Customer Contributions'!M35-'Input|Customer Contributions'!M12</f>
        <v>2951.8212141918111</v>
      </c>
      <c r="M13" s="227">
        <f>'Input|Forecast Data'!K13-SUMPRODUCT(--('Input|VBRC Calc'!$E$9:$E$19=$E13),'Input|VBRC Calc'!N$9:N$19)+'Input|Customer Contributions'!N35-'Input|Customer Contributions'!N12</f>
        <v>2044.1939299425112</v>
      </c>
      <c r="N13" s="7"/>
      <c r="O13" s="7"/>
    </row>
    <row r="14" spans="1:15" x14ac:dyDescent="0.3">
      <c r="A14" s="7"/>
      <c r="B14" s="7"/>
      <c r="C14" s="158">
        <v>0</v>
      </c>
      <c r="D14" s="7"/>
      <c r="E14" s="38" t="s">
        <v>549</v>
      </c>
      <c r="F14" s="38" t="s">
        <v>274</v>
      </c>
      <c r="G14" s="38" t="str">
        <f>VLOOKUP(E14,Mapping!$E$11:$G$204,3,0)</f>
        <v>Connections</v>
      </c>
      <c r="H14" s="38" t="str">
        <f>VLOOKUP(E14,Mapping!$E$11:$K$204,7,0)</f>
        <v>SCS</v>
      </c>
      <c r="I14" s="227">
        <f>'Input|Forecast Data'!G14-SUMPRODUCT(--('Input|VBRC Calc'!$E$9:$E$19=$E14),'Input|VBRC Calc'!J$9:J$19)+'Input|Customer Contributions'!J36-'Input|Customer Contributions'!J13</f>
        <v>4407.7102328669753</v>
      </c>
      <c r="J14" s="227">
        <f>'Input|Forecast Data'!H14-SUMPRODUCT(--('Input|VBRC Calc'!$E$9:$E$19=$E14),'Input|VBRC Calc'!K$9:K$19)+'Input|Customer Contributions'!K36-'Input|Customer Contributions'!K13</f>
        <v>4258.6764842918719</v>
      </c>
      <c r="K14" s="227">
        <f>'Input|Forecast Data'!I14-SUMPRODUCT(--('Input|VBRC Calc'!$E$9:$E$19=$E14),'Input|VBRC Calc'!L$9:L$19)+'Input|Customer Contributions'!L36-'Input|Customer Contributions'!L13</f>
        <v>4008.4984453877191</v>
      </c>
      <c r="L14" s="227">
        <f>'Input|Forecast Data'!J14-SUMPRODUCT(--('Input|VBRC Calc'!$E$9:$E$19=$E14),'Input|VBRC Calc'!M$9:M$19)+'Input|Customer Contributions'!M36-'Input|Customer Contributions'!M13</f>
        <v>4258.598216464452</v>
      </c>
      <c r="M14" s="227">
        <f>'Input|Forecast Data'!K14-SUMPRODUCT(--('Input|VBRC Calc'!$E$9:$E$19=$E14),'Input|VBRC Calc'!N$9:N$19)+'Input|Customer Contributions'!N36-'Input|Customer Contributions'!N13</f>
        <v>4700.3783691204653</v>
      </c>
      <c r="N14" s="7"/>
      <c r="O14" s="7"/>
    </row>
    <row r="15" spans="1:15" x14ac:dyDescent="0.3">
      <c r="A15" s="7"/>
      <c r="B15" s="7"/>
      <c r="C15" s="158">
        <v>0</v>
      </c>
      <c r="D15" s="7"/>
      <c r="E15" s="38" t="s">
        <v>556</v>
      </c>
      <c r="F15" s="38" t="s">
        <v>274</v>
      </c>
      <c r="G15" s="38" t="str">
        <f>VLOOKUP(E15,Mapping!$E$11:$G$204,3,0)</f>
        <v>Connections</v>
      </c>
      <c r="H15" s="38" t="str">
        <f>VLOOKUP(E15,Mapping!$E$11:$K$204,7,0)</f>
        <v>SCS</v>
      </c>
      <c r="I15" s="227">
        <f>'Input|Forecast Data'!G15-SUMPRODUCT(--('Input|VBRC Calc'!$E$9:$E$19=$E15),'Input|VBRC Calc'!J$9:J$19)+'Input|Customer Contributions'!J37-'Input|Customer Contributions'!J14</f>
        <v>771.54055718234929</v>
      </c>
      <c r="J15" s="227">
        <f>'Input|Forecast Data'!H15-SUMPRODUCT(--('Input|VBRC Calc'!$E$9:$E$19=$E15),'Input|VBRC Calc'!K$9:K$19)+'Input|Customer Contributions'!K37-'Input|Customer Contributions'!K14</f>
        <v>747.45579043732835</v>
      </c>
      <c r="K15" s="227">
        <f>'Input|Forecast Data'!I15-SUMPRODUCT(--('Input|VBRC Calc'!$E$9:$E$19=$E15),'Input|VBRC Calc'!L$9:L$19)+'Input|Customer Contributions'!L37-'Input|Customer Contributions'!L14</f>
        <v>703.31802571583432</v>
      </c>
      <c r="L15" s="227">
        <f>'Input|Forecast Data'!J15-SUMPRODUCT(--('Input|VBRC Calc'!$E$9:$E$19=$E15),'Input|VBRC Calc'!M$9:M$19)+'Input|Customer Contributions'!M37-'Input|Customer Contributions'!M14</f>
        <v>747.45764636782701</v>
      </c>
      <c r="M15" s="227">
        <f>'Input|Forecast Data'!K15-SUMPRODUCT(--('Input|VBRC Calc'!$E$9:$E$19=$E15),'Input|VBRC Calc'!N$9:N$19)+'Input|Customer Contributions'!N37-'Input|Customer Contributions'!N14</f>
        <v>824.77538796978286</v>
      </c>
      <c r="N15" s="7"/>
      <c r="O15" s="7"/>
    </row>
    <row r="16" spans="1:15" x14ac:dyDescent="0.3">
      <c r="A16" s="7"/>
      <c r="B16" s="7"/>
      <c r="C16" s="158">
        <v>0</v>
      </c>
      <c r="D16" s="7"/>
      <c r="E16" s="38" t="s">
        <v>550</v>
      </c>
      <c r="F16" s="38" t="s">
        <v>275</v>
      </c>
      <c r="G16" s="38" t="str">
        <f>VLOOKUP(E16,Mapping!$E$11:$G$204,3,0)</f>
        <v>Connections</v>
      </c>
      <c r="H16" s="38" t="str">
        <f>VLOOKUP(E16,Mapping!$E$11:$K$204,7,0)</f>
        <v>SCS</v>
      </c>
      <c r="I16" s="227">
        <f>'Input|Forecast Data'!G16-SUMPRODUCT(--('Input|VBRC Calc'!$E$9:$E$19=$E16),'Input|VBRC Calc'!J$9:J$19)+'Input|Customer Contributions'!J38-'Input|Customer Contributions'!J15</f>
        <v>7602.3124919541024</v>
      </c>
      <c r="J16" s="227">
        <f>'Input|Forecast Data'!H16-SUMPRODUCT(--('Input|VBRC Calc'!$E$9:$E$19=$E16),'Input|VBRC Calc'!K$9:K$19)+'Input|Customer Contributions'!K38-'Input|Customer Contributions'!K15</f>
        <v>7313.4484825601803</v>
      </c>
      <c r="K16" s="227">
        <f>'Input|Forecast Data'!I16-SUMPRODUCT(--('Input|VBRC Calc'!$E$9:$E$19=$E16),'Input|VBRC Calc'!L$9:L$19)+'Input|Customer Contributions'!L38-'Input|Customer Contributions'!L15</f>
        <v>6887.1571528045115</v>
      </c>
      <c r="L16" s="227">
        <f>'Input|Forecast Data'!J16-SUMPRODUCT(--('Input|VBRC Calc'!$E$9:$E$19=$E16),'Input|VBRC Calc'!M$9:M$19)+'Input|Customer Contributions'!M38-'Input|Customer Contributions'!M15</f>
        <v>7313.3413750892651</v>
      </c>
      <c r="M16" s="227">
        <f>'Input|Forecast Data'!K16-SUMPRODUCT(--('Input|VBRC Calc'!$E$9:$E$19=$E16),'Input|VBRC Calc'!N$9:N$19)+'Input|Customer Contributions'!N38-'Input|Customer Contributions'!N15</f>
        <v>8075.618560486244</v>
      </c>
      <c r="N16" s="7"/>
      <c r="O16" s="7"/>
    </row>
    <row r="17" spans="1:15" x14ac:dyDescent="0.3">
      <c r="A17" s="7"/>
      <c r="B17" s="7"/>
      <c r="C17" s="158">
        <v>0</v>
      </c>
      <c r="D17" s="7"/>
      <c r="E17" s="38" t="s">
        <v>557</v>
      </c>
      <c r="F17" s="38" t="s">
        <v>275</v>
      </c>
      <c r="G17" s="38" t="str">
        <f>VLOOKUP(E17,Mapping!$E$11:$G$204,3,0)</f>
        <v>Connections</v>
      </c>
      <c r="H17" s="38" t="str">
        <f>VLOOKUP(E17,Mapping!$E$11:$K$204,7,0)</f>
        <v>SCS</v>
      </c>
      <c r="I17" s="227">
        <f>'Input|Forecast Data'!G17-SUMPRODUCT(--('Input|VBRC Calc'!$E$9:$E$19=$E17),'Input|VBRC Calc'!J$9:J$19)+'Input|Customer Contributions'!J39-'Input|Customer Contributions'!J16</f>
        <v>1324.7647332643528</v>
      </c>
      <c r="J17" s="227">
        <f>'Input|Forecast Data'!H17-SUMPRODUCT(--('Input|VBRC Calc'!$E$9:$E$19=$E17),'Input|VBRC Calc'!K$9:K$19)+'Input|Customer Contributions'!K39-'Input|Customer Contributions'!K16</f>
        <v>1261.6267881864551</v>
      </c>
      <c r="K17" s="227">
        <f>'Input|Forecast Data'!I17-SUMPRODUCT(--('Input|VBRC Calc'!$E$9:$E$19=$E17),'Input|VBRC Calc'!L$9:L$19)+'Input|Customer Contributions'!L39-'Input|Customer Contributions'!L16</f>
        <v>1189.2144434425245</v>
      </c>
      <c r="L17" s="227">
        <f>'Input|Forecast Data'!J17-SUMPRODUCT(--('Input|VBRC Calc'!$E$9:$E$19=$E17),'Input|VBRC Calc'!M$9:M$19)+'Input|Customer Contributions'!M39-'Input|Customer Contributions'!M16</f>
        <v>1261.8335577924818</v>
      </c>
      <c r="M17" s="227">
        <f>'Input|Forecast Data'!K17-SUMPRODUCT(--('Input|VBRC Calc'!$E$9:$E$19=$E17),'Input|VBRC Calc'!N$9:N$19)+'Input|Customer Contributions'!N39-'Input|Customer Contributions'!N16</f>
        <v>1394.8648487748537</v>
      </c>
      <c r="N17" s="7"/>
      <c r="O17" s="7"/>
    </row>
    <row r="18" spans="1:15" x14ac:dyDescent="0.3">
      <c r="A18" s="7"/>
      <c r="B18" s="7"/>
      <c r="C18" s="158">
        <v>0</v>
      </c>
      <c r="D18" s="7"/>
      <c r="E18" s="38" t="s">
        <v>551</v>
      </c>
      <c r="F18" s="38" t="s">
        <v>276</v>
      </c>
      <c r="G18" s="38" t="str">
        <f>VLOOKUP(E18,Mapping!$E$11:$G$204,3,0)</f>
        <v>Connections</v>
      </c>
      <c r="H18" s="38" t="str">
        <f>VLOOKUP(E18,Mapping!$E$11:$K$204,7,0)</f>
        <v>SCS</v>
      </c>
      <c r="I18" s="227">
        <f>'Input|Forecast Data'!G18-SUMPRODUCT(--('Input|VBRC Calc'!$E$9:$E$19=$E18),'Input|VBRC Calc'!J$9:J$19)+'Input|Customer Contributions'!J40-'Input|Customer Contributions'!J17</f>
        <v>1754.329679580987</v>
      </c>
      <c r="J18" s="227">
        <f>'Input|Forecast Data'!H18-SUMPRODUCT(--('Input|VBRC Calc'!$E$9:$E$19=$E18),'Input|VBRC Calc'!K$9:K$19)+'Input|Customer Contributions'!K40-'Input|Customer Contributions'!K17</f>
        <v>1694.9041999595656</v>
      </c>
      <c r="K18" s="227">
        <f>'Input|Forecast Data'!I18-SUMPRODUCT(--('Input|VBRC Calc'!$E$9:$E$19=$E18),'Input|VBRC Calc'!L$9:L$19)+'Input|Customer Contributions'!L40-'Input|Customer Contributions'!L17</f>
        <v>1595.3608373553752</v>
      </c>
      <c r="L18" s="227">
        <f>'Input|Forecast Data'!J18-SUMPRODUCT(--('Input|VBRC Calc'!$E$9:$E$19=$E18),'Input|VBRC Calc'!M$9:M$19)+'Input|Customer Contributions'!M40-'Input|Customer Contributions'!M17</f>
        <v>1694.860405570515</v>
      </c>
      <c r="M18" s="227">
        <f>'Input|Forecast Data'!K18-SUMPRODUCT(--('Input|VBRC Calc'!$E$9:$E$19=$E18),'Input|VBRC Calc'!N$9:N$19)+'Input|Customer Contributions'!N40-'Input|Customer Contributions'!N17</f>
        <v>1870.6915522028887</v>
      </c>
      <c r="N18" s="7"/>
      <c r="O18" s="7"/>
    </row>
    <row r="19" spans="1:15" x14ac:dyDescent="0.3">
      <c r="A19" s="7"/>
      <c r="B19" s="7"/>
      <c r="C19" s="158">
        <v>0</v>
      </c>
      <c r="D19" s="7"/>
      <c r="E19" s="38" t="s">
        <v>552</v>
      </c>
      <c r="F19" s="38" t="s">
        <v>277</v>
      </c>
      <c r="G19" s="38" t="str">
        <f>VLOOKUP(E19,Mapping!$E$11:$G$204,3,0)</f>
        <v>Connections</v>
      </c>
      <c r="H19" s="38" t="str">
        <f>VLOOKUP(E19,Mapping!$E$11:$K$204,7,0)</f>
        <v>SCS</v>
      </c>
      <c r="I19" s="227">
        <f>'Input|Forecast Data'!G19-SUMPRODUCT(--('Input|VBRC Calc'!$E$9:$E$19=$E19),'Input|VBRC Calc'!J$9:J$19)+'Input|Customer Contributions'!J41-'Input|Customer Contributions'!J18</f>
        <v>4427.1202704498019</v>
      </c>
      <c r="J19" s="227">
        <f>'Input|Forecast Data'!H19-SUMPRODUCT(--('Input|VBRC Calc'!$E$9:$E$19=$E19),'Input|VBRC Calc'!K$9:K$19)+'Input|Customer Contributions'!K41-'Input|Customer Contributions'!K18</f>
        <v>4281.1328584649709</v>
      </c>
      <c r="K19" s="227">
        <f>'Input|Forecast Data'!I19-SUMPRODUCT(--('Input|VBRC Calc'!$E$9:$E$19=$E19),'Input|VBRC Calc'!L$9:L$19)+'Input|Customer Contributions'!L41-'Input|Customer Contributions'!L18</f>
        <v>4029.2404995983725</v>
      </c>
      <c r="L19" s="227">
        <f>'Input|Forecast Data'!J19-SUMPRODUCT(--('Input|VBRC Calc'!$E$9:$E$19=$E19),'Input|VBRC Calc'!M$9:M$19)+'Input|Customer Contributions'!M41-'Input|Customer Contributions'!M18</f>
        <v>4281.0572872572029</v>
      </c>
      <c r="M19" s="227">
        <f>'Input|Forecast Data'!K19-SUMPRODUCT(--('Input|VBRC Calc'!$E$9:$E$19=$E19),'Input|VBRC Calc'!N$9:N$19)+'Input|Customer Contributions'!N41-'Input|Customer Contributions'!N18</f>
        <v>4724.7497288574987</v>
      </c>
      <c r="N19" s="7"/>
      <c r="O19" s="7"/>
    </row>
    <row r="20" spans="1:15" x14ac:dyDescent="0.3">
      <c r="A20" s="7"/>
      <c r="B20" s="7"/>
      <c r="C20" s="158">
        <v>0</v>
      </c>
      <c r="D20" s="7"/>
      <c r="E20" s="38" t="s">
        <v>524</v>
      </c>
      <c r="F20" s="38" t="s">
        <v>278</v>
      </c>
      <c r="G20" s="38" t="str">
        <f>VLOOKUP(E20,Mapping!$E$11:$G$204,3,0)</f>
        <v>Connections</v>
      </c>
      <c r="H20" s="38" t="str">
        <f>VLOOKUP(E20,Mapping!$E$11:$K$204,7,0)</f>
        <v>SCS</v>
      </c>
      <c r="I20" s="227">
        <f>'Input|Forecast Data'!G20-SUMPRODUCT(--('Input|VBRC Calc'!$E$9:$E$19=$E20),'Input|VBRC Calc'!J$9:J$19)+'Input|Customer Contributions'!J42-'Input|Customer Contributions'!J19</f>
        <v>8709.7004492079741</v>
      </c>
      <c r="J20" s="306">
        <f>'Input|Forecast Data'!H20-SUMPRODUCT(--('Input|VBRC Calc'!$E$9:$E$19=$E20),'Input|VBRC Calc'!K$9:K$19)+'Input|Customer Contributions'!K42-'Input|Customer Contributions'!K19</f>
        <v>14761.221910871256</v>
      </c>
      <c r="K20" s="306">
        <f>'Input|Forecast Data'!I20-SUMPRODUCT(--('Input|VBRC Calc'!$E$9:$E$19=$E20),'Input|VBRC Calc'!L$9:L$19)+'Input|Customer Contributions'!L42-'Input|Customer Contributions'!L19</f>
        <v>14219.717443648669</v>
      </c>
      <c r="L20" s="306">
        <f>'Input|Forecast Data'!J20-SUMPRODUCT(--('Input|VBRC Calc'!$E$9:$E$19=$E20),'Input|VBRC Calc'!M$9:M$19)+'Input|Customer Contributions'!M42-'Input|Customer Contributions'!M19</f>
        <v>14912.588861046524</v>
      </c>
      <c r="M20" s="306">
        <f>'Input|Forecast Data'!K20-SUMPRODUCT(--('Input|VBRC Calc'!$E$9:$E$19=$E20),'Input|VBRC Calc'!N$9:N$19)+'Input|Customer Contributions'!N42-'Input|Customer Contributions'!N19</f>
        <v>16371.83678110041</v>
      </c>
      <c r="N20" s="7"/>
      <c r="O20" s="7"/>
    </row>
    <row r="21" spans="1:15" x14ac:dyDescent="0.3">
      <c r="A21" s="7"/>
      <c r="B21" s="7"/>
      <c r="C21" s="158">
        <v>0</v>
      </c>
      <c r="D21" s="7"/>
      <c r="E21" s="38" t="s">
        <v>525</v>
      </c>
      <c r="F21" s="38" t="s">
        <v>278</v>
      </c>
      <c r="G21" s="38" t="str">
        <f>VLOOKUP(E21,Mapping!$E$11:$G$204,3,0)</f>
        <v>Connections</v>
      </c>
      <c r="H21" s="38" t="str">
        <f>VLOOKUP(E21,Mapping!$E$11:$K$204,7,0)</f>
        <v>SCS</v>
      </c>
      <c r="I21" s="227">
        <f>'Input|Forecast Data'!G21-SUMPRODUCT(--('Input|VBRC Calc'!$E$9:$E$19=$E21),'Input|VBRC Calc'!J$9:J$19)+'Input|Customer Contributions'!J43-'Input|Customer Contributions'!J20</f>
        <v>0</v>
      </c>
      <c r="J21" s="227">
        <f>'Input|Forecast Data'!H21-SUMPRODUCT(--('Input|VBRC Calc'!$E$9:$E$19=$E21),'Input|VBRC Calc'!K$9:K$19)+'Input|Customer Contributions'!K43-'Input|Customer Contributions'!K20</f>
        <v>0</v>
      </c>
      <c r="K21" s="227">
        <f>'Input|Forecast Data'!I21-SUMPRODUCT(--('Input|VBRC Calc'!$E$9:$E$19=$E21),'Input|VBRC Calc'!L$9:L$19)+'Input|Customer Contributions'!L43-'Input|Customer Contributions'!L20</f>
        <v>0</v>
      </c>
      <c r="L21" s="227">
        <f>'Input|Forecast Data'!J21-SUMPRODUCT(--('Input|VBRC Calc'!$E$9:$E$19=$E21),'Input|VBRC Calc'!M$9:M$19)+'Input|Customer Contributions'!M43-'Input|Customer Contributions'!M20</f>
        <v>0</v>
      </c>
      <c r="M21" s="227">
        <f>'Input|Forecast Data'!K21-SUMPRODUCT(--('Input|VBRC Calc'!$E$9:$E$19=$E21),'Input|VBRC Calc'!N$9:N$19)+'Input|Customer Contributions'!N43-'Input|Customer Contributions'!N20</f>
        <v>0</v>
      </c>
      <c r="N21" s="7"/>
      <c r="O21" s="7"/>
    </row>
    <row r="22" spans="1:15" x14ac:dyDescent="0.3">
      <c r="A22" s="7"/>
      <c r="B22" s="7"/>
      <c r="C22" s="158">
        <v>0</v>
      </c>
      <c r="D22" s="7"/>
      <c r="E22" s="38" t="s">
        <v>526</v>
      </c>
      <c r="F22" s="38" t="s">
        <v>279</v>
      </c>
      <c r="G22" s="38" t="str">
        <f>VLOOKUP(E22,Mapping!$E$11:$G$204,3,0)</f>
        <v>Connections</v>
      </c>
      <c r="H22" s="38" t="str">
        <f>VLOOKUP(E22,Mapping!$E$11:$K$204,7,0)</f>
        <v>SCS</v>
      </c>
      <c r="I22" s="43">
        <f>'Input|Forecast Data'!G22-SUMPRODUCT(--('Input|VBRC Calc'!$E$9:$E$19=$E22),'Input|VBRC Calc'!J$9:J$19)</f>
        <v>0</v>
      </c>
      <c r="J22" s="43">
        <f>'Input|Forecast Data'!H22-SUMPRODUCT(--('Input|VBRC Calc'!$E$9:$E$19=$E22),'Input|VBRC Calc'!K$9:K$19)</f>
        <v>0</v>
      </c>
      <c r="K22" s="43">
        <f>'Input|Forecast Data'!I22-SUMPRODUCT(--('Input|VBRC Calc'!$E$9:$E$19=$E22),'Input|VBRC Calc'!L$9:L$19)</f>
        <v>0</v>
      </c>
      <c r="L22" s="43">
        <f>'Input|Forecast Data'!J22-SUMPRODUCT(--('Input|VBRC Calc'!$E$9:$E$19=$E22),'Input|VBRC Calc'!M$9:M$19)</f>
        <v>0</v>
      </c>
      <c r="M22" s="43">
        <f>'Input|Forecast Data'!K22-SUMPRODUCT(--('Input|VBRC Calc'!$E$9:$E$19=$E22),'Input|VBRC Calc'!N$9:N$19)</f>
        <v>0</v>
      </c>
      <c r="N22" s="7"/>
      <c r="O22" s="7"/>
    </row>
    <row r="23" spans="1:15" x14ac:dyDescent="0.3">
      <c r="A23" s="7"/>
      <c r="B23" s="7"/>
      <c r="C23" s="158">
        <v>0</v>
      </c>
      <c r="D23" s="7"/>
      <c r="E23" s="38" t="s">
        <v>527</v>
      </c>
      <c r="F23" s="38" t="s">
        <v>279</v>
      </c>
      <c r="G23" s="38" t="str">
        <f>VLOOKUP(E23,Mapping!$E$11:$G$204,3,0)</f>
        <v>Connections</v>
      </c>
      <c r="H23" s="38" t="str">
        <f>VLOOKUP(E23,Mapping!$E$11:$K$204,7,0)</f>
        <v>SCS</v>
      </c>
      <c r="I23" s="43">
        <f>'Input|Forecast Data'!G23-SUMPRODUCT(--('Input|VBRC Calc'!$E$9:$E$19=$E23),'Input|VBRC Calc'!J$9:J$19)</f>
        <v>0</v>
      </c>
      <c r="J23" s="43">
        <f>'Input|Forecast Data'!H23-SUMPRODUCT(--('Input|VBRC Calc'!$E$9:$E$19=$E23),'Input|VBRC Calc'!K$9:K$19)</f>
        <v>0</v>
      </c>
      <c r="K23" s="43">
        <f>'Input|Forecast Data'!I23-SUMPRODUCT(--('Input|VBRC Calc'!$E$9:$E$19=$E23),'Input|VBRC Calc'!L$9:L$19)</f>
        <v>0</v>
      </c>
      <c r="L23" s="43">
        <f>'Input|Forecast Data'!J23-SUMPRODUCT(--('Input|VBRC Calc'!$E$9:$E$19=$E23),'Input|VBRC Calc'!M$9:M$19)</f>
        <v>0</v>
      </c>
      <c r="M23" s="43">
        <f>'Input|Forecast Data'!K23-SUMPRODUCT(--('Input|VBRC Calc'!$E$9:$E$19=$E23),'Input|VBRC Calc'!N$9:N$19)</f>
        <v>0</v>
      </c>
      <c r="N23" s="7"/>
      <c r="O23" s="7"/>
    </row>
    <row r="24" spans="1:15" x14ac:dyDescent="0.3">
      <c r="A24" s="7"/>
      <c r="B24" s="7"/>
      <c r="C24" s="158">
        <v>0</v>
      </c>
      <c r="D24" s="7"/>
      <c r="E24" s="38" t="s">
        <v>99</v>
      </c>
      <c r="F24" s="38" t="s">
        <v>280</v>
      </c>
      <c r="G24" s="38" t="str">
        <f>VLOOKUP(E24,Mapping!$E$11:$G$204,3,0)</f>
        <v>Connections</v>
      </c>
      <c r="H24" s="38" t="str">
        <f>VLOOKUP(E24,Mapping!$E$11:$K$204,7,0)</f>
        <v>SCS</v>
      </c>
      <c r="I24" s="43">
        <f>'Input|Forecast Data'!G24-SUMPRODUCT(--('Input|VBRC Calc'!$E$9:$E$19=$E24),'Input|VBRC Calc'!J$9:J$19)</f>
        <v>0</v>
      </c>
      <c r="J24" s="43">
        <f>'Input|Forecast Data'!H24-SUMPRODUCT(--('Input|VBRC Calc'!$E$9:$E$19=$E24),'Input|VBRC Calc'!K$9:K$19)</f>
        <v>0</v>
      </c>
      <c r="K24" s="43">
        <f>'Input|Forecast Data'!I24-SUMPRODUCT(--('Input|VBRC Calc'!$E$9:$E$19=$E24),'Input|VBRC Calc'!L$9:L$19)</f>
        <v>0</v>
      </c>
      <c r="L24" s="43">
        <f>'Input|Forecast Data'!J24-SUMPRODUCT(--('Input|VBRC Calc'!$E$9:$E$19=$E24),'Input|VBRC Calc'!M$9:M$19)</f>
        <v>0</v>
      </c>
      <c r="M24" s="43">
        <f>'Input|Forecast Data'!K24-SUMPRODUCT(--('Input|VBRC Calc'!$E$9:$E$19=$E24),'Input|VBRC Calc'!N$9:N$19)</f>
        <v>0</v>
      </c>
      <c r="N24" s="7"/>
      <c r="O24" s="7"/>
    </row>
    <row r="25" spans="1:15" x14ac:dyDescent="0.3">
      <c r="A25" s="7"/>
      <c r="B25" s="7"/>
      <c r="C25" s="158">
        <v>0</v>
      </c>
      <c r="D25" s="7"/>
      <c r="E25" s="38" t="s">
        <v>100</v>
      </c>
      <c r="F25" s="38" t="s">
        <v>281</v>
      </c>
      <c r="G25" s="38" t="str">
        <f>VLOOKUP(E25,Mapping!$E$11:$G$204,3,0)</f>
        <v>Connections</v>
      </c>
      <c r="H25" s="38" t="str">
        <f>VLOOKUP(E25,Mapping!$E$11:$K$204,7,0)</f>
        <v>SCS</v>
      </c>
      <c r="I25" s="43">
        <f>'Input|Forecast Data'!G25-SUMPRODUCT(--('Input|VBRC Calc'!$E$9:$E$19=$E25),'Input|VBRC Calc'!J$9:J$19)</f>
        <v>0</v>
      </c>
      <c r="J25" s="43">
        <f>'Input|Forecast Data'!H25-SUMPRODUCT(--('Input|VBRC Calc'!$E$9:$E$19=$E25),'Input|VBRC Calc'!K$9:K$19)</f>
        <v>0</v>
      </c>
      <c r="K25" s="43">
        <f>'Input|Forecast Data'!I25-SUMPRODUCT(--('Input|VBRC Calc'!$E$9:$E$19=$E25),'Input|VBRC Calc'!L$9:L$19)</f>
        <v>0</v>
      </c>
      <c r="L25" s="43">
        <f>'Input|Forecast Data'!J25-SUMPRODUCT(--('Input|VBRC Calc'!$E$9:$E$19=$E25),'Input|VBRC Calc'!M$9:M$19)</f>
        <v>0</v>
      </c>
      <c r="M25" s="43">
        <f>'Input|Forecast Data'!K25-SUMPRODUCT(--('Input|VBRC Calc'!$E$9:$E$19=$E25),'Input|VBRC Calc'!N$9:N$19)</f>
        <v>0</v>
      </c>
      <c r="N25" s="7"/>
      <c r="O25" s="7"/>
    </row>
    <row r="26" spans="1:15" x14ac:dyDescent="0.3">
      <c r="A26" s="7"/>
      <c r="B26" s="7"/>
      <c r="C26" s="158">
        <v>0</v>
      </c>
      <c r="D26" s="7"/>
      <c r="E26" s="38" t="s">
        <v>553</v>
      </c>
      <c r="F26" s="38" t="s">
        <v>282</v>
      </c>
      <c r="G26" s="38" t="str">
        <f>VLOOKUP(E26,Mapping!$E$11:$G$204,3,0)</f>
        <v>Connections</v>
      </c>
      <c r="H26" s="38" t="str">
        <f>VLOOKUP(E26,Mapping!$E$11:$K$204,7,0)</f>
        <v>SCS</v>
      </c>
      <c r="I26" s="227">
        <f>'Input|Forecast Data'!G26-SUMPRODUCT(--('Input|VBRC Calc'!$E$9:$E$19=$E26),'Input|VBRC Calc'!J$9:J$19)+'Input|Customer Contributions'!J44-'Input|Customer Contributions'!J21</f>
        <v>535.07170774935014</v>
      </c>
      <c r="J26" s="227">
        <f>'Input|Forecast Data'!H26-SUMPRODUCT(--('Input|VBRC Calc'!$E$9:$E$19=$E26),'Input|VBRC Calc'!K$9:K$19)+'Input|Customer Contributions'!K44-'Input|Customer Contributions'!K21</f>
        <v>923.03066238290739</v>
      </c>
      <c r="K26" s="227">
        <f>'Input|Forecast Data'!I26-SUMPRODUCT(--('Input|VBRC Calc'!$E$9:$E$19=$E26),'Input|VBRC Calc'!L$9:L$19)+'Input|Customer Contributions'!L44-'Input|Customer Contributions'!L21</f>
        <v>1055.0810600406239</v>
      </c>
      <c r="L26" s="227">
        <f>'Input|Forecast Data'!J26-SUMPRODUCT(--('Input|VBRC Calc'!$E$9:$E$19=$E26),'Input|VBRC Calc'!M$9:M$19)+'Input|Customer Contributions'!M44-'Input|Customer Contributions'!M21</f>
        <v>1140.1207665257373</v>
      </c>
      <c r="M26" s="227">
        <f>'Input|Forecast Data'!K26-SUMPRODUCT(--('Input|VBRC Calc'!$E$9:$E$19=$E26),'Input|VBRC Calc'!N$9:N$19)+'Input|Customer Contributions'!N44-'Input|Customer Contributions'!N21</f>
        <v>1255.6989957313585</v>
      </c>
      <c r="N26" s="7"/>
      <c r="O26" s="7"/>
    </row>
    <row r="27" spans="1:15" x14ac:dyDescent="0.3">
      <c r="A27" s="7"/>
      <c r="B27" s="7"/>
      <c r="C27" s="158">
        <v>0</v>
      </c>
      <c r="D27" s="7"/>
      <c r="E27" s="38" t="s">
        <v>554</v>
      </c>
      <c r="F27" s="38" t="s">
        <v>282</v>
      </c>
      <c r="G27" s="38" t="str">
        <f>VLOOKUP(E27,Mapping!$E$11:$G$204,3,0)</f>
        <v>Connections</v>
      </c>
      <c r="H27" s="38" t="str">
        <f>VLOOKUP(E27,Mapping!$E$11:$K$204,7,0)</f>
        <v>SCS</v>
      </c>
      <c r="I27" s="227">
        <f>'Input|Forecast Data'!G27-SUMPRODUCT(--('Input|VBRC Calc'!$E$9:$E$19=$E27),'Input|VBRC Calc'!J$9:J$19)+'Input|Customer Contributions'!J45-'Input|Customer Contributions'!J22</f>
        <v>238.67159546000141</v>
      </c>
      <c r="J27" s="227">
        <f>'Input|Forecast Data'!H27-SUMPRODUCT(--('Input|VBRC Calc'!$E$9:$E$19=$E27),'Input|VBRC Calc'!K$9:K$19)+'Input|Customer Contributions'!K45-'Input|Customer Contributions'!K22</f>
        <v>402.40647719709921</v>
      </c>
      <c r="K27" s="227">
        <f>'Input|Forecast Data'!I27-SUMPRODUCT(--('Input|VBRC Calc'!$E$9:$E$19=$E27),'Input|VBRC Calc'!L$9:L$19)+'Input|Customer Contributions'!L45-'Input|Customer Contributions'!L22</f>
        <v>422.31019604971669</v>
      </c>
      <c r="L27" s="227">
        <f>'Input|Forecast Data'!J27-SUMPRODUCT(--('Input|VBRC Calc'!$E$9:$E$19=$E27),'Input|VBRC Calc'!M$9:M$19)+'Input|Customer Contributions'!M45-'Input|Customer Contributions'!M22</f>
        <v>453.9621926389932</v>
      </c>
      <c r="M27" s="227">
        <f>'Input|Forecast Data'!K27-SUMPRODUCT(--('Input|VBRC Calc'!$E$9:$E$19=$E27),'Input|VBRC Calc'!N$9:N$19)+'Input|Customer Contributions'!N45-'Input|Customer Contributions'!N22</f>
        <v>498.8697142770485</v>
      </c>
      <c r="N27" s="7"/>
      <c r="O27" s="7"/>
    </row>
    <row r="28" spans="1:15" x14ac:dyDescent="0.3">
      <c r="A28" s="7"/>
      <c r="B28" s="7"/>
      <c r="C28" s="158">
        <v>0</v>
      </c>
      <c r="D28" s="7"/>
      <c r="E28" s="38" t="s">
        <v>528</v>
      </c>
      <c r="F28" s="38" t="s">
        <v>283</v>
      </c>
      <c r="G28" s="38" t="str">
        <f>VLOOKUP(E28,Mapping!$E$11:$G$204,3,0)</f>
        <v>Connections</v>
      </c>
      <c r="H28" s="38" t="str">
        <f>VLOOKUP(E28,Mapping!$E$11:$K$204,7,0)</f>
        <v>SCS</v>
      </c>
      <c r="I28" s="227">
        <f>'Input|Forecast Data'!G28-SUMPRODUCT(--('Input|VBRC Calc'!$E$9:$E$19=$E28),'Input|VBRC Calc'!J$9:J$19)+'Input|Customer Contributions'!J46-'Input|Customer Contributions'!J23</f>
        <v>575.9353902414573</v>
      </c>
      <c r="J28" s="227">
        <f>'Input|Forecast Data'!H28-SUMPRODUCT(--('Input|VBRC Calc'!$E$9:$E$19=$E28),'Input|VBRC Calc'!K$9:K$19)+'Input|Customer Contributions'!K46-'Input|Customer Contributions'!K23</f>
        <v>988.77487089712338</v>
      </c>
      <c r="K28" s="227">
        <f>'Input|Forecast Data'!I28-SUMPRODUCT(--('Input|VBRC Calc'!$E$9:$E$19=$E28),'Input|VBRC Calc'!L$9:L$19)+'Input|Customer Contributions'!L46-'Input|Customer Contributions'!L23</f>
        <v>1111.0011949721707</v>
      </c>
      <c r="L28" s="227">
        <f>'Input|Forecast Data'!J28-SUMPRODUCT(--('Input|VBRC Calc'!$E$9:$E$19=$E28),'Input|VBRC Calc'!M$9:M$19)+'Input|Customer Contributions'!M46-'Input|Customer Contributions'!M23</f>
        <v>1199.4631896928768</v>
      </c>
      <c r="M28" s="227">
        <f>'Input|Forecast Data'!K28-SUMPRODUCT(--('Input|VBRC Calc'!$E$9:$E$19=$E28),'Input|VBRC Calc'!N$9:N$19)+'Input|Customer Contributions'!N46-'Input|Customer Contributions'!N23</f>
        <v>1320.5078228584732</v>
      </c>
      <c r="N28" s="7"/>
      <c r="O28" s="7"/>
    </row>
    <row r="29" spans="1:15" x14ac:dyDescent="0.3">
      <c r="A29" s="7"/>
      <c r="B29" s="7"/>
      <c r="C29" s="158">
        <v>0</v>
      </c>
      <c r="D29" s="7"/>
      <c r="E29" s="38" t="s">
        <v>529</v>
      </c>
      <c r="F29" s="38" t="s">
        <v>283</v>
      </c>
      <c r="G29" s="38" t="str">
        <f>VLOOKUP(E29,Mapping!$E$11:$G$204,3,0)</f>
        <v>Connections</v>
      </c>
      <c r="H29" s="38" t="str">
        <f>VLOOKUP(E29,Mapping!$E$11:$K$204,7,0)</f>
        <v>SCS</v>
      </c>
      <c r="I29" s="227">
        <f>'Input|Forecast Data'!G29-SUMPRODUCT(--('Input|VBRC Calc'!$E$9:$E$19=$E29),'Input|VBRC Calc'!J$9:J$19)+'Input|Customer Contributions'!J47-'Input|Customer Contributions'!J24</f>
        <v>198.54805542226359</v>
      </c>
      <c r="J29" s="227">
        <f>'Input|Forecast Data'!H29-SUMPRODUCT(--('Input|VBRC Calc'!$E$9:$E$19=$E29),'Input|VBRC Calc'!K$9:K$19)+'Input|Customer Contributions'!K47-'Input|Customer Contributions'!K24</f>
        <v>334.75715190497954</v>
      </c>
      <c r="K29" s="227">
        <f>'Input|Forecast Data'!I29-SUMPRODUCT(--('Input|VBRC Calc'!$E$9:$E$19=$E29),'Input|VBRC Calc'!L$9:L$19)+'Input|Customer Contributions'!L47-'Input|Customer Contributions'!L24</f>
        <v>351.31481837652638</v>
      </c>
      <c r="L29" s="227">
        <f>'Input|Forecast Data'!J29-SUMPRODUCT(--('Input|VBRC Calc'!$E$9:$E$19=$E29),'Input|VBRC Calc'!M$9:M$19)+'Input|Customer Contributions'!M47-'Input|Customer Contributions'!M24</f>
        <v>377.64573706385778</v>
      </c>
      <c r="M29" s="227">
        <f>'Input|Forecast Data'!K29-SUMPRODUCT(--('Input|VBRC Calc'!$E$9:$E$19=$E29),'Input|VBRC Calc'!N$9:N$19)+'Input|Customer Contributions'!N47-'Input|Customer Contributions'!N24</f>
        <v>415.0037690403247</v>
      </c>
      <c r="N29" s="7"/>
      <c r="O29" s="7"/>
    </row>
    <row r="30" spans="1:15" x14ac:dyDescent="0.3">
      <c r="A30" s="7"/>
      <c r="B30" s="7"/>
      <c r="C30" s="158">
        <v>0</v>
      </c>
      <c r="D30" s="7"/>
      <c r="E30" s="38" t="s">
        <v>102</v>
      </c>
      <c r="F30" s="38" t="s">
        <v>284</v>
      </c>
      <c r="G30" s="38" t="str">
        <f>VLOOKUP(E30,Mapping!$E$11:$G$204,3,0)</f>
        <v>Public Lighting</v>
      </c>
      <c r="H30" s="38" t="str">
        <f>VLOOKUP(E30,Mapping!$E$11:$K$204,7,0)</f>
        <v>Public Lighting</v>
      </c>
      <c r="I30" s="43">
        <f>'Input|Forecast Data'!G30-SUMPRODUCT(--('Input|VBRC Calc'!$E$9:$E$19=$E30),'Input|VBRC Calc'!J$9:J$19)</f>
        <v>0</v>
      </c>
      <c r="J30" s="43">
        <f>'Input|Forecast Data'!H30-SUMPRODUCT(--('Input|VBRC Calc'!$E$9:$E$19=$E30),'Input|VBRC Calc'!K$9:K$19)</f>
        <v>0</v>
      </c>
      <c r="K30" s="43">
        <f>'Input|Forecast Data'!I30-SUMPRODUCT(--('Input|VBRC Calc'!$E$9:$E$19=$E30),'Input|VBRC Calc'!L$9:L$19)</f>
        <v>0</v>
      </c>
      <c r="L30" s="43">
        <f>'Input|Forecast Data'!J30-SUMPRODUCT(--('Input|VBRC Calc'!$E$9:$E$19=$E30),'Input|VBRC Calc'!M$9:M$19)</f>
        <v>0</v>
      </c>
      <c r="M30" s="43">
        <f>'Input|Forecast Data'!K30-SUMPRODUCT(--('Input|VBRC Calc'!$E$9:$E$19=$E30),'Input|VBRC Calc'!N$9:N$19)</f>
        <v>0</v>
      </c>
      <c r="N30" s="7"/>
      <c r="O30" s="7"/>
    </row>
    <row r="31" spans="1:15" x14ac:dyDescent="0.3">
      <c r="A31" s="7"/>
      <c r="B31" s="7"/>
      <c r="C31" s="158">
        <v>0</v>
      </c>
      <c r="D31" s="7"/>
      <c r="E31" s="38" t="s">
        <v>103</v>
      </c>
      <c r="F31" s="38" t="s">
        <v>285</v>
      </c>
      <c r="G31" s="38" t="str">
        <f>VLOOKUP(E31,Mapping!$E$11:$G$204,3,0)</f>
        <v>Public Lighting</v>
      </c>
      <c r="H31" s="38" t="str">
        <f>VLOOKUP(E31,Mapping!$E$11:$K$204,7,0)</f>
        <v>Public Lighting</v>
      </c>
      <c r="I31" s="43">
        <f>'Input|Forecast Data'!G31-SUMPRODUCT(--('Input|VBRC Calc'!$E$9:$E$19=$E31),'Input|VBRC Calc'!J$9:J$19)</f>
        <v>0</v>
      </c>
      <c r="J31" s="43">
        <f>'Input|Forecast Data'!H31-SUMPRODUCT(--('Input|VBRC Calc'!$E$9:$E$19=$E31),'Input|VBRC Calc'!K$9:K$19)</f>
        <v>0</v>
      </c>
      <c r="K31" s="43">
        <f>'Input|Forecast Data'!I31-SUMPRODUCT(--('Input|VBRC Calc'!$E$9:$E$19=$E31),'Input|VBRC Calc'!L$9:L$19)</f>
        <v>0</v>
      </c>
      <c r="L31" s="43">
        <f>'Input|Forecast Data'!J31-SUMPRODUCT(--('Input|VBRC Calc'!$E$9:$E$19=$E31),'Input|VBRC Calc'!M$9:M$19)</f>
        <v>0</v>
      </c>
      <c r="M31" s="43">
        <f>'Input|Forecast Data'!K31-SUMPRODUCT(--('Input|VBRC Calc'!$E$9:$E$19=$E31),'Input|VBRC Calc'!N$9:N$19)</f>
        <v>0</v>
      </c>
      <c r="N31" s="7"/>
      <c r="O31" s="7"/>
    </row>
    <row r="32" spans="1:15" x14ac:dyDescent="0.3">
      <c r="A32" s="7"/>
      <c r="B32" s="7"/>
      <c r="C32" s="158">
        <v>0</v>
      </c>
      <c r="D32" s="7"/>
      <c r="E32" s="38" t="s">
        <v>104</v>
      </c>
      <c r="F32" s="38" t="s">
        <v>286</v>
      </c>
      <c r="G32" s="38" t="str">
        <f>VLOOKUP(E32,Mapping!$E$11:$G$204,3,0)</f>
        <v>Public Lighting</v>
      </c>
      <c r="H32" s="38" t="str">
        <f>VLOOKUP(E32,Mapping!$E$11:$K$204,7,0)</f>
        <v>Public Lighting</v>
      </c>
      <c r="I32" s="43">
        <f>'Input|Forecast Data'!G32-SUMPRODUCT(--('Input|VBRC Calc'!$E$9:$E$19=$E32),'Input|VBRC Calc'!J$9:J$19)</f>
        <v>0</v>
      </c>
      <c r="J32" s="43">
        <f>'Input|Forecast Data'!H32-SUMPRODUCT(--('Input|VBRC Calc'!$E$9:$E$19=$E32),'Input|VBRC Calc'!K$9:K$19)</f>
        <v>0</v>
      </c>
      <c r="K32" s="43">
        <f>'Input|Forecast Data'!I32-SUMPRODUCT(--('Input|VBRC Calc'!$E$9:$E$19=$E32),'Input|VBRC Calc'!L$9:L$19)</f>
        <v>0</v>
      </c>
      <c r="L32" s="43">
        <f>'Input|Forecast Data'!J32-SUMPRODUCT(--('Input|VBRC Calc'!$E$9:$E$19=$E32),'Input|VBRC Calc'!M$9:M$19)</f>
        <v>0</v>
      </c>
      <c r="M32" s="43">
        <f>'Input|Forecast Data'!K32-SUMPRODUCT(--('Input|VBRC Calc'!$E$9:$E$19=$E32),'Input|VBRC Calc'!N$9:N$19)</f>
        <v>0</v>
      </c>
      <c r="N32" s="7"/>
      <c r="O32" s="7"/>
    </row>
    <row r="33" spans="1:15" x14ac:dyDescent="0.3">
      <c r="A33" s="7"/>
      <c r="B33" s="7"/>
      <c r="C33" s="158">
        <v>0</v>
      </c>
      <c r="D33" s="7"/>
      <c r="E33" s="38" t="s">
        <v>105</v>
      </c>
      <c r="F33" s="38" t="s">
        <v>287</v>
      </c>
      <c r="G33" s="38" t="str">
        <f>VLOOKUP(E33,Mapping!$E$11:$G$204,3,0)</f>
        <v>ACS</v>
      </c>
      <c r="H33" s="38" t="str">
        <f>VLOOKUP(E33,Mapping!$E$11:$K$204,7,0)</f>
        <v>ACS</v>
      </c>
      <c r="I33" s="43">
        <f>'Input|Forecast Data'!G33-SUMPRODUCT(--('Input|VBRC Calc'!$E$9:$E$19=$E33),'Input|VBRC Calc'!J$9:J$19)</f>
        <v>0</v>
      </c>
      <c r="J33" s="43">
        <f>'Input|Forecast Data'!H33-SUMPRODUCT(--('Input|VBRC Calc'!$E$9:$E$19=$E33),'Input|VBRC Calc'!K$9:K$19)</f>
        <v>0</v>
      </c>
      <c r="K33" s="43">
        <f>'Input|Forecast Data'!I33-SUMPRODUCT(--('Input|VBRC Calc'!$E$9:$E$19=$E33),'Input|VBRC Calc'!L$9:L$19)</f>
        <v>0</v>
      </c>
      <c r="L33" s="43">
        <f>'Input|Forecast Data'!J33-SUMPRODUCT(--('Input|VBRC Calc'!$E$9:$E$19=$E33),'Input|VBRC Calc'!M$9:M$19)</f>
        <v>0</v>
      </c>
      <c r="M33" s="43">
        <f>'Input|Forecast Data'!K33-SUMPRODUCT(--('Input|VBRC Calc'!$E$9:$E$19=$E33),'Input|VBRC Calc'!N$9:N$19)</f>
        <v>0</v>
      </c>
      <c r="N33" s="7"/>
      <c r="O33" s="7"/>
    </row>
    <row r="34" spans="1:15" x14ac:dyDescent="0.3">
      <c r="A34" s="7"/>
      <c r="B34" s="7"/>
      <c r="C34" s="158">
        <v>0</v>
      </c>
      <c r="D34" s="7"/>
      <c r="E34" s="38" t="s">
        <v>106</v>
      </c>
      <c r="F34" s="38" t="s">
        <v>288</v>
      </c>
      <c r="G34" s="38" t="str">
        <f>VLOOKUP(E34,Mapping!$E$11:$G$204,3,0)</f>
        <v>ACS</v>
      </c>
      <c r="H34" s="38" t="str">
        <f>VLOOKUP(E34,Mapping!$E$11:$K$204,7,0)</f>
        <v>ACS</v>
      </c>
      <c r="I34" s="43">
        <f>'Input|Forecast Data'!G34-SUMPRODUCT(--('Input|VBRC Calc'!$E$9:$E$19=$E34),'Input|VBRC Calc'!J$9:J$19)</f>
        <v>0</v>
      </c>
      <c r="J34" s="43">
        <f>'Input|Forecast Data'!H34-SUMPRODUCT(--('Input|VBRC Calc'!$E$9:$E$19=$E34),'Input|VBRC Calc'!K$9:K$19)</f>
        <v>0</v>
      </c>
      <c r="K34" s="43">
        <f>'Input|Forecast Data'!I34-SUMPRODUCT(--('Input|VBRC Calc'!$E$9:$E$19=$E34),'Input|VBRC Calc'!L$9:L$19)</f>
        <v>0</v>
      </c>
      <c r="L34" s="43">
        <f>'Input|Forecast Data'!J34-SUMPRODUCT(--('Input|VBRC Calc'!$E$9:$E$19=$E34),'Input|VBRC Calc'!M$9:M$19)</f>
        <v>0</v>
      </c>
      <c r="M34" s="43">
        <f>'Input|Forecast Data'!K34-SUMPRODUCT(--('Input|VBRC Calc'!$E$9:$E$19=$E34),'Input|VBRC Calc'!N$9:N$19)</f>
        <v>0</v>
      </c>
      <c r="N34" s="7"/>
      <c r="O34" s="7"/>
    </row>
    <row r="35" spans="1:15" x14ac:dyDescent="0.3">
      <c r="A35" s="7"/>
      <c r="B35" s="7"/>
      <c r="C35" s="158">
        <v>0</v>
      </c>
      <c r="D35" s="7"/>
      <c r="E35" s="38" t="s">
        <v>107</v>
      </c>
      <c r="F35" s="38" t="s">
        <v>289</v>
      </c>
      <c r="G35" s="38" t="str">
        <f>VLOOKUP(E35,Mapping!$E$11:$G$204,3,0)</f>
        <v>Public Lighting</v>
      </c>
      <c r="H35" s="38" t="str">
        <f>VLOOKUP(E35,Mapping!$E$11:$K$204,7,0)</f>
        <v>Public Lighting</v>
      </c>
      <c r="I35" s="43">
        <f>'Input|Forecast Data'!G35-SUMPRODUCT(--('Input|VBRC Calc'!$E$9:$E$19=$E35),'Input|VBRC Calc'!J$9:J$19)</f>
        <v>0</v>
      </c>
      <c r="J35" s="43">
        <f>'Input|Forecast Data'!H35-SUMPRODUCT(--('Input|VBRC Calc'!$E$9:$E$19=$E35),'Input|VBRC Calc'!K$9:K$19)</f>
        <v>0</v>
      </c>
      <c r="K35" s="43">
        <f>'Input|Forecast Data'!I35-SUMPRODUCT(--('Input|VBRC Calc'!$E$9:$E$19=$E35),'Input|VBRC Calc'!L$9:L$19)</f>
        <v>0</v>
      </c>
      <c r="L35" s="43">
        <f>'Input|Forecast Data'!J35-SUMPRODUCT(--('Input|VBRC Calc'!$E$9:$E$19=$E35),'Input|VBRC Calc'!M$9:M$19)</f>
        <v>0</v>
      </c>
      <c r="M35" s="43">
        <f>'Input|Forecast Data'!K35-SUMPRODUCT(--('Input|VBRC Calc'!$E$9:$E$19=$E35),'Input|VBRC Calc'!N$9:N$19)</f>
        <v>0</v>
      </c>
      <c r="N35" s="7"/>
      <c r="O35" s="7"/>
    </row>
    <row r="36" spans="1:15" x14ac:dyDescent="0.3">
      <c r="A36" s="7"/>
      <c r="B36" s="7"/>
      <c r="C36" s="158">
        <v>0</v>
      </c>
      <c r="D36" s="7"/>
      <c r="E36" s="38" t="s">
        <v>108</v>
      </c>
      <c r="F36" s="38" t="s">
        <v>290</v>
      </c>
      <c r="G36" s="38" t="str">
        <f>VLOOKUP(E36,Mapping!$E$11:$G$204,3,0)</f>
        <v>Public Lighting</v>
      </c>
      <c r="H36" s="38" t="str">
        <f>VLOOKUP(E36,Mapping!$E$11:$K$204,7,0)</f>
        <v>Public Lighting</v>
      </c>
      <c r="I36" s="43">
        <f>'Input|Forecast Data'!G36-SUMPRODUCT(--('Input|VBRC Calc'!$E$9:$E$19=$E36),'Input|VBRC Calc'!J$9:J$19)</f>
        <v>0</v>
      </c>
      <c r="J36" s="43">
        <f>'Input|Forecast Data'!H36-SUMPRODUCT(--('Input|VBRC Calc'!$E$9:$E$19=$E36),'Input|VBRC Calc'!K$9:K$19)</f>
        <v>0</v>
      </c>
      <c r="K36" s="43">
        <f>'Input|Forecast Data'!I36-SUMPRODUCT(--('Input|VBRC Calc'!$E$9:$E$19=$E36),'Input|VBRC Calc'!L$9:L$19)</f>
        <v>0</v>
      </c>
      <c r="L36" s="43">
        <f>'Input|Forecast Data'!J36-SUMPRODUCT(--('Input|VBRC Calc'!$E$9:$E$19=$E36),'Input|VBRC Calc'!M$9:M$19)</f>
        <v>0</v>
      </c>
      <c r="M36" s="43">
        <f>'Input|Forecast Data'!K36-SUMPRODUCT(--('Input|VBRC Calc'!$E$9:$E$19=$E36),'Input|VBRC Calc'!N$9:N$19)</f>
        <v>0</v>
      </c>
      <c r="N36" s="7"/>
      <c r="O36" s="7"/>
    </row>
    <row r="37" spans="1:15" x14ac:dyDescent="0.3">
      <c r="A37" s="7"/>
      <c r="B37" s="7"/>
      <c r="C37" s="158">
        <v>0</v>
      </c>
      <c r="D37" s="7"/>
      <c r="E37" s="38" t="s">
        <v>109</v>
      </c>
      <c r="F37" s="38" t="s">
        <v>291</v>
      </c>
      <c r="G37" s="38" t="str">
        <f>VLOOKUP(E37,Mapping!$E$11:$G$204,3,0)</f>
        <v>Public Lighting</v>
      </c>
      <c r="H37" s="38" t="str">
        <f>VLOOKUP(E37,Mapping!$E$11:$K$204,7,0)</f>
        <v>Public Lighting</v>
      </c>
      <c r="I37" s="43">
        <f>'Input|Forecast Data'!G37-SUMPRODUCT(--('Input|VBRC Calc'!$E$9:$E$19=$E37),'Input|VBRC Calc'!J$9:J$19)</f>
        <v>0</v>
      </c>
      <c r="J37" s="43">
        <f>'Input|Forecast Data'!H37-SUMPRODUCT(--('Input|VBRC Calc'!$E$9:$E$19=$E37),'Input|VBRC Calc'!K$9:K$19)</f>
        <v>0</v>
      </c>
      <c r="K37" s="43">
        <f>'Input|Forecast Data'!I37-SUMPRODUCT(--('Input|VBRC Calc'!$E$9:$E$19=$E37),'Input|VBRC Calc'!L$9:L$19)</f>
        <v>0</v>
      </c>
      <c r="L37" s="43">
        <f>'Input|Forecast Data'!J37-SUMPRODUCT(--('Input|VBRC Calc'!$E$9:$E$19=$E37),'Input|VBRC Calc'!M$9:M$19)</f>
        <v>0</v>
      </c>
      <c r="M37" s="43">
        <f>'Input|Forecast Data'!K37-SUMPRODUCT(--('Input|VBRC Calc'!$E$9:$E$19=$E37),'Input|VBRC Calc'!N$9:N$19)</f>
        <v>0</v>
      </c>
      <c r="N37" s="7"/>
      <c r="O37" s="7"/>
    </row>
    <row r="38" spans="1:15" x14ac:dyDescent="0.3">
      <c r="A38" s="7"/>
      <c r="B38" s="7"/>
      <c r="C38" s="158">
        <v>0</v>
      </c>
      <c r="D38" s="7"/>
      <c r="E38" s="38" t="s">
        <v>110</v>
      </c>
      <c r="F38" s="38" t="s">
        <v>292</v>
      </c>
      <c r="G38" s="38" t="str">
        <f>VLOOKUP(E38,Mapping!$E$11:$G$204,3,0)</f>
        <v>Public Lighting</v>
      </c>
      <c r="H38" s="38" t="str">
        <f>VLOOKUP(E38,Mapping!$E$11:$K$204,7,0)</f>
        <v>Public Lighting</v>
      </c>
      <c r="I38" s="43">
        <f>'Input|Forecast Data'!G38-SUMPRODUCT(--('Input|VBRC Calc'!$E$9:$E$19=$E38),'Input|VBRC Calc'!J$9:J$19)</f>
        <v>0</v>
      </c>
      <c r="J38" s="43">
        <f>'Input|Forecast Data'!H38-SUMPRODUCT(--('Input|VBRC Calc'!$E$9:$E$19=$E38),'Input|VBRC Calc'!K$9:K$19)</f>
        <v>0</v>
      </c>
      <c r="K38" s="43">
        <f>'Input|Forecast Data'!I38-SUMPRODUCT(--('Input|VBRC Calc'!$E$9:$E$19=$E38),'Input|VBRC Calc'!L$9:L$19)</f>
        <v>0</v>
      </c>
      <c r="L38" s="43">
        <f>'Input|Forecast Data'!J38-SUMPRODUCT(--('Input|VBRC Calc'!$E$9:$E$19=$E38),'Input|VBRC Calc'!M$9:M$19)</f>
        <v>0</v>
      </c>
      <c r="M38" s="43">
        <f>'Input|Forecast Data'!K38-SUMPRODUCT(--('Input|VBRC Calc'!$E$9:$E$19=$E38),'Input|VBRC Calc'!N$9:N$19)</f>
        <v>0</v>
      </c>
      <c r="N38" s="7"/>
      <c r="O38" s="7"/>
    </row>
    <row r="39" spans="1:15" x14ac:dyDescent="0.3">
      <c r="A39" s="7"/>
      <c r="B39" s="7"/>
      <c r="C39" s="158">
        <v>0</v>
      </c>
      <c r="D39" s="7"/>
      <c r="E39" s="38" t="s">
        <v>111</v>
      </c>
      <c r="F39" s="38" t="s">
        <v>293</v>
      </c>
      <c r="G39" s="38" t="str">
        <f>VLOOKUP(E39,Mapping!$E$11:$G$204,3,0)</f>
        <v>Connections</v>
      </c>
      <c r="H39" s="38" t="str">
        <f>VLOOKUP(E39,Mapping!$E$11:$K$204,7,0)</f>
        <v>SCS</v>
      </c>
      <c r="I39" s="43">
        <f>'Input|Forecast Data'!G39-SUMPRODUCT(--('Input|VBRC Calc'!$E$9:$E$19=$E39),'Input|VBRC Calc'!J$9:J$19)</f>
        <v>0</v>
      </c>
      <c r="J39" s="43">
        <f>'Input|Forecast Data'!H39-SUMPRODUCT(--('Input|VBRC Calc'!$E$9:$E$19=$E39),'Input|VBRC Calc'!K$9:K$19)</f>
        <v>0</v>
      </c>
      <c r="K39" s="43">
        <f>'Input|Forecast Data'!I39-SUMPRODUCT(--('Input|VBRC Calc'!$E$9:$E$19=$E39),'Input|VBRC Calc'!L$9:L$19)</f>
        <v>0</v>
      </c>
      <c r="L39" s="43">
        <f>'Input|Forecast Data'!J39-SUMPRODUCT(--('Input|VBRC Calc'!$E$9:$E$19=$E39),'Input|VBRC Calc'!M$9:M$19)</f>
        <v>0</v>
      </c>
      <c r="M39" s="43">
        <f>'Input|Forecast Data'!K39-SUMPRODUCT(--('Input|VBRC Calc'!$E$9:$E$19=$E39),'Input|VBRC Calc'!N$9:N$19)</f>
        <v>0</v>
      </c>
      <c r="N39" s="7"/>
      <c r="O39" s="7"/>
    </row>
    <row r="40" spans="1:15" x14ac:dyDescent="0.3">
      <c r="A40" s="7"/>
      <c r="B40" s="7"/>
      <c r="C40" s="158">
        <v>0</v>
      </c>
      <c r="D40" s="7"/>
      <c r="E40" s="38" t="s">
        <v>112</v>
      </c>
      <c r="F40" s="38" t="s">
        <v>294</v>
      </c>
      <c r="G40" s="38" t="str">
        <f>VLOOKUP(E40,Mapping!$E$11:$G$204,3,0)</f>
        <v>Connections</v>
      </c>
      <c r="H40" s="38" t="str">
        <f>VLOOKUP(E40,Mapping!$E$11:$K$204,7,0)</f>
        <v>SCS</v>
      </c>
      <c r="I40" s="43">
        <f>'Input|Forecast Data'!G40-SUMPRODUCT(--('Input|VBRC Calc'!$E$9:$E$19=$E40),'Input|VBRC Calc'!J$9:J$19)</f>
        <v>0</v>
      </c>
      <c r="J40" s="43">
        <f>'Input|Forecast Data'!H40-SUMPRODUCT(--('Input|VBRC Calc'!$E$9:$E$19=$E40),'Input|VBRC Calc'!K$9:K$19)</f>
        <v>0</v>
      </c>
      <c r="K40" s="43">
        <f>'Input|Forecast Data'!I40-SUMPRODUCT(--('Input|VBRC Calc'!$E$9:$E$19=$E40),'Input|VBRC Calc'!L$9:L$19)</f>
        <v>0</v>
      </c>
      <c r="L40" s="43">
        <f>'Input|Forecast Data'!J40-SUMPRODUCT(--('Input|VBRC Calc'!$E$9:$E$19=$E40),'Input|VBRC Calc'!M$9:M$19)</f>
        <v>0</v>
      </c>
      <c r="M40" s="43">
        <f>'Input|Forecast Data'!K40-SUMPRODUCT(--('Input|VBRC Calc'!$E$9:$E$19=$E40),'Input|VBRC Calc'!N$9:N$19)</f>
        <v>0</v>
      </c>
      <c r="N40" s="7"/>
      <c r="O40" s="7"/>
    </row>
    <row r="41" spans="1:15" x14ac:dyDescent="0.3">
      <c r="A41" s="7"/>
      <c r="B41" s="7"/>
      <c r="C41" s="158">
        <v>0</v>
      </c>
      <c r="D41" s="7"/>
      <c r="E41" s="38" t="s">
        <v>113</v>
      </c>
      <c r="F41" s="38" t="s">
        <v>295</v>
      </c>
      <c r="G41" s="38" t="str">
        <f>VLOOKUP(E41,Mapping!$E$11:$G$204,3,0)</f>
        <v>Connections</v>
      </c>
      <c r="H41" s="38" t="str">
        <f>VLOOKUP(E41,Mapping!$E$11:$K$204,7,0)</f>
        <v>SCS</v>
      </c>
      <c r="I41" s="43">
        <f>'Input|Forecast Data'!G41-SUMPRODUCT(--('Input|VBRC Calc'!$E$9:$E$19=$E41),'Input|VBRC Calc'!J$9:J$19)</f>
        <v>0</v>
      </c>
      <c r="J41" s="43">
        <f>'Input|Forecast Data'!H41-SUMPRODUCT(--('Input|VBRC Calc'!$E$9:$E$19=$E41),'Input|VBRC Calc'!K$9:K$19)</f>
        <v>0</v>
      </c>
      <c r="K41" s="43">
        <f>'Input|Forecast Data'!I41-SUMPRODUCT(--('Input|VBRC Calc'!$E$9:$E$19=$E41),'Input|VBRC Calc'!L$9:L$19)</f>
        <v>0</v>
      </c>
      <c r="L41" s="43">
        <f>'Input|Forecast Data'!J41-SUMPRODUCT(--('Input|VBRC Calc'!$E$9:$E$19=$E41),'Input|VBRC Calc'!M$9:M$19)</f>
        <v>0</v>
      </c>
      <c r="M41" s="43">
        <f>'Input|Forecast Data'!K41-SUMPRODUCT(--('Input|VBRC Calc'!$E$9:$E$19=$E41),'Input|VBRC Calc'!N$9:N$19)</f>
        <v>0</v>
      </c>
      <c r="N41" s="7"/>
      <c r="O41" s="7"/>
    </row>
    <row r="42" spans="1:15" x14ac:dyDescent="0.3">
      <c r="A42" s="7"/>
      <c r="B42" s="7"/>
      <c r="C42" s="158">
        <v>0</v>
      </c>
      <c r="D42" s="7"/>
      <c r="E42" s="38" t="s">
        <v>114</v>
      </c>
      <c r="F42" s="38" t="s">
        <v>296</v>
      </c>
      <c r="G42" s="38" t="str">
        <f>VLOOKUP(E42,Mapping!$E$11:$G$204,3,0)</f>
        <v>Connections</v>
      </c>
      <c r="H42" s="38" t="str">
        <f>VLOOKUP(E42,Mapping!$E$11:$K$204,7,0)</f>
        <v>SCS</v>
      </c>
      <c r="I42" s="43">
        <f>'Input|Forecast Data'!G42-SUMPRODUCT(--('Input|VBRC Calc'!$E$9:$E$19=$E42),'Input|VBRC Calc'!J$9:J$19)</f>
        <v>0</v>
      </c>
      <c r="J42" s="43">
        <f>'Input|Forecast Data'!H42-SUMPRODUCT(--('Input|VBRC Calc'!$E$9:$E$19=$E42),'Input|VBRC Calc'!K$9:K$19)</f>
        <v>0</v>
      </c>
      <c r="K42" s="43">
        <f>'Input|Forecast Data'!I42-SUMPRODUCT(--('Input|VBRC Calc'!$E$9:$E$19=$E42),'Input|VBRC Calc'!L$9:L$19)</f>
        <v>0</v>
      </c>
      <c r="L42" s="43">
        <f>'Input|Forecast Data'!J42-SUMPRODUCT(--('Input|VBRC Calc'!$E$9:$E$19=$E42),'Input|VBRC Calc'!M$9:M$19)</f>
        <v>0</v>
      </c>
      <c r="M42" s="43">
        <f>'Input|Forecast Data'!K42-SUMPRODUCT(--('Input|VBRC Calc'!$E$9:$E$19=$E42),'Input|VBRC Calc'!N$9:N$19)</f>
        <v>0</v>
      </c>
      <c r="N42" s="7"/>
      <c r="O42" s="7"/>
    </row>
    <row r="43" spans="1:15" x14ac:dyDescent="0.3">
      <c r="A43" s="7"/>
      <c r="B43" s="7"/>
      <c r="C43" s="158">
        <v>0</v>
      </c>
      <c r="D43" s="7"/>
      <c r="E43" s="38" t="s">
        <v>115</v>
      </c>
      <c r="F43" s="38" t="s">
        <v>297</v>
      </c>
      <c r="G43" s="38" t="str">
        <f>VLOOKUP(E43,Mapping!$E$11:$G$204,3,0)</f>
        <v>Connections</v>
      </c>
      <c r="H43" s="38" t="str">
        <f>VLOOKUP(E43,Mapping!$E$11:$K$204,7,0)</f>
        <v>SCS</v>
      </c>
      <c r="I43" s="43">
        <f>'Input|Forecast Data'!G43-SUMPRODUCT(--('Input|VBRC Calc'!$E$9:$E$19=$E43),'Input|VBRC Calc'!J$9:J$19)</f>
        <v>0</v>
      </c>
      <c r="J43" s="43">
        <f>'Input|Forecast Data'!H43-SUMPRODUCT(--('Input|VBRC Calc'!$E$9:$E$19=$E43),'Input|VBRC Calc'!K$9:K$19)</f>
        <v>0</v>
      </c>
      <c r="K43" s="43">
        <f>'Input|Forecast Data'!I43-SUMPRODUCT(--('Input|VBRC Calc'!$E$9:$E$19=$E43),'Input|VBRC Calc'!L$9:L$19)</f>
        <v>0</v>
      </c>
      <c r="L43" s="43">
        <f>'Input|Forecast Data'!J43-SUMPRODUCT(--('Input|VBRC Calc'!$E$9:$E$19=$E43),'Input|VBRC Calc'!M$9:M$19)</f>
        <v>0</v>
      </c>
      <c r="M43" s="43">
        <f>'Input|Forecast Data'!K43-SUMPRODUCT(--('Input|VBRC Calc'!$E$9:$E$19=$E43),'Input|VBRC Calc'!N$9:N$19)</f>
        <v>0</v>
      </c>
      <c r="N43" s="7"/>
      <c r="O43" s="7"/>
    </row>
    <row r="44" spans="1:15" x14ac:dyDescent="0.3">
      <c r="A44" s="7"/>
      <c r="B44" s="7"/>
      <c r="C44" s="158">
        <v>0</v>
      </c>
      <c r="D44" s="7"/>
      <c r="E44" s="38" t="s">
        <v>116</v>
      </c>
      <c r="F44" s="38" t="s">
        <v>298</v>
      </c>
      <c r="G44" s="38" t="str">
        <f>VLOOKUP(E44,Mapping!$E$11:$G$204,3,0)</f>
        <v>Connections</v>
      </c>
      <c r="H44" s="38" t="str">
        <f>VLOOKUP(E44,Mapping!$E$11:$K$204,7,0)</f>
        <v>SCS</v>
      </c>
      <c r="I44" s="43">
        <f>'Input|Forecast Data'!G44-SUMPRODUCT(--('Input|VBRC Calc'!$E$9:$E$19=$E44),'Input|VBRC Calc'!J$9:J$19)</f>
        <v>0</v>
      </c>
      <c r="J44" s="43">
        <f>'Input|Forecast Data'!H44-SUMPRODUCT(--('Input|VBRC Calc'!$E$9:$E$19=$E44),'Input|VBRC Calc'!K$9:K$19)</f>
        <v>0</v>
      </c>
      <c r="K44" s="43">
        <f>'Input|Forecast Data'!I44-SUMPRODUCT(--('Input|VBRC Calc'!$E$9:$E$19=$E44),'Input|VBRC Calc'!L$9:L$19)</f>
        <v>0</v>
      </c>
      <c r="L44" s="43">
        <f>'Input|Forecast Data'!J44-SUMPRODUCT(--('Input|VBRC Calc'!$E$9:$E$19=$E44),'Input|VBRC Calc'!M$9:M$19)</f>
        <v>0</v>
      </c>
      <c r="M44" s="43">
        <f>'Input|Forecast Data'!K44-SUMPRODUCT(--('Input|VBRC Calc'!$E$9:$E$19=$E44),'Input|VBRC Calc'!N$9:N$19)</f>
        <v>0</v>
      </c>
      <c r="N44" s="7"/>
      <c r="O44" s="7"/>
    </row>
    <row r="45" spans="1:15" x14ac:dyDescent="0.3">
      <c r="A45" s="7"/>
      <c r="B45" s="7"/>
      <c r="C45" s="158">
        <v>0</v>
      </c>
      <c r="D45" s="7"/>
      <c r="E45" s="38" t="s">
        <v>509</v>
      </c>
      <c r="F45" s="38"/>
      <c r="G45" s="38" t="str">
        <f>VLOOKUP(E45,Mapping!$E$11:$G$204,3,0)</f>
        <v>Connections</v>
      </c>
      <c r="H45" s="38" t="str">
        <f>VLOOKUP(E45,Mapping!$E$11:$K$204,7,0)</f>
        <v>SCS</v>
      </c>
      <c r="I45" s="227">
        <f>'Input|Forecast Data'!G45-SUMPRODUCT(--('Input|VBRC Calc'!$E$9:$E$19=$E45),'Input|VBRC Calc'!J$9:J$19)+'Input|Customer Contributions'!J48-'Input|Customer Contributions'!J25</f>
        <v>6752.3046279948439</v>
      </c>
      <c r="J45" s="227">
        <f>'Input|Forecast Data'!H45-SUMPRODUCT(--('Input|VBRC Calc'!$E$9:$E$19=$E45),'Input|VBRC Calc'!K$9:K$19)+'Input|Customer Contributions'!K48-'Input|Customer Contributions'!K25</f>
        <v>7014.6996355008896</v>
      </c>
      <c r="K45" s="227">
        <f>'Input|Forecast Data'!I45-SUMPRODUCT(--('Input|VBRC Calc'!$E$9:$E$19=$E45),'Input|VBRC Calc'!L$9:L$19)+'Input|Customer Contributions'!L48-'Input|Customer Contributions'!L25</f>
        <v>6675.8318595409164</v>
      </c>
      <c r="L45" s="227">
        <f>'Input|Forecast Data'!J45-SUMPRODUCT(--('Input|VBRC Calc'!$E$9:$E$19=$E45),'Input|VBRC Calc'!M$9:M$19)+'Input|Customer Contributions'!M48-'Input|Customer Contributions'!M25</f>
        <v>6894.104855214362</v>
      </c>
      <c r="M45" s="227">
        <f>'Input|Forecast Data'!K45-SUMPRODUCT(--('Input|VBRC Calc'!$E$9:$E$19=$E45),'Input|VBRC Calc'!N$9:N$19)+'Input|Customer Contributions'!N48-'Input|Customer Contributions'!N25</f>
        <v>7523.4658151550429</v>
      </c>
      <c r="N45" s="7"/>
      <c r="O45" s="7"/>
    </row>
    <row r="46" spans="1:15" x14ac:dyDescent="0.3">
      <c r="A46" s="7"/>
      <c r="B46" s="7"/>
      <c r="C46" s="158">
        <v>0</v>
      </c>
      <c r="D46" s="7"/>
      <c r="E46" s="38" t="s">
        <v>510</v>
      </c>
      <c r="F46" s="38"/>
      <c r="G46" s="38" t="str">
        <f>VLOOKUP(E46,Mapping!$E$11:$G$204,3,0)</f>
        <v>Connections</v>
      </c>
      <c r="H46" s="38" t="str">
        <f>VLOOKUP(E46,Mapping!$E$11:$K$204,7,0)</f>
        <v>SCS</v>
      </c>
      <c r="I46" s="227">
        <f>'Input|Forecast Data'!G46-SUMPRODUCT(--('Input|VBRC Calc'!$E$9:$E$19=$E46),'Input|VBRC Calc'!J$9:J$19)+'Input|Customer Contributions'!J49-'Input|Customer Contributions'!J26</f>
        <v>10023.150002802971</v>
      </c>
      <c r="J46" s="227">
        <f>'Input|Forecast Data'!H46-'Input|Customer Contributions'!K49-'Input|Customer Contributions'!K26</f>
        <v>8315.3306253179762</v>
      </c>
      <c r="K46" s="227">
        <f>'Input|Forecast Data'!I46-SUMPRODUCT(--('Input|VBRC Calc'!$E$9:$E$19=$E46),'Input|VBRC Calc'!L$9:L$19)+'Input|Customer Contributions'!L49-'Input|Customer Contributions'!L26</f>
        <v>11726.722302986998</v>
      </c>
      <c r="L46" s="227">
        <f>'Input|Forecast Data'!J46-SUMPRODUCT(--('Input|VBRC Calc'!$E$9:$E$19=$E46),'Input|VBRC Calc'!M$9:M$19)+'Input|Customer Contributions'!M49-'Input|Customer Contributions'!M26</f>
        <v>7500.1013523517768</v>
      </c>
      <c r="M46" s="227">
        <f>'Input|Forecast Data'!K46-SUMPRODUCT(--('Input|VBRC Calc'!$E$9:$E$19=$E46),'Input|VBRC Calc'!N$9:N$19)+'Input|Customer Contributions'!N49-'Input|Customer Contributions'!N26</f>
        <v>3124.8822739949537</v>
      </c>
      <c r="N46" s="7"/>
      <c r="O46" s="7"/>
    </row>
    <row r="47" spans="1:15" x14ac:dyDescent="0.3">
      <c r="A47" s="7"/>
      <c r="B47" s="7"/>
      <c r="C47" s="158">
        <v>0</v>
      </c>
      <c r="D47" s="7"/>
      <c r="E47" s="38" t="s">
        <v>511</v>
      </c>
      <c r="F47" s="38"/>
      <c r="G47" s="38" t="str">
        <f>VLOOKUP(E47,Mapping!$E$11:$G$204,3,0)</f>
        <v>Connections</v>
      </c>
      <c r="H47" s="38" t="str">
        <f>VLOOKUP(E47,Mapping!$E$11:$K$204,7,0)</f>
        <v>SCS</v>
      </c>
      <c r="I47" s="227">
        <f>'Input|Forecast Data'!G47-SUMPRODUCT(--('Input|VBRC Calc'!$E$9:$E$19=$E47),'Input|VBRC Calc'!J$9:J$19)+'Input|Customer Contributions'!J50-'Input|Customer Contributions'!J27</f>
        <v>384.19005646819539</v>
      </c>
      <c r="J47" s="227">
        <f>'Input|Forecast Data'!H47-SUMPRODUCT(--('Input|VBRC Calc'!$E$9:$E$19=$E47),'Input|VBRC Calc'!K$9:K$19)+'Input|Customer Contributions'!K50-'Input|Customer Contributions'!K27</f>
        <v>647.83656551896945</v>
      </c>
      <c r="K47" s="227">
        <f>'Input|Forecast Data'!I47-SUMPRODUCT(--('Input|VBRC Calc'!$E$9:$E$19=$E47),'Input|VBRC Calc'!L$9:L$19)+'Input|Customer Contributions'!L50-'Input|Customer Contributions'!L27</f>
        <v>624.64921822998099</v>
      </c>
      <c r="L47" s="227">
        <f>'Input|Forecast Data'!J47-SUMPRODUCT(--('Input|VBRC Calc'!$E$9:$E$19=$E47),'Input|VBRC Calc'!M$9:M$19)+'Input|Customer Contributions'!M50-'Input|Customer Contributions'!M27</f>
        <v>653.38399776614017</v>
      </c>
      <c r="M47" s="227">
        <f>'Input|Forecast Data'!K47-SUMPRODUCT(--('Input|VBRC Calc'!$E$9:$E$19=$E47),'Input|VBRC Calc'!N$9:N$19)+'Input|Customer Contributions'!N50-'Input|Customer Contributions'!N27</f>
        <v>717.96923739363183</v>
      </c>
      <c r="N47" s="7"/>
      <c r="O47" s="7"/>
    </row>
    <row r="48" spans="1:15" x14ac:dyDescent="0.3">
      <c r="A48" s="7"/>
      <c r="B48" s="7"/>
      <c r="C48" s="158">
        <v>0</v>
      </c>
      <c r="D48" s="7"/>
      <c r="E48" s="38" t="s">
        <v>117</v>
      </c>
      <c r="F48" s="38" t="s">
        <v>299</v>
      </c>
      <c r="G48" s="38" t="str">
        <f>VLOOKUP(E48,Mapping!$E$11:$G$204,3,0)</f>
        <v>Connections</v>
      </c>
      <c r="H48" s="38" t="str">
        <f>VLOOKUP(E48,Mapping!$E$11:$K$204,7,0)</f>
        <v>SCS</v>
      </c>
      <c r="I48" s="43">
        <f>'Input|Forecast Data'!G48-SUMPRODUCT(--('Input|VBRC Calc'!$E$9:$E$19=$E48),'Input|VBRC Calc'!J$9:J$19)</f>
        <v>0</v>
      </c>
      <c r="J48" s="43">
        <f>'Input|Forecast Data'!H48-SUMPRODUCT(--('Input|VBRC Calc'!$E$9:$E$19=$E48),'Input|VBRC Calc'!K$9:K$19)</f>
        <v>0</v>
      </c>
      <c r="K48" s="43">
        <f>'Input|Forecast Data'!I48-SUMPRODUCT(--('Input|VBRC Calc'!$E$9:$E$19=$E48),'Input|VBRC Calc'!L$9:L$19)</f>
        <v>0</v>
      </c>
      <c r="L48" s="43">
        <f>'Input|Forecast Data'!J48-SUMPRODUCT(--('Input|VBRC Calc'!$E$9:$E$19=$E48),'Input|VBRC Calc'!M$9:M$19)</f>
        <v>0</v>
      </c>
      <c r="M48" s="43">
        <f>'Input|Forecast Data'!K48-SUMPRODUCT(--('Input|VBRC Calc'!$E$9:$E$19=$E48),'Input|VBRC Calc'!N$9:N$19)</f>
        <v>0</v>
      </c>
      <c r="N48" s="7"/>
      <c r="O48" s="7"/>
    </row>
    <row r="49" spans="1:15" x14ac:dyDescent="0.3">
      <c r="A49" s="7"/>
      <c r="B49" s="7"/>
      <c r="C49" s="158">
        <v>0</v>
      </c>
      <c r="D49" s="7"/>
      <c r="E49" s="38" t="s">
        <v>118</v>
      </c>
      <c r="F49" s="38" t="s">
        <v>300</v>
      </c>
      <c r="G49" s="38" t="str">
        <f>VLOOKUP(E49,Mapping!$E$11:$G$204,3,0)</f>
        <v>Connections</v>
      </c>
      <c r="H49" s="38" t="str">
        <f>VLOOKUP(E49,Mapping!$E$11:$K$204,7,0)</f>
        <v>SCS</v>
      </c>
      <c r="I49" s="43">
        <f>'Input|Forecast Data'!G49-SUMPRODUCT(--('Input|VBRC Calc'!$E$9:$E$19=$E49),'Input|VBRC Calc'!J$9:J$19)</f>
        <v>0</v>
      </c>
      <c r="J49" s="43">
        <f>'Input|Forecast Data'!H49-SUMPRODUCT(--('Input|VBRC Calc'!$E$9:$E$19=$E49),'Input|VBRC Calc'!K$9:K$19)</f>
        <v>0</v>
      </c>
      <c r="K49" s="43">
        <f>'Input|Forecast Data'!I49-SUMPRODUCT(--('Input|VBRC Calc'!$E$9:$E$19=$E49),'Input|VBRC Calc'!L$9:L$19)</f>
        <v>0</v>
      </c>
      <c r="L49" s="43">
        <f>'Input|Forecast Data'!J49-SUMPRODUCT(--('Input|VBRC Calc'!$E$9:$E$19=$E49),'Input|VBRC Calc'!M$9:M$19)</f>
        <v>0</v>
      </c>
      <c r="M49" s="43">
        <f>'Input|Forecast Data'!K49-SUMPRODUCT(--('Input|VBRC Calc'!$E$9:$E$19=$E49),'Input|VBRC Calc'!N$9:N$19)</f>
        <v>0</v>
      </c>
      <c r="N49" s="7"/>
      <c r="O49" s="7"/>
    </row>
    <row r="50" spans="1:15" x14ac:dyDescent="0.3">
      <c r="A50" s="7"/>
      <c r="B50" s="7"/>
      <c r="C50" s="158">
        <v>0</v>
      </c>
      <c r="D50" s="7"/>
      <c r="E50" s="38" t="s">
        <v>119</v>
      </c>
      <c r="F50" s="38" t="s">
        <v>301</v>
      </c>
      <c r="G50" s="38" t="str">
        <f>VLOOKUP(E50,Mapping!$E$11:$G$204,3,0)</f>
        <v>Connections</v>
      </c>
      <c r="H50" s="38" t="str">
        <f>VLOOKUP(E50,Mapping!$E$11:$K$204,7,0)</f>
        <v>SCS</v>
      </c>
      <c r="I50" s="43">
        <f>'Input|Forecast Data'!G50-SUMPRODUCT(--('Input|VBRC Calc'!$E$9:$E$19=$E50),'Input|VBRC Calc'!J$9:J$19)</f>
        <v>0</v>
      </c>
      <c r="J50" s="43">
        <f>'Input|Forecast Data'!H50-SUMPRODUCT(--('Input|VBRC Calc'!$E$9:$E$19=$E50),'Input|VBRC Calc'!K$9:K$19)</f>
        <v>0</v>
      </c>
      <c r="K50" s="43">
        <f>'Input|Forecast Data'!I50-SUMPRODUCT(--('Input|VBRC Calc'!$E$9:$E$19=$E50),'Input|VBRC Calc'!L$9:L$19)</f>
        <v>0</v>
      </c>
      <c r="L50" s="43">
        <f>'Input|Forecast Data'!J50-SUMPRODUCT(--('Input|VBRC Calc'!$E$9:$E$19=$E50),'Input|VBRC Calc'!M$9:M$19)</f>
        <v>0</v>
      </c>
      <c r="M50" s="43">
        <f>'Input|Forecast Data'!K50-SUMPRODUCT(--('Input|VBRC Calc'!$E$9:$E$19=$E50),'Input|VBRC Calc'!N$9:N$19)</f>
        <v>0</v>
      </c>
      <c r="N50" s="7"/>
      <c r="O50" s="7"/>
    </row>
    <row r="51" spans="1:15" x14ac:dyDescent="0.3">
      <c r="A51" s="7"/>
      <c r="B51" s="7"/>
      <c r="C51" s="158">
        <v>0</v>
      </c>
      <c r="D51" s="7"/>
      <c r="E51" s="38" t="s">
        <v>120</v>
      </c>
      <c r="F51" s="38" t="s">
        <v>302</v>
      </c>
      <c r="G51" s="38" t="str">
        <f>VLOOKUP(E51,Mapping!$E$11:$G$204,3,0)</f>
        <v>Augmentation</v>
      </c>
      <c r="H51" s="38" t="str">
        <f>VLOOKUP(E51,Mapping!$E$11:$K$204,7,0)</f>
        <v>SCS</v>
      </c>
      <c r="I51" s="43">
        <f>'Input|Forecast Data'!G51-SUMPRODUCT(--('Input|VBRC Calc'!$E$9:$E$19=$E51),'Input|VBRC Calc'!J$9:J$19)</f>
        <v>0</v>
      </c>
      <c r="J51" s="43">
        <f>'Input|Forecast Data'!H51-SUMPRODUCT(--('Input|VBRC Calc'!$E$9:$E$19=$E51),'Input|VBRC Calc'!K$9:K$19)</f>
        <v>0</v>
      </c>
      <c r="K51" s="43">
        <f>'Input|Forecast Data'!I51-SUMPRODUCT(--('Input|VBRC Calc'!$E$9:$E$19=$E51),'Input|VBRC Calc'!L$9:L$19)</f>
        <v>0</v>
      </c>
      <c r="L51" s="43">
        <f>'Input|Forecast Data'!J51-SUMPRODUCT(--('Input|VBRC Calc'!$E$9:$E$19=$E51),'Input|VBRC Calc'!M$9:M$19)</f>
        <v>0</v>
      </c>
      <c r="M51" s="43">
        <f>'Input|Forecast Data'!K51-SUMPRODUCT(--('Input|VBRC Calc'!$E$9:$E$19=$E51),'Input|VBRC Calc'!N$9:N$19)</f>
        <v>0</v>
      </c>
      <c r="N51" s="7"/>
      <c r="O51" s="7"/>
    </row>
    <row r="52" spans="1:15" x14ac:dyDescent="0.3">
      <c r="A52" s="7"/>
      <c r="B52" s="7"/>
      <c r="C52" s="158">
        <v>0</v>
      </c>
      <c r="D52" s="7"/>
      <c r="E52" s="38" t="s">
        <v>121</v>
      </c>
      <c r="F52" s="38" t="s">
        <v>303</v>
      </c>
      <c r="G52" s="38" t="str">
        <f>VLOOKUP(E52,Mapping!$E$11:$G$204,3,0)</f>
        <v>Augmentation</v>
      </c>
      <c r="H52" s="38" t="str">
        <f>VLOOKUP(E52,Mapping!$E$11:$K$204,7,0)</f>
        <v>SCS</v>
      </c>
      <c r="I52" s="43">
        <f>'Input|Forecast Data'!G52-SUMPRODUCT(--('Input|VBRC Calc'!$E$9:$E$19=$E52),'Input|VBRC Calc'!J$9:J$19)</f>
        <v>0</v>
      </c>
      <c r="J52" s="43">
        <f>'Input|Forecast Data'!H52-SUMPRODUCT(--('Input|VBRC Calc'!$E$9:$E$19=$E52),'Input|VBRC Calc'!K$9:K$19)</f>
        <v>0</v>
      </c>
      <c r="K52" s="43">
        <f>'Input|Forecast Data'!I52-SUMPRODUCT(--('Input|VBRC Calc'!$E$9:$E$19=$E52),'Input|VBRC Calc'!L$9:L$19)</f>
        <v>0</v>
      </c>
      <c r="L52" s="43">
        <f>'Input|Forecast Data'!J52-SUMPRODUCT(--('Input|VBRC Calc'!$E$9:$E$19=$E52),'Input|VBRC Calc'!M$9:M$19)</f>
        <v>0</v>
      </c>
      <c r="M52" s="43">
        <f>'Input|Forecast Data'!K52-SUMPRODUCT(--('Input|VBRC Calc'!$E$9:$E$19=$E52),'Input|VBRC Calc'!N$9:N$19)</f>
        <v>0</v>
      </c>
      <c r="N52" s="7"/>
      <c r="O52" s="7"/>
    </row>
    <row r="53" spans="1:15" x14ac:dyDescent="0.3">
      <c r="A53" s="7"/>
      <c r="B53" s="7"/>
      <c r="C53" s="158">
        <v>0</v>
      </c>
      <c r="D53" s="7"/>
      <c r="E53" s="38" t="s">
        <v>122</v>
      </c>
      <c r="F53" s="38" t="s">
        <v>304</v>
      </c>
      <c r="G53" s="38" t="str">
        <f>VLOOKUP(E53,Mapping!$E$11:$G$204,3,0)</f>
        <v>Augmentation</v>
      </c>
      <c r="H53" s="38" t="str">
        <f>VLOOKUP(E53,Mapping!$E$11:$K$204,7,0)</f>
        <v>SCS</v>
      </c>
      <c r="I53" s="43">
        <f>'Input|Forecast Data'!G53-SUMPRODUCT(--('Input|VBRC Calc'!$E$9:$E$19=$E53),'Input|VBRC Calc'!J$9:J$19)</f>
        <v>14302.51817278759</v>
      </c>
      <c r="J53" s="43">
        <f>'Input|Forecast Data'!H53-SUMPRODUCT(--('Input|VBRC Calc'!$E$9:$E$19=$E53),'Input|VBRC Calc'!K$9:K$19)</f>
        <v>14302.51817278759</v>
      </c>
      <c r="K53" s="43">
        <f>'Input|Forecast Data'!I53-SUMPRODUCT(--('Input|VBRC Calc'!$E$9:$E$19=$E53),'Input|VBRC Calc'!L$9:L$19)</f>
        <v>14302.51817278759</v>
      </c>
      <c r="L53" s="43">
        <f>'Input|Forecast Data'!J53-SUMPRODUCT(--('Input|VBRC Calc'!$E$9:$E$19=$E53),'Input|VBRC Calc'!M$9:M$19)</f>
        <v>14302.51817278759</v>
      </c>
      <c r="M53" s="43">
        <f>'Input|Forecast Data'!K53-SUMPRODUCT(--('Input|VBRC Calc'!$E$9:$E$19=$E53),'Input|VBRC Calc'!N$9:N$19)</f>
        <v>14302.51817278759</v>
      </c>
      <c r="N53" s="7"/>
      <c r="O53" s="7"/>
    </row>
    <row r="54" spans="1:15" x14ac:dyDescent="0.3">
      <c r="A54" s="7"/>
      <c r="B54" s="7"/>
      <c r="C54" s="158">
        <v>0</v>
      </c>
      <c r="D54" s="7"/>
      <c r="E54" s="38" t="s">
        <v>123</v>
      </c>
      <c r="F54" s="38" t="s">
        <v>305</v>
      </c>
      <c r="G54" s="38" t="str">
        <f>VLOOKUP(E54,Mapping!$E$11:$G$204,3,0)</f>
        <v>Augmentation</v>
      </c>
      <c r="H54" s="38" t="str">
        <f>VLOOKUP(E54,Mapping!$E$11:$K$204,7,0)</f>
        <v>SCS</v>
      </c>
      <c r="I54" s="43">
        <f>'Input|Forecast Data'!G54-SUMPRODUCT(--('Input|VBRC Calc'!$E$9:$E$19=$E54),'Input|VBRC Calc'!J$9:J$19)</f>
        <v>0</v>
      </c>
      <c r="J54" s="43">
        <f>'Input|Forecast Data'!H54-SUMPRODUCT(--('Input|VBRC Calc'!$E$9:$E$19=$E54),'Input|VBRC Calc'!K$9:K$19)</f>
        <v>0</v>
      </c>
      <c r="K54" s="43">
        <f>'Input|Forecast Data'!I54-SUMPRODUCT(--('Input|VBRC Calc'!$E$9:$E$19=$E54),'Input|VBRC Calc'!L$9:L$19)</f>
        <v>0</v>
      </c>
      <c r="L54" s="43">
        <f>'Input|Forecast Data'!J54-SUMPRODUCT(--('Input|VBRC Calc'!$E$9:$E$19=$E54),'Input|VBRC Calc'!M$9:M$19)</f>
        <v>0</v>
      </c>
      <c r="M54" s="43">
        <f>'Input|Forecast Data'!K54-SUMPRODUCT(--('Input|VBRC Calc'!$E$9:$E$19=$E54),'Input|VBRC Calc'!N$9:N$19)</f>
        <v>0</v>
      </c>
      <c r="N54" s="7"/>
      <c r="O54" s="7"/>
    </row>
    <row r="55" spans="1:15" x14ac:dyDescent="0.3">
      <c r="A55" s="7"/>
      <c r="B55" s="7"/>
      <c r="C55" s="158">
        <v>0</v>
      </c>
      <c r="D55" s="7"/>
      <c r="E55" s="38" t="s">
        <v>124</v>
      </c>
      <c r="F55" s="38" t="s">
        <v>306</v>
      </c>
      <c r="G55" s="38" t="str">
        <f>VLOOKUP(E55,Mapping!$E$11:$G$204,3,0)</f>
        <v>Augmentation</v>
      </c>
      <c r="H55" s="38" t="str">
        <f>VLOOKUP(E55,Mapping!$E$11:$K$204,7,0)</f>
        <v>SCS</v>
      </c>
      <c r="I55" s="43">
        <f>'Input|Forecast Data'!G55-SUMPRODUCT(--('Input|VBRC Calc'!$E$9:$E$19=$E55),'Input|VBRC Calc'!J$9:J$19)</f>
        <v>0</v>
      </c>
      <c r="J55" s="43">
        <f>'Input|Forecast Data'!H55-SUMPRODUCT(--('Input|VBRC Calc'!$E$9:$E$19=$E55),'Input|VBRC Calc'!K$9:K$19)</f>
        <v>0</v>
      </c>
      <c r="K55" s="43">
        <f>'Input|Forecast Data'!I55-SUMPRODUCT(--('Input|VBRC Calc'!$E$9:$E$19=$E55),'Input|VBRC Calc'!L$9:L$19)</f>
        <v>0</v>
      </c>
      <c r="L55" s="43">
        <f>'Input|Forecast Data'!J55-SUMPRODUCT(--('Input|VBRC Calc'!$E$9:$E$19=$E55),'Input|VBRC Calc'!M$9:M$19)</f>
        <v>0</v>
      </c>
      <c r="M55" s="43">
        <f>'Input|Forecast Data'!K55-SUMPRODUCT(--('Input|VBRC Calc'!$E$9:$E$19=$E55),'Input|VBRC Calc'!N$9:N$19)</f>
        <v>0</v>
      </c>
      <c r="N55" s="7"/>
      <c r="O55" s="7"/>
    </row>
    <row r="56" spans="1:15" x14ac:dyDescent="0.3">
      <c r="A56" s="7"/>
      <c r="B56" s="7"/>
      <c r="C56" s="158">
        <v>0</v>
      </c>
      <c r="D56" s="7"/>
      <c r="E56" s="38" t="s">
        <v>125</v>
      </c>
      <c r="F56" s="38" t="s">
        <v>307</v>
      </c>
      <c r="G56" s="38" t="str">
        <f>VLOOKUP(E56,Mapping!$E$11:$G$204,3,0)</f>
        <v>Augmentation</v>
      </c>
      <c r="H56" s="38" t="str">
        <f>VLOOKUP(E56,Mapping!$E$11:$K$204,7,0)</f>
        <v>SCS</v>
      </c>
      <c r="I56" s="43">
        <f>'Input|Forecast Data'!G56-SUMPRODUCT(--('Input|VBRC Calc'!$E$9:$E$19=$E56),'Input|VBRC Calc'!J$9:J$19)</f>
        <v>0</v>
      </c>
      <c r="J56" s="43">
        <f>'Input|Forecast Data'!H56-SUMPRODUCT(--('Input|VBRC Calc'!$E$9:$E$19=$E56),'Input|VBRC Calc'!K$9:K$19)</f>
        <v>0</v>
      </c>
      <c r="K56" s="43">
        <f>'Input|Forecast Data'!I56-SUMPRODUCT(--('Input|VBRC Calc'!$E$9:$E$19=$E56),'Input|VBRC Calc'!L$9:L$19)</f>
        <v>0</v>
      </c>
      <c r="L56" s="43">
        <f>'Input|Forecast Data'!J56-SUMPRODUCT(--('Input|VBRC Calc'!$E$9:$E$19=$E56),'Input|VBRC Calc'!M$9:M$19)</f>
        <v>0</v>
      </c>
      <c r="M56" s="43">
        <f>'Input|Forecast Data'!K56-SUMPRODUCT(--('Input|VBRC Calc'!$E$9:$E$19=$E56),'Input|VBRC Calc'!N$9:N$19)</f>
        <v>0</v>
      </c>
      <c r="N56" s="7"/>
      <c r="O56" s="7"/>
    </row>
    <row r="57" spans="1:15" x14ac:dyDescent="0.3">
      <c r="A57" s="7"/>
      <c r="B57" s="7"/>
      <c r="C57" s="158">
        <v>0</v>
      </c>
      <c r="D57" s="7"/>
      <c r="E57" s="38" t="s">
        <v>126</v>
      </c>
      <c r="F57" s="38" t="s">
        <v>308</v>
      </c>
      <c r="G57" s="38" t="str">
        <f>VLOOKUP(E57,Mapping!$E$11:$G$204,3,0)</f>
        <v>Augmentation</v>
      </c>
      <c r="H57" s="38" t="str">
        <f>VLOOKUP(E57,Mapping!$E$11:$K$204,7,0)</f>
        <v>SCS</v>
      </c>
      <c r="I57" s="43">
        <f>'Input|Forecast Data'!G57-SUMPRODUCT(--('Input|VBRC Calc'!$E$9:$E$19=$E57),'Input|VBRC Calc'!J$9:J$19)</f>
        <v>0</v>
      </c>
      <c r="J57" s="43">
        <f>'Input|Forecast Data'!H57-SUMPRODUCT(--('Input|VBRC Calc'!$E$9:$E$19=$E57),'Input|VBRC Calc'!K$9:K$19)</f>
        <v>0</v>
      </c>
      <c r="K57" s="43">
        <f>'Input|Forecast Data'!I57-SUMPRODUCT(--('Input|VBRC Calc'!$E$9:$E$19=$E57),'Input|VBRC Calc'!L$9:L$19)</f>
        <v>0</v>
      </c>
      <c r="L57" s="43">
        <f>'Input|Forecast Data'!J57-SUMPRODUCT(--('Input|VBRC Calc'!$E$9:$E$19=$E57),'Input|VBRC Calc'!M$9:M$19)</f>
        <v>0</v>
      </c>
      <c r="M57" s="43">
        <f>'Input|Forecast Data'!K57-SUMPRODUCT(--('Input|VBRC Calc'!$E$9:$E$19=$E57),'Input|VBRC Calc'!N$9:N$19)</f>
        <v>0</v>
      </c>
      <c r="N57" s="7"/>
      <c r="O57" s="7"/>
    </row>
    <row r="58" spans="1:15" x14ac:dyDescent="0.3">
      <c r="A58" s="7"/>
      <c r="B58" s="7"/>
      <c r="C58" s="158">
        <v>0</v>
      </c>
      <c r="D58" s="7"/>
      <c r="E58" s="38" t="s">
        <v>127</v>
      </c>
      <c r="F58" s="38" t="s">
        <v>17</v>
      </c>
      <c r="G58" s="38" t="str">
        <f>VLOOKUP(E58,Mapping!$E$11:$G$204,3,0)</f>
        <v>Non-network general assets - Other</v>
      </c>
      <c r="H58" s="38" t="str">
        <f>VLOOKUP(E58,Mapping!$E$11:$K$204,7,0)</f>
        <v>Non-network general assets - Other</v>
      </c>
      <c r="I58" s="43">
        <f>'Input|Forecast Data'!G58-SUMPRODUCT(--('Input|VBRC Calc'!$E$9:$E$19=$E58),'Input|VBRC Calc'!J$9:J$19)</f>
        <v>421.29753409864247</v>
      </c>
      <c r="J58" s="43">
        <f>'Input|Forecast Data'!H58-SUMPRODUCT(--('Input|VBRC Calc'!$E$9:$E$19=$E58),'Input|VBRC Calc'!K$9:K$19)</f>
        <v>421.29753409864247</v>
      </c>
      <c r="K58" s="43">
        <f>'Input|Forecast Data'!I58-SUMPRODUCT(--('Input|VBRC Calc'!$E$9:$E$19=$E58),'Input|VBRC Calc'!L$9:L$19)</f>
        <v>421.29753409864247</v>
      </c>
      <c r="L58" s="43">
        <f>'Input|Forecast Data'!J58-SUMPRODUCT(--('Input|VBRC Calc'!$E$9:$E$19=$E58),'Input|VBRC Calc'!M$9:M$19)</f>
        <v>421.29753409864247</v>
      </c>
      <c r="M58" s="43">
        <f>'Input|Forecast Data'!K58-SUMPRODUCT(--('Input|VBRC Calc'!$E$9:$E$19=$E58),'Input|VBRC Calc'!N$9:N$19)</f>
        <v>421.29753409864247</v>
      </c>
      <c r="N58" s="7"/>
      <c r="O58" s="7"/>
    </row>
    <row r="59" spans="1:15" x14ac:dyDescent="0.3">
      <c r="A59" s="7"/>
      <c r="B59" s="7"/>
      <c r="C59" s="158">
        <v>0</v>
      </c>
      <c r="D59" s="7"/>
      <c r="E59" s="38" t="s">
        <v>128</v>
      </c>
      <c r="F59" s="38" t="s">
        <v>309</v>
      </c>
      <c r="G59" s="38" t="str">
        <f>VLOOKUP(E59,Mapping!$E$11:$G$204,3,0)</f>
        <v>Non-network general assets - Other</v>
      </c>
      <c r="H59" s="38" t="str">
        <f>VLOOKUP(E59,Mapping!$E$11:$K$204,7,0)</f>
        <v>Non-network general assets - Other</v>
      </c>
      <c r="I59" s="43">
        <f>'Input|Forecast Data'!G59-SUMPRODUCT(--('Input|VBRC Calc'!$E$9:$E$19=$E59),'Input|VBRC Calc'!J$9:J$19)</f>
        <v>0</v>
      </c>
      <c r="J59" s="43">
        <f>'Input|Forecast Data'!H59-SUMPRODUCT(--('Input|VBRC Calc'!$E$9:$E$19=$E59),'Input|VBRC Calc'!K$9:K$19)</f>
        <v>0</v>
      </c>
      <c r="K59" s="43">
        <f>'Input|Forecast Data'!I59-SUMPRODUCT(--('Input|VBRC Calc'!$E$9:$E$19=$E59),'Input|VBRC Calc'!L$9:L$19)</f>
        <v>0</v>
      </c>
      <c r="L59" s="43">
        <f>'Input|Forecast Data'!J59-SUMPRODUCT(--('Input|VBRC Calc'!$E$9:$E$19=$E59),'Input|VBRC Calc'!M$9:M$19)</f>
        <v>0</v>
      </c>
      <c r="M59" s="43">
        <f>'Input|Forecast Data'!K59-SUMPRODUCT(--('Input|VBRC Calc'!$E$9:$E$19=$E59),'Input|VBRC Calc'!N$9:N$19)</f>
        <v>0</v>
      </c>
      <c r="N59" s="7"/>
      <c r="O59" s="7"/>
    </row>
    <row r="60" spans="1:15" x14ac:dyDescent="0.3">
      <c r="A60" s="7"/>
      <c r="B60" s="7"/>
      <c r="C60" s="158">
        <v>0</v>
      </c>
      <c r="D60" s="7"/>
      <c r="E60" s="38" t="s">
        <v>129</v>
      </c>
      <c r="F60" s="38" t="s">
        <v>310</v>
      </c>
      <c r="G60" s="38" t="str">
        <f>VLOOKUP(E60,Mapping!$E$11:$G$204,3,0)</f>
        <v>Non-network general assets - Other</v>
      </c>
      <c r="H60" s="38" t="str">
        <f>VLOOKUP(E60,Mapping!$E$11:$K$204,7,0)</f>
        <v>Non-network general assets - Other</v>
      </c>
      <c r="I60" s="43">
        <f>'Input|Forecast Data'!G60-SUMPRODUCT(--('Input|VBRC Calc'!$E$9:$E$19=$E60),'Input|VBRC Calc'!J$9:J$19)</f>
        <v>37817.198462745597</v>
      </c>
      <c r="J60" s="43">
        <f>'Input|Forecast Data'!H60-SUMPRODUCT(--('Input|VBRC Calc'!$E$9:$E$19=$E60),'Input|VBRC Calc'!K$9:K$19)</f>
        <v>13598.119590702692</v>
      </c>
      <c r="K60" s="43">
        <f>'Input|Forecast Data'!I60-SUMPRODUCT(--('Input|VBRC Calc'!$E$9:$E$19=$E60),'Input|VBRC Calc'!L$9:L$19)</f>
        <v>921.36759361693146</v>
      </c>
      <c r="L60" s="43">
        <f>'Input|Forecast Data'!J60-SUMPRODUCT(--('Input|VBRC Calc'!$E$9:$E$19=$E60),'Input|VBRC Calc'!M$9:M$19)</f>
        <v>4310.3058689895533</v>
      </c>
      <c r="M60" s="43">
        <f>'Input|Forecast Data'!K60-SUMPRODUCT(--('Input|VBRC Calc'!$E$9:$E$19=$E60),'Input|VBRC Calc'!N$9:N$19)</f>
        <v>9139.5429113955379</v>
      </c>
      <c r="N60" s="7"/>
      <c r="O60" s="7"/>
    </row>
    <row r="61" spans="1:15" x14ac:dyDescent="0.3">
      <c r="A61" s="7"/>
      <c r="B61" s="7"/>
      <c r="C61" s="158">
        <v>0</v>
      </c>
      <c r="D61" s="7"/>
      <c r="E61" s="38" t="s">
        <v>130</v>
      </c>
      <c r="F61" s="38" t="s">
        <v>311</v>
      </c>
      <c r="G61" s="38" t="str">
        <f>VLOOKUP(E61,Mapping!$E$11:$G$204,3,0)</f>
        <v>Non-network general assets - Other</v>
      </c>
      <c r="H61" s="38" t="str">
        <f>VLOOKUP(E61,Mapping!$E$11:$K$204,7,0)</f>
        <v>Non-network general assets - Other</v>
      </c>
      <c r="I61" s="43">
        <f>'Input|Forecast Data'!G61-SUMPRODUCT(--('Input|VBRC Calc'!$E$9:$E$19=$E61),'Input|VBRC Calc'!J$9:J$19)</f>
        <v>5439.2459319730588</v>
      </c>
      <c r="J61" s="43">
        <f>'Input|Forecast Data'!H61-SUMPRODUCT(--('Input|VBRC Calc'!$E$9:$E$19=$E61),'Input|VBRC Calc'!K$9:K$19)</f>
        <v>1338.6306187721857</v>
      </c>
      <c r="K61" s="43">
        <f>'Input|Forecast Data'!I61-SUMPRODUCT(--('Input|VBRC Calc'!$E$9:$E$19=$E61),'Input|VBRC Calc'!L$9:L$19)</f>
        <v>2016.4182738467098</v>
      </c>
      <c r="L61" s="43">
        <f>'Input|Forecast Data'!J61-SUMPRODUCT(--('Input|VBRC Calc'!$E$9:$E$19=$E61),'Input|VBRC Calc'!M$9:M$19)</f>
        <v>1556.7935202492981</v>
      </c>
      <c r="M61" s="43">
        <f>'Input|Forecast Data'!K61-SUMPRODUCT(--('Input|VBRC Calc'!$E$9:$E$19=$E61),'Input|VBRC Calc'!N$9:N$19)</f>
        <v>1892.5102181533985</v>
      </c>
      <c r="N61" s="7"/>
      <c r="O61" s="7"/>
    </row>
    <row r="62" spans="1:15" x14ac:dyDescent="0.3">
      <c r="A62" s="7"/>
      <c r="B62" s="7"/>
      <c r="C62" s="158">
        <v>0</v>
      </c>
      <c r="D62" s="7"/>
      <c r="E62" s="38" t="s">
        <v>131</v>
      </c>
      <c r="F62" s="38" t="s">
        <v>312</v>
      </c>
      <c r="G62" s="38" t="str">
        <f>VLOOKUP(E62,Mapping!$E$11:$G$204,3,0)</f>
        <v>Non-network general assets - Other</v>
      </c>
      <c r="H62" s="38" t="str">
        <f>VLOOKUP(E62,Mapping!$E$11:$K$204,7,0)</f>
        <v>Non-network general assets - Other</v>
      </c>
      <c r="I62" s="43">
        <f>'Input|Forecast Data'!G62-SUMPRODUCT(--('Input|VBRC Calc'!$E$9:$E$19=$E62),'Input|VBRC Calc'!J$9:J$19)</f>
        <v>0</v>
      </c>
      <c r="J62" s="43">
        <f>'Input|Forecast Data'!H62-SUMPRODUCT(--('Input|VBRC Calc'!$E$9:$E$19=$E62),'Input|VBRC Calc'!K$9:K$19)</f>
        <v>0</v>
      </c>
      <c r="K62" s="43">
        <f>'Input|Forecast Data'!I62-SUMPRODUCT(--('Input|VBRC Calc'!$E$9:$E$19=$E62),'Input|VBRC Calc'!L$9:L$19)</f>
        <v>0</v>
      </c>
      <c r="L62" s="43">
        <f>'Input|Forecast Data'!J62-SUMPRODUCT(--('Input|VBRC Calc'!$E$9:$E$19=$E62),'Input|VBRC Calc'!M$9:M$19)</f>
        <v>0</v>
      </c>
      <c r="M62" s="43">
        <f>'Input|Forecast Data'!K62-SUMPRODUCT(--('Input|VBRC Calc'!$E$9:$E$19=$E62),'Input|VBRC Calc'!N$9:N$19)</f>
        <v>0</v>
      </c>
      <c r="N62" s="7"/>
      <c r="O62" s="7"/>
    </row>
    <row r="63" spans="1:15" x14ac:dyDescent="0.3">
      <c r="A63" s="7"/>
      <c r="B63" s="7"/>
      <c r="C63" s="158">
        <v>0</v>
      </c>
      <c r="D63" s="7"/>
      <c r="E63" s="38" t="s">
        <v>601</v>
      </c>
      <c r="F63" s="38" t="s">
        <v>44</v>
      </c>
      <c r="G63" s="38" t="str">
        <f>VLOOKUP(E63,Mapping!$E$11:$G$204,3,0)</f>
        <v>Non-network general assets - Other</v>
      </c>
      <c r="H63" s="38" t="str">
        <f>VLOOKUP(E63,Mapping!$E$11:$K$204,7,0)</f>
        <v>Land</v>
      </c>
      <c r="I63" s="43">
        <f>'Input|Forecast Data'!G63-SUMPRODUCT(--('Input|VBRC Calc'!$E$9:$E$19=$E63),'Input|VBRC Calc'!J$9:J$19)</f>
        <v>0</v>
      </c>
      <c r="J63" s="43">
        <f>'Input|Forecast Data'!H63-SUMPRODUCT(--('Input|VBRC Calc'!$E$9:$E$19=$E63),'Input|VBRC Calc'!K$9:K$19)</f>
        <v>0</v>
      </c>
      <c r="K63" s="43">
        <f>'Input|Forecast Data'!I63-SUMPRODUCT(--('Input|VBRC Calc'!$E$9:$E$19=$E63),'Input|VBRC Calc'!L$9:L$19)</f>
        <v>0</v>
      </c>
      <c r="L63" s="43">
        <f>'Input|Forecast Data'!J63-SUMPRODUCT(--('Input|VBRC Calc'!$E$9:$E$19=$E63),'Input|VBRC Calc'!M$9:M$19)</f>
        <v>2118.0864221078882</v>
      </c>
      <c r="M63" s="43">
        <f>'Input|Forecast Data'!K63-SUMPRODUCT(--('Input|VBRC Calc'!$E$9:$E$19=$E63),'Input|VBRC Calc'!N$9:N$19)</f>
        <v>0</v>
      </c>
      <c r="N63" s="7"/>
      <c r="O63" s="7"/>
    </row>
    <row r="64" spans="1:15" x14ac:dyDescent="0.3">
      <c r="A64" s="7"/>
      <c r="B64" s="7"/>
      <c r="C64" s="158">
        <v>0</v>
      </c>
      <c r="D64" s="7"/>
      <c r="E64" s="38" t="s">
        <v>132</v>
      </c>
      <c r="F64" s="38" t="s">
        <v>314</v>
      </c>
      <c r="G64" s="38" t="str">
        <f>VLOOKUP(E64,Mapping!$E$11:$G$204,3,0)</f>
        <v>ACS</v>
      </c>
      <c r="H64" s="38" t="str">
        <f>VLOOKUP(E64,Mapping!$E$11:$K$204,7,0)</f>
        <v>ACS</v>
      </c>
      <c r="I64" s="43">
        <f>'Input|Forecast Data'!G64-SUMPRODUCT(--('Input|VBRC Calc'!$E$9:$E$19=$E64),'Input|VBRC Calc'!J$9:J$19)</f>
        <v>0</v>
      </c>
      <c r="J64" s="43">
        <f>'Input|Forecast Data'!H64-SUMPRODUCT(--('Input|VBRC Calc'!$E$9:$E$19=$E64),'Input|VBRC Calc'!K$9:K$19)</f>
        <v>0</v>
      </c>
      <c r="K64" s="43">
        <f>'Input|Forecast Data'!I64-SUMPRODUCT(--('Input|VBRC Calc'!$E$9:$E$19=$E64),'Input|VBRC Calc'!L$9:L$19)</f>
        <v>0</v>
      </c>
      <c r="L64" s="43">
        <f>'Input|Forecast Data'!J64-SUMPRODUCT(--('Input|VBRC Calc'!$E$9:$E$19=$E64),'Input|VBRC Calc'!M$9:M$19)</f>
        <v>0</v>
      </c>
      <c r="M64" s="43">
        <f>'Input|Forecast Data'!K64-SUMPRODUCT(--('Input|VBRC Calc'!$E$9:$E$19=$E64),'Input|VBRC Calc'!N$9:N$19)</f>
        <v>0</v>
      </c>
      <c r="N64" s="7"/>
      <c r="O64" s="7"/>
    </row>
    <row r="65" spans="1:15" x14ac:dyDescent="0.3">
      <c r="A65" s="7"/>
      <c r="B65" s="7"/>
      <c r="C65" s="158">
        <v>0</v>
      </c>
      <c r="D65" s="7"/>
      <c r="E65" s="38" t="s">
        <v>133</v>
      </c>
      <c r="F65" s="38" t="s">
        <v>315</v>
      </c>
      <c r="G65" s="38" t="str">
        <f>VLOOKUP(E65,Mapping!$E$11:$G$204,3,0)</f>
        <v>ACS</v>
      </c>
      <c r="H65" s="38" t="str">
        <f>VLOOKUP(E65,Mapping!$E$11:$K$204,7,0)</f>
        <v>ACS</v>
      </c>
      <c r="I65" s="43">
        <f>'Input|Forecast Data'!G65-SUMPRODUCT(--('Input|VBRC Calc'!$E$9:$E$19=$E65),'Input|VBRC Calc'!J$9:J$19)</f>
        <v>0</v>
      </c>
      <c r="J65" s="43">
        <f>'Input|Forecast Data'!H65-SUMPRODUCT(--('Input|VBRC Calc'!$E$9:$E$19=$E65),'Input|VBRC Calc'!K$9:K$19)</f>
        <v>0</v>
      </c>
      <c r="K65" s="43">
        <f>'Input|Forecast Data'!I65-SUMPRODUCT(--('Input|VBRC Calc'!$E$9:$E$19=$E65),'Input|VBRC Calc'!L$9:L$19)</f>
        <v>0</v>
      </c>
      <c r="L65" s="43">
        <f>'Input|Forecast Data'!J65-SUMPRODUCT(--('Input|VBRC Calc'!$E$9:$E$19=$E65),'Input|VBRC Calc'!M$9:M$19)</f>
        <v>0</v>
      </c>
      <c r="M65" s="43">
        <f>'Input|Forecast Data'!K65-SUMPRODUCT(--('Input|VBRC Calc'!$E$9:$E$19=$E65),'Input|VBRC Calc'!N$9:N$19)</f>
        <v>0</v>
      </c>
      <c r="N65" s="7"/>
      <c r="O65" s="7"/>
    </row>
    <row r="66" spans="1:15" x14ac:dyDescent="0.3">
      <c r="A66" s="7"/>
      <c r="B66" s="7"/>
      <c r="C66" s="158">
        <v>0</v>
      </c>
      <c r="D66" s="7"/>
      <c r="E66" s="38" t="s">
        <v>134</v>
      </c>
      <c r="F66" s="38" t="s">
        <v>316</v>
      </c>
      <c r="G66" s="38" t="str">
        <f>VLOOKUP(E66,Mapping!$E$11:$G$204,3,0)</f>
        <v>ACS</v>
      </c>
      <c r="H66" s="38" t="str">
        <f>VLOOKUP(E66,Mapping!$E$11:$K$204,7,0)</f>
        <v>ACS</v>
      </c>
      <c r="I66" s="43">
        <f>'Input|Forecast Data'!G66-SUMPRODUCT(--('Input|VBRC Calc'!$E$9:$E$19=$E66),'Input|VBRC Calc'!J$9:J$19)</f>
        <v>0</v>
      </c>
      <c r="J66" s="43">
        <f>'Input|Forecast Data'!H66-SUMPRODUCT(--('Input|VBRC Calc'!$E$9:$E$19=$E66),'Input|VBRC Calc'!K$9:K$19)</f>
        <v>0</v>
      </c>
      <c r="K66" s="43">
        <f>'Input|Forecast Data'!I66-SUMPRODUCT(--('Input|VBRC Calc'!$E$9:$E$19=$E66),'Input|VBRC Calc'!L$9:L$19)</f>
        <v>0</v>
      </c>
      <c r="L66" s="43">
        <f>'Input|Forecast Data'!J66-SUMPRODUCT(--('Input|VBRC Calc'!$E$9:$E$19=$E66),'Input|VBRC Calc'!M$9:M$19)</f>
        <v>0</v>
      </c>
      <c r="M66" s="43">
        <f>'Input|Forecast Data'!K66-SUMPRODUCT(--('Input|VBRC Calc'!$E$9:$E$19=$E66),'Input|VBRC Calc'!N$9:N$19)</f>
        <v>0</v>
      </c>
      <c r="N66" s="7"/>
      <c r="O66" s="7"/>
    </row>
    <row r="67" spans="1:15" x14ac:dyDescent="0.3">
      <c r="A67" s="7"/>
      <c r="B67" s="7"/>
      <c r="C67" s="158">
        <v>0</v>
      </c>
      <c r="D67" s="7"/>
      <c r="E67" s="38" t="s">
        <v>135</v>
      </c>
      <c r="F67" s="38" t="s">
        <v>317</v>
      </c>
      <c r="G67" s="38" t="str">
        <f>VLOOKUP(E67,Mapping!$E$11:$G$204,3,0)</f>
        <v>ACS</v>
      </c>
      <c r="H67" s="38" t="str">
        <f>VLOOKUP(E67,Mapping!$E$11:$K$204,7,0)</f>
        <v>ACS</v>
      </c>
      <c r="I67" s="43">
        <f>'Input|Forecast Data'!G67-SUMPRODUCT(--('Input|VBRC Calc'!$E$9:$E$19=$E67),'Input|VBRC Calc'!J$9:J$19)</f>
        <v>0</v>
      </c>
      <c r="J67" s="43">
        <f>'Input|Forecast Data'!H67-SUMPRODUCT(--('Input|VBRC Calc'!$E$9:$E$19=$E67),'Input|VBRC Calc'!K$9:K$19)</f>
        <v>0</v>
      </c>
      <c r="K67" s="43">
        <f>'Input|Forecast Data'!I67-SUMPRODUCT(--('Input|VBRC Calc'!$E$9:$E$19=$E67),'Input|VBRC Calc'!L$9:L$19)</f>
        <v>0</v>
      </c>
      <c r="L67" s="43">
        <f>'Input|Forecast Data'!J67-SUMPRODUCT(--('Input|VBRC Calc'!$E$9:$E$19=$E67),'Input|VBRC Calc'!M$9:M$19)</f>
        <v>0</v>
      </c>
      <c r="M67" s="43">
        <f>'Input|Forecast Data'!K67-SUMPRODUCT(--('Input|VBRC Calc'!$E$9:$E$19=$E67),'Input|VBRC Calc'!N$9:N$19)</f>
        <v>0</v>
      </c>
      <c r="N67" s="7"/>
      <c r="O67" s="7"/>
    </row>
    <row r="68" spans="1:15" x14ac:dyDescent="0.3">
      <c r="A68" s="7"/>
      <c r="B68" s="7"/>
      <c r="C68" s="158">
        <v>0</v>
      </c>
      <c r="D68" s="7"/>
      <c r="E68" s="38" t="s">
        <v>136</v>
      </c>
      <c r="F68" s="38" t="s">
        <v>318</v>
      </c>
      <c r="G68" s="38" t="str">
        <f>VLOOKUP(E68,Mapping!$E$11:$G$204,3,0)</f>
        <v>ACS</v>
      </c>
      <c r="H68" s="38" t="str">
        <f>VLOOKUP(E68,Mapping!$E$11:$K$204,7,0)</f>
        <v>ACS</v>
      </c>
      <c r="I68" s="43">
        <f>'Input|Forecast Data'!G68-SUMPRODUCT(--('Input|VBRC Calc'!$E$9:$E$19=$E68),'Input|VBRC Calc'!J$9:J$19)</f>
        <v>0</v>
      </c>
      <c r="J68" s="43">
        <f>'Input|Forecast Data'!H68-SUMPRODUCT(--('Input|VBRC Calc'!$E$9:$E$19=$E68),'Input|VBRC Calc'!K$9:K$19)</f>
        <v>0</v>
      </c>
      <c r="K68" s="43">
        <f>'Input|Forecast Data'!I68-SUMPRODUCT(--('Input|VBRC Calc'!$E$9:$E$19=$E68),'Input|VBRC Calc'!L$9:L$19)</f>
        <v>0</v>
      </c>
      <c r="L68" s="43">
        <f>'Input|Forecast Data'!J68-SUMPRODUCT(--('Input|VBRC Calc'!$E$9:$E$19=$E68),'Input|VBRC Calc'!M$9:M$19)</f>
        <v>0</v>
      </c>
      <c r="M68" s="43">
        <f>'Input|Forecast Data'!K68-SUMPRODUCT(--('Input|VBRC Calc'!$E$9:$E$19=$E68),'Input|VBRC Calc'!N$9:N$19)</f>
        <v>0</v>
      </c>
      <c r="N68" s="7"/>
      <c r="O68" s="7"/>
    </row>
    <row r="69" spans="1:15" x14ac:dyDescent="0.3">
      <c r="A69" s="7"/>
      <c r="B69" s="7"/>
      <c r="C69" s="158">
        <v>0</v>
      </c>
      <c r="D69" s="7"/>
      <c r="E69" s="38" t="s">
        <v>137</v>
      </c>
      <c r="F69" s="38" t="s">
        <v>319</v>
      </c>
      <c r="G69" s="38" t="str">
        <f>VLOOKUP(E69,Mapping!$E$11:$G$204,3,0)</f>
        <v>ACS</v>
      </c>
      <c r="H69" s="38" t="str">
        <f>VLOOKUP(E69,Mapping!$E$11:$K$204,7,0)</f>
        <v>ACS</v>
      </c>
      <c r="I69" s="43">
        <f>'Input|Forecast Data'!G69-SUMPRODUCT(--('Input|VBRC Calc'!$E$9:$E$19=$E69),'Input|VBRC Calc'!J$9:J$19)</f>
        <v>0</v>
      </c>
      <c r="J69" s="43">
        <f>'Input|Forecast Data'!H69-SUMPRODUCT(--('Input|VBRC Calc'!$E$9:$E$19=$E69),'Input|VBRC Calc'!K$9:K$19)</f>
        <v>0</v>
      </c>
      <c r="K69" s="43">
        <f>'Input|Forecast Data'!I69-SUMPRODUCT(--('Input|VBRC Calc'!$E$9:$E$19=$E69),'Input|VBRC Calc'!L$9:L$19)</f>
        <v>0</v>
      </c>
      <c r="L69" s="43">
        <f>'Input|Forecast Data'!J69-SUMPRODUCT(--('Input|VBRC Calc'!$E$9:$E$19=$E69),'Input|VBRC Calc'!M$9:M$19)</f>
        <v>0</v>
      </c>
      <c r="M69" s="43">
        <f>'Input|Forecast Data'!K69-SUMPRODUCT(--('Input|VBRC Calc'!$E$9:$E$19=$E69),'Input|VBRC Calc'!N$9:N$19)</f>
        <v>0</v>
      </c>
      <c r="N69" s="7"/>
      <c r="O69" s="7"/>
    </row>
    <row r="70" spans="1:15" x14ac:dyDescent="0.3">
      <c r="A70" s="7"/>
      <c r="B70" s="7"/>
      <c r="C70" s="158">
        <v>0</v>
      </c>
      <c r="D70" s="7"/>
      <c r="E70" s="38" t="s">
        <v>138</v>
      </c>
      <c r="F70" s="38" t="s">
        <v>320</v>
      </c>
      <c r="G70" s="38" t="str">
        <f>VLOOKUP(E70,Mapping!$E$11:$G$204,3,0)</f>
        <v>ACS</v>
      </c>
      <c r="H70" s="38" t="str">
        <f>VLOOKUP(E70,Mapping!$E$11:$K$204,7,0)</f>
        <v>ACS</v>
      </c>
      <c r="I70" s="43">
        <f>'Input|Forecast Data'!G70-SUMPRODUCT(--('Input|VBRC Calc'!$E$9:$E$19=$E70),'Input|VBRC Calc'!J$9:J$19)</f>
        <v>0</v>
      </c>
      <c r="J70" s="43">
        <f>'Input|Forecast Data'!H70-SUMPRODUCT(--('Input|VBRC Calc'!$E$9:$E$19=$E70),'Input|VBRC Calc'!K$9:K$19)</f>
        <v>0</v>
      </c>
      <c r="K70" s="43">
        <f>'Input|Forecast Data'!I70-SUMPRODUCT(--('Input|VBRC Calc'!$E$9:$E$19=$E70),'Input|VBRC Calc'!L$9:L$19)</f>
        <v>0</v>
      </c>
      <c r="L70" s="43">
        <f>'Input|Forecast Data'!J70-SUMPRODUCT(--('Input|VBRC Calc'!$E$9:$E$19=$E70),'Input|VBRC Calc'!M$9:M$19)</f>
        <v>0</v>
      </c>
      <c r="M70" s="43">
        <f>'Input|Forecast Data'!K70-SUMPRODUCT(--('Input|VBRC Calc'!$E$9:$E$19=$E70),'Input|VBRC Calc'!N$9:N$19)</f>
        <v>0</v>
      </c>
      <c r="N70" s="7"/>
      <c r="O70" s="7"/>
    </row>
    <row r="71" spans="1:15" x14ac:dyDescent="0.3">
      <c r="A71" s="7"/>
      <c r="B71" s="7"/>
      <c r="C71" s="158">
        <v>0</v>
      </c>
      <c r="D71" s="7"/>
      <c r="E71" s="38" t="s">
        <v>139</v>
      </c>
      <c r="F71" s="38" t="s">
        <v>321</v>
      </c>
      <c r="G71" s="38" t="str">
        <f>VLOOKUP(E71,Mapping!$E$11:$G$204,3,0)</f>
        <v>ACS</v>
      </c>
      <c r="H71" s="38" t="str">
        <f>VLOOKUP(E71,Mapping!$E$11:$K$204,7,0)</f>
        <v>ACS</v>
      </c>
      <c r="I71" s="43">
        <f>'Input|Forecast Data'!G71-SUMPRODUCT(--('Input|VBRC Calc'!$E$9:$E$19=$E71),'Input|VBRC Calc'!J$9:J$19)</f>
        <v>0</v>
      </c>
      <c r="J71" s="43">
        <f>'Input|Forecast Data'!H71-SUMPRODUCT(--('Input|VBRC Calc'!$E$9:$E$19=$E71),'Input|VBRC Calc'!K$9:K$19)</f>
        <v>0</v>
      </c>
      <c r="K71" s="43">
        <f>'Input|Forecast Data'!I71-SUMPRODUCT(--('Input|VBRC Calc'!$E$9:$E$19=$E71),'Input|VBRC Calc'!L$9:L$19)</f>
        <v>0</v>
      </c>
      <c r="L71" s="43">
        <f>'Input|Forecast Data'!J71-SUMPRODUCT(--('Input|VBRC Calc'!$E$9:$E$19=$E71),'Input|VBRC Calc'!M$9:M$19)</f>
        <v>0</v>
      </c>
      <c r="M71" s="43">
        <f>'Input|Forecast Data'!K71-SUMPRODUCT(--('Input|VBRC Calc'!$E$9:$E$19=$E71),'Input|VBRC Calc'!N$9:N$19)</f>
        <v>0</v>
      </c>
      <c r="N71" s="7"/>
      <c r="O71" s="7"/>
    </row>
    <row r="72" spans="1:15" x14ac:dyDescent="0.3">
      <c r="A72" s="7"/>
      <c r="B72" s="7"/>
      <c r="C72" s="158">
        <v>0</v>
      </c>
      <c r="D72" s="7"/>
      <c r="E72" s="38" t="s">
        <v>140</v>
      </c>
      <c r="F72" s="38" t="s">
        <v>322</v>
      </c>
      <c r="G72" s="38" t="str">
        <f>VLOOKUP(E72,Mapping!$E$11:$G$204,3,0)</f>
        <v>ACS</v>
      </c>
      <c r="H72" s="38" t="str">
        <f>VLOOKUP(E72,Mapping!$E$11:$K$204,7,0)</f>
        <v>ACS</v>
      </c>
      <c r="I72" s="43">
        <f>'Input|Forecast Data'!G72-SUMPRODUCT(--('Input|VBRC Calc'!$E$9:$E$19=$E72),'Input|VBRC Calc'!J$9:J$19)</f>
        <v>0</v>
      </c>
      <c r="J72" s="43">
        <f>'Input|Forecast Data'!H72-SUMPRODUCT(--('Input|VBRC Calc'!$E$9:$E$19=$E72),'Input|VBRC Calc'!K$9:K$19)</f>
        <v>0</v>
      </c>
      <c r="K72" s="43">
        <f>'Input|Forecast Data'!I72-SUMPRODUCT(--('Input|VBRC Calc'!$E$9:$E$19=$E72),'Input|VBRC Calc'!L$9:L$19)</f>
        <v>0</v>
      </c>
      <c r="L72" s="43">
        <f>'Input|Forecast Data'!J72-SUMPRODUCT(--('Input|VBRC Calc'!$E$9:$E$19=$E72),'Input|VBRC Calc'!M$9:M$19)</f>
        <v>0</v>
      </c>
      <c r="M72" s="43">
        <f>'Input|Forecast Data'!K72-SUMPRODUCT(--('Input|VBRC Calc'!$E$9:$E$19=$E72),'Input|VBRC Calc'!N$9:N$19)</f>
        <v>0</v>
      </c>
      <c r="N72" s="7"/>
      <c r="O72" s="7"/>
    </row>
    <row r="73" spans="1:15" x14ac:dyDescent="0.3">
      <c r="A73" s="7"/>
      <c r="B73" s="7"/>
      <c r="C73" s="158">
        <v>0</v>
      </c>
      <c r="D73" s="7"/>
      <c r="E73" s="38" t="s">
        <v>141</v>
      </c>
      <c r="F73" s="38" t="s">
        <v>323</v>
      </c>
      <c r="G73" s="38" t="str">
        <f>VLOOKUP(E73,Mapping!$E$11:$G$204,3,0)</f>
        <v>ACS</v>
      </c>
      <c r="H73" s="38" t="str">
        <f>VLOOKUP(E73,Mapping!$E$11:$K$204,7,0)</f>
        <v>ACS</v>
      </c>
      <c r="I73" s="43">
        <f>'Input|Forecast Data'!G73-SUMPRODUCT(--('Input|VBRC Calc'!$E$9:$E$19=$E73),'Input|VBRC Calc'!J$9:J$19)</f>
        <v>0</v>
      </c>
      <c r="J73" s="43">
        <f>'Input|Forecast Data'!H73-SUMPRODUCT(--('Input|VBRC Calc'!$E$9:$E$19=$E73),'Input|VBRC Calc'!K$9:K$19)</f>
        <v>0</v>
      </c>
      <c r="K73" s="43">
        <f>'Input|Forecast Data'!I73-SUMPRODUCT(--('Input|VBRC Calc'!$E$9:$E$19=$E73),'Input|VBRC Calc'!L$9:L$19)</f>
        <v>0</v>
      </c>
      <c r="L73" s="43">
        <f>'Input|Forecast Data'!J73-SUMPRODUCT(--('Input|VBRC Calc'!$E$9:$E$19=$E73),'Input|VBRC Calc'!M$9:M$19)</f>
        <v>0</v>
      </c>
      <c r="M73" s="43">
        <f>'Input|Forecast Data'!K73-SUMPRODUCT(--('Input|VBRC Calc'!$E$9:$E$19=$E73),'Input|VBRC Calc'!N$9:N$19)</f>
        <v>0</v>
      </c>
      <c r="N73" s="7"/>
      <c r="O73" s="7"/>
    </row>
    <row r="74" spans="1:15" x14ac:dyDescent="0.3">
      <c r="A74" s="7"/>
      <c r="B74" s="7"/>
      <c r="C74" s="158">
        <v>0</v>
      </c>
      <c r="D74" s="7"/>
      <c r="E74" s="38" t="s">
        <v>142</v>
      </c>
      <c r="F74" s="38" t="s">
        <v>324</v>
      </c>
      <c r="G74" s="38" t="str">
        <f>VLOOKUP(E74,Mapping!$E$11:$G$204,3,0)</f>
        <v>ACS</v>
      </c>
      <c r="H74" s="38" t="str">
        <f>VLOOKUP(E74,Mapping!$E$11:$K$204,7,0)</f>
        <v>ACS</v>
      </c>
      <c r="I74" s="43">
        <f>'Input|Forecast Data'!G74-SUMPRODUCT(--('Input|VBRC Calc'!$E$9:$E$19=$E74),'Input|VBRC Calc'!J$9:J$19)</f>
        <v>0</v>
      </c>
      <c r="J74" s="43">
        <f>'Input|Forecast Data'!H74-SUMPRODUCT(--('Input|VBRC Calc'!$E$9:$E$19=$E74),'Input|VBRC Calc'!K$9:K$19)</f>
        <v>0</v>
      </c>
      <c r="K74" s="43">
        <f>'Input|Forecast Data'!I74-SUMPRODUCT(--('Input|VBRC Calc'!$E$9:$E$19=$E74),'Input|VBRC Calc'!L$9:L$19)</f>
        <v>0</v>
      </c>
      <c r="L74" s="43">
        <f>'Input|Forecast Data'!J74-SUMPRODUCT(--('Input|VBRC Calc'!$E$9:$E$19=$E74),'Input|VBRC Calc'!M$9:M$19)</f>
        <v>0</v>
      </c>
      <c r="M74" s="43">
        <f>'Input|Forecast Data'!K74-SUMPRODUCT(--('Input|VBRC Calc'!$E$9:$E$19=$E74),'Input|VBRC Calc'!N$9:N$19)</f>
        <v>0</v>
      </c>
      <c r="N74" s="7"/>
      <c r="O74" s="7"/>
    </row>
    <row r="75" spans="1:15" x14ac:dyDescent="0.3">
      <c r="A75" s="7"/>
      <c r="B75" s="7"/>
      <c r="C75" s="158">
        <v>0</v>
      </c>
      <c r="D75" s="7"/>
      <c r="E75" s="38" t="s">
        <v>143</v>
      </c>
      <c r="F75" s="38" t="s">
        <v>325</v>
      </c>
      <c r="G75" s="38" t="str">
        <f>VLOOKUP(E75,Mapping!$E$11:$G$204,3,0)</f>
        <v>ACS</v>
      </c>
      <c r="H75" s="38" t="str">
        <f>VLOOKUP(E75,Mapping!$E$11:$K$204,7,0)</f>
        <v>ACS</v>
      </c>
      <c r="I75" s="43">
        <f>'Input|Forecast Data'!G75-SUMPRODUCT(--('Input|VBRC Calc'!$E$9:$E$19=$E75),'Input|VBRC Calc'!J$9:J$19)</f>
        <v>0</v>
      </c>
      <c r="J75" s="43">
        <f>'Input|Forecast Data'!H75-SUMPRODUCT(--('Input|VBRC Calc'!$E$9:$E$19=$E75),'Input|VBRC Calc'!K$9:K$19)</f>
        <v>0</v>
      </c>
      <c r="K75" s="43">
        <f>'Input|Forecast Data'!I75-SUMPRODUCT(--('Input|VBRC Calc'!$E$9:$E$19=$E75),'Input|VBRC Calc'!L$9:L$19)</f>
        <v>0</v>
      </c>
      <c r="L75" s="43">
        <f>'Input|Forecast Data'!J75-SUMPRODUCT(--('Input|VBRC Calc'!$E$9:$E$19=$E75),'Input|VBRC Calc'!M$9:M$19)</f>
        <v>0</v>
      </c>
      <c r="M75" s="43">
        <f>'Input|Forecast Data'!K75-SUMPRODUCT(--('Input|VBRC Calc'!$E$9:$E$19=$E75),'Input|VBRC Calc'!N$9:N$19)</f>
        <v>0</v>
      </c>
      <c r="N75" s="7"/>
      <c r="O75" s="7"/>
    </row>
    <row r="76" spans="1:15" x14ac:dyDescent="0.3">
      <c r="A76" s="7"/>
      <c r="B76" s="7"/>
      <c r="C76" s="158">
        <v>0</v>
      </c>
      <c r="D76" s="7"/>
      <c r="E76" s="38" t="s">
        <v>144</v>
      </c>
      <c r="F76" s="38" t="s">
        <v>326</v>
      </c>
      <c r="G76" s="38" t="str">
        <f>VLOOKUP(E76,Mapping!$E$11:$G$204,3,0)</f>
        <v>Augmentation</v>
      </c>
      <c r="H76" s="38" t="str">
        <f>VLOOKUP(E76,Mapping!$E$11:$K$204,7,0)</f>
        <v>SCS</v>
      </c>
      <c r="I76" s="43">
        <f>'Input|Forecast Data'!G76-SUMPRODUCT(--('Input|VBRC Calc'!$E$9:$E$19=$E76),'Input|VBRC Calc'!J$9:J$19)</f>
        <v>1522.2348232737879</v>
      </c>
      <c r="J76" s="43">
        <f>'Input|Forecast Data'!H76-SUMPRODUCT(--('Input|VBRC Calc'!$E$9:$E$19=$E76),'Input|VBRC Calc'!K$9:K$19)</f>
        <v>1522.2348232737879</v>
      </c>
      <c r="K76" s="43">
        <f>'Input|Forecast Data'!I76-SUMPRODUCT(--('Input|VBRC Calc'!$E$9:$E$19=$E76),'Input|VBRC Calc'!L$9:L$19)</f>
        <v>1522.2348232737879</v>
      </c>
      <c r="L76" s="43">
        <f>'Input|Forecast Data'!J76-SUMPRODUCT(--('Input|VBRC Calc'!$E$9:$E$19=$E76),'Input|VBRC Calc'!M$9:M$19)</f>
        <v>1522.2348232737879</v>
      </c>
      <c r="M76" s="43">
        <f>'Input|Forecast Data'!K76-SUMPRODUCT(--('Input|VBRC Calc'!$E$9:$E$19=$E76),'Input|VBRC Calc'!N$9:N$19)</f>
        <v>1522.2348232737879</v>
      </c>
      <c r="N76" s="7"/>
      <c r="O76" s="7"/>
    </row>
    <row r="77" spans="1:15" x14ac:dyDescent="0.3">
      <c r="A77" s="7"/>
      <c r="B77" s="7"/>
      <c r="C77" s="158">
        <v>0</v>
      </c>
      <c r="D77" s="7"/>
      <c r="E77" s="38" t="s">
        <v>145</v>
      </c>
      <c r="F77" s="38" t="s">
        <v>327</v>
      </c>
      <c r="G77" s="38" t="str">
        <f>VLOOKUP(E77,Mapping!$E$11:$G$204,3,0)</f>
        <v>Augmentation</v>
      </c>
      <c r="H77" s="38" t="str">
        <f>VLOOKUP(E77,Mapping!$E$11:$K$204,7,0)</f>
        <v>SCS</v>
      </c>
      <c r="I77" s="43">
        <f>'Input|Forecast Data'!G77-SUMPRODUCT(--('Input|VBRC Calc'!$E$9:$E$19=$E77),'Input|VBRC Calc'!J$9:J$19)</f>
        <v>573.53084937930873</v>
      </c>
      <c r="J77" s="43">
        <f>'Input|Forecast Data'!H77-SUMPRODUCT(--('Input|VBRC Calc'!$E$9:$E$19=$E77),'Input|VBRC Calc'!K$9:K$19)</f>
        <v>573.53084937930873</v>
      </c>
      <c r="K77" s="43">
        <f>'Input|Forecast Data'!I77-SUMPRODUCT(--('Input|VBRC Calc'!$E$9:$E$19=$E77),'Input|VBRC Calc'!L$9:L$19)</f>
        <v>573.53084937930873</v>
      </c>
      <c r="L77" s="43">
        <f>'Input|Forecast Data'!J77-SUMPRODUCT(--('Input|VBRC Calc'!$E$9:$E$19=$E77),'Input|VBRC Calc'!M$9:M$19)</f>
        <v>573.53084937930873</v>
      </c>
      <c r="M77" s="43">
        <f>'Input|Forecast Data'!K77-SUMPRODUCT(--('Input|VBRC Calc'!$E$9:$E$19=$E77),'Input|VBRC Calc'!N$9:N$19)</f>
        <v>573.53084937930873</v>
      </c>
      <c r="N77" s="7"/>
      <c r="O77" s="7"/>
    </row>
    <row r="78" spans="1:15" x14ac:dyDescent="0.3">
      <c r="A78" s="7"/>
      <c r="B78" s="7"/>
      <c r="C78" s="158">
        <v>0</v>
      </c>
      <c r="D78" s="7"/>
      <c r="E78" s="38" t="s">
        <v>146</v>
      </c>
      <c r="F78" s="38" t="s">
        <v>328</v>
      </c>
      <c r="G78" s="134" t="s">
        <v>59</v>
      </c>
      <c r="H78" s="38" t="str">
        <f>VLOOKUP(E78,Mapping!$E$11:$K$204,7,0)</f>
        <v>SCS</v>
      </c>
      <c r="I78" s="43">
        <f>'Input|Forecast Data'!G78-SUMPRODUCT(--('Input|VBRC Calc'!$E$9:$E$19=$E78),'Input|VBRC Calc'!J$9:J$19)</f>
        <v>0</v>
      </c>
      <c r="J78" s="43">
        <f>'Input|Forecast Data'!H78-SUMPRODUCT(--('Input|VBRC Calc'!$E$9:$E$19=$E78),'Input|VBRC Calc'!K$9:K$19)</f>
        <v>0</v>
      </c>
      <c r="K78" s="43">
        <f>'Input|Forecast Data'!I78-SUMPRODUCT(--('Input|VBRC Calc'!$E$9:$E$19=$E78),'Input|VBRC Calc'!L$9:L$19)</f>
        <v>0</v>
      </c>
      <c r="L78" s="43">
        <f>'Input|Forecast Data'!J78-SUMPRODUCT(--('Input|VBRC Calc'!$E$9:$E$19=$E78),'Input|VBRC Calc'!M$9:M$19)</f>
        <v>0</v>
      </c>
      <c r="M78" s="43">
        <f>'Input|Forecast Data'!K78-SUMPRODUCT(--('Input|VBRC Calc'!$E$9:$E$19=$E78),'Input|VBRC Calc'!N$9:N$19)</f>
        <v>0</v>
      </c>
      <c r="N78" s="7"/>
      <c r="O78" s="7"/>
    </row>
    <row r="79" spans="1:15" x14ac:dyDescent="0.3">
      <c r="A79" s="7"/>
      <c r="B79" s="7"/>
      <c r="C79" s="158">
        <v>0</v>
      </c>
      <c r="D79" s="7"/>
      <c r="E79" s="38" t="s">
        <v>147</v>
      </c>
      <c r="F79" s="38" t="s">
        <v>329</v>
      </c>
      <c r="G79" s="38" t="str">
        <f>VLOOKUP(E79,Mapping!$E$11:$G$204,3,0)</f>
        <v>Augmentation</v>
      </c>
      <c r="H79" s="38" t="str">
        <f>VLOOKUP(E79,Mapping!$E$11:$K$204,7,0)</f>
        <v>SCS</v>
      </c>
      <c r="I79" s="43">
        <f>'Input|Forecast Data'!G79-SUMPRODUCT(--('Input|VBRC Calc'!$E$9:$E$19=$E79),'Input|VBRC Calc'!J$9:J$19)</f>
        <v>311.68388648881023</v>
      </c>
      <c r="J79" s="43">
        <f>'Input|Forecast Data'!H79-SUMPRODUCT(--('Input|VBRC Calc'!$E$9:$E$19=$E79),'Input|VBRC Calc'!K$9:K$19)</f>
        <v>311.68388648881023</v>
      </c>
      <c r="K79" s="43">
        <f>'Input|Forecast Data'!I79-SUMPRODUCT(--('Input|VBRC Calc'!$E$9:$E$19=$E79),'Input|VBRC Calc'!L$9:L$19)</f>
        <v>207.78925765920681</v>
      </c>
      <c r="L79" s="43">
        <f>'Input|Forecast Data'!J79-SUMPRODUCT(--('Input|VBRC Calc'!$E$9:$E$19=$E79),'Input|VBRC Calc'!M$9:M$19)</f>
        <v>103.89462882960341</v>
      </c>
      <c r="M79" s="43">
        <f>'Input|Forecast Data'!K79-SUMPRODUCT(--('Input|VBRC Calc'!$E$9:$E$19=$E79),'Input|VBRC Calc'!N$9:N$19)</f>
        <v>103.89462882960341</v>
      </c>
      <c r="N79" s="7"/>
      <c r="O79" s="7"/>
    </row>
    <row r="80" spans="1:15" x14ac:dyDescent="0.3">
      <c r="A80" s="7"/>
      <c r="B80" s="7"/>
      <c r="C80" s="158">
        <v>0</v>
      </c>
      <c r="D80" s="7"/>
      <c r="E80" s="38" t="s">
        <v>148</v>
      </c>
      <c r="F80" s="38" t="s">
        <v>330</v>
      </c>
      <c r="G80" s="134" t="s">
        <v>59</v>
      </c>
      <c r="H80" s="38" t="str">
        <f>VLOOKUP(E80,Mapping!$E$11:$K$204,7,0)</f>
        <v>SCS</v>
      </c>
      <c r="I80" s="43">
        <f>'Input|Forecast Data'!G80-SUMPRODUCT(--('Input|VBRC Calc'!$E$9:$E$19=$E80),'Input|VBRC Calc'!J$9:J$19)</f>
        <v>0</v>
      </c>
      <c r="J80" s="43">
        <f>'Input|Forecast Data'!H80-SUMPRODUCT(--('Input|VBRC Calc'!$E$9:$E$19=$E80),'Input|VBRC Calc'!K$9:K$19)</f>
        <v>0</v>
      </c>
      <c r="K80" s="43">
        <f>'Input|Forecast Data'!I80-SUMPRODUCT(--('Input|VBRC Calc'!$E$9:$E$19=$E80),'Input|VBRC Calc'!L$9:L$19)</f>
        <v>0</v>
      </c>
      <c r="L80" s="43">
        <f>'Input|Forecast Data'!J80-SUMPRODUCT(--('Input|VBRC Calc'!$E$9:$E$19=$E80),'Input|VBRC Calc'!M$9:M$19)</f>
        <v>0</v>
      </c>
      <c r="M80" s="43">
        <f>'Input|Forecast Data'!K80-SUMPRODUCT(--('Input|VBRC Calc'!$E$9:$E$19=$E80),'Input|VBRC Calc'!N$9:N$19)</f>
        <v>0</v>
      </c>
      <c r="N80" s="7"/>
      <c r="O80" s="7"/>
    </row>
    <row r="81" spans="1:15" x14ac:dyDescent="0.3">
      <c r="A81" s="7"/>
      <c r="B81" s="7"/>
      <c r="C81" s="158">
        <v>0</v>
      </c>
      <c r="D81" s="7"/>
      <c r="E81" s="38" t="s">
        <v>149</v>
      </c>
      <c r="F81" s="38" t="s">
        <v>331</v>
      </c>
      <c r="G81" s="134" t="s">
        <v>59</v>
      </c>
      <c r="H81" s="38" t="str">
        <f>VLOOKUP(E81,Mapping!$E$11:$K$204,7,0)</f>
        <v>SCS</v>
      </c>
      <c r="I81" s="43">
        <f>'Input|Forecast Data'!G81-SUMPRODUCT(--('Input|VBRC Calc'!$E$9:$E$19=$E81),'Input|VBRC Calc'!J$9:J$19)</f>
        <v>0</v>
      </c>
      <c r="J81" s="43">
        <f>'Input|Forecast Data'!H81-SUMPRODUCT(--('Input|VBRC Calc'!$E$9:$E$19=$E81),'Input|VBRC Calc'!K$9:K$19)</f>
        <v>0</v>
      </c>
      <c r="K81" s="43">
        <f>'Input|Forecast Data'!I81-SUMPRODUCT(--('Input|VBRC Calc'!$E$9:$E$19=$E81),'Input|VBRC Calc'!L$9:L$19)</f>
        <v>0</v>
      </c>
      <c r="L81" s="43">
        <f>'Input|Forecast Data'!J81-SUMPRODUCT(--('Input|VBRC Calc'!$E$9:$E$19=$E81),'Input|VBRC Calc'!M$9:M$19)</f>
        <v>0</v>
      </c>
      <c r="M81" s="43">
        <f>'Input|Forecast Data'!K81-SUMPRODUCT(--('Input|VBRC Calc'!$E$9:$E$19=$E81),'Input|VBRC Calc'!N$9:N$19)</f>
        <v>0</v>
      </c>
      <c r="N81" s="7"/>
      <c r="O81" s="7"/>
    </row>
    <row r="82" spans="1:15" x14ac:dyDescent="0.3">
      <c r="A82" s="7"/>
      <c r="B82" s="7"/>
      <c r="C82" s="158">
        <v>0</v>
      </c>
      <c r="D82" s="7"/>
      <c r="E82" s="38" t="s">
        <v>150</v>
      </c>
      <c r="F82" s="38" t="s">
        <v>332</v>
      </c>
      <c r="G82" s="38" t="str">
        <f>VLOOKUP(E82,Mapping!$E$11:$G$204,3,0)</f>
        <v>Replacement</v>
      </c>
      <c r="H82" s="38" t="str">
        <f>VLOOKUP(E82,Mapping!$E$11:$K$204,7,0)</f>
        <v>SCS</v>
      </c>
      <c r="I82" s="43">
        <f>'Input|Forecast Data'!G82-SUMPRODUCT(--('Input|VBRC Calc'!$E$9:$E$19=$E82),'Input|VBRC Calc'!J$9:J$19)</f>
        <v>108.808976685391</v>
      </c>
      <c r="J82" s="43">
        <f>'Input|Forecast Data'!H82-SUMPRODUCT(--('Input|VBRC Calc'!$E$9:$E$19=$E82),'Input|VBRC Calc'!K$9:K$19)</f>
        <v>108.808976685391</v>
      </c>
      <c r="K82" s="43">
        <f>'Input|Forecast Data'!I82-SUMPRODUCT(--('Input|VBRC Calc'!$E$9:$E$19=$E82),'Input|VBRC Calc'!L$9:L$19)</f>
        <v>108.808976685391</v>
      </c>
      <c r="L82" s="43">
        <f>'Input|Forecast Data'!J82-SUMPRODUCT(--('Input|VBRC Calc'!$E$9:$E$19=$E82),'Input|VBRC Calc'!M$9:M$19)</f>
        <v>108.808976685391</v>
      </c>
      <c r="M82" s="43">
        <f>'Input|Forecast Data'!K82-SUMPRODUCT(--('Input|VBRC Calc'!$E$9:$E$19=$E82),'Input|VBRC Calc'!N$9:N$19)</f>
        <v>108.808976685391</v>
      </c>
      <c r="N82" s="7"/>
      <c r="O82" s="7"/>
    </row>
    <row r="83" spans="1:15" x14ac:dyDescent="0.3">
      <c r="A83" s="7"/>
      <c r="B83" s="7"/>
      <c r="C83" s="158">
        <v>0</v>
      </c>
      <c r="D83" s="7"/>
      <c r="E83" s="38" t="s">
        <v>151</v>
      </c>
      <c r="F83" s="38" t="s">
        <v>333</v>
      </c>
      <c r="G83" s="38" t="str">
        <f>VLOOKUP(E83,Mapping!$E$11:$G$204,3,0)</f>
        <v>Replacement</v>
      </c>
      <c r="H83" s="38" t="str">
        <f>VLOOKUP(E83,Mapping!$E$11:$K$204,7,0)</f>
        <v>SCS</v>
      </c>
      <c r="I83" s="43">
        <f>'Input|Forecast Data'!G83-SUMPRODUCT(--('Input|VBRC Calc'!$E$9:$E$19=$E83),'Input|VBRC Calc'!J$9:J$19)</f>
        <v>16.232976178972311</v>
      </c>
      <c r="J83" s="43">
        <f>'Input|Forecast Data'!H83-SUMPRODUCT(--('Input|VBRC Calc'!$E$9:$E$19=$E83),'Input|VBRC Calc'!K$9:K$19)</f>
        <v>16.232976178972311</v>
      </c>
      <c r="K83" s="43">
        <f>'Input|Forecast Data'!I83-SUMPRODUCT(--('Input|VBRC Calc'!$E$9:$E$19=$E83),'Input|VBRC Calc'!L$9:L$19)</f>
        <v>16.232976178972311</v>
      </c>
      <c r="L83" s="43">
        <f>'Input|Forecast Data'!J83-SUMPRODUCT(--('Input|VBRC Calc'!$E$9:$E$19=$E83),'Input|VBRC Calc'!M$9:M$19)</f>
        <v>16.232976178972311</v>
      </c>
      <c r="M83" s="43">
        <f>'Input|Forecast Data'!K83-SUMPRODUCT(--('Input|VBRC Calc'!$E$9:$E$19=$E83),'Input|VBRC Calc'!N$9:N$19)</f>
        <v>16.232976178972311</v>
      </c>
      <c r="N83" s="7"/>
      <c r="O83" s="7"/>
    </row>
    <row r="84" spans="1:15" x14ac:dyDescent="0.3">
      <c r="A84" s="7"/>
      <c r="B84" s="7"/>
      <c r="C84" s="158">
        <v>0</v>
      </c>
      <c r="D84" s="7"/>
      <c r="E84" s="38" t="s">
        <v>152</v>
      </c>
      <c r="F84" s="38" t="s">
        <v>334</v>
      </c>
      <c r="G84" s="38" t="str">
        <f>VLOOKUP(E84,Mapping!$E$11:$G$204,3,0)</f>
        <v>Augmentation</v>
      </c>
      <c r="H84" s="38" t="str">
        <f>VLOOKUP(E84,Mapping!$E$11:$K$204,7,0)</f>
        <v>SCS</v>
      </c>
      <c r="I84" s="43">
        <f>'Input|Forecast Data'!G84-SUMPRODUCT(--('Input|VBRC Calc'!$E$9:$E$19=$E84),'Input|VBRC Calc'!J$9:J$19)</f>
        <v>531.16133144919888</v>
      </c>
      <c r="J84" s="43">
        <f>'Input|Forecast Data'!H84-SUMPRODUCT(--('Input|VBRC Calc'!$E$9:$E$19=$E84),'Input|VBRC Calc'!K$9:K$19)</f>
        <v>531.16133144919888</v>
      </c>
      <c r="K84" s="43">
        <f>'Input|Forecast Data'!I84-SUMPRODUCT(--('Input|VBRC Calc'!$E$9:$E$19=$E84),'Input|VBRC Calc'!L$9:L$19)</f>
        <v>531.16133144919888</v>
      </c>
      <c r="L84" s="43">
        <f>'Input|Forecast Data'!J84-SUMPRODUCT(--('Input|VBRC Calc'!$E$9:$E$19=$E84),'Input|VBRC Calc'!M$9:M$19)</f>
        <v>531.16133144919888</v>
      </c>
      <c r="M84" s="43">
        <f>'Input|Forecast Data'!K84-SUMPRODUCT(--('Input|VBRC Calc'!$E$9:$E$19=$E84),'Input|VBRC Calc'!N$9:N$19)</f>
        <v>531.16133144919888</v>
      </c>
      <c r="N84" s="7"/>
      <c r="O84" s="7"/>
    </row>
    <row r="85" spans="1:15" x14ac:dyDescent="0.3">
      <c r="A85" s="7"/>
      <c r="B85" s="7"/>
      <c r="C85" s="158">
        <v>0</v>
      </c>
      <c r="D85" s="7"/>
      <c r="E85" s="147" t="s">
        <v>152</v>
      </c>
      <c r="F85" s="147" t="s">
        <v>334</v>
      </c>
      <c r="G85" s="148" t="str">
        <f>'Input|Forecast Data'!L85</f>
        <v>Replacement</v>
      </c>
      <c r="H85" s="38" t="str">
        <f>VLOOKUP(E85,Mapping!$E$11:$K$204,7,0)</f>
        <v>SCS</v>
      </c>
      <c r="I85" s="43">
        <f>'Input|Forecast Data'!G85-SUMPRODUCT(--('Input|VBRC Calc'!$E$9:$E$19=$E85),'Input|VBRC Calc'!J$9:J$19)</f>
        <v>583.83841689150859</v>
      </c>
      <c r="J85" s="43">
        <f>'Input|Forecast Data'!H85-SUMPRODUCT(--('Input|VBRC Calc'!$E$9:$E$19=$E85),'Input|VBRC Calc'!K$9:K$19)</f>
        <v>583.83841689150859</v>
      </c>
      <c r="K85" s="43">
        <f>'Input|Forecast Data'!I85-SUMPRODUCT(--('Input|VBRC Calc'!$E$9:$E$19=$E85),'Input|VBRC Calc'!L$9:L$19)</f>
        <v>583.83841689150859</v>
      </c>
      <c r="L85" s="43">
        <f>'Input|Forecast Data'!J85-SUMPRODUCT(--('Input|VBRC Calc'!$E$9:$E$19=$E85),'Input|VBRC Calc'!M$9:M$19)</f>
        <v>583.83841689150859</v>
      </c>
      <c r="M85" s="43">
        <f>'Input|Forecast Data'!K85-SUMPRODUCT(--('Input|VBRC Calc'!$E$9:$E$19=$E85),'Input|VBRC Calc'!N$9:N$19)</f>
        <v>583.83841689150859</v>
      </c>
      <c r="N85" s="7"/>
      <c r="O85" s="7"/>
    </row>
    <row r="86" spans="1:15" x14ac:dyDescent="0.3">
      <c r="A86" s="7"/>
      <c r="B86" s="7"/>
      <c r="C86" s="158">
        <v>0</v>
      </c>
      <c r="D86" s="7"/>
      <c r="E86" s="38" t="s">
        <v>153</v>
      </c>
      <c r="F86" s="38" t="s">
        <v>335</v>
      </c>
      <c r="G86" s="225" t="str">
        <f>'Input|Forecast Data'!L86</f>
        <v>Replacement</v>
      </c>
      <c r="H86" s="38" t="str">
        <f>VLOOKUP(E86,Mapping!$E$11:$K$204,7,0)</f>
        <v>SCS</v>
      </c>
      <c r="I86" s="43">
        <f>'Input|Forecast Data'!G86-SUMPRODUCT(--('Input|VBRC Calc'!$E$9:$E$19=$E86),'Input|VBRC Calc'!J$9:J$19)</f>
        <v>1.9981207784939914</v>
      </c>
      <c r="J86" s="43">
        <f>'Input|Forecast Data'!H86-SUMPRODUCT(--('Input|VBRC Calc'!$E$9:$E$19=$E86),'Input|VBRC Calc'!K$9:K$19)</f>
        <v>1.9981207784939914</v>
      </c>
      <c r="K86" s="43">
        <f>'Input|Forecast Data'!I86-SUMPRODUCT(--('Input|VBRC Calc'!$E$9:$E$19=$E86),'Input|VBRC Calc'!L$9:L$19)</f>
        <v>1.9981207784939914</v>
      </c>
      <c r="L86" s="43">
        <f>'Input|Forecast Data'!J86-SUMPRODUCT(--('Input|VBRC Calc'!$E$9:$E$19=$E86),'Input|VBRC Calc'!M$9:M$19)</f>
        <v>1.9981207784939914</v>
      </c>
      <c r="M86" s="43">
        <f>'Input|Forecast Data'!K86-SUMPRODUCT(--('Input|VBRC Calc'!$E$9:$E$19=$E86),'Input|VBRC Calc'!N$9:N$19)</f>
        <v>1.9981207784939914</v>
      </c>
      <c r="N86" s="7"/>
      <c r="O86" s="7"/>
    </row>
    <row r="87" spans="1:15" x14ac:dyDescent="0.3">
      <c r="A87" s="7"/>
      <c r="B87" s="7"/>
      <c r="C87" s="158">
        <v>0</v>
      </c>
      <c r="D87" s="7"/>
      <c r="E87" s="38" t="s">
        <v>154</v>
      </c>
      <c r="F87" s="38" t="s">
        <v>336</v>
      </c>
      <c r="G87" s="38" t="str">
        <f>VLOOKUP(E87,Mapping!$E$11:$G$204,3,0)</f>
        <v>Augmentation</v>
      </c>
      <c r="H87" s="38" t="str">
        <f>VLOOKUP(E87,Mapping!$E$11:$K$204,7,0)</f>
        <v>SCADA (10-year asset)</v>
      </c>
      <c r="I87" s="43">
        <f>'Input|Forecast Data'!G87-SUMPRODUCT(--('Input|VBRC Calc'!$E$9:$E$19=$E87),'Input|VBRC Calc'!J$9:J$19)</f>
        <v>0</v>
      </c>
      <c r="J87" s="43">
        <f>'Input|Forecast Data'!H87-SUMPRODUCT(--('Input|VBRC Calc'!$E$9:$E$19=$E87),'Input|VBRC Calc'!K$9:K$19)</f>
        <v>0</v>
      </c>
      <c r="K87" s="43">
        <f>'Input|Forecast Data'!I87-SUMPRODUCT(--('Input|VBRC Calc'!$E$9:$E$19=$E87),'Input|VBRC Calc'!L$9:L$19)</f>
        <v>0</v>
      </c>
      <c r="L87" s="43">
        <f>'Input|Forecast Data'!J87-SUMPRODUCT(--('Input|VBRC Calc'!$E$9:$E$19=$E87),'Input|VBRC Calc'!M$9:M$19)</f>
        <v>0</v>
      </c>
      <c r="M87" s="43">
        <f>'Input|Forecast Data'!K87-SUMPRODUCT(--('Input|VBRC Calc'!$E$9:$E$19=$E87),'Input|VBRC Calc'!N$9:N$19)</f>
        <v>0</v>
      </c>
      <c r="N87" s="7"/>
      <c r="O87" s="7"/>
    </row>
    <row r="88" spans="1:15" x14ac:dyDescent="0.3">
      <c r="A88" s="7"/>
      <c r="B88" s="7"/>
      <c r="C88" s="158">
        <v>0</v>
      </c>
      <c r="D88" s="7"/>
      <c r="E88" s="38" t="s">
        <v>155</v>
      </c>
      <c r="F88" s="38" t="s">
        <v>337</v>
      </c>
      <c r="G88" s="38" t="str">
        <f>VLOOKUP(E88,Mapping!$E$11:$G$204,3,0)</f>
        <v>Replacement</v>
      </c>
      <c r="H88" s="38" t="str">
        <f>VLOOKUP(E88,Mapping!$E$11:$K$204,7,0)</f>
        <v>SCS</v>
      </c>
      <c r="I88" s="43">
        <f>'Input|Forecast Data'!G88-SUMPRODUCT(--('Input|VBRC Calc'!$E$9:$E$19=$E88),'Input|VBRC Calc'!J$9:J$19)</f>
        <v>605.47431595422188</v>
      </c>
      <c r="J88" s="43">
        <f>'Input|Forecast Data'!H88-SUMPRODUCT(--('Input|VBRC Calc'!$E$9:$E$19=$E88),'Input|VBRC Calc'!K$9:K$19)</f>
        <v>659.99263406635112</v>
      </c>
      <c r="K88" s="43">
        <f>'Input|Forecast Data'!I88-SUMPRODUCT(--('Input|VBRC Calc'!$E$9:$E$19=$E88),'Input|VBRC Calc'!L$9:L$19)</f>
        <v>714.51095217846955</v>
      </c>
      <c r="L88" s="43">
        <f>'Input|Forecast Data'!J88-SUMPRODUCT(--('Input|VBRC Calc'!$E$9:$E$19=$E88),'Input|VBRC Calc'!M$9:M$19)</f>
        <v>769.02927029058787</v>
      </c>
      <c r="M88" s="43">
        <f>'Input|Forecast Data'!K88-SUMPRODUCT(--('Input|VBRC Calc'!$E$9:$E$19=$E88),'Input|VBRC Calc'!N$9:N$19)</f>
        <v>823.54758840271722</v>
      </c>
      <c r="N88" s="7"/>
      <c r="O88" s="7"/>
    </row>
    <row r="89" spans="1:15" x14ac:dyDescent="0.3">
      <c r="A89" s="7"/>
      <c r="B89" s="7"/>
      <c r="C89" s="158">
        <v>0</v>
      </c>
      <c r="D89" s="7"/>
      <c r="E89" s="38" t="s">
        <v>156</v>
      </c>
      <c r="F89" s="38" t="s">
        <v>338</v>
      </c>
      <c r="G89" s="134" t="s">
        <v>59</v>
      </c>
      <c r="H89" s="38" t="str">
        <f>VLOOKUP(E89,Mapping!$E$11:$K$204,7,0)</f>
        <v>SCS</v>
      </c>
      <c r="I89" s="43">
        <f>'Input|Forecast Data'!G89-SUMPRODUCT(--('Input|VBRC Calc'!$E$9:$E$19=$E89),'Input|VBRC Calc'!J$9:J$19)</f>
        <v>0</v>
      </c>
      <c r="J89" s="43">
        <f>'Input|Forecast Data'!H89-SUMPRODUCT(--('Input|VBRC Calc'!$E$9:$E$19=$E89),'Input|VBRC Calc'!K$9:K$19)</f>
        <v>0</v>
      </c>
      <c r="K89" s="43">
        <f>'Input|Forecast Data'!I89-SUMPRODUCT(--('Input|VBRC Calc'!$E$9:$E$19=$E89),'Input|VBRC Calc'!L$9:L$19)</f>
        <v>0</v>
      </c>
      <c r="L89" s="43">
        <f>'Input|Forecast Data'!J89-SUMPRODUCT(--('Input|VBRC Calc'!$E$9:$E$19=$E89),'Input|VBRC Calc'!M$9:M$19)</f>
        <v>0</v>
      </c>
      <c r="M89" s="43">
        <f>'Input|Forecast Data'!K89-SUMPRODUCT(--('Input|VBRC Calc'!$E$9:$E$19=$E89),'Input|VBRC Calc'!N$9:N$19)</f>
        <v>0</v>
      </c>
      <c r="N89" s="7"/>
      <c r="O89" s="7"/>
    </row>
    <row r="90" spans="1:15" x14ac:dyDescent="0.3">
      <c r="A90" s="7"/>
      <c r="B90" s="7"/>
      <c r="C90" s="158">
        <v>0</v>
      </c>
      <c r="D90" s="7"/>
      <c r="E90" s="38" t="s">
        <v>157</v>
      </c>
      <c r="F90" s="38" t="s">
        <v>16</v>
      </c>
      <c r="G90" s="38" t="str">
        <f>VLOOKUP(E90,Mapping!$E$11:$G$204,3,0)</f>
        <v>Replacement</v>
      </c>
      <c r="H90" s="38" t="str">
        <f>VLOOKUP(E90,Mapping!$E$11:$K$204,7,0)</f>
        <v>SCS</v>
      </c>
      <c r="I90" s="43">
        <f>'Input|Forecast Data'!G90-SUMPRODUCT(--('Input|VBRC Calc'!$E$9:$E$19=$E90),'Input|VBRC Calc'!J$9:J$19)</f>
        <v>208.23511895881634</v>
      </c>
      <c r="J90" s="43">
        <f>'Input|Forecast Data'!H90-SUMPRODUCT(--('Input|VBRC Calc'!$E$9:$E$19=$E90),'Input|VBRC Calc'!K$9:K$19)</f>
        <v>208.23511895881634</v>
      </c>
      <c r="K90" s="43">
        <f>'Input|Forecast Data'!I90-SUMPRODUCT(--('Input|VBRC Calc'!$E$9:$E$19=$E90),'Input|VBRC Calc'!L$9:L$19)</f>
        <v>208.23511895881634</v>
      </c>
      <c r="L90" s="43">
        <f>'Input|Forecast Data'!J90-SUMPRODUCT(--('Input|VBRC Calc'!$E$9:$E$19=$E90),'Input|VBRC Calc'!M$9:M$19)</f>
        <v>208.23511895881634</v>
      </c>
      <c r="M90" s="43">
        <f>'Input|Forecast Data'!K90-SUMPRODUCT(--('Input|VBRC Calc'!$E$9:$E$19=$E90),'Input|VBRC Calc'!N$9:N$19)</f>
        <v>208.23511895881634</v>
      </c>
      <c r="N90" s="7"/>
      <c r="O90" s="7"/>
    </row>
    <row r="91" spans="1:15" x14ac:dyDescent="0.3">
      <c r="A91" s="7"/>
      <c r="B91" s="7"/>
      <c r="C91" s="158">
        <v>0</v>
      </c>
      <c r="D91" s="7"/>
      <c r="E91" s="38" t="s">
        <v>158</v>
      </c>
      <c r="F91" s="38" t="s">
        <v>339</v>
      </c>
      <c r="G91" s="38" t="str">
        <f>VLOOKUP(E91,Mapping!$E$11:$G$204,3,0)</f>
        <v>Replacement</v>
      </c>
      <c r="H91" s="38" t="str">
        <f>VLOOKUP(E91,Mapping!$E$11:$K$204,7,0)</f>
        <v>SCS</v>
      </c>
      <c r="I91" s="43">
        <f>'Input|Forecast Data'!G91-SUMPRODUCT(--('Input|VBRC Calc'!$E$9:$E$19=$E91),'Input|VBRC Calc'!J$9:J$19)</f>
        <v>80.749727203824733</v>
      </c>
      <c r="J91" s="43">
        <f>'Input|Forecast Data'!H91-SUMPRODUCT(--('Input|VBRC Calc'!$E$9:$E$19=$E91),'Input|VBRC Calc'!K$9:K$19)</f>
        <v>80.749727203824733</v>
      </c>
      <c r="K91" s="43">
        <f>'Input|Forecast Data'!I91-SUMPRODUCT(--('Input|VBRC Calc'!$E$9:$E$19=$E91),'Input|VBRC Calc'!L$9:L$19)</f>
        <v>80.749727203824733</v>
      </c>
      <c r="L91" s="43">
        <f>'Input|Forecast Data'!J91-SUMPRODUCT(--('Input|VBRC Calc'!$E$9:$E$19=$E91),'Input|VBRC Calc'!M$9:M$19)</f>
        <v>80.749727203824733</v>
      </c>
      <c r="M91" s="43">
        <f>'Input|Forecast Data'!K91-SUMPRODUCT(--('Input|VBRC Calc'!$E$9:$E$19=$E91),'Input|VBRC Calc'!N$9:N$19)</f>
        <v>80.749727203824733</v>
      </c>
      <c r="N91" s="7"/>
      <c r="O91" s="7"/>
    </row>
    <row r="92" spans="1:15" x14ac:dyDescent="0.3">
      <c r="A92" s="7"/>
      <c r="B92" s="7"/>
      <c r="C92" s="158">
        <v>0</v>
      </c>
      <c r="D92" s="7"/>
      <c r="E92" s="38" t="s">
        <v>159</v>
      </c>
      <c r="F92" s="38" t="s">
        <v>340</v>
      </c>
      <c r="G92" s="38" t="str">
        <f>VLOOKUP(E92,Mapping!$E$11:$G$204,3,0)</f>
        <v>Replacement</v>
      </c>
      <c r="H92" s="38" t="str">
        <f>VLOOKUP(E92,Mapping!$E$11:$K$204,7,0)</f>
        <v>SCS</v>
      </c>
      <c r="I92" s="43">
        <f>'Input|Forecast Data'!G92-SUMPRODUCT(--('Input|VBRC Calc'!$E$9:$E$19=$E92),'Input|VBRC Calc'!J$9:J$19)</f>
        <v>0</v>
      </c>
      <c r="J92" s="43">
        <f>'Input|Forecast Data'!H92-SUMPRODUCT(--('Input|VBRC Calc'!$E$9:$E$19=$E92),'Input|VBRC Calc'!K$9:K$19)</f>
        <v>0</v>
      </c>
      <c r="K92" s="43">
        <f>'Input|Forecast Data'!I92-SUMPRODUCT(--('Input|VBRC Calc'!$E$9:$E$19=$E92),'Input|VBRC Calc'!L$9:L$19)</f>
        <v>0</v>
      </c>
      <c r="L92" s="43">
        <f>'Input|Forecast Data'!J92-SUMPRODUCT(--('Input|VBRC Calc'!$E$9:$E$19=$E92),'Input|VBRC Calc'!M$9:M$19)</f>
        <v>0</v>
      </c>
      <c r="M92" s="43">
        <f>'Input|Forecast Data'!K92-SUMPRODUCT(--('Input|VBRC Calc'!$E$9:$E$19=$E92),'Input|VBRC Calc'!N$9:N$19)</f>
        <v>0</v>
      </c>
      <c r="N92" s="7"/>
      <c r="O92" s="7"/>
    </row>
    <row r="93" spans="1:15" x14ac:dyDescent="0.3">
      <c r="A93" s="7"/>
      <c r="B93" s="7"/>
      <c r="C93" s="158">
        <v>0</v>
      </c>
      <c r="D93" s="7"/>
      <c r="E93" s="38" t="s">
        <v>160</v>
      </c>
      <c r="F93" s="38" t="s">
        <v>341</v>
      </c>
      <c r="G93" s="38" t="str">
        <f>VLOOKUP(E93,Mapping!$E$11:$G$204,3,0)</f>
        <v>Augmentation</v>
      </c>
      <c r="H93" s="38" t="str">
        <f>VLOOKUP(E93,Mapping!$E$11:$K$204,7,0)</f>
        <v>SCS</v>
      </c>
      <c r="I93" s="43">
        <f>'Input|Forecast Data'!G93-SUMPRODUCT(--('Input|VBRC Calc'!$E$9:$E$19=$E93),'Input|VBRC Calc'!J$9:J$19)</f>
        <v>2337.0146369258391</v>
      </c>
      <c r="J93" s="43">
        <f>'Input|Forecast Data'!H93-SUMPRODUCT(--('Input|VBRC Calc'!$E$9:$E$19=$E93),'Input|VBRC Calc'!K$9:K$19)</f>
        <v>2983.4229573788671</v>
      </c>
      <c r="K93" s="43">
        <f>'Input|Forecast Data'!I93-SUMPRODUCT(--('Input|VBRC Calc'!$E$9:$E$19=$E93),'Input|VBRC Calc'!L$9:L$19)</f>
        <v>2709.9441472366816</v>
      </c>
      <c r="L93" s="43">
        <f>'Input|Forecast Data'!J93-SUMPRODUCT(--('Input|VBRC Calc'!$E$9:$E$19=$E93),'Input|VBRC Calc'!M$9:M$19)</f>
        <v>2883.9755384871783</v>
      </c>
      <c r="M93" s="43">
        <f>'Input|Forecast Data'!K93-SUMPRODUCT(--('Input|VBRC Calc'!$E$9:$E$19=$E93),'Input|VBRC Calc'!N$9:N$19)</f>
        <v>2337.0146369258391</v>
      </c>
      <c r="N93" s="7"/>
      <c r="O93" s="7"/>
    </row>
    <row r="94" spans="1:15" x14ac:dyDescent="0.3">
      <c r="A94" s="7"/>
      <c r="B94" s="7"/>
      <c r="C94" s="158">
        <v>0</v>
      </c>
      <c r="D94" s="7"/>
      <c r="E94" s="38" t="s">
        <v>161</v>
      </c>
      <c r="F94" s="38" t="s">
        <v>342</v>
      </c>
      <c r="G94" s="38" t="str">
        <f>VLOOKUP(E94,Mapping!$E$11:$G$204,3,0)</f>
        <v>Augmentation</v>
      </c>
      <c r="H94" s="38" t="str">
        <f>VLOOKUP(E94,Mapping!$E$11:$K$204,7,0)</f>
        <v>SCS</v>
      </c>
      <c r="I94" s="43">
        <f>'Input|Forecast Data'!G94-SUMPRODUCT(--('Input|VBRC Calc'!$E$9:$E$19=$E94),'Input|VBRC Calc'!J$9:J$19)</f>
        <v>427.05367707264332</v>
      </c>
      <c r="J94" s="43">
        <f>'Input|Forecast Data'!H94-SUMPRODUCT(--('Input|VBRC Calc'!$E$9:$E$19=$E94),'Input|VBRC Calc'!K$9:K$19)</f>
        <v>365.97012873513842</v>
      </c>
      <c r="K94" s="43">
        <f>'Input|Forecast Data'!I94-SUMPRODUCT(--('Input|VBRC Calc'!$E$9:$E$19=$E94),'Input|VBRC Calc'!L$9:L$19)</f>
        <v>0</v>
      </c>
      <c r="L94" s="43">
        <f>'Input|Forecast Data'!J94-SUMPRODUCT(--('Input|VBRC Calc'!$E$9:$E$19=$E94),'Input|VBRC Calc'!M$9:M$19)</f>
        <v>0</v>
      </c>
      <c r="M94" s="43">
        <f>'Input|Forecast Data'!K94-SUMPRODUCT(--('Input|VBRC Calc'!$E$9:$E$19=$E94),'Input|VBRC Calc'!N$9:N$19)</f>
        <v>40.368258031742407</v>
      </c>
      <c r="N94" s="7"/>
      <c r="O94" s="7"/>
    </row>
    <row r="95" spans="1:15" x14ac:dyDescent="0.3">
      <c r="A95" s="7"/>
      <c r="B95" s="7"/>
      <c r="C95" s="158">
        <v>1</v>
      </c>
      <c r="D95" s="7"/>
      <c r="E95" s="148" t="s">
        <v>162</v>
      </c>
      <c r="F95" s="148" t="s">
        <v>343</v>
      </c>
      <c r="G95" s="148" t="str">
        <f>VLOOKUP(E95,Mapping!$E$11:$G$204,3,0)</f>
        <v>Replacement</v>
      </c>
      <c r="H95" s="148" t="str">
        <f>VLOOKUP(E95,Mapping!$E$11:$K$204,7,0)</f>
        <v>SCADA (10-year asset)</v>
      </c>
      <c r="I95" s="61">
        <f>'Input|Forecast Data'!G95-SUMPRODUCT(--('Input|VBRC Calc'!$E$9:$E$19=$E95),'Input|VBRC Calc'!J$9:J$19)</f>
        <v>5647.9886714763115</v>
      </c>
      <c r="J95" s="61">
        <f>'Input|Forecast Data'!H95-SUMPRODUCT(--('Input|VBRC Calc'!$E$9:$E$19=$E95),'Input|VBRC Calc'!K$9:K$19)</f>
        <v>5204.8703004224217</v>
      </c>
      <c r="K95" s="61">
        <f>'Input|Forecast Data'!I95-SUMPRODUCT(--('Input|VBRC Calc'!$E$9:$E$19=$E95),'Input|VBRC Calc'!L$9:L$19)</f>
        <v>4093.1124321118764</v>
      </c>
      <c r="L95" s="61">
        <f>'Input|Forecast Data'!J95-SUMPRODUCT(--('Input|VBRC Calc'!$E$9:$E$19=$E95),'Input|VBRC Calc'!M$9:M$19)</f>
        <v>6175.8871709038449</v>
      </c>
      <c r="M95" s="61">
        <f>'Input|Forecast Data'!K95-SUMPRODUCT(--('Input|VBRC Calc'!$E$9:$E$19=$E95),'Input|VBRC Calc'!N$9:N$19)</f>
        <v>5016.4677952433158</v>
      </c>
      <c r="N95" s="7"/>
      <c r="O95" s="7"/>
    </row>
    <row r="96" spans="1:15" x14ac:dyDescent="0.3">
      <c r="A96" s="7"/>
      <c r="B96" s="7"/>
      <c r="C96" s="158">
        <v>1</v>
      </c>
      <c r="D96" s="7"/>
      <c r="E96" s="38" t="s">
        <v>163</v>
      </c>
      <c r="F96" s="38" t="s">
        <v>344</v>
      </c>
      <c r="G96" s="38" t="str">
        <f>VLOOKUP(E96,Mapping!$E$11:$G$204,3,0)</f>
        <v>Replacement</v>
      </c>
      <c r="H96" s="38" t="str">
        <f>VLOOKUP(E96,Mapping!$E$11:$K$204,7,0)</f>
        <v>SCS</v>
      </c>
      <c r="I96" s="43">
        <f>'Input|Forecast Data'!G96-SUMPRODUCT(--('Input|VBRC Calc'!$E$9:$E$19=$E96),'Input|VBRC Calc'!J$9:J$19)</f>
        <v>695.96271403418507</v>
      </c>
      <c r="J96" s="43">
        <f>'Input|Forecast Data'!H96-SUMPRODUCT(--('Input|VBRC Calc'!$E$9:$E$19=$E96),'Input|VBRC Calc'!K$9:K$19)</f>
        <v>695.96271403418507</v>
      </c>
      <c r="K96" s="43">
        <f>'Input|Forecast Data'!I96-SUMPRODUCT(--('Input|VBRC Calc'!$E$9:$E$19=$E96),'Input|VBRC Calc'!L$9:L$19)</f>
        <v>695.96271403418507</v>
      </c>
      <c r="L96" s="43">
        <f>'Input|Forecast Data'!J96-SUMPRODUCT(--('Input|VBRC Calc'!$E$9:$E$19=$E96),'Input|VBRC Calc'!M$9:M$19)</f>
        <v>695.96271403418507</v>
      </c>
      <c r="M96" s="43">
        <f>'Input|Forecast Data'!K96-SUMPRODUCT(--('Input|VBRC Calc'!$E$9:$E$19=$E96),'Input|VBRC Calc'!N$9:N$19)</f>
        <v>695.96271403418507</v>
      </c>
      <c r="N96" s="7"/>
      <c r="O96" s="7"/>
    </row>
    <row r="97" spans="1:15" x14ac:dyDescent="0.3">
      <c r="A97" s="7"/>
      <c r="B97" s="7"/>
      <c r="C97" s="158">
        <v>1</v>
      </c>
      <c r="D97" s="7"/>
      <c r="E97" s="38" t="s">
        <v>164</v>
      </c>
      <c r="F97" s="38" t="s">
        <v>345</v>
      </c>
      <c r="G97" s="38" t="str">
        <f>VLOOKUP(E97,Mapping!$E$11:$G$204,3,0)</f>
        <v>Replacement</v>
      </c>
      <c r="H97" s="38" t="str">
        <f>VLOOKUP(E97,Mapping!$E$11:$K$204,7,0)</f>
        <v>SCS</v>
      </c>
      <c r="I97" s="43">
        <f>'Input|Forecast Data'!G97-SUMPRODUCT(--('Input|VBRC Calc'!$E$9:$E$19=$E97),'Input|VBRC Calc'!J$9:J$19)</f>
        <v>388.44438389638856</v>
      </c>
      <c r="J97" s="43">
        <f>'Input|Forecast Data'!H97-SUMPRODUCT(--('Input|VBRC Calc'!$E$9:$E$19=$E97),'Input|VBRC Calc'!K$9:K$19)</f>
        <v>388.44438389638856</v>
      </c>
      <c r="K97" s="43">
        <f>'Input|Forecast Data'!I97-SUMPRODUCT(--('Input|VBRC Calc'!$E$9:$E$19=$E97),'Input|VBRC Calc'!L$9:L$19)</f>
        <v>388.44438389638856</v>
      </c>
      <c r="L97" s="43">
        <f>'Input|Forecast Data'!J97-SUMPRODUCT(--('Input|VBRC Calc'!$E$9:$E$19=$E97),'Input|VBRC Calc'!M$9:M$19)</f>
        <v>388.44438389638856</v>
      </c>
      <c r="M97" s="43">
        <f>'Input|Forecast Data'!K97-SUMPRODUCT(--('Input|VBRC Calc'!$E$9:$E$19=$E97),'Input|VBRC Calc'!N$9:N$19)</f>
        <v>388.44438389638856</v>
      </c>
      <c r="N97" s="7"/>
      <c r="O97" s="7"/>
    </row>
    <row r="98" spans="1:15" x14ac:dyDescent="0.3">
      <c r="A98" s="7"/>
      <c r="B98" s="7"/>
      <c r="C98" s="158">
        <v>1</v>
      </c>
      <c r="D98" s="7"/>
      <c r="E98" s="38" t="s">
        <v>165</v>
      </c>
      <c r="F98" s="38" t="s">
        <v>346</v>
      </c>
      <c r="G98" s="38" t="str">
        <f>VLOOKUP(E98,Mapping!$E$11:$G$204,3,0)</f>
        <v>Replacement</v>
      </c>
      <c r="H98" s="38" t="str">
        <f>VLOOKUP(E98,Mapping!$E$11:$K$204,7,0)</f>
        <v>SCS</v>
      </c>
      <c r="I98" s="43">
        <f>'Input|Forecast Data'!G98-SUMPRODUCT(--('Input|VBRC Calc'!$E$9:$E$19=$E98),'Input|VBRC Calc'!J$9:J$19)</f>
        <v>547.03449819346088</v>
      </c>
      <c r="J98" s="43">
        <f>'Input|Forecast Data'!H98-SUMPRODUCT(--('Input|VBRC Calc'!$E$9:$E$19=$E98),'Input|VBRC Calc'!K$9:K$19)</f>
        <v>547.03449819346088</v>
      </c>
      <c r="K98" s="43">
        <f>'Input|Forecast Data'!I98-SUMPRODUCT(--('Input|VBRC Calc'!$E$9:$E$19=$E98),'Input|VBRC Calc'!L$9:L$19)</f>
        <v>547.03449819346088</v>
      </c>
      <c r="L98" s="43">
        <f>'Input|Forecast Data'!J98-SUMPRODUCT(--('Input|VBRC Calc'!$E$9:$E$19=$E98),'Input|VBRC Calc'!M$9:M$19)</f>
        <v>547.03449819346088</v>
      </c>
      <c r="M98" s="43">
        <f>'Input|Forecast Data'!K98-SUMPRODUCT(--('Input|VBRC Calc'!$E$9:$E$19=$E98),'Input|VBRC Calc'!N$9:N$19)</f>
        <v>547.03449819346088</v>
      </c>
      <c r="N98" s="7"/>
      <c r="O98" s="7"/>
    </row>
    <row r="99" spans="1:15" x14ac:dyDescent="0.3">
      <c r="A99" s="7"/>
      <c r="B99" s="7"/>
      <c r="C99" s="158">
        <v>0</v>
      </c>
      <c r="D99" s="7"/>
      <c r="E99" s="38" t="s">
        <v>166</v>
      </c>
      <c r="F99" s="38" t="s">
        <v>347</v>
      </c>
      <c r="G99" s="38" t="str">
        <f>VLOOKUP(E99,Mapping!$E$11:$G$204,3,0)</f>
        <v>Replacement</v>
      </c>
      <c r="H99" s="38" t="str">
        <f>VLOOKUP(E99,Mapping!$E$11:$K$204,7,0)</f>
        <v>SCS</v>
      </c>
      <c r="I99" s="43">
        <f>'Input|Forecast Data'!G99-SUMPRODUCT(--('Input|VBRC Calc'!$E$9:$E$19=$E99),'Input|VBRC Calc'!J$9:J$19)</f>
        <v>1679.0950703842136</v>
      </c>
      <c r="J99" s="43">
        <f>'Input|Forecast Data'!H99-SUMPRODUCT(--('Input|VBRC Calc'!$E$9:$E$19=$E99),'Input|VBRC Calc'!K$9:K$19)</f>
        <v>1679.0950703842136</v>
      </c>
      <c r="K99" s="43">
        <f>'Input|Forecast Data'!I99-SUMPRODUCT(--('Input|VBRC Calc'!$E$9:$E$19=$E99),'Input|VBRC Calc'!L$9:L$19)</f>
        <v>1679.0950703842136</v>
      </c>
      <c r="L99" s="43">
        <f>'Input|Forecast Data'!J99-SUMPRODUCT(--('Input|VBRC Calc'!$E$9:$E$19=$E99),'Input|VBRC Calc'!M$9:M$19)</f>
        <v>1679.0950703842136</v>
      </c>
      <c r="M99" s="43">
        <f>'Input|Forecast Data'!K99-SUMPRODUCT(--('Input|VBRC Calc'!$E$9:$E$19=$E99),'Input|VBRC Calc'!N$9:N$19)</f>
        <v>1679.0950703842136</v>
      </c>
      <c r="N99" s="7"/>
      <c r="O99" s="7"/>
    </row>
    <row r="100" spans="1:15" x14ac:dyDescent="0.3">
      <c r="A100" s="7"/>
      <c r="B100" s="7"/>
      <c r="C100" s="158">
        <v>1</v>
      </c>
      <c r="D100" s="7"/>
      <c r="E100" s="38" t="s">
        <v>167</v>
      </c>
      <c r="F100" s="38" t="s">
        <v>348</v>
      </c>
      <c r="G100" s="38" t="str">
        <f>VLOOKUP(E100,Mapping!$E$11:$G$204,3,0)</f>
        <v>Replacement</v>
      </c>
      <c r="H100" s="38" t="str">
        <f>VLOOKUP(E100,Mapping!$E$11:$K$204,7,0)</f>
        <v>SCS</v>
      </c>
      <c r="I100" s="43">
        <f>'Input|Forecast Data'!G100-SUMPRODUCT(--('Input|VBRC Calc'!$E$9:$E$19=$E100),'Input|VBRC Calc'!J$9:J$19)</f>
        <v>369.58845445972554</v>
      </c>
      <c r="J100" s="43">
        <f>'Input|Forecast Data'!H100-SUMPRODUCT(--('Input|VBRC Calc'!$E$9:$E$19=$E100),'Input|VBRC Calc'!K$9:K$19)</f>
        <v>369.58845445972554</v>
      </c>
      <c r="K100" s="43">
        <f>'Input|Forecast Data'!I100-SUMPRODUCT(--('Input|VBRC Calc'!$E$9:$E$19=$E100),'Input|VBRC Calc'!L$9:L$19)</f>
        <v>369.58845445972554</v>
      </c>
      <c r="L100" s="43">
        <f>'Input|Forecast Data'!J100-SUMPRODUCT(--('Input|VBRC Calc'!$E$9:$E$19=$E100),'Input|VBRC Calc'!M$9:M$19)</f>
        <v>369.58845445972554</v>
      </c>
      <c r="M100" s="43">
        <f>'Input|Forecast Data'!K100-SUMPRODUCT(--('Input|VBRC Calc'!$E$9:$E$19=$E100),'Input|VBRC Calc'!N$9:N$19)</f>
        <v>369.58845445972554</v>
      </c>
      <c r="N100" s="7"/>
      <c r="O100" s="7"/>
    </row>
    <row r="101" spans="1:15" x14ac:dyDescent="0.3">
      <c r="A101" s="7"/>
      <c r="B101" s="7"/>
      <c r="C101" s="158">
        <v>0</v>
      </c>
      <c r="D101" s="7"/>
      <c r="E101" s="38" t="s">
        <v>168</v>
      </c>
      <c r="F101" s="38" t="s">
        <v>349</v>
      </c>
      <c r="G101" s="38" t="str">
        <f>VLOOKUP(E101,Mapping!$E$11:$G$204,3,0)</f>
        <v>Replacement</v>
      </c>
      <c r="H101" s="38" t="str">
        <f>VLOOKUP(E101,Mapping!$E$11:$K$204,7,0)</f>
        <v>SCS</v>
      </c>
      <c r="I101" s="43">
        <f>'Input|Forecast Data'!G101-SUMPRODUCT(--('Input|VBRC Calc'!$E$9:$E$19=$E101),'Input|VBRC Calc'!J$9:J$19)</f>
        <v>1479.4038168831194</v>
      </c>
      <c r="J101" s="43">
        <f>'Input|Forecast Data'!H101-SUMPRODUCT(--('Input|VBRC Calc'!$E$9:$E$19=$E101),'Input|VBRC Calc'!K$9:K$19)</f>
        <v>1479.4038168831194</v>
      </c>
      <c r="K101" s="43">
        <f>'Input|Forecast Data'!I101-SUMPRODUCT(--('Input|VBRC Calc'!$E$9:$E$19=$E101),'Input|VBRC Calc'!L$9:L$19)</f>
        <v>1479.4038168831194</v>
      </c>
      <c r="L101" s="43">
        <f>'Input|Forecast Data'!J101-SUMPRODUCT(--('Input|VBRC Calc'!$E$9:$E$19=$E101),'Input|VBRC Calc'!M$9:M$19)</f>
        <v>1479.4038168831194</v>
      </c>
      <c r="M101" s="43">
        <f>'Input|Forecast Data'!K101-SUMPRODUCT(--('Input|VBRC Calc'!$E$9:$E$19=$E101),'Input|VBRC Calc'!N$9:N$19)</f>
        <v>1479.4038168831194</v>
      </c>
      <c r="N101" s="7"/>
      <c r="O101" s="7"/>
    </row>
    <row r="102" spans="1:15" x14ac:dyDescent="0.3">
      <c r="A102" s="7"/>
      <c r="B102" s="7"/>
      <c r="C102" s="158">
        <v>1</v>
      </c>
      <c r="D102" s="7"/>
      <c r="E102" s="38" t="s">
        <v>169</v>
      </c>
      <c r="F102" s="38" t="s">
        <v>350</v>
      </c>
      <c r="G102" s="38" t="str">
        <f>VLOOKUP(E102,Mapping!$E$11:$G$204,3,0)</f>
        <v>Replacement</v>
      </c>
      <c r="H102" s="38" t="str">
        <f>VLOOKUP(E102,Mapping!$E$11:$K$204,7,0)</f>
        <v>SCS</v>
      </c>
      <c r="I102" s="43">
        <f>'Input|Forecast Data'!G102-SUMPRODUCT(--('Input|VBRC Calc'!$E$9:$E$19=$E102),'Input|VBRC Calc'!J$9:J$19)</f>
        <v>120.31680634935391</v>
      </c>
      <c r="J102" s="43">
        <f>'Input|Forecast Data'!H102-SUMPRODUCT(--('Input|VBRC Calc'!$E$9:$E$19=$E102),'Input|VBRC Calc'!K$9:K$19)</f>
        <v>120.31680634935391</v>
      </c>
      <c r="K102" s="43">
        <f>'Input|Forecast Data'!I102-SUMPRODUCT(--('Input|VBRC Calc'!$E$9:$E$19=$E102),'Input|VBRC Calc'!L$9:L$19)</f>
        <v>120.31680634935391</v>
      </c>
      <c r="L102" s="43">
        <f>'Input|Forecast Data'!J102-SUMPRODUCT(--('Input|VBRC Calc'!$E$9:$E$19=$E102),'Input|VBRC Calc'!M$9:M$19)</f>
        <v>120.31680634935391</v>
      </c>
      <c r="M102" s="43">
        <f>'Input|Forecast Data'!K102-SUMPRODUCT(--('Input|VBRC Calc'!$E$9:$E$19=$E102),'Input|VBRC Calc'!N$9:N$19)</f>
        <v>120.31680634935391</v>
      </c>
      <c r="N102" s="7"/>
      <c r="O102" s="7"/>
    </row>
    <row r="103" spans="1:15" x14ac:dyDescent="0.3">
      <c r="A103" s="7"/>
      <c r="B103" s="7"/>
      <c r="C103" s="158">
        <v>1</v>
      </c>
      <c r="D103" s="7"/>
      <c r="E103" s="38" t="s">
        <v>170</v>
      </c>
      <c r="F103" s="38" t="s">
        <v>351</v>
      </c>
      <c r="G103" s="38" t="str">
        <f>VLOOKUP(E103,Mapping!$E$11:$G$204,3,0)</f>
        <v>Replacement</v>
      </c>
      <c r="H103" s="38" t="str">
        <f>VLOOKUP(E103,Mapping!$E$11:$K$204,7,0)</f>
        <v>SCS</v>
      </c>
      <c r="I103" s="43">
        <f>'Input|Forecast Data'!G103-SUMPRODUCT(--('Input|VBRC Calc'!$E$9:$E$19=$E103),'Input|VBRC Calc'!J$9:J$19)</f>
        <v>0</v>
      </c>
      <c r="J103" s="43">
        <f>'Input|Forecast Data'!H103-SUMPRODUCT(--('Input|VBRC Calc'!$E$9:$E$19=$E103),'Input|VBRC Calc'!K$9:K$19)</f>
        <v>0</v>
      </c>
      <c r="K103" s="43">
        <f>'Input|Forecast Data'!I103-SUMPRODUCT(--('Input|VBRC Calc'!$E$9:$E$19=$E103),'Input|VBRC Calc'!L$9:L$19)</f>
        <v>0</v>
      </c>
      <c r="L103" s="43">
        <f>'Input|Forecast Data'!J103-SUMPRODUCT(--('Input|VBRC Calc'!$E$9:$E$19=$E103),'Input|VBRC Calc'!M$9:M$19)</f>
        <v>0</v>
      </c>
      <c r="M103" s="43">
        <f>'Input|Forecast Data'!K103-SUMPRODUCT(--('Input|VBRC Calc'!$E$9:$E$19=$E103),'Input|VBRC Calc'!N$9:N$19)</f>
        <v>0</v>
      </c>
      <c r="N103" s="7"/>
      <c r="O103" s="7"/>
    </row>
    <row r="104" spans="1:15" x14ac:dyDescent="0.3">
      <c r="A104" s="7"/>
      <c r="B104" s="7"/>
      <c r="C104" s="158">
        <v>1</v>
      </c>
      <c r="D104" s="7"/>
      <c r="E104" s="38" t="s">
        <v>171</v>
      </c>
      <c r="F104" s="38" t="s">
        <v>352</v>
      </c>
      <c r="G104" s="38" t="str">
        <f>VLOOKUP(E104,Mapping!$E$11:$G$204,3,0)</f>
        <v>Replacement</v>
      </c>
      <c r="H104" s="38" t="str">
        <f>VLOOKUP(E104,Mapping!$E$11:$K$204,7,0)</f>
        <v>SCS</v>
      </c>
      <c r="I104" s="43">
        <f>'Input|Forecast Data'!G104-SUMPRODUCT(--('Input|VBRC Calc'!$E$9:$E$19=$E104),'Input|VBRC Calc'!J$9:J$19)</f>
        <v>1240.7604235500987</v>
      </c>
      <c r="J104" s="43">
        <f>'Input|Forecast Data'!H104-SUMPRODUCT(--('Input|VBRC Calc'!$E$9:$E$19=$E104),'Input|VBRC Calc'!K$9:K$19)</f>
        <v>1240.7604235500987</v>
      </c>
      <c r="K104" s="43">
        <f>'Input|Forecast Data'!I104-SUMPRODUCT(--('Input|VBRC Calc'!$E$9:$E$19=$E104),'Input|VBRC Calc'!L$9:L$19)</f>
        <v>1240.7604235500987</v>
      </c>
      <c r="L104" s="43">
        <f>'Input|Forecast Data'!J104-SUMPRODUCT(--('Input|VBRC Calc'!$E$9:$E$19=$E104),'Input|VBRC Calc'!M$9:M$19)</f>
        <v>1240.7604235500987</v>
      </c>
      <c r="M104" s="43">
        <f>'Input|Forecast Data'!K104-SUMPRODUCT(--('Input|VBRC Calc'!$E$9:$E$19=$E104),'Input|VBRC Calc'!N$9:N$19)</f>
        <v>1240.7604235500987</v>
      </c>
      <c r="N104" s="7"/>
      <c r="O104" s="7"/>
    </row>
    <row r="105" spans="1:15" x14ac:dyDescent="0.3">
      <c r="A105" s="7"/>
      <c r="B105" s="7"/>
      <c r="C105" s="158">
        <v>1</v>
      </c>
      <c r="D105" s="7"/>
      <c r="E105" s="38" t="s">
        <v>172</v>
      </c>
      <c r="F105" s="38" t="s">
        <v>353</v>
      </c>
      <c r="G105" s="38" t="str">
        <f>VLOOKUP(E105,Mapping!$E$11:$G$204,3,0)</f>
        <v>Replacement</v>
      </c>
      <c r="H105" s="38" t="str">
        <f>VLOOKUP(E105,Mapping!$E$11:$K$204,7,0)</f>
        <v>SCS</v>
      </c>
      <c r="I105" s="43">
        <f>'Input|Forecast Data'!G105-SUMPRODUCT(--('Input|VBRC Calc'!$E$9:$E$19=$E105),'Input|VBRC Calc'!J$9:J$19)</f>
        <v>1262.2969886019951</v>
      </c>
      <c r="J105" s="43">
        <f>'Input|Forecast Data'!H105-SUMPRODUCT(--('Input|VBRC Calc'!$E$9:$E$19=$E105),'Input|VBRC Calc'!K$9:K$19)</f>
        <v>1262.2969886019951</v>
      </c>
      <c r="K105" s="43">
        <f>'Input|Forecast Data'!I105-SUMPRODUCT(--('Input|VBRC Calc'!$E$9:$E$19=$E105),'Input|VBRC Calc'!L$9:L$19)</f>
        <v>1262.2969886019951</v>
      </c>
      <c r="L105" s="43">
        <f>'Input|Forecast Data'!J105-SUMPRODUCT(--('Input|VBRC Calc'!$E$9:$E$19=$E105),'Input|VBRC Calc'!M$9:M$19)</f>
        <v>1262.2969886019951</v>
      </c>
      <c r="M105" s="43">
        <f>'Input|Forecast Data'!K105-SUMPRODUCT(--('Input|VBRC Calc'!$E$9:$E$19=$E105),'Input|VBRC Calc'!N$9:N$19)</f>
        <v>1262.2969886019951</v>
      </c>
      <c r="N105" s="7"/>
      <c r="O105" s="7"/>
    </row>
    <row r="106" spans="1:15" x14ac:dyDescent="0.3">
      <c r="A106" s="7"/>
      <c r="B106" s="7"/>
      <c r="C106" s="158">
        <v>1</v>
      </c>
      <c r="D106" s="7"/>
      <c r="E106" s="38" t="s">
        <v>173</v>
      </c>
      <c r="F106" s="38" t="s">
        <v>354</v>
      </c>
      <c r="G106" s="38" t="str">
        <f>VLOOKUP(E106,Mapping!$E$11:$G$204,3,0)</f>
        <v>Replacement</v>
      </c>
      <c r="H106" s="38" t="str">
        <f>VLOOKUP(E106,Mapping!$E$11:$K$204,7,0)</f>
        <v>SCS</v>
      </c>
      <c r="I106" s="43">
        <f>'Input|Forecast Data'!G106-SUMPRODUCT(--('Input|VBRC Calc'!$E$9:$E$19=$E106),'Input|VBRC Calc'!J$9:J$19)</f>
        <v>5.9490433246689616</v>
      </c>
      <c r="J106" s="43">
        <f>'Input|Forecast Data'!H106-SUMPRODUCT(--('Input|VBRC Calc'!$E$9:$E$19=$E106),'Input|VBRC Calc'!K$9:K$19)</f>
        <v>5.9490433246689616</v>
      </c>
      <c r="K106" s="43">
        <f>'Input|Forecast Data'!I106-SUMPRODUCT(--('Input|VBRC Calc'!$E$9:$E$19=$E106),'Input|VBRC Calc'!L$9:L$19)</f>
        <v>5.9490433246689616</v>
      </c>
      <c r="L106" s="43">
        <f>'Input|Forecast Data'!J106-SUMPRODUCT(--('Input|VBRC Calc'!$E$9:$E$19=$E106),'Input|VBRC Calc'!M$9:M$19)</f>
        <v>5.9490433246689616</v>
      </c>
      <c r="M106" s="43">
        <f>'Input|Forecast Data'!K106-SUMPRODUCT(--('Input|VBRC Calc'!$E$9:$E$19=$E106),'Input|VBRC Calc'!N$9:N$19)</f>
        <v>5.9490433246689616</v>
      </c>
      <c r="N106" s="7"/>
      <c r="O106" s="7"/>
    </row>
    <row r="107" spans="1:15" x14ac:dyDescent="0.3">
      <c r="A107" s="7"/>
      <c r="B107" s="7"/>
      <c r="C107" s="158">
        <v>1</v>
      </c>
      <c r="D107" s="7"/>
      <c r="E107" s="38" t="s">
        <v>174</v>
      </c>
      <c r="F107" s="38" t="s">
        <v>355</v>
      </c>
      <c r="G107" s="38" t="str">
        <f>VLOOKUP(E107,Mapping!$E$11:$G$204,3,0)</f>
        <v>Replacement</v>
      </c>
      <c r="H107" s="38" t="str">
        <f>VLOOKUP(E107,Mapping!$E$11:$K$204,7,0)</f>
        <v>SCS</v>
      </c>
      <c r="I107" s="43">
        <f>'Input|Forecast Data'!G107-SUMPRODUCT(--('Input|VBRC Calc'!$E$9:$E$19=$E107),'Input|VBRC Calc'!J$9:J$19)</f>
        <v>0</v>
      </c>
      <c r="J107" s="43">
        <f>'Input|Forecast Data'!H107-SUMPRODUCT(--('Input|VBRC Calc'!$E$9:$E$19=$E107),'Input|VBRC Calc'!K$9:K$19)</f>
        <v>0</v>
      </c>
      <c r="K107" s="43">
        <f>'Input|Forecast Data'!I107-SUMPRODUCT(--('Input|VBRC Calc'!$E$9:$E$19=$E107),'Input|VBRC Calc'!L$9:L$19)</f>
        <v>0</v>
      </c>
      <c r="L107" s="43">
        <f>'Input|Forecast Data'!J107-SUMPRODUCT(--('Input|VBRC Calc'!$E$9:$E$19=$E107),'Input|VBRC Calc'!M$9:M$19)</f>
        <v>0</v>
      </c>
      <c r="M107" s="43">
        <f>'Input|Forecast Data'!K107-SUMPRODUCT(--('Input|VBRC Calc'!$E$9:$E$19=$E107),'Input|VBRC Calc'!N$9:N$19)</f>
        <v>0</v>
      </c>
      <c r="N107" s="7"/>
      <c r="O107" s="7"/>
    </row>
    <row r="108" spans="1:15" x14ac:dyDescent="0.3">
      <c r="A108" s="7"/>
      <c r="B108" s="7"/>
      <c r="C108" s="158">
        <v>1</v>
      </c>
      <c r="D108" s="7"/>
      <c r="E108" s="38" t="s">
        <v>175</v>
      </c>
      <c r="F108" s="38" t="s">
        <v>356</v>
      </c>
      <c r="G108" s="38" t="str">
        <f>VLOOKUP(E108,Mapping!$E$11:$G$204,3,0)</f>
        <v>Replacement</v>
      </c>
      <c r="H108" s="38" t="str">
        <f>VLOOKUP(E108,Mapping!$E$11:$K$204,7,0)</f>
        <v>SCS</v>
      </c>
      <c r="I108" s="43">
        <f>'Input|Forecast Data'!G108-SUMPRODUCT(--('Input|VBRC Calc'!$E$9:$E$19=$E108),'Input|VBRC Calc'!J$9:J$19)</f>
        <v>0.28694145298100282</v>
      </c>
      <c r="J108" s="43">
        <f>'Input|Forecast Data'!H108-SUMPRODUCT(--('Input|VBRC Calc'!$E$9:$E$19=$E108),'Input|VBRC Calc'!K$9:K$19)</f>
        <v>0.28694145298100282</v>
      </c>
      <c r="K108" s="43">
        <f>'Input|Forecast Data'!I108-SUMPRODUCT(--('Input|VBRC Calc'!$E$9:$E$19=$E108),'Input|VBRC Calc'!L$9:L$19)</f>
        <v>0.28694145298100282</v>
      </c>
      <c r="L108" s="43">
        <f>'Input|Forecast Data'!J108-SUMPRODUCT(--('Input|VBRC Calc'!$E$9:$E$19=$E108),'Input|VBRC Calc'!M$9:M$19)</f>
        <v>0.28694145298100282</v>
      </c>
      <c r="M108" s="43">
        <f>'Input|Forecast Data'!K108-SUMPRODUCT(--('Input|VBRC Calc'!$E$9:$E$19=$E108),'Input|VBRC Calc'!N$9:N$19)</f>
        <v>0.28694145298100282</v>
      </c>
      <c r="N108" s="7"/>
      <c r="O108" s="7"/>
    </row>
    <row r="109" spans="1:15" x14ac:dyDescent="0.3">
      <c r="A109" s="7"/>
      <c r="B109" s="7"/>
      <c r="C109" s="158">
        <v>0</v>
      </c>
      <c r="D109" s="7"/>
      <c r="E109" s="38" t="s">
        <v>176</v>
      </c>
      <c r="F109" s="38" t="s">
        <v>357</v>
      </c>
      <c r="G109" s="38" t="str">
        <f>VLOOKUP(E109,Mapping!$E$11:$G$204,3,0)</f>
        <v>Replacement</v>
      </c>
      <c r="H109" s="38" t="str">
        <f>VLOOKUP(E109,Mapping!$E$11:$K$204,7,0)</f>
        <v>SCS</v>
      </c>
      <c r="I109" s="43">
        <f>'Input|Forecast Data'!G109-SUMPRODUCT(--('Input|VBRC Calc'!$E$9:$E$19=$E109),'Input|VBRC Calc'!J$9:J$19)</f>
        <v>0</v>
      </c>
      <c r="J109" s="43">
        <f>'Input|Forecast Data'!H109-SUMPRODUCT(--('Input|VBRC Calc'!$E$9:$E$19=$E109),'Input|VBRC Calc'!K$9:K$19)</f>
        <v>0</v>
      </c>
      <c r="K109" s="43">
        <f>'Input|Forecast Data'!I109-SUMPRODUCT(--('Input|VBRC Calc'!$E$9:$E$19=$E109),'Input|VBRC Calc'!L$9:L$19)</f>
        <v>0</v>
      </c>
      <c r="L109" s="43">
        <f>'Input|Forecast Data'!J109-SUMPRODUCT(--('Input|VBRC Calc'!$E$9:$E$19=$E109),'Input|VBRC Calc'!M$9:M$19)</f>
        <v>0</v>
      </c>
      <c r="M109" s="43">
        <f>'Input|Forecast Data'!K109-SUMPRODUCT(--('Input|VBRC Calc'!$E$9:$E$19=$E109),'Input|VBRC Calc'!N$9:N$19)</f>
        <v>0</v>
      </c>
      <c r="N109" s="7"/>
      <c r="O109" s="7"/>
    </row>
    <row r="110" spans="1:15" x14ac:dyDescent="0.3">
      <c r="A110" s="7"/>
      <c r="B110" s="7"/>
      <c r="C110" s="158">
        <v>1</v>
      </c>
      <c r="D110" s="7"/>
      <c r="E110" s="38" t="s">
        <v>177</v>
      </c>
      <c r="F110" s="38" t="s">
        <v>358</v>
      </c>
      <c r="G110" s="38" t="str">
        <f>VLOOKUP(E110,Mapping!$E$11:$G$204,3,0)</f>
        <v>Replacement</v>
      </c>
      <c r="H110" s="38" t="str">
        <f>VLOOKUP(E110,Mapping!$E$11:$K$204,7,0)</f>
        <v>SCS</v>
      </c>
      <c r="I110" s="43">
        <f>'Input|Forecast Data'!G110-SUMPRODUCT(--('Input|VBRC Calc'!$E$9:$E$19=$E110),'Input|VBRC Calc'!J$9:J$19)</f>
        <v>94.191555529927101</v>
      </c>
      <c r="J110" s="43">
        <f>'Input|Forecast Data'!H110-SUMPRODUCT(--('Input|VBRC Calc'!$E$9:$E$19=$E110),'Input|VBRC Calc'!K$9:K$19)</f>
        <v>94.191555529927101</v>
      </c>
      <c r="K110" s="43">
        <f>'Input|Forecast Data'!I110-SUMPRODUCT(--('Input|VBRC Calc'!$E$9:$E$19=$E110),'Input|VBRC Calc'!L$9:L$19)</f>
        <v>94.191555529927101</v>
      </c>
      <c r="L110" s="43">
        <f>'Input|Forecast Data'!J110-SUMPRODUCT(--('Input|VBRC Calc'!$E$9:$E$19=$E110),'Input|VBRC Calc'!M$9:M$19)</f>
        <v>94.191555529927101</v>
      </c>
      <c r="M110" s="43">
        <f>'Input|Forecast Data'!K110-SUMPRODUCT(--('Input|VBRC Calc'!$E$9:$E$19=$E110),'Input|VBRC Calc'!N$9:N$19)</f>
        <v>94.191555529927101</v>
      </c>
      <c r="N110" s="7"/>
      <c r="O110" s="7"/>
    </row>
    <row r="111" spans="1:15" x14ac:dyDescent="0.3">
      <c r="A111" s="7"/>
      <c r="B111" s="7"/>
      <c r="C111" s="158">
        <v>1</v>
      </c>
      <c r="D111" s="7"/>
      <c r="E111" s="38" t="s">
        <v>178</v>
      </c>
      <c r="F111" s="38" t="s">
        <v>359</v>
      </c>
      <c r="G111" s="38" t="str">
        <f>VLOOKUP(E111,Mapping!$E$11:$G$204,3,0)</f>
        <v>Replacement</v>
      </c>
      <c r="H111" s="38" t="str">
        <f>VLOOKUP(E111,Mapping!$E$11:$K$204,7,0)</f>
        <v>SCS</v>
      </c>
      <c r="I111" s="43">
        <f>'Input|Forecast Data'!G111-SUMPRODUCT(--('Input|VBRC Calc'!$E$9:$E$19=$E111),'Input|VBRC Calc'!J$9:J$19)</f>
        <v>70.181033673573054</v>
      </c>
      <c r="J111" s="43">
        <f>'Input|Forecast Data'!H111-SUMPRODUCT(--('Input|VBRC Calc'!$E$9:$E$19=$E111),'Input|VBRC Calc'!K$9:K$19)</f>
        <v>70.181033673573054</v>
      </c>
      <c r="K111" s="43">
        <f>'Input|Forecast Data'!I111-SUMPRODUCT(--('Input|VBRC Calc'!$E$9:$E$19=$E111),'Input|VBRC Calc'!L$9:L$19)</f>
        <v>70.181033673573054</v>
      </c>
      <c r="L111" s="43">
        <f>'Input|Forecast Data'!J111-SUMPRODUCT(--('Input|VBRC Calc'!$E$9:$E$19=$E111),'Input|VBRC Calc'!M$9:M$19)</f>
        <v>70.181033673573054</v>
      </c>
      <c r="M111" s="43">
        <f>'Input|Forecast Data'!K111-SUMPRODUCT(--('Input|VBRC Calc'!$E$9:$E$19=$E111),'Input|VBRC Calc'!N$9:N$19)</f>
        <v>70.181033673573054</v>
      </c>
      <c r="N111" s="7"/>
      <c r="O111" s="7"/>
    </row>
    <row r="112" spans="1:15" x14ac:dyDescent="0.3">
      <c r="A112" s="7"/>
      <c r="B112" s="7"/>
      <c r="C112" s="158">
        <v>1</v>
      </c>
      <c r="D112" s="7"/>
      <c r="E112" s="38" t="s">
        <v>179</v>
      </c>
      <c r="F112" s="38" t="s">
        <v>360</v>
      </c>
      <c r="G112" s="38" t="str">
        <f>VLOOKUP(E112,Mapping!$E$11:$G$204,3,0)</f>
        <v>Replacement</v>
      </c>
      <c r="H112" s="38" t="str">
        <f>VLOOKUP(E112,Mapping!$E$11:$K$204,7,0)</f>
        <v>SCS</v>
      </c>
      <c r="I112" s="43">
        <f>'Input|Forecast Data'!G112-SUMPRODUCT(--('Input|VBRC Calc'!$E$9:$E$19=$E112),'Input|VBRC Calc'!J$9:J$19)</f>
        <v>95.593301954228181</v>
      </c>
      <c r="J112" s="43">
        <f>'Input|Forecast Data'!H112-SUMPRODUCT(--('Input|VBRC Calc'!$E$9:$E$19=$E112),'Input|VBRC Calc'!K$9:K$19)</f>
        <v>95.593301954228181</v>
      </c>
      <c r="K112" s="43">
        <f>'Input|Forecast Data'!I112-SUMPRODUCT(--('Input|VBRC Calc'!$E$9:$E$19=$E112),'Input|VBRC Calc'!L$9:L$19)</f>
        <v>95.593301954228181</v>
      </c>
      <c r="L112" s="43">
        <f>'Input|Forecast Data'!J112-SUMPRODUCT(--('Input|VBRC Calc'!$E$9:$E$19=$E112),'Input|VBRC Calc'!M$9:M$19)</f>
        <v>95.593301954228181</v>
      </c>
      <c r="M112" s="43">
        <f>'Input|Forecast Data'!K112-SUMPRODUCT(--('Input|VBRC Calc'!$E$9:$E$19=$E112),'Input|VBRC Calc'!N$9:N$19)</f>
        <v>95.593301954228181</v>
      </c>
      <c r="N112" s="7"/>
      <c r="O112" s="7"/>
    </row>
    <row r="113" spans="1:15" x14ac:dyDescent="0.3">
      <c r="A113" s="7"/>
      <c r="B113" s="7"/>
      <c r="C113" s="158">
        <v>1</v>
      </c>
      <c r="D113" s="7"/>
      <c r="E113" s="38" t="s">
        <v>180</v>
      </c>
      <c r="F113" s="38" t="s">
        <v>361</v>
      </c>
      <c r="G113" s="38" t="str">
        <f>VLOOKUP(E113,Mapping!$E$11:$G$204,3,0)</f>
        <v>Replacement</v>
      </c>
      <c r="H113" s="38" t="str">
        <f>VLOOKUP(E113,Mapping!$E$11:$K$204,7,0)</f>
        <v>SCS</v>
      </c>
      <c r="I113" s="43">
        <f>'Input|Forecast Data'!G113-SUMPRODUCT(--('Input|VBRC Calc'!$E$9:$E$19=$E113),'Input|VBRC Calc'!J$9:J$19)</f>
        <v>463.18343639250043</v>
      </c>
      <c r="J113" s="43">
        <f>'Input|Forecast Data'!H113-SUMPRODUCT(--('Input|VBRC Calc'!$E$9:$E$19=$E113),'Input|VBRC Calc'!K$9:K$19)</f>
        <v>463.18343639250043</v>
      </c>
      <c r="K113" s="43">
        <f>'Input|Forecast Data'!I113-SUMPRODUCT(--('Input|VBRC Calc'!$E$9:$E$19=$E113),'Input|VBRC Calc'!L$9:L$19)</f>
        <v>463.18343639250043</v>
      </c>
      <c r="L113" s="43">
        <f>'Input|Forecast Data'!J113-SUMPRODUCT(--('Input|VBRC Calc'!$E$9:$E$19=$E113),'Input|VBRC Calc'!M$9:M$19)</f>
        <v>463.18343639250043</v>
      </c>
      <c r="M113" s="43">
        <f>'Input|Forecast Data'!K113-SUMPRODUCT(--('Input|VBRC Calc'!$E$9:$E$19=$E113),'Input|VBRC Calc'!N$9:N$19)</f>
        <v>463.18343639250043</v>
      </c>
      <c r="N113" s="7"/>
      <c r="O113" s="7"/>
    </row>
    <row r="114" spans="1:15" x14ac:dyDescent="0.3">
      <c r="A114" s="7"/>
      <c r="B114" s="7"/>
      <c r="C114" s="158">
        <v>1</v>
      </c>
      <c r="D114" s="7"/>
      <c r="E114" s="38" t="s">
        <v>181</v>
      </c>
      <c r="F114" s="38" t="s">
        <v>362</v>
      </c>
      <c r="G114" s="38" t="str">
        <f>VLOOKUP(E114,Mapping!$E$11:$G$204,3,0)</f>
        <v>Replacement</v>
      </c>
      <c r="H114" s="38" t="str">
        <f>VLOOKUP(E114,Mapping!$E$11:$K$204,7,0)</f>
        <v>SCS</v>
      </c>
      <c r="I114" s="43">
        <f>'Input|Forecast Data'!G114-SUMPRODUCT(--('Input|VBRC Calc'!$E$9:$E$19=$E114),'Input|VBRC Calc'!J$9:J$19)</f>
        <v>76.71089898256011</v>
      </c>
      <c r="J114" s="43">
        <f>'Input|Forecast Data'!H114-SUMPRODUCT(--('Input|VBRC Calc'!$E$9:$E$19=$E114),'Input|VBRC Calc'!K$9:K$19)</f>
        <v>76.71089898256011</v>
      </c>
      <c r="K114" s="43">
        <f>'Input|Forecast Data'!I114-SUMPRODUCT(--('Input|VBRC Calc'!$E$9:$E$19=$E114),'Input|VBRC Calc'!L$9:L$19)</f>
        <v>76.71089898256011</v>
      </c>
      <c r="L114" s="43">
        <f>'Input|Forecast Data'!J114-SUMPRODUCT(--('Input|VBRC Calc'!$E$9:$E$19=$E114),'Input|VBRC Calc'!M$9:M$19)</f>
        <v>76.71089898256011</v>
      </c>
      <c r="M114" s="43">
        <f>'Input|Forecast Data'!K114-SUMPRODUCT(--('Input|VBRC Calc'!$E$9:$E$19=$E114),'Input|VBRC Calc'!N$9:N$19)</f>
        <v>76.71089898256011</v>
      </c>
      <c r="N114" s="7"/>
      <c r="O114" s="7"/>
    </row>
    <row r="115" spans="1:15" x14ac:dyDescent="0.3">
      <c r="A115" s="7"/>
      <c r="B115" s="7"/>
      <c r="C115" s="158">
        <v>1</v>
      </c>
      <c r="D115" s="7"/>
      <c r="E115" s="38" t="s">
        <v>182</v>
      </c>
      <c r="F115" s="38" t="s">
        <v>363</v>
      </c>
      <c r="G115" s="38" t="str">
        <f>VLOOKUP(E115,Mapping!$E$11:$G$204,3,0)</f>
        <v>Replacement</v>
      </c>
      <c r="H115" s="38" t="str">
        <f>VLOOKUP(E115,Mapping!$E$11:$K$204,7,0)</f>
        <v>SCS</v>
      </c>
      <c r="I115" s="43">
        <f>'Input|Forecast Data'!G115-SUMPRODUCT(--('Input|VBRC Calc'!$E$9:$E$19=$E115),'Input|VBRC Calc'!J$9:J$19)</f>
        <v>11.845118065426815</v>
      </c>
      <c r="J115" s="43">
        <f>'Input|Forecast Data'!H115-SUMPRODUCT(--('Input|VBRC Calc'!$E$9:$E$19=$E115),'Input|VBRC Calc'!K$9:K$19)</f>
        <v>11.845118065426815</v>
      </c>
      <c r="K115" s="43">
        <f>'Input|Forecast Data'!I115-SUMPRODUCT(--('Input|VBRC Calc'!$E$9:$E$19=$E115),'Input|VBRC Calc'!L$9:L$19)</f>
        <v>11.845118065426815</v>
      </c>
      <c r="L115" s="43">
        <f>'Input|Forecast Data'!J115-SUMPRODUCT(--('Input|VBRC Calc'!$E$9:$E$19=$E115),'Input|VBRC Calc'!M$9:M$19)</f>
        <v>11.845118065426815</v>
      </c>
      <c r="M115" s="43">
        <f>'Input|Forecast Data'!K115-SUMPRODUCT(--('Input|VBRC Calc'!$E$9:$E$19=$E115),'Input|VBRC Calc'!N$9:N$19)</f>
        <v>11.845118065426815</v>
      </c>
      <c r="N115" s="7"/>
      <c r="O115" s="7"/>
    </row>
    <row r="116" spans="1:15" x14ac:dyDescent="0.3">
      <c r="A116" s="7"/>
      <c r="B116" s="7"/>
      <c r="C116" s="158">
        <v>1</v>
      </c>
      <c r="D116" s="7"/>
      <c r="E116" s="38" t="s">
        <v>183</v>
      </c>
      <c r="F116" s="38" t="s">
        <v>364</v>
      </c>
      <c r="G116" s="38" t="str">
        <f>VLOOKUP(E116,Mapping!$E$11:$G$204,3,0)</f>
        <v>Public Lighting</v>
      </c>
      <c r="H116" s="38" t="str">
        <f>VLOOKUP(E116,Mapping!$E$11:$K$204,7,0)</f>
        <v>Public Lighting</v>
      </c>
      <c r="I116" s="43">
        <f>'Input|Forecast Data'!G116-SUMPRODUCT(--('Input|VBRC Calc'!$E$9:$E$19=$E116),'Input|VBRC Calc'!J$9:J$19)</f>
        <v>0</v>
      </c>
      <c r="J116" s="43">
        <f>'Input|Forecast Data'!H116-SUMPRODUCT(--('Input|VBRC Calc'!$E$9:$E$19=$E116),'Input|VBRC Calc'!K$9:K$19)</f>
        <v>0</v>
      </c>
      <c r="K116" s="43">
        <f>'Input|Forecast Data'!I116-SUMPRODUCT(--('Input|VBRC Calc'!$E$9:$E$19=$E116),'Input|VBRC Calc'!L$9:L$19)</f>
        <v>0</v>
      </c>
      <c r="L116" s="43">
        <f>'Input|Forecast Data'!J116-SUMPRODUCT(--('Input|VBRC Calc'!$E$9:$E$19=$E116),'Input|VBRC Calc'!M$9:M$19)</f>
        <v>0</v>
      </c>
      <c r="M116" s="43">
        <f>'Input|Forecast Data'!K116-SUMPRODUCT(--('Input|VBRC Calc'!$E$9:$E$19=$E116),'Input|VBRC Calc'!N$9:N$19)</f>
        <v>0</v>
      </c>
      <c r="N116" s="7"/>
      <c r="O116" s="7"/>
    </row>
    <row r="117" spans="1:15" x14ac:dyDescent="0.3">
      <c r="A117" s="7"/>
      <c r="B117" s="7"/>
      <c r="C117" s="158">
        <v>1</v>
      </c>
      <c r="D117" s="7"/>
      <c r="E117" s="38" t="s">
        <v>184</v>
      </c>
      <c r="F117" s="38" t="s">
        <v>365</v>
      </c>
      <c r="G117" s="38" t="str">
        <f>VLOOKUP(E117,Mapping!$E$11:$G$204,3,0)</f>
        <v>Public Lighting</v>
      </c>
      <c r="H117" s="38" t="str">
        <f>VLOOKUP(E117,Mapping!$E$11:$K$204,7,0)</f>
        <v>Public Lighting</v>
      </c>
      <c r="I117" s="43">
        <f>'Input|Forecast Data'!G117-SUMPRODUCT(--('Input|VBRC Calc'!$E$9:$E$19=$E117),'Input|VBRC Calc'!J$9:J$19)</f>
        <v>0</v>
      </c>
      <c r="J117" s="43">
        <f>'Input|Forecast Data'!H117-SUMPRODUCT(--('Input|VBRC Calc'!$E$9:$E$19=$E117),'Input|VBRC Calc'!K$9:K$19)</f>
        <v>0</v>
      </c>
      <c r="K117" s="43">
        <f>'Input|Forecast Data'!I117-SUMPRODUCT(--('Input|VBRC Calc'!$E$9:$E$19=$E117),'Input|VBRC Calc'!L$9:L$19)</f>
        <v>0</v>
      </c>
      <c r="L117" s="43">
        <f>'Input|Forecast Data'!J117-SUMPRODUCT(--('Input|VBRC Calc'!$E$9:$E$19=$E117),'Input|VBRC Calc'!M$9:M$19)</f>
        <v>0</v>
      </c>
      <c r="M117" s="43">
        <f>'Input|Forecast Data'!K117-SUMPRODUCT(--('Input|VBRC Calc'!$E$9:$E$19=$E117),'Input|VBRC Calc'!N$9:N$19)</f>
        <v>0</v>
      </c>
      <c r="N117" s="7"/>
      <c r="O117" s="7"/>
    </row>
    <row r="118" spans="1:15" x14ac:dyDescent="0.3">
      <c r="A118" s="7"/>
      <c r="B118" s="7"/>
      <c r="C118" s="158">
        <v>1</v>
      </c>
      <c r="D118" s="7"/>
      <c r="E118" s="38" t="s">
        <v>185</v>
      </c>
      <c r="F118" s="38" t="s">
        <v>366</v>
      </c>
      <c r="G118" s="38" t="str">
        <f>VLOOKUP(E118,Mapping!$E$11:$G$204,3,0)</f>
        <v>Public Lighting</v>
      </c>
      <c r="H118" s="38" t="str">
        <f>VLOOKUP(E118,Mapping!$E$11:$K$204,7,0)</f>
        <v>Public Lighting</v>
      </c>
      <c r="I118" s="43">
        <f>'Input|Forecast Data'!G118-SUMPRODUCT(--('Input|VBRC Calc'!$E$9:$E$19=$E118),'Input|VBRC Calc'!J$9:J$19)</f>
        <v>0</v>
      </c>
      <c r="J118" s="43">
        <f>'Input|Forecast Data'!H118-SUMPRODUCT(--('Input|VBRC Calc'!$E$9:$E$19=$E118),'Input|VBRC Calc'!K$9:K$19)</f>
        <v>0</v>
      </c>
      <c r="K118" s="43">
        <f>'Input|Forecast Data'!I118-SUMPRODUCT(--('Input|VBRC Calc'!$E$9:$E$19=$E118),'Input|VBRC Calc'!L$9:L$19)</f>
        <v>0</v>
      </c>
      <c r="L118" s="43">
        <f>'Input|Forecast Data'!J118-SUMPRODUCT(--('Input|VBRC Calc'!$E$9:$E$19=$E118),'Input|VBRC Calc'!M$9:M$19)</f>
        <v>0</v>
      </c>
      <c r="M118" s="43">
        <f>'Input|Forecast Data'!K118-SUMPRODUCT(--('Input|VBRC Calc'!$E$9:$E$19=$E118),'Input|VBRC Calc'!N$9:N$19)</f>
        <v>0</v>
      </c>
      <c r="N118" s="7"/>
      <c r="O118" s="7"/>
    </row>
    <row r="119" spans="1:15" x14ac:dyDescent="0.3">
      <c r="A119" s="7"/>
      <c r="B119" s="7"/>
      <c r="C119" s="158">
        <v>1</v>
      </c>
      <c r="D119" s="7"/>
      <c r="E119" s="38" t="s">
        <v>186</v>
      </c>
      <c r="F119" s="38" t="s">
        <v>367</v>
      </c>
      <c r="G119" s="38" t="str">
        <f>VLOOKUP(E119,Mapping!$E$11:$G$204,3,0)</f>
        <v>Replacement</v>
      </c>
      <c r="H119" s="38" t="str">
        <f>VLOOKUP(E119,Mapping!$E$11:$K$204,7,0)</f>
        <v>SCS</v>
      </c>
      <c r="I119" s="43">
        <f>'Input|Forecast Data'!G119-SUMPRODUCT(--('Input|VBRC Calc'!$E$9:$E$19=$E119),'Input|VBRC Calc'!J$9:J$19)</f>
        <v>1329.0112289464375</v>
      </c>
      <c r="J119" s="43">
        <f>'Input|Forecast Data'!H119-SUMPRODUCT(--('Input|VBRC Calc'!$E$9:$E$19=$E119),'Input|VBRC Calc'!K$9:K$19)</f>
        <v>1329.0112289464375</v>
      </c>
      <c r="K119" s="43">
        <f>'Input|Forecast Data'!I119-SUMPRODUCT(--('Input|VBRC Calc'!$E$9:$E$19=$E119),'Input|VBRC Calc'!L$9:L$19)</f>
        <v>1329.0112289464375</v>
      </c>
      <c r="L119" s="43">
        <f>'Input|Forecast Data'!J119-SUMPRODUCT(--('Input|VBRC Calc'!$E$9:$E$19=$E119),'Input|VBRC Calc'!M$9:M$19)</f>
        <v>1329.0112289464375</v>
      </c>
      <c r="M119" s="43">
        <f>'Input|Forecast Data'!K119-SUMPRODUCT(--('Input|VBRC Calc'!$E$9:$E$19=$E119),'Input|VBRC Calc'!N$9:N$19)</f>
        <v>1329.0112289464375</v>
      </c>
      <c r="N119" s="7"/>
      <c r="O119" s="7"/>
    </row>
    <row r="120" spans="1:15" x14ac:dyDescent="0.3">
      <c r="A120" s="7"/>
      <c r="B120" s="7"/>
      <c r="C120" s="158">
        <v>1</v>
      </c>
      <c r="D120" s="7"/>
      <c r="E120" s="38" t="s">
        <v>187</v>
      </c>
      <c r="F120" s="38" t="s">
        <v>368</v>
      </c>
      <c r="G120" s="38" t="str">
        <f>VLOOKUP(E120,Mapping!$E$11:$G$204,3,0)</f>
        <v>Replacement</v>
      </c>
      <c r="H120" s="38" t="str">
        <f>VLOOKUP(E120,Mapping!$E$11:$K$204,7,0)</f>
        <v>SCS</v>
      </c>
      <c r="I120" s="43">
        <f>'Input|Forecast Data'!G120-SUMPRODUCT(--('Input|VBRC Calc'!$E$9:$E$19=$E120),'Input|VBRC Calc'!J$9:J$19)</f>
        <v>0</v>
      </c>
      <c r="J120" s="43">
        <f>'Input|Forecast Data'!H120-SUMPRODUCT(--('Input|VBRC Calc'!$E$9:$E$19=$E120),'Input|VBRC Calc'!K$9:K$19)</f>
        <v>0</v>
      </c>
      <c r="K120" s="43">
        <f>'Input|Forecast Data'!I120-SUMPRODUCT(--('Input|VBRC Calc'!$E$9:$E$19=$E120),'Input|VBRC Calc'!L$9:L$19)</f>
        <v>0</v>
      </c>
      <c r="L120" s="43">
        <f>'Input|Forecast Data'!J120-SUMPRODUCT(--('Input|VBRC Calc'!$E$9:$E$19=$E120),'Input|VBRC Calc'!M$9:M$19)</f>
        <v>0</v>
      </c>
      <c r="M120" s="43">
        <f>'Input|Forecast Data'!K120-SUMPRODUCT(--('Input|VBRC Calc'!$E$9:$E$19=$E120),'Input|VBRC Calc'!N$9:N$19)</f>
        <v>0</v>
      </c>
      <c r="N120" s="7"/>
      <c r="O120" s="7"/>
    </row>
    <row r="121" spans="1:15" x14ac:dyDescent="0.3">
      <c r="A121" s="7"/>
      <c r="B121" s="7"/>
      <c r="C121" s="158">
        <v>1</v>
      </c>
      <c r="D121" s="7"/>
      <c r="E121" s="38" t="s">
        <v>188</v>
      </c>
      <c r="F121" s="38" t="s">
        <v>369</v>
      </c>
      <c r="G121" s="38" t="str">
        <f>VLOOKUP(E121,Mapping!$E$11:$G$204,3,0)</f>
        <v>Replacement</v>
      </c>
      <c r="H121" s="38" t="str">
        <f>VLOOKUP(E121,Mapping!$E$11:$K$204,7,0)</f>
        <v>SCS</v>
      </c>
      <c r="I121" s="43">
        <f>'Input|Forecast Data'!G121-SUMPRODUCT(--('Input|VBRC Calc'!$E$9:$E$19=$E121),'Input|VBRC Calc'!J$9:J$19)</f>
        <v>0</v>
      </c>
      <c r="J121" s="43">
        <f>'Input|Forecast Data'!H121-SUMPRODUCT(--('Input|VBRC Calc'!$E$9:$E$19=$E121),'Input|VBRC Calc'!K$9:K$19)</f>
        <v>0</v>
      </c>
      <c r="K121" s="43">
        <f>'Input|Forecast Data'!I121-SUMPRODUCT(--('Input|VBRC Calc'!$E$9:$E$19=$E121),'Input|VBRC Calc'!L$9:L$19)</f>
        <v>0</v>
      </c>
      <c r="L121" s="43">
        <f>'Input|Forecast Data'!J121-SUMPRODUCT(--('Input|VBRC Calc'!$E$9:$E$19=$E121),'Input|VBRC Calc'!M$9:M$19)</f>
        <v>0</v>
      </c>
      <c r="M121" s="43">
        <f>'Input|Forecast Data'!K121-SUMPRODUCT(--('Input|VBRC Calc'!$E$9:$E$19=$E121),'Input|VBRC Calc'!N$9:N$19)</f>
        <v>0</v>
      </c>
      <c r="N121" s="7"/>
      <c r="O121" s="7"/>
    </row>
    <row r="122" spans="1:15" x14ac:dyDescent="0.3">
      <c r="A122" s="7"/>
      <c r="B122" s="7"/>
      <c r="C122" s="158">
        <v>1</v>
      </c>
      <c r="D122" s="7"/>
      <c r="E122" s="38" t="s">
        <v>189</v>
      </c>
      <c r="F122" s="38" t="s">
        <v>370</v>
      </c>
      <c r="G122" s="38" t="str">
        <f>VLOOKUP(E122,Mapping!$E$11:$G$204,3,0)</f>
        <v>Replacement</v>
      </c>
      <c r="H122" s="38" t="str">
        <f>VLOOKUP(E122,Mapping!$E$11:$K$204,7,0)</f>
        <v>SCS</v>
      </c>
      <c r="I122" s="43">
        <f>'Input|Forecast Data'!G122-SUMPRODUCT(--('Input|VBRC Calc'!$E$9:$E$19=$E122),'Input|VBRC Calc'!J$9:J$19)</f>
        <v>0</v>
      </c>
      <c r="J122" s="43">
        <f>'Input|Forecast Data'!H122-SUMPRODUCT(--('Input|VBRC Calc'!$E$9:$E$19=$E122),'Input|VBRC Calc'!K$9:K$19)</f>
        <v>0</v>
      </c>
      <c r="K122" s="43">
        <f>'Input|Forecast Data'!I122-SUMPRODUCT(--('Input|VBRC Calc'!$E$9:$E$19=$E122),'Input|VBRC Calc'!L$9:L$19)</f>
        <v>0</v>
      </c>
      <c r="L122" s="43">
        <f>'Input|Forecast Data'!J122-SUMPRODUCT(--('Input|VBRC Calc'!$E$9:$E$19=$E122),'Input|VBRC Calc'!M$9:M$19)</f>
        <v>0</v>
      </c>
      <c r="M122" s="43">
        <f>'Input|Forecast Data'!K122-SUMPRODUCT(--('Input|VBRC Calc'!$E$9:$E$19=$E122),'Input|VBRC Calc'!N$9:N$19)</f>
        <v>0</v>
      </c>
      <c r="N122" s="7"/>
      <c r="O122" s="7"/>
    </row>
    <row r="123" spans="1:15" x14ac:dyDescent="0.3">
      <c r="A123" s="7"/>
      <c r="B123" s="7"/>
      <c r="C123" s="158">
        <v>1</v>
      </c>
      <c r="D123" s="7"/>
      <c r="E123" s="38" t="s">
        <v>190</v>
      </c>
      <c r="F123" s="38" t="s">
        <v>371</v>
      </c>
      <c r="G123" s="38" t="str">
        <f>VLOOKUP(E123,Mapping!$E$11:$G$204,3,0)</f>
        <v>Replacement</v>
      </c>
      <c r="H123" s="38" t="str">
        <f>VLOOKUP(E123,Mapping!$E$11:$K$204,7,0)</f>
        <v>SCS</v>
      </c>
      <c r="I123" s="43">
        <f>'Input|Forecast Data'!G123-SUMPRODUCT(--('Input|VBRC Calc'!$E$9:$E$19=$E123),'Input|VBRC Calc'!J$9:J$19)</f>
        <v>2193.5282397646829</v>
      </c>
      <c r="J123" s="43">
        <f>'Input|Forecast Data'!H123-SUMPRODUCT(--('Input|VBRC Calc'!$E$9:$E$19=$E123),'Input|VBRC Calc'!K$9:K$19)</f>
        <v>2193.5282397646829</v>
      </c>
      <c r="K123" s="43">
        <f>'Input|Forecast Data'!I123-SUMPRODUCT(--('Input|VBRC Calc'!$E$9:$E$19=$E123),'Input|VBRC Calc'!L$9:L$19)</f>
        <v>2193.5282397646829</v>
      </c>
      <c r="L123" s="43">
        <f>'Input|Forecast Data'!J123-SUMPRODUCT(--('Input|VBRC Calc'!$E$9:$E$19=$E123),'Input|VBRC Calc'!M$9:M$19)</f>
        <v>2193.5282397646829</v>
      </c>
      <c r="M123" s="43">
        <f>'Input|Forecast Data'!K123-SUMPRODUCT(--('Input|VBRC Calc'!$E$9:$E$19=$E123),'Input|VBRC Calc'!N$9:N$19)</f>
        <v>2193.5282397646829</v>
      </c>
      <c r="N123" s="7"/>
      <c r="O123" s="7"/>
    </row>
    <row r="124" spans="1:15" x14ac:dyDescent="0.3">
      <c r="A124" s="7"/>
      <c r="B124" s="7"/>
      <c r="C124" s="158">
        <v>0</v>
      </c>
      <c r="D124" s="7"/>
      <c r="E124" s="38" t="s">
        <v>191</v>
      </c>
      <c r="F124" s="38" t="s">
        <v>372</v>
      </c>
      <c r="G124" s="38" t="str">
        <f>VLOOKUP(E124,Mapping!$E$11:$G$204,3,0)</f>
        <v>Replacement</v>
      </c>
      <c r="H124" s="38" t="str">
        <f>VLOOKUP(E124,Mapping!$E$11:$K$204,7,0)</f>
        <v>SCS</v>
      </c>
      <c r="I124" s="43">
        <f>'Input|Forecast Data'!G124-SUMPRODUCT(--('Input|VBRC Calc'!$E$9:$E$19=$E124),'Input|VBRC Calc'!J$9:J$19)</f>
        <v>31.960331345532516</v>
      </c>
      <c r="J124" s="43">
        <f>'Input|Forecast Data'!H124-SUMPRODUCT(--('Input|VBRC Calc'!$E$9:$E$19=$E124),'Input|VBRC Calc'!K$9:K$19)</f>
        <v>31.960331345532516</v>
      </c>
      <c r="K124" s="43">
        <f>'Input|Forecast Data'!I124-SUMPRODUCT(--('Input|VBRC Calc'!$E$9:$E$19=$E124),'Input|VBRC Calc'!L$9:L$19)</f>
        <v>31.960331345532516</v>
      </c>
      <c r="L124" s="43">
        <f>'Input|Forecast Data'!J124-SUMPRODUCT(--('Input|VBRC Calc'!$E$9:$E$19=$E124),'Input|VBRC Calc'!M$9:M$19)</f>
        <v>31.960331345532516</v>
      </c>
      <c r="M124" s="43">
        <f>'Input|Forecast Data'!K124-SUMPRODUCT(--('Input|VBRC Calc'!$E$9:$E$19=$E124),'Input|VBRC Calc'!N$9:N$19)</f>
        <v>31.960331345532516</v>
      </c>
      <c r="N124" s="7"/>
      <c r="O124" s="7"/>
    </row>
    <row r="125" spans="1:15" x14ac:dyDescent="0.3">
      <c r="A125" s="7"/>
      <c r="B125" s="7"/>
      <c r="C125" s="158">
        <v>1</v>
      </c>
      <c r="D125" s="7"/>
      <c r="E125" s="38" t="s">
        <v>192</v>
      </c>
      <c r="F125" s="38" t="s">
        <v>373</v>
      </c>
      <c r="G125" s="225" t="str">
        <f>'Input|Forecast Data'!L125</f>
        <v>Replacement</v>
      </c>
      <c r="H125" s="38" t="str">
        <f>VLOOKUP(E125,Mapping!$E$11:$K$204,7,0)</f>
        <v>SCS</v>
      </c>
      <c r="I125" s="43">
        <f>'Input|Forecast Data'!G125-SUMPRODUCT(--('Input|VBRC Calc'!$E$9:$E$19=$E125),'Input|VBRC Calc'!J$9:J$19)</f>
        <v>593.75065866957709</v>
      </c>
      <c r="J125" s="43">
        <f>'Input|Forecast Data'!H125-SUMPRODUCT(--('Input|VBRC Calc'!$E$9:$E$19=$E125),'Input|VBRC Calc'!K$9:K$19)</f>
        <v>593.75065866957709</v>
      </c>
      <c r="K125" s="43">
        <f>'Input|Forecast Data'!I125-SUMPRODUCT(--('Input|VBRC Calc'!$E$9:$E$19=$E125),'Input|VBRC Calc'!L$9:L$19)</f>
        <v>593.75065866957709</v>
      </c>
      <c r="L125" s="43">
        <f>'Input|Forecast Data'!J125-SUMPRODUCT(--('Input|VBRC Calc'!$E$9:$E$19=$E125),'Input|VBRC Calc'!M$9:M$19)</f>
        <v>593.75065866957709</v>
      </c>
      <c r="M125" s="43">
        <f>'Input|Forecast Data'!K125-SUMPRODUCT(--('Input|VBRC Calc'!$E$9:$E$19=$E125),'Input|VBRC Calc'!N$9:N$19)</f>
        <v>337.15843156343919</v>
      </c>
      <c r="N125" s="7"/>
      <c r="O125" s="7"/>
    </row>
    <row r="126" spans="1:15" x14ac:dyDescent="0.3">
      <c r="A126" s="7"/>
      <c r="B126" s="7"/>
      <c r="C126" s="158">
        <v>1</v>
      </c>
      <c r="D126" s="7"/>
      <c r="E126" s="38" t="s">
        <v>193</v>
      </c>
      <c r="F126" s="38" t="s">
        <v>374</v>
      </c>
      <c r="G126" s="134" t="s">
        <v>29</v>
      </c>
      <c r="H126" s="38" t="str">
        <f>VLOOKUP(E126,Mapping!$E$11:$K$204,7,0)</f>
        <v>SCS</v>
      </c>
      <c r="I126" s="43">
        <f>'Input|Forecast Data'!G126-SUMPRODUCT(--('Input|VBRC Calc'!$E$9:$E$19=$E126),'Input|VBRC Calc'!J$9:J$19)</f>
        <v>0</v>
      </c>
      <c r="J126" s="43">
        <f>'Input|Forecast Data'!H126-SUMPRODUCT(--('Input|VBRC Calc'!$E$9:$E$19=$E126),'Input|VBRC Calc'!K$9:K$19)</f>
        <v>0</v>
      </c>
      <c r="K126" s="43">
        <f>'Input|Forecast Data'!I126-SUMPRODUCT(--('Input|VBRC Calc'!$E$9:$E$19=$E126),'Input|VBRC Calc'!L$9:L$19)</f>
        <v>0</v>
      </c>
      <c r="L126" s="43">
        <f>'Input|Forecast Data'!J126-SUMPRODUCT(--('Input|VBRC Calc'!$E$9:$E$19=$E126),'Input|VBRC Calc'!M$9:M$19)</f>
        <v>0</v>
      </c>
      <c r="M126" s="43">
        <f>'Input|Forecast Data'!K126-SUMPRODUCT(--('Input|VBRC Calc'!$E$9:$E$19=$E126),'Input|VBRC Calc'!N$9:N$19)</f>
        <v>0</v>
      </c>
      <c r="N126" s="7"/>
      <c r="O126" s="7"/>
    </row>
    <row r="127" spans="1:15" x14ac:dyDescent="0.3">
      <c r="A127" s="7"/>
      <c r="B127" s="7"/>
      <c r="C127" s="158">
        <v>1</v>
      </c>
      <c r="D127" s="7"/>
      <c r="E127" s="38" t="s">
        <v>194</v>
      </c>
      <c r="F127" s="38" t="s">
        <v>375</v>
      </c>
      <c r="G127" s="38" t="str">
        <f>VLOOKUP(E127,Mapping!$E$11:$G$204,3,0)</f>
        <v>Replacement</v>
      </c>
      <c r="H127" s="38" t="str">
        <f>VLOOKUP(E127,Mapping!$E$11:$K$204,7,0)</f>
        <v>SCS</v>
      </c>
      <c r="I127" s="43">
        <f>'Input|Forecast Data'!G127-SUMPRODUCT(--('Input|VBRC Calc'!$E$9:$E$19=$E127),'Input|VBRC Calc'!J$9:J$19)</f>
        <v>350.71633716098984</v>
      </c>
      <c r="J127" s="43">
        <f>'Input|Forecast Data'!H127-SUMPRODUCT(--('Input|VBRC Calc'!$E$9:$E$19=$E127),'Input|VBRC Calc'!K$9:K$19)</f>
        <v>350.71633716098984</v>
      </c>
      <c r="K127" s="43">
        <f>'Input|Forecast Data'!I127-SUMPRODUCT(--('Input|VBRC Calc'!$E$9:$E$19=$E127),'Input|VBRC Calc'!L$9:L$19)</f>
        <v>350.71633716098984</v>
      </c>
      <c r="L127" s="43">
        <f>'Input|Forecast Data'!J127-SUMPRODUCT(--('Input|VBRC Calc'!$E$9:$E$19=$E127),'Input|VBRC Calc'!M$9:M$19)</f>
        <v>350.71633716098984</v>
      </c>
      <c r="M127" s="43">
        <f>'Input|Forecast Data'!K127-SUMPRODUCT(--('Input|VBRC Calc'!$E$9:$E$19=$E127),'Input|VBRC Calc'!N$9:N$19)</f>
        <v>380.41154672565006</v>
      </c>
      <c r="N127" s="7"/>
      <c r="O127" s="7"/>
    </row>
    <row r="128" spans="1:15" x14ac:dyDescent="0.3">
      <c r="A128" s="7"/>
      <c r="B128" s="7"/>
      <c r="C128" s="158">
        <v>0</v>
      </c>
      <c r="D128" s="7"/>
      <c r="E128" s="38" t="s">
        <v>195</v>
      </c>
      <c r="F128" s="38" t="s">
        <v>376</v>
      </c>
      <c r="G128" s="225" t="str">
        <f>'Input|Forecast Data'!L128</f>
        <v>Replacement</v>
      </c>
      <c r="H128" s="38" t="str">
        <f>VLOOKUP(E128,Mapping!$E$11:$K$204,7,0)</f>
        <v>SCS</v>
      </c>
      <c r="I128" s="43">
        <f>'Input|Forecast Data'!G128-SUMPRODUCT(--('Input|VBRC Calc'!$E$9:$E$19=$E128),'Input|VBRC Calc'!J$9:J$19)</f>
        <v>148.57369667582364</v>
      </c>
      <c r="J128" s="43">
        <f>'Input|Forecast Data'!H128-SUMPRODUCT(--('Input|VBRC Calc'!$E$9:$E$19=$E128),'Input|VBRC Calc'!K$9:K$19)</f>
        <v>148.57369667582364</v>
      </c>
      <c r="K128" s="43">
        <f>'Input|Forecast Data'!I128-SUMPRODUCT(--('Input|VBRC Calc'!$E$9:$E$19=$E128),'Input|VBRC Calc'!L$9:L$19)</f>
        <v>148.57369667582364</v>
      </c>
      <c r="L128" s="43">
        <f>'Input|Forecast Data'!J128-SUMPRODUCT(--('Input|VBRC Calc'!$E$9:$E$19=$E128),'Input|VBRC Calc'!M$9:M$19)</f>
        <v>148.57369667582364</v>
      </c>
      <c r="M128" s="43">
        <f>'Input|Forecast Data'!K128-SUMPRODUCT(--('Input|VBRC Calc'!$E$9:$E$19=$E128),'Input|VBRC Calc'!N$9:N$19)</f>
        <v>148.57369667582364</v>
      </c>
      <c r="N128" s="7"/>
      <c r="O128" s="7"/>
    </row>
    <row r="129" spans="1:15" x14ac:dyDescent="0.3">
      <c r="A129" s="7"/>
      <c r="B129" s="7"/>
      <c r="C129" s="158">
        <v>1</v>
      </c>
      <c r="D129" s="7"/>
      <c r="E129" s="38" t="s">
        <v>196</v>
      </c>
      <c r="F129" s="38" t="s">
        <v>377</v>
      </c>
      <c r="G129" s="38" t="str">
        <f>VLOOKUP(E129,Mapping!$E$11:$G$204,3,0)</f>
        <v>Replacement</v>
      </c>
      <c r="H129" s="38" t="str">
        <f>VLOOKUP(E129,Mapping!$E$11:$K$204,7,0)</f>
        <v>SCS</v>
      </c>
      <c r="I129" s="43">
        <f>'Input|Forecast Data'!G129-SUMPRODUCT(--('Input|VBRC Calc'!$E$9:$E$19=$E129),'Input|VBRC Calc'!J$9:J$19)</f>
        <v>130.44528713881101</v>
      </c>
      <c r="J129" s="43">
        <f>'Input|Forecast Data'!H129-SUMPRODUCT(--('Input|VBRC Calc'!$E$9:$E$19=$E129),'Input|VBRC Calc'!K$9:K$19)</f>
        <v>130.44528713881101</v>
      </c>
      <c r="K129" s="43">
        <f>'Input|Forecast Data'!I129-SUMPRODUCT(--('Input|VBRC Calc'!$E$9:$E$19=$E129),'Input|VBRC Calc'!L$9:L$19)</f>
        <v>130.44528713881101</v>
      </c>
      <c r="L129" s="43">
        <f>'Input|Forecast Data'!J129-SUMPRODUCT(--('Input|VBRC Calc'!$E$9:$E$19=$E129),'Input|VBRC Calc'!M$9:M$19)</f>
        <v>130.44528713881101</v>
      </c>
      <c r="M129" s="43">
        <f>'Input|Forecast Data'!K129-SUMPRODUCT(--('Input|VBRC Calc'!$E$9:$E$19=$E129),'Input|VBRC Calc'!N$9:N$19)</f>
        <v>130.44528713881101</v>
      </c>
      <c r="N129" s="7"/>
      <c r="O129" s="7"/>
    </row>
    <row r="130" spans="1:15" x14ac:dyDescent="0.3">
      <c r="A130" s="7"/>
      <c r="B130" s="7"/>
      <c r="C130" s="158">
        <v>0</v>
      </c>
      <c r="D130" s="7"/>
      <c r="E130" s="38" t="s">
        <v>197</v>
      </c>
      <c r="F130" s="38" t="s">
        <v>378</v>
      </c>
      <c r="G130" s="38" t="str">
        <f>VLOOKUP(E130,Mapping!$E$11:$G$204,3,0)</f>
        <v>Replacement</v>
      </c>
      <c r="H130" s="38" t="str">
        <f>VLOOKUP(E130,Mapping!$E$11:$K$204,7,0)</f>
        <v>SCS</v>
      </c>
      <c r="I130" s="43">
        <f>'Input|Forecast Data'!G130-SUMPRODUCT(--('Input|VBRC Calc'!$E$9:$E$19=$E130),'Input|VBRC Calc'!J$9:J$19)</f>
        <v>1717.8496643175467</v>
      </c>
      <c r="J130" s="43">
        <f>'Input|Forecast Data'!H130-SUMPRODUCT(--('Input|VBRC Calc'!$E$9:$E$19=$E130),'Input|VBRC Calc'!K$9:K$19)</f>
        <v>1717.8496643175467</v>
      </c>
      <c r="K130" s="43">
        <f>'Input|Forecast Data'!I130-SUMPRODUCT(--('Input|VBRC Calc'!$E$9:$E$19=$E130),'Input|VBRC Calc'!L$9:L$19)</f>
        <v>1717.8496643175467</v>
      </c>
      <c r="L130" s="43">
        <f>'Input|Forecast Data'!J130-SUMPRODUCT(--('Input|VBRC Calc'!$E$9:$E$19=$E130),'Input|VBRC Calc'!M$9:M$19)</f>
        <v>1717.8496643175467</v>
      </c>
      <c r="M130" s="43">
        <f>'Input|Forecast Data'!K130-SUMPRODUCT(--('Input|VBRC Calc'!$E$9:$E$19=$E130),'Input|VBRC Calc'!N$9:N$19)</f>
        <v>1717.8496643175467</v>
      </c>
      <c r="N130" s="7"/>
      <c r="O130" s="7"/>
    </row>
    <row r="131" spans="1:15" x14ac:dyDescent="0.3">
      <c r="A131" s="7"/>
      <c r="B131" s="7"/>
      <c r="C131" s="158">
        <v>0</v>
      </c>
      <c r="D131" s="7"/>
      <c r="E131" s="38" t="s">
        <v>198</v>
      </c>
      <c r="F131" s="38" t="s">
        <v>379</v>
      </c>
      <c r="G131" s="38" t="str">
        <f>VLOOKUP(E131,Mapping!$E$11:$G$204,3,0)</f>
        <v>Replacement</v>
      </c>
      <c r="H131" s="38" t="str">
        <f>VLOOKUP(E131,Mapping!$E$11:$K$204,7,0)</f>
        <v>SCS</v>
      </c>
      <c r="I131" s="43">
        <f>'Input|Forecast Data'!G131-SUMPRODUCT(--('Input|VBRC Calc'!$E$9:$E$19=$E131),'Input|VBRC Calc'!J$9:J$19)</f>
        <v>5.2663000908186453</v>
      </c>
      <c r="J131" s="43">
        <f>'Input|Forecast Data'!H131-SUMPRODUCT(--('Input|VBRC Calc'!$E$9:$E$19=$E131),'Input|VBRC Calc'!K$9:K$19)</f>
        <v>5.2663000908186453</v>
      </c>
      <c r="K131" s="43">
        <f>'Input|Forecast Data'!I131-SUMPRODUCT(--('Input|VBRC Calc'!$E$9:$E$19=$E131),'Input|VBRC Calc'!L$9:L$19)</f>
        <v>5.2663000908186453</v>
      </c>
      <c r="L131" s="43">
        <f>'Input|Forecast Data'!J131-SUMPRODUCT(--('Input|VBRC Calc'!$E$9:$E$19=$E131),'Input|VBRC Calc'!M$9:M$19)</f>
        <v>5.2663000908186453</v>
      </c>
      <c r="M131" s="43">
        <f>'Input|Forecast Data'!K131-SUMPRODUCT(--('Input|VBRC Calc'!$E$9:$E$19=$E131),'Input|VBRC Calc'!N$9:N$19)</f>
        <v>5.2663000908186453</v>
      </c>
      <c r="N131" s="7"/>
      <c r="O131" s="7"/>
    </row>
    <row r="132" spans="1:15" x14ac:dyDescent="0.3">
      <c r="A132" s="7"/>
      <c r="B132" s="7"/>
      <c r="C132" s="158">
        <v>1</v>
      </c>
      <c r="D132" s="7"/>
      <c r="E132" s="38" t="s">
        <v>199</v>
      </c>
      <c r="F132" s="38" t="s">
        <v>380</v>
      </c>
      <c r="G132" s="38" t="str">
        <f>VLOOKUP(E132,Mapping!$E$11:$G$204,3,0)</f>
        <v>Public Lighting</v>
      </c>
      <c r="H132" s="38" t="str">
        <f>VLOOKUP(E132,Mapping!$E$11:$K$204,7,0)</f>
        <v>Public Lighting</v>
      </c>
      <c r="I132" s="43">
        <f>'Input|Forecast Data'!G132-SUMPRODUCT(--('Input|VBRC Calc'!$E$9:$E$19=$E132),'Input|VBRC Calc'!J$9:J$19)</f>
        <v>0</v>
      </c>
      <c r="J132" s="43">
        <f>'Input|Forecast Data'!H132-SUMPRODUCT(--('Input|VBRC Calc'!$E$9:$E$19=$E132),'Input|VBRC Calc'!K$9:K$19)</f>
        <v>0</v>
      </c>
      <c r="K132" s="43">
        <f>'Input|Forecast Data'!I132-SUMPRODUCT(--('Input|VBRC Calc'!$E$9:$E$19=$E132),'Input|VBRC Calc'!L$9:L$19)</f>
        <v>0</v>
      </c>
      <c r="L132" s="43">
        <f>'Input|Forecast Data'!J132-SUMPRODUCT(--('Input|VBRC Calc'!$E$9:$E$19=$E132),'Input|VBRC Calc'!M$9:M$19)</f>
        <v>0</v>
      </c>
      <c r="M132" s="43">
        <f>'Input|Forecast Data'!K132-SUMPRODUCT(--('Input|VBRC Calc'!$E$9:$E$19=$E132),'Input|VBRC Calc'!N$9:N$19)</f>
        <v>0</v>
      </c>
      <c r="N132" s="7"/>
      <c r="O132" s="7"/>
    </row>
    <row r="133" spans="1:15" x14ac:dyDescent="0.3">
      <c r="A133" s="7"/>
      <c r="B133" s="7"/>
      <c r="C133" s="158">
        <v>1</v>
      </c>
      <c r="D133" s="7"/>
      <c r="E133" s="38" t="s">
        <v>200</v>
      </c>
      <c r="F133" s="38" t="s">
        <v>381</v>
      </c>
      <c r="G133" s="38" t="str">
        <f>VLOOKUP(E133,Mapping!$E$11:$G$204,3,0)</f>
        <v>Public Lighting</v>
      </c>
      <c r="H133" s="38" t="str">
        <f>VLOOKUP(E133,Mapping!$E$11:$K$204,7,0)</f>
        <v>Public Lighting</v>
      </c>
      <c r="I133" s="43">
        <f>'Input|Forecast Data'!G133-SUMPRODUCT(--('Input|VBRC Calc'!$E$9:$E$19=$E133),'Input|VBRC Calc'!J$9:J$19)</f>
        <v>0</v>
      </c>
      <c r="J133" s="43">
        <f>'Input|Forecast Data'!H133-SUMPRODUCT(--('Input|VBRC Calc'!$E$9:$E$19=$E133),'Input|VBRC Calc'!K$9:K$19)</f>
        <v>0</v>
      </c>
      <c r="K133" s="43">
        <f>'Input|Forecast Data'!I133-SUMPRODUCT(--('Input|VBRC Calc'!$E$9:$E$19=$E133),'Input|VBRC Calc'!L$9:L$19)</f>
        <v>0</v>
      </c>
      <c r="L133" s="43">
        <f>'Input|Forecast Data'!J133-SUMPRODUCT(--('Input|VBRC Calc'!$E$9:$E$19=$E133),'Input|VBRC Calc'!M$9:M$19)</f>
        <v>0</v>
      </c>
      <c r="M133" s="43">
        <f>'Input|Forecast Data'!K133-SUMPRODUCT(--('Input|VBRC Calc'!$E$9:$E$19=$E133),'Input|VBRC Calc'!N$9:N$19)</f>
        <v>0</v>
      </c>
      <c r="N133" s="7"/>
      <c r="O133" s="7"/>
    </row>
    <row r="134" spans="1:15" x14ac:dyDescent="0.3">
      <c r="A134" s="7"/>
      <c r="B134" s="7"/>
      <c r="C134" s="158">
        <v>1</v>
      </c>
      <c r="D134" s="7"/>
      <c r="E134" s="38" t="s">
        <v>201</v>
      </c>
      <c r="F134" s="38" t="s">
        <v>382</v>
      </c>
      <c r="G134" s="38" t="str">
        <f>VLOOKUP(E134,Mapping!$E$11:$G$204,3,0)</f>
        <v>Replacement</v>
      </c>
      <c r="H134" s="38" t="str">
        <f>VLOOKUP(E134,Mapping!$E$11:$K$204,7,0)</f>
        <v>SCS</v>
      </c>
      <c r="I134" s="43">
        <f>'Input|Forecast Data'!G134-SUMPRODUCT(--('Input|VBRC Calc'!$E$9:$E$19=$E134),'Input|VBRC Calc'!J$9:J$19)</f>
        <v>5651.2419807875103</v>
      </c>
      <c r="J134" s="43">
        <f>'Input|Forecast Data'!H134-SUMPRODUCT(--('Input|VBRC Calc'!$E$9:$E$19=$E134),'Input|VBRC Calc'!K$9:K$19)</f>
        <v>5651.2419807875103</v>
      </c>
      <c r="K134" s="43">
        <f>'Input|Forecast Data'!I134-SUMPRODUCT(--('Input|VBRC Calc'!$E$9:$E$19=$E134),'Input|VBRC Calc'!L$9:L$19)</f>
        <v>5651.2419807875103</v>
      </c>
      <c r="L134" s="43">
        <f>'Input|Forecast Data'!J134-SUMPRODUCT(--('Input|VBRC Calc'!$E$9:$E$19=$E134),'Input|VBRC Calc'!M$9:M$19)</f>
        <v>5651.2419807875103</v>
      </c>
      <c r="M134" s="61">
        <f>'Input|Forecast Data'!K134-SUMPRODUCT(--('Input|VBRC Calc'!$E$9:$E$19=$E134),'Input|VBRC Calc'!N$9:N$19)</f>
        <v>5651.2419807875103</v>
      </c>
      <c r="N134" s="7"/>
      <c r="O134" s="7"/>
    </row>
    <row r="135" spans="1:15" x14ac:dyDescent="0.3">
      <c r="A135" s="7"/>
      <c r="B135" s="7"/>
      <c r="C135" s="158">
        <v>1</v>
      </c>
      <c r="D135" s="7"/>
      <c r="E135" s="38" t="s">
        <v>202</v>
      </c>
      <c r="F135" s="38" t="s">
        <v>383</v>
      </c>
      <c r="G135" s="38" t="str">
        <f>VLOOKUP(E135,Mapping!$E$11:$G$204,3,0)</f>
        <v>Replacement</v>
      </c>
      <c r="H135" s="38" t="str">
        <f>VLOOKUP(E135,Mapping!$E$11:$K$204,7,0)</f>
        <v>SCS</v>
      </c>
      <c r="I135" s="43">
        <f>'Input|Forecast Data'!G135-SUMPRODUCT(--('Input|VBRC Calc'!$E$9:$E$19=$E135),'Input|VBRC Calc'!J$9:J$19)</f>
        <v>3405.8698159743349</v>
      </c>
      <c r="J135" s="43">
        <f>'Input|Forecast Data'!H135-SUMPRODUCT(--('Input|VBRC Calc'!$E$9:$E$19=$E135),'Input|VBRC Calc'!K$9:K$19)</f>
        <v>3405.8698159743349</v>
      </c>
      <c r="K135" s="43">
        <f>'Input|Forecast Data'!I135-SUMPRODUCT(--('Input|VBRC Calc'!$E$9:$E$19=$E135),'Input|VBRC Calc'!L$9:L$19)</f>
        <v>3405.8698159743349</v>
      </c>
      <c r="L135" s="43">
        <f>'Input|Forecast Data'!J135-SUMPRODUCT(--('Input|VBRC Calc'!$E$9:$E$19=$E135),'Input|VBRC Calc'!M$9:M$19)</f>
        <v>3405.8698159743349</v>
      </c>
      <c r="M135" s="43">
        <f>'Input|Forecast Data'!K135-SUMPRODUCT(--('Input|VBRC Calc'!$E$9:$E$19=$E135),'Input|VBRC Calc'!N$9:N$19)</f>
        <v>3405.8698159743349</v>
      </c>
      <c r="N135" s="7"/>
      <c r="O135" s="7"/>
    </row>
    <row r="136" spans="1:15" x14ac:dyDescent="0.3">
      <c r="A136" s="7"/>
      <c r="B136" s="7"/>
      <c r="C136" s="158">
        <v>1</v>
      </c>
      <c r="D136" s="7"/>
      <c r="E136" s="38" t="s">
        <v>203</v>
      </c>
      <c r="F136" s="38" t="s">
        <v>384</v>
      </c>
      <c r="G136" s="38" t="str">
        <f>VLOOKUP(E136,Mapping!$E$11:$G$204,3,0)</f>
        <v>Replacement</v>
      </c>
      <c r="H136" s="38" t="str">
        <f>VLOOKUP(E136,Mapping!$E$11:$K$204,7,0)</f>
        <v>SCS</v>
      </c>
      <c r="I136" s="43">
        <f>'Input|Forecast Data'!G136-SUMPRODUCT(--('Input|VBRC Calc'!$E$9:$E$19=$E136),'Input|VBRC Calc'!J$9:J$19)</f>
        <v>732.4493262880186</v>
      </c>
      <c r="J136" s="43">
        <f>'Input|Forecast Data'!H136-SUMPRODUCT(--('Input|VBRC Calc'!$E$9:$E$19=$E136),'Input|VBRC Calc'!K$9:K$19)</f>
        <v>732.4493262880186</v>
      </c>
      <c r="K136" s="43">
        <f>'Input|Forecast Data'!I136-SUMPRODUCT(--('Input|VBRC Calc'!$E$9:$E$19=$E136),'Input|VBRC Calc'!L$9:L$19)</f>
        <v>732.4493262880186</v>
      </c>
      <c r="L136" s="43">
        <f>'Input|Forecast Data'!J136-SUMPRODUCT(--('Input|VBRC Calc'!$E$9:$E$19=$E136),'Input|VBRC Calc'!M$9:M$19)</f>
        <v>732.4493262880186</v>
      </c>
      <c r="M136" s="43">
        <f>'Input|Forecast Data'!K136-SUMPRODUCT(--('Input|VBRC Calc'!$E$9:$E$19=$E136),'Input|VBRC Calc'!N$9:N$19)</f>
        <v>732.4493262880186</v>
      </c>
      <c r="N136" s="7"/>
      <c r="O136" s="7"/>
    </row>
    <row r="137" spans="1:15" x14ac:dyDescent="0.3">
      <c r="A137" s="7"/>
      <c r="B137" s="7"/>
      <c r="C137" s="158">
        <v>1</v>
      </c>
      <c r="D137" s="7"/>
      <c r="E137" s="38" t="s">
        <v>204</v>
      </c>
      <c r="F137" s="38" t="s">
        <v>385</v>
      </c>
      <c r="G137" s="38" t="str">
        <f>VLOOKUP(E137,Mapping!$E$11:$G$204,3,0)</f>
        <v>Replacement</v>
      </c>
      <c r="H137" s="38" t="str">
        <f>VLOOKUP(E137,Mapping!$E$11:$K$204,7,0)</f>
        <v>SCS</v>
      </c>
      <c r="I137" s="43">
        <f>'Input|Forecast Data'!G137-SUMPRODUCT(--('Input|VBRC Calc'!$E$9:$E$19=$E137),'Input|VBRC Calc'!J$9:J$19)</f>
        <v>0</v>
      </c>
      <c r="J137" s="43">
        <f>'Input|Forecast Data'!H137-SUMPRODUCT(--('Input|VBRC Calc'!$E$9:$E$19=$E137),'Input|VBRC Calc'!K$9:K$19)</f>
        <v>0</v>
      </c>
      <c r="K137" s="43">
        <f>'Input|Forecast Data'!I137-SUMPRODUCT(--('Input|VBRC Calc'!$E$9:$E$19=$E137),'Input|VBRC Calc'!L$9:L$19)</f>
        <v>0</v>
      </c>
      <c r="L137" s="43">
        <f>'Input|Forecast Data'!J137-SUMPRODUCT(--('Input|VBRC Calc'!$E$9:$E$19=$E137),'Input|VBRC Calc'!M$9:M$19)</f>
        <v>0</v>
      </c>
      <c r="M137" s="43">
        <f>'Input|Forecast Data'!K137-SUMPRODUCT(--('Input|VBRC Calc'!$E$9:$E$19=$E137),'Input|VBRC Calc'!N$9:N$19)</f>
        <v>0</v>
      </c>
      <c r="N137" s="7"/>
      <c r="O137" s="7"/>
    </row>
    <row r="138" spans="1:15" x14ac:dyDescent="0.3">
      <c r="A138" s="7"/>
      <c r="B138" s="7"/>
      <c r="C138" s="158">
        <v>1</v>
      </c>
      <c r="D138" s="7"/>
      <c r="E138" s="38" t="s">
        <v>205</v>
      </c>
      <c r="F138" s="38" t="s">
        <v>386</v>
      </c>
      <c r="G138" s="38" t="str">
        <f>VLOOKUP(E138,Mapping!$E$11:$G$204,3,0)</f>
        <v>Replacement</v>
      </c>
      <c r="H138" s="38" t="str">
        <f>VLOOKUP(E138,Mapping!$E$11:$K$204,7,0)</f>
        <v>SCS</v>
      </c>
      <c r="I138" s="43">
        <f>'Input|Forecast Data'!G138-SUMPRODUCT(--('Input|VBRC Calc'!$E$9:$E$19=$E138),'Input|VBRC Calc'!J$9:J$19)</f>
        <v>605.43625395731931</v>
      </c>
      <c r="J138" s="43">
        <f>'Input|Forecast Data'!H138-SUMPRODUCT(--('Input|VBRC Calc'!$E$9:$E$19=$E138),'Input|VBRC Calc'!K$9:K$19)</f>
        <v>605.43625395731931</v>
      </c>
      <c r="K138" s="43">
        <f>'Input|Forecast Data'!I138-SUMPRODUCT(--('Input|VBRC Calc'!$E$9:$E$19=$E138),'Input|VBRC Calc'!L$9:L$19)</f>
        <v>605.43625395731931</v>
      </c>
      <c r="L138" s="43">
        <f>'Input|Forecast Data'!J138-SUMPRODUCT(--('Input|VBRC Calc'!$E$9:$E$19=$E138),'Input|VBRC Calc'!M$9:M$19)</f>
        <v>605.43625395731931</v>
      </c>
      <c r="M138" s="43">
        <f>'Input|Forecast Data'!K138-SUMPRODUCT(--('Input|VBRC Calc'!$E$9:$E$19=$E138),'Input|VBRC Calc'!N$9:N$19)</f>
        <v>605.43625395731931</v>
      </c>
      <c r="N138" s="7"/>
      <c r="O138" s="7"/>
    </row>
    <row r="139" spans="1:15" x14ac:dyDescent="0.3">
      <c r="A139" s="7"/>
      <c r="B139" s="7"/>
      <c r="C139" s="158">
        <v>1</v>
      </c>
      <c r="D139" s="7"/>
      <c r="E139" s="38" t="s">
        <v>206</v>
      </c>
      <c r="F139" s="38" t="s">
        <v>387</v>
      </c>
      <c r="G139" s="38" t="str">
        <f>VLOOKUP(E139,Mapping!$E$11:$G$204,3,0)</f>
        <v>Replacement</v>
      </c>
      <c r="H139" s="38" t="str">
        <f>VLOOKUP(E139,Mapping!$E$11:$K$204,7,0)</f>
        <v>SCS</v>
      </c>
      <c r="I139" s="43">
        <f>'Input|Forecast Data'!G139-SUMPRODUCT(--('Input|VBRC Calc'!$E$9:$E$19=$E139),'Input|VBRC Calc'!J$9:J$19)</f>
        <v>897.23381882080923</v>
      </c>
      <c r="J139" s="43">
        <f>'Input|Forecast Data'!H139-SUMPRODUCT(--('Input|VBRC Calc'!$E$9:$E$19=$E139),'Input|VBRC Calc'!K$9:K$19)</f>
        <v>897.23381882080923</v>
      </c>
      <c r="K139" s="43">
        <f>'Input|Forecast Data'!I139-SUMPRODUCT(--('Input|VBRC Calc'!$E$9:$E$19=$E139),'Input|VBRC Calc'!L$9:L$19)</f>
        <v>897.23381882080923</v>
      </c>
      <c r="L139" s="43">
        <f>'Input|Forecast Data'!J139-SUMPRODUCT(--('Input|VBRC Calc'!$E$9:$E$19=$E139),'Input|VBRC Calc'!M$9:M$19)</f>
        <v>897.23381882080923</v>
      </c>
      <c r="M139" s="43">
        <f>'Input|Forecast Data'!K139-SUMPRODUCT(--('Input|VBRC Calc'!$E$9:$E$19=$E139),'Input|VBRC Calc'!N$9:N$19)</f>
        <v>897.23381882080923</v>
      </c>
      <c r="N139" s="7"/>
      <c r="O139" s="7"/>
    </row>
    <row r="140" spans="1:15" x14ac:dyDescent="0.3">
      <c r="A140" s="7"/>
      <c r="B140" s="7"/>
      <c r="C140" s="158">
        <v>1</v>
      </c>
      <c r="D140" s="7"/>
      <c r="E140" s="38" t="s">
        <v>207</v>
      </c>
      <c r="F140" s="38" t="s">
        <v>388</v>
      </c>
      <c r="G140" s="38" t="str">
        <f>VLOOKUP(E140,Mapping!$E$11:$G$204,3,0)</f>
        <v>Replacement</v>
      </c>
      <c r="H140" s="38" t="str">
        <f>VLOOKUP(E140,Mapping!$E$11:$K$204,7,0)</f>
        <v>SCS</v>
      </c>
      <c r="I140" s="43">
        <f>'Input|Forecast Data'!G140-SUMPRODUCT(--('Input|VBRC Calc'!$E$9:$E$19=$E140),'Input|VBRC Calc'!J$9:J$19)</f>
        <v>20.775230945197443</v>
      </c>
      <c r="J140" s="43">
        <f>'Input|Forecast Data'!H140-SUMPRODUCT(--('Input|VBRC Calc'!$E$9:$E$19=$E140),'Input|VBRC Calc'!K$9:K$19)</f>
        <v>20.775230945197443</v>
      </c>
      <c r="K140" s="43">
        <f>'Input|Forecast Data'!I140-SUMPRODUCT(--('Input|VBRC Calc'!$E$9:$E$19=$E140),'Input|VBRC Calc'!L$9:L$19)</f>
        <v>20.775230945197443</v>
      </c>
      <c r="L140" s="43">
        <f>'Input|Forecast Data'!J140-SUMPRODUCT(--('Input|VBRC Calc'!$E$9:$E$19=$E140),'Input|VBRC Calc'!M$9:M$19)</f>
        <v>20.775230945197443</v>
      </c>
      <c r="M140" s="43">
        <f>'Input|Forecast Data'!K140-SUMPRODUCT(--('Input|VBRC Calc'!$E$9:$E$19=$E140),'Input|VBRC Calc'!N$9:N$19)</f>
        <v>20.775230945197443</v>
      </c>
      <c r="N140" s="7"/>
      <c r="O140" s="7"/>
    </row>
    <row r="141" spans="1:15" x14ac:dyDescent="0.3">
      <c r="A141" s="7"/>
      <c r="B141" s="7"/>
      <c r="C141" s="158">
        <v>1</v>
      </c>
      <c r="D141" s="7"/>
      <c r="E141" s="38" t="s">
        <v>208</v>
      </c>
      <c r="F141" s="38" t="s">
        <v>389</v>
      </c>
      <c r="G141" s="38" t="str">
        <f>VLOOKUP(E141,Mapping!$E$11:$G$204,3,0)</f>
        <v>Replacement</v>
      </c>
      <c r="H141" s="38" t="str">
        <f>VLOOKUP(E141,Mapping!$E$11:$K$204,7,0)</f>
        <v>SCS</v>
      </c>
      <c r="I141" s="43">
        <f>'Input|Forecast Data'!G141-SUMPRODUCT(--('Input|VBRC Calc'!$E$9:$E$19=$E141),'Input|VBRC Calc'!J$9:J$19)</f>
        <v>0</v>
      </c>
      <c r="J141" s="43">
        <f>'Input|Forecast Data'!H141-SUMPRODUCT(--('Input|VBRC Calc'!$E$9:$E$19=$E141),'Input|VBRC Calc'!K$9:K$19)</f>
        <v>0</v>
      </c>
      <c r="K141" s="43">
        <f>'Input|Forecast Data'!I141-SUMPRODUCT(--('Input|VBRC Calc'!$E$9:$E$19=$E141),'Input|VBRC Calc'!L$9:L$19)</f>
        <v>0</v>
      </c>
      <c r="L141" s="43">
        <f>'Input|Forecast Data'!J141-SUMPRODUCT(--('Input|VBRC Calc'!$E$9:$E$19=$E141),'Input|VBRC Calc'!M$9:M$19)</f>
        <v>0</v>
      </c>
      <c r="M141" s="43">
        <f>'Input|Forecast Data'!K141-SUMPRODUCT(--('Input|VBRC Calc'!$E$9:$E$19=$E141),'Input|VBRC Calc'!N$9:N$19)</f>
        <v>0</v>
      </c>
      <c r="N141" s="7"/>
      <c r="O141" s="7"/>
    </row>
    <row r="142" spans="1:15" x14ac:dyDescent="0.3">
      <c r="A142" s="7"/>
      <c r="B142" s="7"/>
      <c r="C142" s="158">
        <v>1</v>
      </c>
      <c r="D142" s="7"/>
      <c r="E142" s="38" t="s">
        <v>209</v>
      </c>
      <c r="F142" s="38" t="s">
        <v>390</v>
      </c>
      <c r="G142" s="38" t="str">
        <f>VLOOKUP(E142,Mapping!$E$11:$G$204,3,0)</f>
        <v>Replacement</v>
      </c>
      <c r="H142" s="38" t="str">
        <f>VLOOKUP(E142,Mapping!$E$11:$K$204,7,0)</f>
        <v>SCS</v>
      </c>
      <c r="I142" s="43">
        <f>'Input|Forecast Data'!G142-SUMPRODUCT(--('Input|VBRC Calc'!$E$9:$E$19=$E142),'Input|VBRC Calc'!J$9:J$19)</f>
        <v>91.546153393503488</v>
      </c>
      <c r="J142" s="43">
        <f>'Input|Forecast Data'!H142-SUMPRODUCT(--('Input|VBRC Calc'!$E$9:$E$19=$E142),'Input|VBRC Calc'!K$9:K$19)</f>
        <v>91.546153393503488</v>
      </c>
      <c r="K142" s="43">
        <f>'Input|Forecast Data'!I142-SUMPRODUCT(--('Input|VBRC Calc'!$E$9:$E$19=$E142),'Input|VBRC Calc'!L$9:L$19)</f>
        <v>91.546153393503488</v>
      </c>
      <c r="L142" s="43">
        <f>'Input|Forecast Data'!J142-SUMPRODUCT(--('Input|VBRC Calc'!$E$9:$E$19=$E142),'Input|VBRC Calc'!M$9:M$19)</f>
        <v>91.546153393503488</v>
      </c>
      <c r="M142" s="43">
        <f>'Input|Forecast Data'!K142-SUMPRODUCT(--('Input|VBRC Calc'!$E$9:$E$19=$E142),'Input|VBRC Calc'!N$9:N$19)</f>
        <v>91.546153393503488</v>
      </c>
      <c r="N142" s="7"/>
      <c r="O142" s="7"/>
    </row>
    <row r="143" spans="1:15" x14ac:dyDescent="0.3">
      <c r="A143" s="7"/>
      <c r="B143" s="7"/>
      <c r="C143" s="158">
        <v>1</v>
      </c>
      <c r="D143" s="7"/>
      <c r="E143" s="38" t="s">
        <v>210</v>
      </c>
      <c r="F143" s="38" t="s">
        <v>391</v>
      </c>
      <c r="G143" s="38" t="str">
        <f>VLOOKUP(E143,Mapping!$E$11:$G$204,3,0)</f>
        <v>Replacement</v>
      </c>
      <c r="H143" s="38" t="str">
        <f>VLOOKUP(E143,Mapping!$E$11:$K$204,7,0)</f>
        <v>SCS</v>
      </c>
      <c r="I143" s="43">
        <f>'Input|Forecast Data'!G143-SUMPRODUCT(--('Input|VBRC Calc'!$E$9:$E$19=$E143),'Input|VBRC Calc'!J$9:J$19)</f>
        <v>11144.609907051416</v>
      </c>
      <c r="J143" s="43">
        <f>'Input|Forecast Data'!H143-SUMPRODUCT(--('Input|VBRC Calc'!$E$9:$E$19=$E143),'Input|VBRC Calc'!K$9:K$19)</f>
        <v>12702.851243322728</v>
      </c>
      <c r="K143" s="43">
        <f>'Input|Forecast Data'!I143-SUMPRODUCT(--('Input|VBRC Calc'!$E$9:$E$19=$E143),'Input|VBRC Calc'!L$9:L$19)</f>
        <v>13331.370408097413</v>
      </c>
      <c r="L143" s="43">
        <f>'Input|Forecast Data'!J143-SUMPRODUCT(--('Input|VBRC Calc'!$E$9:$E$19=$E143),'Input|VBRC Calc'!M$9:M$19)</f>
        <v>10419.251109386192</v>
      </c>
      <c r="M143" s="43">
        <f>'Input|Forecast Data'!K143-SUMPRODUCT(--('Input|VBRC Calc'!$E$9:$E$19=$E143),'Input|VBRC Calc'!N$9:N$19)</f>
        <v>6708.8373524256922</v>
      </c>
      <c r="N143" s="7"/>
      <c r="O143" s="7"/>
    </row>
    <row r="144" spans="1:15" x14ac:dyDescent="0.3">
      <c r="A144" s="7"/>
      <c r="B144" s="7"/>
      <c r="C144" s="158">
        <v>1</v>
      </c>
      <c r="D144" s="7"/>
      <c r="E144" s="38" t="s">
        <v>211</v>
      </c>
      <c r="F144" s="38" t="s">
        <v>392</v>
      </c>
      <c r="G144" s="38" t="str">
        <f>VLOOKUP(E144,Mapping!$E$11:$G$204,3,0)</f>
        <v>Replacement</v>
      </c>
      <c r="H144" s="38" t="str">
        <f>VLOOKUP(E144,Mapping!$E$11:$K$204,7,0)</f>
        <v>SCS</v>
      </c>
      <c r="I144" s="43">
        <f>'Input|Forecast Data'!G144-SUMPRODUCT(--('Input|VBRC Calc'!$E$9:$E$19=$E144),'Input|VBRC Calc'!J$9:J$19)</f>
        <v>296.22832904284792</v>
      </c>
      <c r="J144" s="43">
        <f>'Input|Forecast Data'!H144-SUMPRODUCT(--('Input|VBRC Calc'!$E$9:$E$19=$E144),'Input|VBRC Calc'!K$9:K$19)</f>
        <v>296.22832904284792</v>
      </c>
      <c r="K144" s="43">
        <f>'Input|Forecast Data'!I144-SUMPRODUCT(--('Input|VBRC Calc'!$E$9:$E$19=$E144),'Input|VBRC Calc'!L$9:L$19)</f>
        <v>296.22832904284792</v>
      </c>
      <c r="L144" s="43">
        <f>'Input|Forecast Data'!J144-SUMPRODUCT(--('Input|VBRC Calc'!$E$9:$E$19=$E144),'Input|VBRC Calc'!M$9:M$19)</f>
        <v>296.22832904284792</v>
      </c>
      <c r="M144" s="43">
        <f>'Input|Forecast Data'!K144-SUMPRODUCT(--('Input|VBRC Calc'!$E$9:$E$19=$E144),'Input|VBRC Calc'!N$9:N$19)</f>
        <v>296.22832904284792</v>
      </c>
      <c r="N144" s="7"/>
      <c r="O144" s="7"/>
    </row>
    <row r="145" spans="1:15" x14ac:dyDescent="0.3">
      <c r="A145" s="7"/>
      <c r="B145" s="7"/>
      <c r="C145" s="158">
        <v>1</v>
      </c>
      <c r="D145" s="7"/>
      <c r="E145" s="38" t="s">
        <v>212</v>
      </c>
      <c r="F145" s="38" t="s">
        <v>393</v>
      </c>
      <c r="G145" s="38" t="str">
        <f>VLOOKUP(E145,Mapping!$E$11:$G$204,3,0)</f>
        <v>Replacement</v>
      </c>
      <c r="H145" s="38" t="str">
        <f>VLOOKUP(E145,Mapping!$E$11:$K$204,7,0)</f>
        <v>SCS</v>
      </c>
      <c r="I145" s="43">
        <f>'Input|Forecast Data'!G145-SUMPRODUCT(--('Input|VBRC Calc'!$E$9:$E$19=$E145),'Input|VBRC Calc'!J$9:J$19)</f>
        <v>233.89306509858611</v>
      </c>
      <c r="J145" s="43">
        <f>'Input|Forecast Data'!H145-SUMPRODUCT(--('Input|VBRC Calc'!$E$9:$E$19=$E145),'Input|VBRC Calc'!K$9:K$19)</f>
        <v>233.89306509858611</v>
      </c>
      <c r="K145" s="43">
        <f>'Input|Forecast Data'!I145-SUMPRODUCT(--('Input|VBRC Calc'!$E$9:$E$19=$E145),'Input|VBRC Calc'!L$9:L$19)</f>
        <v>233.89306509858611</v>
      </c>
      <c r="L145" s="43">
        <f>'Input|Forecast Data'!J145-SUMPRODUCT(--('Input|VBRC Calc'!$E$9:$E$19=$E145),'Input|VBRC Calc'!M$9:M$19)</f>
        <v>233.89306509858611</v>
      </c>
      <c r="M145" s="43">
        <f>'Input|Forecast Data'!K145-SUMPRODUCT(--('Input|VBRC Calc'!$E$9:$E$19=$E145),'Input|VBRC Calc'!N$9:N$19)</f>
        <v>233.89306509858611</v>
      </c>
      <c r="N145" s="7"/>
      <c r="O145" s="7"/>
    </row>
    <row r="146" spans="1:15" x14ac:dyDescent="0.3">
      <c r="A146" s="7"/>
      <c r="B146" s="7"/>
      <c r="C146" s="158">
        <v>1</v>
      </c>
      <c r="D146" s="7"/>
      <c r="E146" s="38" t="s">
        <v>213</v>
      </c>
      <c r="F146" s="38" t="s">
        <v>394</v>
      </c>
      <c r="G146" s="38" t="str">
        <f>VLOOKUP(E146,Mapping!$E$11:$G$204,3,0)</f>
        <v>Replacement</v>
      </c>
      <c r="H146" s="38" t="str">
        <f>VLOOKUP(E146,Mapping!$E$11:$K$204,7,0)</f>
        <v>SCS</v>
      </c>
      <c r="I146" s="43">
        <f>'Input|Forecast Data'!G146-SUMPRODUCT(--('Input|VBRC Calc'!$E$9:$E$19=$E146),'Input|VBRC Calc'!J$9:J$19)</f>
        <v>0</v>
      </c>
      <c r="J146" s="43">
        <f>'Input|Forecast Data'!H146-SUMPRODUCT(--('Input|VBRC Calc'!$E$9:$E$19=$E146),'Input|VBRC Calc'!K$9:K$19)</f>
        <v>0</v>
      </c>
      <c r="K146" s="43">
        <f>'Input|Forecast Data'!I146-SUMPRODUCT(--('Input|VBRC Calc'!$E$9:$E$19=$E146),'Input|VBRC Calc'!L$9:L$19)</f>
        <v>0</v>
      </c>
      <c r="L146" s="43">
        <f>'Input|Forecast Data'!J146-SUMPRODUCT(--('Input|VBRC Calc'!$E$9:$E$19=$E146),'Input|VBRC Calc'!M$9:M$19)</f>
        <v>0</v>
      </c>
      <c r="M146" s="43">
        <f>'Input|Forecast Data'!K146-SUMPRODUCT(--('Input|VBRC Calc'!$E$9:$E$19=$E146),'Input|VBRC Calc'!N$9:N$19)</f>
        <v>0</v>
      </c>
      <c r="N146" s="7"/>
      <c r="O146" s="7"/>
    </row>
    <row r="147" spans="1:15" x14ac:dyDescent="0.3">
      <c r="A147" s="7"/>
      <c r="B147" s="7"/>
      <c r="C147" s="158">
        <v>1</v>
      </c>
      <c r="D147" s="7"/>
      <c r="E147" s="38" t="s">
        <v>214</v>
      </c>
      <c r="F147" s="38" t="s">
        <v>395</v>
      </c>
      <c r="G147" s="38" t="str">
        <f>VLOOKUP(E147,Mapping!$E$11:$G$204,3,0)</f>
        <v>Replacement</v>
      </c>
      <c r="H147" s="38" t="str">
        <f>VLOOKUP(E147,Mapping!$E$11:$K$204,7,0)</f>
        <v>SCS</v>
      </c>
      <c r="I147" s="43">
        <f>'Input|Forecast Data'!G147-SUMPRODUCT(--('Input|VBRC Calc'!$E$9:$E$19=$E147),'Input|VBRC Calc'!J$9:J$19)</f>
        <v>0</v>
      </c>
      <c r="J147" s="43">
        <f>'Input|Forecast Data'!H147-SUMPRODUCT(--('Input|VBRC Calc'!$E$9:$E$19=$E147),'Input|VBRC Calc'!K$9:K$19)</f>
        <v>0</v>
      </c>
      <c r="K147" s="43">
        <f>'Input|Forecast Data'!I147-SUMPRODUCT(--('Input|VBRC Calc'!$E$9:$E$19=$E147),'Input|VBRC Calc'!L$9:L$19)</f>
        <v>0</v>
      </c>
      <c r="L147" s="43">
        <f>'Input|Forecast Data'!J147-SUMPRODUCT(--('Input|VBRC Calc'!$E$9:$E$19=$E147),'Input|VBRC Calc'!M$9:M$19)</f>
        <v>0</v>
      </c>
      <c r="M147" s="43">
        <f>'Input|Forecast Data'!K147-SUMPRODUCT(--('Input|VBRC Calc'!$E$9:$E$19=$E147),'Input|VBRC Calc'!N$9:N$19)</f>
        <v>0</v>
      </c>
      <c r="N147" s="7"/>
      <c r="O147" s="7"/>
    </row>
    <row r="148" spans="1:15" x14ac:dyDescent="0.3">
      <c r="A148" s="7"/>
      <c r="B148" s="7"/>
      <c r="C148" s="158">
        <v>1</v>
      </c>
      <c r="D148" s="7"/>
      <c r="E148" s="38" t="s">
        <v>215</v>
      </c>
      <c r="F148" s="38" t="s">
        <v>396</v>
      </c>
      <c r="G148" s="38" t="str">
        <f>VLOOKUP(E148,Mapping!$E$11:$G$204,3,0)</f>
        <v>Replacement</v>
      </c>
      <c r="H148" s="38" t="str">
        <f>VLOOKUP(E148,Mapping!$E$11:$K$204,7,0)</f>
        <v>SCS</v>
      </c>
      <c r="I148" s="43">
        <f>'Input|Forecast Data'!G148-SUMPRODUCT(--('Input|VBRC Calc'!$E$9:$E$19=$E148),'Input|VBRC Calc'!J$9:J$19)</f>
        <v>11.737198801843299</v>
      </c>
      <c r="J148" s="43">
        <f>'Input|Forecast Data'!H148-SUMPRODUCT(--('Input|VBRC Calc'!$E$9:$E$19=$E148),'Input|VBRC Calc'!K$9:K$19)</f>
        <v>11.737198801843299</v>
      </c>
      <c r="K148" s="43">
        <f>'Input|Forecast Data'!I148-SUMPRODUCT(--('Input|VBRC Calc'!$E$9:$E$19=$E148),'Input|VBRC Calc'!L$9:L$19)</f>
        <v>11.737198801843299</v>
      </c>
      <c r="L148" s="43">
        <f>'Input|Forecast Data'!J148-SUMPRODUCT(--('Input|VBRC Calc'!$E$9:$E$19=$E148),'Input|VBRC Calc'!M$9:M$19)</f>
        <v>11.737198801843299</v>
      </c>
      <c r="M148" s="43">
        <f>'Input|Forecast Data'!K148-SUMPRODUCT(--('Input|VBRC Calc'!$E$9:$E$19=$E148),'Input|VBRC Calc'!N$9:N$19)</f>
        <v>11.737198801843299</v>
      </c>
      <c r="N148" s="7"/>
      <c r="O148" s="7"/>
    </row>
    <row r="149" spans="1:15" x14ac:dyDescent="0.3">
      <c r="A149" s="7"/>
      <c r="B149" s="7"/>
      <c r="C149" s="158">
        <v>1</v>
      </c>
      <c r="D149" s="7"/>
      <c r="E149" s="38" t="s">
        <v>216</v>
      </c>
      <c r="F149" s="38" t="s">
        <v>397</v>
      </c>
      <c r="G149" s="38" t="str">
        <f>VLOOKUP(E149,Mapping!$E$11:$G$204,3,0)</f>
        <v>Replacement</v>
      </c>
      <c r="H149" s="38" t="str">
        <f>VLOOKUP(E149,Mapping!$E$11:$K$204,7,0)</f>
        <v>SCS</v>
      </c>
      <c r="I149" s="43">
        <f>'Input|Forecast Data'!G149-SUMPRODUCT(--('Input|VBRC Calc'!$E$9:$E$19=$E149),'Input|VBRC Calc'!J$9:J$19)</f>
        <v>649.50688708434097</v>
      </c>
      <c r="J149" s="43">
        <f>'Input|Forecast Data'!H149-SUMPRODUCT(--('Input|VBRC Calc'!$E$9:$E$19=$E149),'Input|VBRC Calc'!K$9:K$19)</f>
        <v>649.50688708434097</v>
      </c>
      <c r="K149" s="43">
        <f>'Input|Forecast Data'!I149-SUMPRODUCT(--('Input|VBRC Calc'!$E$9:$E$19=$E149),'Input|VBRC Calc'!L$9:L$19)</f>
        <v>649.50688708434097</v>
      </c>
      <c r="L149" s="43">
        <f>'Input|Forecast Data'!J149-SUMPRODUCT(--('Input|VBRC Calc'!$E$9:$E$19=$E149),'Input|VBRC Calc'!M$9:M$19)</f>
        <v>649.50688708434097</v>
      </c>
      <c r="M149" s="43">
        <f>'Input|Forecast Data'!K149-SUMPRODUCT(--('Input|VBRC Calc'!$E$9:$E$19=$E149),'Input|VBRC Calc'!N$9:N$19)</f>
        <v>649.50688708434097</v>
      </c>
      <c r="N149" s="7"/>
      <c r="O149" s="7"/>
    </row>
    <row r="150" spans="1:15" x14ac:dyDescent="0.3">
      <c r="A150" s="7"/>
      <c r="B150" s="7"/>
      <c r="C150" s="158">
        <v>1</v>
      </c>
      <c r="D150" s="7"/>
      <c r="E150" s="38" t="s">
        <v>217</v>
      </c>
      <c r="F150" s="38" t="s">
        <v>398</v>
      </c>
      <c r="G150" s="38" t="str">
        <f>VLOOKUP(E150,Mapping!$E$11:$G$204,3,0)</f>
        <v>Replacement</v>
      </c>
      <c r="H150" s="38" t="str">
        <f>VLOOKUP(E150,Mapping!$E$11:$K$204,7,0)</f>
        <v>SCS</v>
      </c>
      <c r="I150" s="43">
        <f>'Input|Forecast Data'!G150-SUMPRODUCT(--('Input|VBRC Calc'!$E$9:$E$19=$E150),'Input|VBRC Calc'!J$9:J$19)</f>
        <v>861.11536696264272</v>
      </c>
      <c r="J150" s="43">
        <f>'Input|Forecast Data'!H150-SUMPRODUCT(--('Input|VBRC Calc'!$E$9:$E$19=$E150),'Input|VBRC Calc'!K$9:K$19)</f>
        <v>861.11536696264272</v>
      </c>
      <c r="K150" s="43">
        <f>'Input|Forecast Data'!I150-SUMPRODUCT(--('Input|VBRC Calc'!$E$9:$E$19=$E150),'Input|VBRC Calc'!L$9:L$19)</f>
        <v>861.11536696264272</v>
      </c>
      <c r="L150" s="43">
        <f>'Input|Forecast Data'!J150-SUMPRODUCT(--('Input|VBRC Calc'!$E$9:$E$19=$E150),'Input|VBRC Calc'!M$9:M$19)</f>
        <v>861.11536696264272</v>
      </c>
      <c r="M150" s="43">
        <f>'Input|Forecast Data'!K150-SUMPRODUCT(--('Input|VBRC Calc'!$E$9:$E$19=$E150),'Input|VBRC Calc'!N$9:N$19)</f>
        <v>861.11536696264272</v>
      </c>
      <c r="N150" s="7"/>
      <c r="O150" s="7"/>
    </row>
    <row r="151" spans="1:15" x14ac:dyDescent="0.3">
      <c r="A151" s="7"/>
      <c r="B151" s="7"/>
      <c r="C151" s="158">
        <v>1</v>
      </c>
      <c r="D151" s="7"/>
      <c r="E151" s="38" t="s">
        <v>218</v>
      </c>
      <c r="F151" s="38" t="s">
        <v>399</v>
      </c>
      <c r="G151" s="38" t="str">
        <f>VLOOKUP(E151,Mapping!$E$11:$G$204,3,0)</f>
        <v>Replacement</v>
      </c>
      <c r="H151" s="38" t="str">
        <f>VLOOKUP(E151,Mapping!$E$11:$K$204,7,0)</f>
        <v>SCS</v>
      </c>
      <c r="I151" s="43">
        <f>'Input|Forecast Data'!G151-SUMPRODUCT(--('Input|VBRC Calc'!$E$9:$E$19=$E151),'Input|VBRC Calc'!J$9:J$19)</f>
        <v>228.96060873014909</v>
      </c>
      <c r="J151" s="43">
        <f>'Input|Forecast Data'!H151-SUMPRODUCT(--('Input|VBRC Calc'!$E$9:$E$19=$E151),'Input|VBRC Calc'!K$9:K$19)</f>
        <v>228.96060873014909</v>
      </c>
      <c r="K151" s="43">
        <f>'Input|Forecast Data'!I151-SUMPRODUCT(--('Input|VBRC Calc'!$E$9:$E$19=$E151),'Input|VBRC Calc'!L$9:L$19)</f>
        <v>228.96060873014909</v>
      </c>
      <c r="L151" s="43">
        <f>'Input|Forecast Data'!J151-SUMPRODUCT(--('Input|VBRC Calc'!$E$9:$E$19=$E151),'Input|VBRC Calc'!M$9:M$19)</f>
        <v>228.96060873014909</v>
      </c>
      <c r="M151" s="43">
        <f>'Input|Forecast Data'!K151-SUMPRODUCT(--('Input|VBRC Calc'!$E$9:$E$19=$E151),'Input|VBRC Calc'!N$9:N$19)</f>
        <v>228.96060873014909</v>
      </c>
      <c r="N151" s="7"/>
      <c r="O151" s="7"/>
    </row>
    <row r="152" spans="1:15" x14ac:dyDescent="0.3">
      <c r="A152" s="7"/>
      <c r="B152" s="7"/>
      <c r="C152" s="158">
        <v>0</v>
      </c>
      <c r="D152" s="7"/>
      <c r="E152" s="38" t="s">
        <v>219</v>
      </c>
      <c r="F152" s="38" t="s">
        <v>400</v>
      </c>
      <c r="G152" s="38" t="str">
        <f>VLOOKUP(E152,Mapping!$E$11:$G$204,3,0)</f>
        <v>Replacement</v>
      </c>
      <c r="H152" s="38" t="str">
        <f>VLOOKUP(E152,Mapping!$E$11:$K$204,7,0)</f>
        <v>SCS</v>
      </c>
      <c r="I152" s="43">
        <f>'Input|Forecast Data'!G152-SUMPRODUCT(--('Input|VBRC Calc'!$E$9:$E$19=$E152),'Input|VBRC Calc'!J$9:J$19)</f>
        <v>138.09580137643309</v>
      </c>
      <c r="J152" s="43">
        <f>'Input|Forecast Data'!H152-SUMPRODUCT(--('Input|VBRC Calc'!$E$9:$E$19=$E152),'Input|VBRC Calc'!K$9:K$19)</f>
        <v>138.09580137643309</v>
      </c>
      <c r="K152" s="43">
        <f>'Input|Forecast Data'!I152-SUMPRODUCT(--('Input|VBRC Calc'!$E$9:$E$19=$E152),'Input|VBRC Calc'!L$9:L$19)</f>
        <v>138.09580137643309</v>
      </c>
      <c r="L152" s="43">
        <f>'Input|Forecast Data'!J152-SUMPRODUCT(--('Input|VBRC Calc'!$E$9:$E$19=$E152),'Input|VBRC Calc'!M$9:M$19)</f>
        <v>138.09580137643309</v>
      </c>
      <c r="M152" s="43">
        <f>'Input|Forecast Data'!K152-SUMPRODUCT(--('Input|VBRC Calc'!$E$9:$E$19=$E152),'Input|VBRC Calc'!N$9:N$19)</f>
        <v>138.09580137643309</v>
      </c>
      <c r="N152" s="7"/>
      <c r="O152" s="7"/>
    </row>
    <row r="153" spans="1:15" x14ac:dyDescent="0.3">
      <c r="A153" s="7"/>
      <c r="B153" s="7"/>
      <c r="C153" s="158">
        <v>0</v>
      </c>
      <c r="D153" s="7"/>
      <c r="E153" s="38" t="s">
        <v>220</v>
      </c>
      <c r="F153" s="38" t="s">
        <v>401</v>
      </c>
      <c r="G153" s="38" t="str">
        <f>VLOOKUP(E153,Mapping!$E$11:$G$204,3,0)</f>
        <v>Replacement</v>
      </c>
      <c r="H153" s="38" t="str">
        <f>VLOOKUP(E153,Mapping!$E$11:$K$204,7,0)</f>
        <v>SCS</v>
      </c>
      <c r="I153" s="43">
        <f>'Input|Forecast Data'!G153-SUMPRODUCT(--('Input|VBRC Calc'!$E$9:$E$19=$E153),'Input|VBRC Calc'!J$9:J$19)</f>
        <v>171.3695972479176</v>
      </c>
      <c r="J153" s="43">
        <f>'Input|Forecast Data'!H153-SUMPRODUCT(--('Input|VBRC Calc'!$E$9:$E$19=$E153),'Input|VBRC Calc'!K$9:K$19)</f>
        <v>171.3695972479176</v>
      </c>
      <c r="K153" s="43">
        <f>'Input|Forecast Data'!I153-SUMPRODUCT(--('Input|VBRC Calc'!$E$9:$E$19=$E153),'Input|VBRC Calc'!L$9:L$19)</f>
        <v>171.3695972479176</v>
      </c>
      <c r="L153" s="43">
        <f>'Input|Forecast Data'!J153-SUMPRODUCT(--('Input|VBRC Calc'!$E$9:$E$19=$E153),'Input|VBRC Calc'!M$9:M$19)</f>
        <v>171.3695972479176</v>
      </c>
      <c r="M153" s="43">
        <f>'Input|Forecast Data'!K153-SUMPRODUCT(--('Input|VBRC Calc'!$E$9:$E$19=$E153),'Input|VBRC Calc'!N$9:N$19)</f>
        <v>171.3695972479176</v>
      </c>
      <c r="N153" s="7"/>
      <c r="O153" s="7"/>
    </row>
    <row r="154" spans="1:15" x14ac:dyDescent="0.3">
      <c r="A154" s="7"/>
      <c r="B154" s="7"/>
      <c r="C154" s="158">
        <v>1</v>
      </c>
      <c r="D154" s="7"/>
      <c r="E154" s="38" t="s">
        <v>221</v>
      </c>
      <c r="F154" s="38" t="s">
        <v>402</v>
      </c>
      <c r="G154" s="38" t="str">
        <f>VLOOKUP(E154,Mapping!$E$11:$G$204,3,0)</f>
        <v>Replacement</v>
      </c>
      <c r="H154" s="38" t="str">
        <f>VLOOKUP(E154,Mapping!$E$11:$K$204,7,0)</f>
        <v>SCS</v>
      </c>
      <c r="I154" s="43">
        <f>'Input|Forecast Data'!G154-SUMPRODUCT(--('Input|VBRC Calc'!$E$9:$E$19=$E154),'Input|VBRC Calc'!J$9:J$19)</f>
        <v>217.66626304043595</v>
      </c>
      <c r="J154" s="43">
        <f>'Input|Forecast Data'!H154-SUMPRODUCT(--('Input|VBRC Calc'!$E$9:$E$19=$E154),'Input|VBRC Calc'!K$9:K$19)</f>
        <v>217.66626304043595</v>
      </c>
      <c r="K154" s="43">
        <f>'Input|Forecast Data'!I154-SUMPRODUCT(--('Input|VBRC Calc'!$E$9:$E$19=$E154),'Input|VBRC Calc'!L$9:L$19)</f>
        <v>217.66626304043595</v>
      </c>
      <c r="L154" s="43">
        <f>'Input|Forecast Data'!J154-SUMPRODUCT(--('Input|VBRC Calc'!$E$9:$E$19=$E154),'Input|VBRC Calc'!M$9:M$19)</f>
        <v>217.66626304043595</v>
      </c>
      <c r="M154" s="43">
        <f>'Input|Forecast Data'!K154-SUMPRODUCT(--('Input|VBRC Calc'!$E$9:$E$19=$E154),'Input|VBRC Calc'!N$9:N$19)</f>
        <v>217.66626304043595</v>
      </c>
      <c r="N154" s="7"/>
      <c r="O154" s="7"/>
    </row>
    <row r="155" spans="1:15" x14ac:dyDescent="0.3">
      <c r="A155" s="7"/>
      <c r="B155" s="7"/>
      <c r="C155" s="158">
        <v>1</v>
      </c>
      <c r="D155" s="7"/>
      <c r="E155" s="38" t="s">
        <v>222</v>
      </c>
      <c r="F155" s="38" t="s">
        <v>403</v>
      </c>
      <c r="G155" s="38" t="str">
        <f>VLOOKUP(E155,Mapping!$E$11:$G$204,3,0)</f>
        <v>Replacement</v>
      </c>
      <c r="H155" s="38" t="str">
        <f>VLOOKUP(E155,Mapping!$E$11:$K$204,7,0)</f>
        <v>SCS</v>
      </c>
      <c r="I155" s="43">
        <f>'Input|Forecast Data'!G155-SUMPRODUCT(--('Input|VBRC Calc'!$E$9:$E$19=$E155),'Input|VBRC Calc'!J$9:J$19)</f>
        <v>0</v>
      </c>
      <c r="J155" s="43">
        <f>'Input|Forecast Data'!H155-SUMPRODUCT(--('Input|VBRC Calc'!$E$9:$E$19=$E155),'Input|VBRC Calc'!K$9:K$19)</f>
        <v>0</v>
      </c>
      <c r="K155" s="43">
        <f>'Input|Forecast Data'!I155-SUMPRODUCT(--('Input|VBRC Calc'!$E$9:$E$19=$E155),'Input|VBRC Calc'!L$9:L$19)</f>
        <v>0</v>
      </c>
      <c r="L155" s="43">
        <f>'Input|Forecast Data'!J155-SUMPRODUCT(--('Input|VBRC Calc'!$E$9:$E$19=$E155),'Input|VBRC Calc'!M$9:M$19)</f>
        <v>0</v>
      </c>
      <c r="M155" s="43">
        <f>'Input|Forecast Data'!K155-SUMPRODUCT(--('Input|VBRC Calc'!$E$9:$E$19=$E155),'Input|VBRC Calc'!N$9:N$19)</f>
        <v>0</v>
      </c>
      <c r="N155" s="7"/>
      <c r="O155" s="7"/>
    </row>
    <row r="156" spans="1:15" x14ac:dyDescent="0.3">
      <c r="A156" s="7"/>
      <c r="B156" s="7"/>
      <c r="C156" s="158">
        <v>1</v>
      </c>
      <c r="D156" s="7"/>
      <c r="E156" s="38" t="s">
        <v>223</v>
      </c>
      <c r="F156" s="38" t="s">
        <v>404</v>
      </c>
      <c r="G156" s="38" t="str">
        <f>VLOOKUP(E156,Mapping!$E$11:$G$204,3,0)</f>
        <v>Replacement</v>
      </c>
      <c r="H156" s="38" t="str">
        <f>VLOOKUP(E156,Mapping!$E$11:$K$204,7,0)</f>
        <v>SCS</v>
      </c>
      <c r="I156" s="43">
        <f>'Input|Forecast Data'!G156-SUMPRODUCT(--('Input|VBRC Calc'!$E$9:$E$19=$E156),'Input|VBRC Calc'!J$9:J$19)</f>
        <v>0</v>
      </c>
      <c r="J156" s="43">
        <f>'Input|Forecast Data'!H156-SUMPRODUCT(--('Input|VBRC Calc'!$E$9:$E$19=$E156),'Input|VBRC Calc'!K$9:K$19)</f>
        <v>0</v>
      </c>
      <c r="K156" s="43">
        <f>'Input|Forecast Data'!I156-SUMPRODUCT(--('Input|VBRC Calc'!$E$9:$E$19=$E156),'Input|VBRC Calc'!L$9:L$19)</f>
        <v>0</v>
      </c>
      <c r="L156" s="43">
        <f>'Input|Forecast Data'!J156-SUMPRODUCT(--('Input|VBRC Calc'!$E$9:$E$19=$E156),'Input|VBRC Calc'!M$9:M$19)</f>
        <v>0</v>
      </c>
      <c r="M156" s="43">
        <f>'Input|Forecast Data'!K156-SUMPRODUCT(--('Input|VBRC Calc'!$E$9:$E$19=$E156),'Input|VBRC Calc'!N$9:N$19)</f>
        <v>0</v>
      </c>
      <c r="N156" s="7"/>
      <c r="O156" s="7"/>
    </row>
    <row r="157" spans="1:15" x14ac:dyDescent="0.3">
      <c r="A157" s="7"/>
      <c r="B157" s="7"/>
      <c r="C157" s="158">
        <v>1</v>
      </c>
      <c r="D157" s="7"/>
      <c r="E157" s="38" t="s">
        <v>224</v>
      </c>
      <c r="F157" s="38" t="s">
        <v>405</v>
      </c>
      <c r="G157" s="38" t="str">
        <f>VLOOKUP(E157,Mapping!$E$11:$G$204,3,0)</f>
        <v>Replacement</v>
      </c>
      <c r="H157" s="38" t="str">
        <f>VLOOKUP(E157,Mapping!$E$11:$K$204,7,0)</f>
        <v>SCS</v>
      </c>
      <c r="I157" s="43">
        <f>'Input|Forecast Data'!G157-SUMPRODUCT(--('Input|VBRC Calc'!$E$9:$E$19=$E157),'Input|VBRC Calc'!J$9:J$19)</f>
        <v>0</v>
      </c>
      <c r="J157" s="43">
        <f>'Input|Forecast Data'!H157-SUMPRODUCT(--('Input|VBRC Calc'!$E$9:$E$19=$E157),'Input|VBRC Calc'!K$9:K$19)</f>
        <v>0</v>
      </c>
      <c r="K157" s="43">
        <f>'Input|Forecast Data'!I157-SUMPRODUCT(--('Input|VBRC Calc'!$E$9:$E$19=$E157),'Input|VBRC Calc'!L$9:L$19)</f>
        <v>0</v>
      </c>
      <c r="L157" s="43">
        <f>'Input|Forecast Data'!J157-SUMPRODUCT(--('Input|VBRC Calc'!$E$9:$E$19=$E157),'Input|VBRC Calc'!M$9:M$19)</f>
        <v>0</v>
      </c>
      <c r="M157" s="43">
        <f>'Input|Forecast Data'!K157-SUMPRODUCT(--('Input|VBRC Calc'!$E$9:$E$19=$E157),'Input|VBRC Calc'!N$9:N$19)</f>
        <v>0</v>
      </c>
      <c r="N157" s="7"/>
      <c r="O157" s="7"/>
    </row>
    <row r="158" spans="1:15" x14ac:dyDescent="0.3">
      <c r="A158" s="7"/>
      <c r="B158" s="7"/>
      <c r="C158" s="158">
        <v>1</v>
      </c>
      <c r="D158" s="7"/>
      <c r="E158" s="38" t="s">
        <v>225</v>
      </c>
      <c r="F158" s="38" t="s">
        <v>406</v>
      </c>
      <c r="G158" s="38" t="str">
        <f>VLOOKUP(E158,Mapping!$E$11:$G$204,3,0)</f>
        <v>Replacement</v>
      </c>
      <c r="H158" s="38" t="str">
        <f>VLOOKUP(E158,Mapping!$E$11:$K$204,7,0)</f>
        <v>SCS</v>
      </c>
      <c r="I158" s="43">
        <f>'Input|Forecast Data'!G158-SUMPRODUCT(--('Input|VBRC Calc'!$E$9:$E$19=$E158),'Input|VBRC Calc'!J$9:J$19)</f>
        <v>80.235195286255504</v>
      </c>
      <c r="J158" s="43">
        <f>'Input|Forecast Data'!H158-SUMPRODUCT(--('Input|VBRC Calc'!$E$9:$E$19=$E158),'Input|VBRC Calc'!K$9:K$19)</f>
        <v>80.235195286255504</v>
      </c>
      <c r="K158" s="43">
        <f>'Input|Forecast Data'!I158-SUMPRODUCT(--('Input|VBRC Calc'!$E$9:$E$19=$E158),'Input|VBRC Calc'!L$9:L$19)</f>
        <v>80.235195286255504</v>
      </c>
      <c r="L158" s="43">
        <f>'Input|Forecast Data'!J158-SUMPRODUCT(--('Input|VBRC Calc'!$E$9:$E$19=$E158),'Input|VBRC Calc'!M$9:M$19)</f>
        <v>80.235195286255504</v>
      </c>
      <c r="M158" s="43">
        <f>'Input|Forecast Data'!K158-SUMPRODUCT(--('Input|VBRC Calc'!$E$9:$E$19=$E158),'Input|VBRC Calc'!N$9:N$19)</f>
        <v>80.235195286255504</v>
      </c>
      <c r="N158" s="7"/>
      <c r="O158" s="7"/>
    </row>
    <row r="159" spans="1:15" x14ac:dyDescent="0.3">
      <c r="A159" s="7"/>
      <c r="B159" s="7"/>
      <c r="C159" s="158">
        <v>1</v>
      </c>
      <c r="D159" s="7"/>
      <c r="E159" s="38" t="s">
        <v>226</v>
      </c>
      <c r="F159" s="38" t="s">
        <v>407</v>
      </c>
      <c r="G159" s="38" t="str">
        <f>VLOOKUP(E159,Mapping!$E$11:$G$204,3,0)</f>
        <v>Replacement</v>
      </c>
      <c r="H159" s="38" t="str">
        <f>VLOOKUP(E159,Mapping!$E$11:$K$204,7,0)</f>
        <v>SCS</v>
      </c>
      <c r="I159" s="43">
        <f>'Input|Forecast Data'!G159-SUMPRODUCT(--('Input|VBRC Calc'!$E$9:$E$19=$E159),'Input|VBRC Calc'!J$9:J$19)</f>
        <v>0</v>
      </c>
      <c r="J159" s="43">
        <f>'Input|Forecast Data'!H159-SUMPRODUCT(--('Input|VBRC Calc'!$E$9:$E$19=$E159),'Input|VBRC Calc'!K$9:K$19)</f>
        <v>0</v>
      </c>
      <c r="K159" s="43">
        <f>'Input|Forecast Data'!I159-SUMPRODUCT(--('Input|VBRC Calc'!$E$9:$E$19=$E159),'Input|VBRC Calc'!L$9:L$19)</f>
        <v>478.43476576032367</v>
      </c>
      <c r="L159" s="43">
        <f>'Input|Forecast Data'!J159-SUMPRODUCT(--('Input|VBRC Calc'!$E$9:$E$19=$E159),'Input|VBRC Calc'!M$9:M$19)</f>
        <v>478.43476576032367</v>
      </c>
      <c r="M159" s="43">
        <f>'Input|Forecast Data'!K159-SUMPRODUCT(--('Input|VBRC Calc'!$E$9:$E$19=$E159),'Input|VBRC Calc'!N$9:N$19)</f>
        <v>0</v>
      </c>
      <c r="N159" s="7"/>
      <c r="O159" s="7"/>
    </row>
    <row r="160" spans="1:15" x14ac:dyDescent="0.3">
      <c r="A160" s="7"/>
      <c r="B160" s="7"/>
      <c r="C160" s="158">
        <v>1</v>
      </c>
      <c r="D160" s="7"/>
      <c r="E160" s="38" t="s">
        <v>227</v>
      </c>
      <c r="F160" s="38" t="s">
        <v>408</v>
      </c>
      <c r="G160" s="38" t="str">
        <f>VLOOKUP(E160,Mapping!$E$11:$G$204,3,0)</f>
        <v>Replacement</v>
      </c>
      <c r="H160" s="38" t="str">
        <f>VLOOKUP(E160,Mapping!$E$11:$K$204,7,0)</f>
        <v>SCS</v>
      </c>
      <c r="I160" s="43">
        <f>'Input|Forecast Data'!G160-SUMPRODUCT(--('Input|VBRC Calc'!$E$9:$E$19=$E160),'Input|VBRC Calc'!J$9:J$19)</f>
        <v>1760.3087912420074</v>
      </c>
      <c r="J160" s="43">
        <f>'Input|Forecast Data'!H160-SUMPRODUCT(--('Input|VBRC Calc'!$E$9:$E$19=$E160),'Input|VBRC Calc'!K$9:K$19)</f>
        <v>1760.3087912420074</v>
      </c>
      <c r="K160" s="43">
        <f>'Input|Forecast Data'!I160-SUMPRODUCT(--('Input|VBRC Calc'!$E$9:$E$19=$E160),'Input|VBRC Calc'!L$9:L$19)</f>
        <v>1760.3087912420074</v>
      </c>
      <c r="L160" s="43">
        <f>'Input|Forecast Data'!J160-SUMPRODUCT(--('Input|VBRC Calc'!$E$9:$E$19=$E160),'Input|VBRC Calc'!M$9:M$19)</f>
        <v>1760.3087912420074</v>
      </c>
      <c r="M160" s="43">
        <f>'Input|Forecast Data'!K160-SUMPRODUCT(--('Input|VBRC Calc'!$E$9:$E$19=$E160),'Input|VBRC Calc'!N$9:N$19)</f>
        <v>1760.3087912420074</v>
      </c>
      <c r="N160" s="7"/>
      <c r="O160" s="7"/>
    </row>
    <row r="161" spans="1:15" x14ac:dyDescent="0.3">
      <c r="A161" s="7"/>
      <c r="B161" s="7"/>
      <c r="C161" s="158">
        <v>1</v>
      </c>
      <c r="D161" s="7"/>
      <c r="E161" s="38" t="s">
        <v>228</v>
      </c>
      <c r="F161" s="38" t="s">
        <v>409</v>
      </c>
      <c r="G161" s="38" t="str">
        <f>VLOOKUP(E161,Mapping!$E$11:$G$204,3,0)</f>
        <v>Replacement</v>
      </c>
      <c r="H161" s="38" t="str">
        <f>VLOOKUP(E161,Mapping!$E$11:$K$204,7,0)</f>
        <v>SCS</v>
      </c>
      <c r="I161" s="43">
        <f>'Input|Forecast Data'!G161-SUMPRODUCT(--('Input|VBRC Calc'!$E$9:$E$19=$E161),'Input|VBRC Calc'!J$9:J$19)</f>
        <v>1198.8909795814886</v>
      </c>
      <c r="J161" s="43">
        <f>'Input|Forecast Data'!H161-SUMPRODUCT(--('Input|VBRC Calc'!$E$9:$E$19=$E161),'Input|VBRC Calc'!K$9:K$19)</f>
        <v>1198.8909795814886</v>
      </c>
      <c r="K161" s="43">
        <f>'Input|Forecast Data'!I161-SUMPRODUCT(--('Input|VBRC Calc'!$E$9:$E$19=$E161),'Input|VBRC Calc'!L$9:L$19)</f>
        <v>1198.8909795814886</v>
      </c>
      <c r="L161" s="43">
        <f>'Input|Forecast Data'!J161-SUMPRODUCT(--('Input|VBRC Calc'!$E$9:$E$19=$E161),'Input|VBRC Calc'!M$9:M$19)</f>
        <v>1198.8909795814886</v>
      </c>
      <c r="M161" s="43">
        <f>'Input|Forecast Data'!K161-SUMPRODUCT(--('Input|VBRC Calc'!$E$9:$E$19=$E161),'Input|VBRC Calc'!N$9:N$19)</f>
        <v>1198.8909795814886</v>
      </c>
      <c r="N161" s="7"/>
      <c r="O161" s="7"/>
    </row>
    <row r="162" spans="1:15" x14ac:dyDescent="0.3">
      <c r="A162" s="7"/>
      <c r="B162" s="7"/>
      <c r="C162" s="158">
        <v>1</v>
      </c>
      <c r="D162" s="7"/>
      <c r="E162" s="38" t="s">
        <v>229</v>
      </c>
      <c r="F162" s="38" t="s">
        <v>410</v>
      </c>
      <c r="G162" s="38" t="str">
        <f>VLOOKUP(E162,Mapping!$E$11:$G$204,3,0)</f>
        <v>Replacement</v>
      </c>
      <c r="H162" s="38" t="str">
        <f>VLOOKUP(E162,Mapping!$E$11:$K$204,7,0)</f>
        <v>SCS</v>
      </c>
      <c r="I162" s="43">
        <f>'Input|Forecast Data'!G162-SUMPRODUCT(--('Input|VBRC Calc'!$E$9:$E$19=$E162),'Input|VBRC Calc'!J$9:J$19)</f>
        <v>42.861333029162985</v>
      </c>
      <c r="J162" s="43">
        <f>'Input|Forecast Data'!H162-SUMPRODUCT(--('Input|VBRC Calc'!$E$9:$E$19=$E162),'Input|VBRC Calc'!K$9:K$19)</f>
        <v>42.861333029162985</v>
      </c>
      <c r="K162" s="43">
        <f>'Input|Forecast Data'!I162-SUMPRODUCT(--('Input|VBRC Calc'!$E$9:$E$19=$E162),'Input|VBRC Calc'!L$9:L$19)</f>
        <v>42.861333029162985</v>
      </c>
      <c r="L162" s="43">
        <f>'Input|Forecast Data'!J162-SUMPRODUCT(--('Input|VBRC Calc'!$E$9:$E$19=$E162),'Input|VBRC Calc'!M$9:M$19)</f>
        <v>42.861333029162985</v>
      </c>
      <c r="M162" s="43">
        <f>'Input|Forecast Data'!K162-SUMPRODUCT(--('Input|VBRC Calc'!$E$9:$E$19=$E162),'Input|VBRC Calc'!N$9:N$19)</f>
        <v>42.861333029162985</v>
      </c>
      <c r="N162" s="7"/>
      <c r="O162" s="7"/>
    </row>
    <row r="163" spans="1:15" x14ac:dyDescent="0.3">
      <c r="A163" s="7"/>
      <c r="B163" s="7"/>
      <c r="C163" s="158">
        <v>0</v>
      </c>
      <c r="D163" s="7"/>
      <c r="E163" s="38" t="s">
        <v>230</v>
      </c>
      <c r="F163" s="38" t="s">
        <v>411</v>
      </c>
      <c r="G163" s="38" t="str">
        <f>VLOOKUP(E163,Mapping!$E$11:$G$204,3,0)</f>
        <v>Replacement</v>
      </c>
      <c r="H163" s="38" t="str">
        <f>VLOOKUP(E163,Mapping!$E$11:$K$204,7,0)</f>
        <v>SCS</v>
      </c>
      <c r="I163" s="43">
        <f>'Input|Forecast Data'!G163-SUMPRODUCT(--('Input|VBRC Calc'!$E$9:$E$19=$E163),'Input|VBRC Calc'!J$9:J$19)</f>
        <v>1921.4604421418971</v>
      </c>
      <c r="J163" s="43">
        <f>'Input|Forecast Data'!H163-SUMPRODUCT(--('Input|VBRC Calc'!$E$9:$E$19=$E163),'Input|VBRC Calc'!K$9:K$19)</f>
        <v>1921.4604421418971</v>
      </c>
      <c r="K163" s="43">
        <f>'Input|Forecast Data'!I163-SUMPRODUCT(--('Input|VBRC Calc'!$E$9:$E$19=$E163),'Input|VBRC Calc'!L$9:L$19)</f>
        <v>1921.4604421418971</v>
      </c>
      <c r="L163" s="43">
        <f>'Input|Forecast Data'!J163-SUMPRODUCT(--('Input|VBRC Calc'!$E$9:$E$19=$E163),'Input|VBRC Calc'!M$9:M$19)</f>
        <v>1921.4604421418971</v>
      </c>
      <c r="M163" s="43">
        <f>'Input|Forecast Data'!K163-SUMPRODUCT(--('Input|VBRC Calc'!$E$9:$E$19=$E163),'Input|VBRC Calc'!N$9:N$19)</f>
        <v>1921.4604421418971</v>
      </c>
      <c r="N163" s="7"/>
      <c r="O163" s="7"/>
    </row>
    <row r="164" spans="1:15" x14ac:dyDescent="0.3">
      <c r="A164" s="7"/>
      <c r="B164" s="7"/>
      <c r="C164" s="158">
        <v>1</v>
      </c>
      <c r="D164" s="7"/>
      <c r="E164" s="38" t="s">
        <v>231</v>
      </c>
      <c r="F164" s="38" t="s">
        <v>412</v>
      </c>
      <c r="G164" s="38" t="str">
        <f>VLOOKUP(E164,Mapping!$E$11:$G$204,3,0)</f>
        <v>Replacement</v>
      </c>
      <c r="H164" s="38" t="str">
        <f>VLOOKUP(E164,Mapping!$E$11:$K$204,7,0)</f>
        <v>SCS</v>
      </c>
      <c r="I164" s="43">
        <f>'Input|Forecast Data'!G164-SUMPRODUCT(--('Input|VBRC Calc'!$E$9:$E$19=$E164),'Input|VBRC Calc'!J$9:J$19)</f>
        <v>395.57732093579284</v>
      </c>
      <c r="J164" s="43">
        <f>'Input|Forecast Data'!H164-SUMPRODUCT(--('Input|VBRC Calc'!$E$9:$E$19=$E164),'Input|VBRC Calc'!K$9:K$19)</f>
        <v>395.57732093579284</v>
      </c>
      <c r="K164" s="43">
        <f>'Input|Forecast Data'!I164-SUMPRODUCT(--('Input|VBRC Calc'!$E$9:$E$19=$E164),'Input|VBRC Calc'!L$9:L$19)</f>
        <v>395.57732093579284</v>
      </c>
      <c r="L164" s="43">
        <f>'Input|Forecast Data'!J164-SUMPRODUCT(--('Input|VBRC Calc'!$E$9:$E$19=$E164),'Input|VBRC Calc'!M$9:M$19)</f>
        <v>395.57732093579284</v>
      </c>
      <c r="M164" s="43">
        <f>'Input|Forecast Data'!K164-SUMPRODUCT(--('Input|VBRC Calc'!$E$9:$E$19=$E164),'Input|VBRC Calc'!N$9:N$19)</f>
        <v>395.57732093579284</v>
      </c>
      <c r="N164" s="7"/>
      <c r="O164" s="7"/>
    </row>
    <row r="165" spans="1:15" x14ac:dyDescent="0.3">
      <c r="A165" s="7"/>
      <c r="B165" s="7"/>
      <c r="C165" s="158">
        <v>1</v>
      </c>
      <c r="D165" s="7"/>
      <c r="E165" s="38" t="s">
        <v>232</v>
      </c>
      <c r="F165" s="38" t="s">
        <v>413</v>
      </c>
      <c r="G165" s="38" t="str">
        <f>VLOOKUP(E165,Mapping!$E$11:$G$204,3,0)</f>
        <v>Replacement</v>
      </c>
      <c r="H165" s="38" t="str">
        <f>VLOOKUP(E165,Mapping!$E$11:$K$204,7,0)</f>
        <v>SCS</v>
      </c>
      <c r="I165" s="43">
        <f>'Input|Forecast Data'!G165-SUMPRODUCT(--('Input|VBRC Calc'!$E$9:$E$19=$E165),'Input|VBRC Calc'!J$9:J$19)</f>
        <v>0</v>
      </c>
      <c r="J165" s="43">
        <f>'Input|Forecast Data'!H165-SUMPRODUCT(--('Input|VBRC Calc'!$E$9:$E$19=$E165),'Input|VBRC Calc'!K$9:K$19)</f>
        <v>0</v>
      </c>
      <c r="K165" s="43">
        <f>'Input|Forecast Data'!I165-SUMPRODUCT(--('Input|VBRC Calc'!$E$9:$E$19=$E165),'Input|VBRC Calc'!L$9:L$19)</f>
        <v>0</v>
      </c>
      <c r="L165" s="43">
        <f>'Input|Forecast Data'!J165-SUMPRODUCT(--('Input|VBRC Calc'!$E$9:$E$19=$E165),'Input|VBRC Calc'!M$9:M$19)</f>
        <v>0</v>
      </c>
      <c r="M165" s="43">
        <f>'Input|Forecast Data'!K165-SUMPRODUCT(--('Input|VBRC Calc'!$E$9:$E$19=$E165),'Input|VBRC Calc'!N$9:N$19)</f>
        <v>0</v>
      </c>
      <c r="N165" s="7"/>
      <c r="O165" s="7"/>
    </row>
    <row r="166" spans="1:15" x14ac:dyDescent="0.3">
      <c r="A166" s="7"/>
      <c r="B166" s="7"/>
      <c r="C166" s="158">
        <v>1</v>
      </c>
      <c r="D166" s="7"/>
      <c r="E166" s="38" t="s">
        <v>233</v>
      </c>
      <c r="F166" s="38" t="s">
        <v>414</v>
      </c>
      <c r="G166" s="38" t="str">
        <f>VLOOKUP(E166,Mapping!$E$11:$G$204,3,0)</f>
        <v>Replacement</v>
      </c>
      <c r="H166" s="38" t="str">
        <f>VLOOKUP(E166,Mapping!$E$11:$K$204,7,0)</f>
        <v>SCS</v>
      </c>
      <c r="I166" s="43">
        <f>'Input|Forecast Data'!G166-SUMPRODUCT(--('Input|VBRC Calc'!$E$9:$E$19=$E166),'Input|VBRC Calc'!J$9:J$19)</f>
        <v>0</v>
      </c>
      <c r="J166" s="43">
        <f>'Input|Forecast Data'!H166-SUMPRODUCT(--('Input|VBRC Calc'!$E$9:$E$19=$E166),'Input|VBRC Calc'!K$9:K$19)</f>
        <v>0</v>
      </c>
      <c r="K166" s="43">
        <f>'Input|Forecast Data'!I166-SUMPRODUCT(--('Input|VBRC Calc'!$E$9:$E$19=$E166),'Input|VBRC Calc'!L$9:L$19)</f>
        <v>0</v>
      </c>
      <c r="L166" s="43">
        <f>'Input|Forecast Data'!J166-SUMPRODUCT(--('Input|VBRC Calc'!$E$9:$E$19=$E166),'Input|VBRC Calc'!M$9:M$19)</f>
        <v>0</v>
      </c>
      <c r="M166" s="43">
        <f>'Input|Forecast Data'!K166-SUMPRODUCT(--('Input|VBRC Calc'!$E$9:$E$19=$E166),'Input|VBRC Calc'!N$9:N$19)</f>
        <v>0</v>
      </c>
      <c r="N166" s="7"/>
      <c r="O166" s="7"/>
    </row>
    <row r="167" spans="1:15" x14ac:dyDescent="0.3">
      <c r="A167" s="7"/>
      <c r="B167" s="7"/>
      <c r="C167" s="158">
        <v>1</v>
      </c>
      <c r="D167" s="7"/>
      <c r="E167" s="38" t="s">
        <v>234</v>
      </c>
      <c r="F167" s="38" t="s">
        <v>415</v>
      </c>
      <c r="G167" s="38" t="str">
        <f>VLOOKUP(E167,Mapping!$E$11:$G$204,3,0)</f>
        <v>Replacement</v>
      </c>
      <c r="H167" s="38" t="str">
        <f>VLOOKUP(E167,Mapping!$E$11:$K$204,7,0)</f>
        <v>SCS</v>
      </c>
      <c r="I167" s="43">
        <f>'Input|Forecast Data'!G167-SUMPRODUCT(--('Input|VBRC Calc'!$E$9:$E$19=$E167),'Input|VBRC Calc'!J$9:J$19)</f>
        <v>4389.4690734410615</v>
      </c>
      <c r="J167" s="43">
        <f>'Input|Forecast Data'!H167-SUMPRODUCT(--('Input|VBRC Calc'!$E$9:$E$19=$E167),'Input|VBRC Calc'!K$9:K$19)</f>
        <v>4389.4690734410615</v>
      </c>
      <c r="K167" s="43">
        <f>'Input|Forecast Data'!I167-SUMPRODUCT(--('Input|VBRC Calc'!$E$9:$E$19=$E167),'Input|VBRC Calc'!L$9:L$19)</f>
        <v>4389.4690734410615</v>
      </c>
      <c r="L167" s="43">
        <f>'Input|Forecast Data'!J167-SUMPRODUCT(--('Input|VBRC Calc'!$E$9:$E$19=$E167),'Input|VBRC Calc'!M$9:M$19)</f>
        <v>4389.4690734410615</v>
      </c>
      <c r="M167" s="43">
        <f>'Input|Forecast Data'!K167-SUMPRODUCT(--('Input|VBRC Calc'!$E$9:$E$19=$E167),'Input|VBRC Calc'!N$9:N$19)</f>
        <v>4389.4690734410615</v>
      </c>
      <c r="N167" s="7"/>
      <c r="O167" s="7"/>
    </row>
    <row r="168" spans="1:15" x14ac:dyDescent="0.3">
      <c r="A168" s="7"/>
      <c r="B168" s="7"/>
      <c r="C168" s="158">
        <v>1</v>
      </c>
      <c r="D168" s="7"/>
      <c r="E168" s="38" t="s">
        <v>235</v>
      </c>
      <c r="F168" s="38" t="s">
        <v>416</v>
      </c>
      <c r="G168" s="38" t="str">
        <f>VLOOKUP(E168,Mapping!$E$11:$G$204,3,0)</f>
        <v>Replacement</v>
      </c>
      <c r="H168" s="38" t="str">
        <f>VLOOKUP(E168,Mapping!$E$11:$K$204,7,0)</f>
        <v>SCS</v>
      </c>
      <c r="I168" s="43">
        <f>'Input|Forecast Data'!G168-SUMPRODUCT(--('Input|VBRC Calc'!$E$9:$E$19=$E168),'Input|VBRC Calc'!J$9:J$19)</f>
        <v>0</v>
      </c>
      <c r="J168" s="43">
        <f>'Input|Forecast Data'!H168-SUMPRODUCT(--('Input|VBRC Calc'!$E$9:$E$19=$E168),'Input|VBRC Calc'!K$9:K$19)</f>
        <v>0</v>
      </c>
      <c r="K168" s="43">
        <f>'Input|Forecast Data'!I168-SUMPRODUCT(--('Input|VBRC Calc'!$E$9:$E$19=$E168),'Input|VBRC Calc'!L$9:L$19)</f>
        <v>0</v>
      </c>
      <c r="L168" s="43">
        <f>'Input|Forecast Data'!J168-SUMPRODUCT(--('Input|VBRC Calc'!$E$9:$E$19=$E168),'Input|VBRC Calc'!M$9:M$19)</f>
        <v>0</v>
      </c>
      <c r="M168" s="43">
        <f>'Input|Forecast Data'!K168-SUMPRODUCT(--('Input|VBRC Calc'!$E$9:$E$19=$E168),'Input|VBRC Calc'!N$9:N$19)</f>
        <v>0</v>
      </c>
      <c r="N168" s="7"/>
      <c r="O168" s="7"/>
    </row>
    <row r="169" spans="1:15" x14ac:dyDescent="0.3">
      <c r="A169" s="7"/>
      <c r="B169" s="7"/>
      <c r="C169" s="158">
        <v>0</v>
      </c>
      <c r="D169" s="7"/>
      <c r="E169" s="38" t="s">
        <v>236</v>
      </c>
      <c r="F169" s="38" t="s">
        <v>417</v>
      </c>
      <c r="G169" s="38" t="str">
        <f>VLOOKUP(E169,Mapping!$E$11:$G$204,3,0)</f>
        <v>Replacement</v>
      </c>
      <c r="H169" s="38" t="str">
        <f>VLOOKUP(E169,Mapping!$E$11:$K$204,7,0)</f>
        <v>SCS</v>
      </c>
      <c r="I169" s="43">
        <f>'Input|Forecast Data'!G169-SUMPRODUCT(--('Input|VBRC Calc'!$E$9:$E$19=$E169),'Input|VBRC Calc'!J$9:J$19)</f>
        <v>770.59889624566813</v>
      </c>
      <c r="J169" s="43">
        <f>'Input|Forecast Data'!H169-SUMPRODUCT(--('Input|VBRC Calc'!$E$9:$E$19=$E169),'Input|VBRC Calc'!K$9:K$19)</f>
        <v>770.59889624566813</v>
      </c>
      <c r="K169" s="43">
        <f>'Input|Forecast Data'!I169-SUMPRODUCT(--('Input|VBRC Calc'!$E$9:$E$19=$E169),'Input|VBRC Calc'!L$9:L$19)</f>
        <v>770.59889624566813</v>
      </c>
      <c r="L169" s="43">
        <f>'Input|Forecast Data'!J169-SUMPRODUCT(--('Input|VBRC Calc'!$E$9:$E$19=$E169),'Input|VBRC Calc'!M$9:M$19)</f>
        <v>770.59889624566813</v>
      </c>
      <c r="M169" s="43">
        <f>'Input|Forecast Data'!K169-SUMPRODUCT(--('Input|VBRC Calc'!$E$9:$E$19=$E169),'Input|VBRC Calc'!N$9:N$19)</f>
        <v>770.59889624566813</v>
      </c>
      <c r="N169" s="7"/>
      <c r="O169" s="7"/>
    </row>
    <row r="170" spans="1:15" x14ac:dyDescent="0.3">
      <c r="A170" s="7"/>
      <c r="B170" s="7"/>
      <c r="C170" s="158">
        <v>1</v>
      </c>
      <c r="D170" s="7"/>
      <c r="E170" s="38" t="s">
        <v>544</v>
      </c>
      <c r="F170" s="38" t="s">
        <v>545</v>
      </c>
      <c r="G170" s="38" t="str">
        <f>VLOOKUP(E170,Mapping!$E$11:$G$204,3,0)</f>
        <v>Replacement</v>
      </c>
      <c r="H170" s="38" t="str">
        <f>VLOOKUP(E170,Mapping!$E$11:$K$204,7,0)</f>
        <v>SCS</v>
      </c>
      <c r="I170" s="43">
        <f>'Input|Forecast Data'!G170-SUMPRODUCT(--('Input|VBRC Calc'!$E$9:$E$19=$E170),'Input|VBRC Calc'!J$9:J$19)</f>
        <v>3526.9536714137498</v>
      </c>
      <c r="J170" s="43">
        <f>'Input|Forecast Data'!H170-SUMPRODUCT(--('Input|VBRC Calc'!$E$9:$E$19=$E170),'Input|VBRC Calc'!K$9:K$19)</f>
        <v>3526.9536714137498</v>
      </c>
      <c r="K170" s="43">
        <f>'Input|Forecast Data'!I170-SUMPRODUCT(--('Input|VBRC Calc'!$E$9:$E$19=$E170),'Input|VBRC Calc'!L$9:L$19)</f>
        <v>3526.9536714137498</v>
      </c>
      <c r="L170" s="43">
        <f>'Input|Forecast Data'!J170-SUMPRODUCT(--('Input|VBRC Calc'!$E$9:$E$19=$E170),'Input|VBRC Calc'!M$9:M$19)</f>
        <v>3526.9536714137498</v>
      </c>
      <c r="M170" s="43">
        <f>'Input|Forecast Data'!K170-SUMPRODUCT(--('Input|VBRC Calc'!$E$9:$E$19=$E170),'Input|VBRC Calc'!N$9:N$19)</f>
        <v>3526.9536714137498</v>
      </c>
      <c r="N170" s="7"/>
      <c r="O170" s="7"/>
    </row>
    <row r="171" spans="1:15" x14ac:dyDescent="0.3">
      <c r="A171" s="7"/>
      <c r="B171" s="7"/>
      <c r="C171" s="158">
        <v>1</v>
      </c>
      <c r="D171" s="7"/>
      <c r="E171" s="38" t="s">
        <v>237</v>
      </c>
      <c r="F171" s="38" t="s">
        <v>418</v>
      </c>
      <c r="G171" s="38" t="str">
        <f>VLOOKUP(E171,Mapping!$E$11:$G$204,3,0)</f>
        <v>Replacement</v>
      </c>
      <c r="H171" s="38" t="str">
        <f>VLOOKUP(E171,Mapping!$E$11:$K$204,7,0)</f>
        <v>SCS</v>
      </c>
      <c r="I171" s="43">
        <f>'Input|Forecast Data'!G171-SUMPRODUCT(--('Input|VBRC Calc'!$E$9:$E$19=$E171),'Input|VBRC Calc'!J$9:J$19)</f>
        <v>0</v>
      </c>
      <c r="J171" s="43">
        <f>'Input|Forecast Data'!H171-SUMPRODUCT(--('Input|VBRC Calc'!$E$9:$E$19=$E171),'Input|VBRC Calc'!K$9:K$19)</f>
        <v>0</v>
      </c>
      <c r="K171" s="43">
        <f>'Input|Forecast Data'!I171-SUMPRODUCT(--('Input|VBRC Calc'!$E$9:$E$19=$E171),'Input|VBRC Calc'!L$9:L$19)</f>
        <v>0</v>
      </c>
      <c r="L171" s="43">
        <f>'Input|Forecast Data'!J171-SUMPRODUCT(--('Input|VBRC Calc'!$E$9:$E$19=$E171),'Input|VBRC Calc'!M$9:M$19)</f>
        <v>0</v>
      </c>
      <c r="M171" s="43">
        <f>'Input|Forecast Data'!K171-SUMPRODUCT(--('Input|VBRC Calc'!$E$9:$E$19=$E171),'Input|VBRC Calc'!N$9:N$19)</f>
        <v>0</v>
      </c>
      <c r="N171" s="7"/>
      <c r="O171" s="7"/>
    </row>
    <row r="172" spans="1:15" x14ac:dyDescent="0.3">
      <c r="A172" s="7"/>
      <c r="B172" s="7"/>
      <c r="C172" s="158">
        <v>0</v>
      </c>
      <c r="D172" s="7"/>
      <c r="E172" s="38" t="s">
        <v>238</v>
      </c>
      <c r="F172" s="38" t="s">
        <v>419</v>
      </c>
      <c r="G172" s="38" t="str">
        <f>VLOOKUP(E172,Mapping!$E$11:$G$204,3,0)</f>
        <v>Replacement</v>
      </c>
      <c r="H172" s="38" t="str">
        <f>VLOOKUP(E172,Mapping!$E$11:$K$204,7,0)</f>
        <v>SCS</v>
      </c>
      <c r="I172" s="43">
        <f>'Input|Forecast Data'!G172-SUMPRODUCT(--('Input|VBRC Calc'!$E$9:$E$19=$E172),'Input|VBRC Calc'!J$9:J$19)</f>
        <v>154.34743571954945</v>
      </c>
      <c r="J172" s="43">
        <f>'Input|Forecast Data'!H172-SUMPRODUCT(--('Input|VBRC Calc'!$E$9:$E$19=$E172),'Input|VBRC Calc'!K$9:K$19)</f>
        <v>154.34743571954945</v>
      </c>
      <c r="K172" s="43">
        <f>'Input|Forecast Data'!I172-SUMPRODUCT(--('Input|VBRC Calc'!$E$9:$E$19=$E172),'Input|VBRC Calc'!L$9:L$19)</f>
        <v>154.34743571954945</v>
      </c>
      <c r="L172" s="43">
        <f>'Input|Forecast Data'!J172-SUMPRODUCT(--('Input|VBRC Calc'!$E$9:$E$19=$E172),'Input|VBRC Calc'!M$9:M$19)</f>
        <v>154.34743571954945</v>
      </c>
      <c r="M172" s="43">
        <f>'Input|Forecast Data'!K172-SUMPRODUCT(--('Input|VBRC Calc'!$E$9:$E$19=$E172),'Input|VBRC Calc'!N$9:N$19)</f>
        <v>154.34743571954945</v>
      </c>
      <c r="N172" s="7"/>
      <c r="O172" s="7"/>
    </row>
    <row r="173" spans="1:15" x14ac:dyDescent="0.3">
      <c r="A173" s="7"/>
      <c r="B173" s="7"/>
      <c r="C173" s="158">
        <v>1</v>
      </c>
      <c r="D173" s="7"/>
      <c r="E173" s="38" t="s">
        <v>239</v>
      </c>
      <c r="F173" s="38" t="s">
        <v>420</v>
      </c>
      <c r="G173" s="38" t="str">
        <f>VLOOKUP(E173,Mapping!$E$11:$G$204,3,0)</f>
        <v>Replacement</v>
      </c>
      <c r="H173" s="38" t="str">
        <f>VLOOKUP(E173,Mapping!$E$11:$K$204,7,0)</f>
        <v>SCS</v>
      </c>
      <c r="I173" s="43">
        <f>'Input|Forecast Data'!G173-SUMPRODUCT(--('Input|VBRC Calc'!$E$9:$E$19=$E173),'Input|VBRC Calc'!J$9:J$19)</f>
        <v>0</v>
      </c>
      <c r="J173" s="43">
        <f>'Input|Forecast Data'!H173-SUMPRODUCT(--('Input|VBRC Calc'!$E$9:$E$19=$E173),'Input|VBRC Calc'!K$9:K$19)</f>
        <v>0</v>
      </c>
      <c r="K173" s="43">
        <f>'Input|Forecast Data'!I173-SUMPRODUCT(--('Input|VBRC Calc'!$E$9:$E$19=$E173),'Input|VBRC Calc'!L$9:L$19)</f>
        <v>0</v>
      </c>
      <c r="L173" s="43">
        <f>'Input|Forecast Data'!J173-SUMPRODUCT(--('Input|VBRC Calc'!$E$9:$E$19=$E173),'Input|VBRC Calc'!M$9:M$19)</f>
        <v>0</v>
      </c>
      <c r="M173" s="43">
        <f>'Input|Forecast Data'!K173-SUMPRODUCT(--('Input|VBRC Calc'!$E$9:$E$19=$E173),'Input|VBRC Calc'!N$9:N$19)</f>
        <v>0</v>
      </c>
      <c r="N173" s="7"/>
      <c r="O173" s="7"/>
    </row>
    <row r="174" spans="1:15" x14ac:dyDescent="0.3">
      <c r="A174" s="7"/>
      <c r="B174" s="7"/>
      <c r="C174" s="158">
        <v>0</v>
      </c>
      <c r="D174" s="7"/>
      <c r="E174" s="38" t="s">
        <v>240</v>
      </c>
      <c r="F174" s="38" t="s">
        <v>421</v>
      </c>
      <c r="G174" s="38" t="str">
        <f>VLOOKUP(E174,Mapping!$E$11:$G$204,3,0)</f>
        <v>Replacement</v>
      </c>
      <c r="H174" s="38" t="str">
        <f>VLOOKUP(E174,Mapping!$E$11:$K$204,7,0)</f>
        <v>SCS</v>
      </c>
      <c r="I174" s="43">
        <f>'Input|Forecast Data'!G174-SUMPRODUCT(--('Input|VBRC Calc'!$E$9:$E$19=$E174),'Input|VBRC Calc'!J$9:J$19)</f>
        <v>178.82042127371284</v>
      </c>
      <c r="J174" s="43">
        <f>'Input|Forecast Data'!H174-SUMPRODUCT(--('Input|VBRC Calc'!$E$9:$E$19=$E174),'Input|VBRC Calc'!K$9:K$19)</f>
        <v>178.82042127371284</v>
      </c>
      <c r="K174" s="43">
        <f>'Input|Forecast Data'!I174-SUMPRODUCT(--('Input|VBRC Calc'!$E$9:$E$19=$E174),'Input|VBRC Calc'!L$9:L$19)</f>
        <v>178.82042127371284</v>
      </c>
      <c r="L174" s="43">
        <f>'Input|Forecast Data'!J174-SUMPRODUCT(--('Input|VBRC Calc'!$E$9:$E$19=$E174),'Input|VBRC Calc'!M$9:M$19)</f>
        <v>178.82042127371284</v>
      </c>
      <c r="M174" s="43">
        <f>'Input|Forecast Data'!K174-SUMPRODUCT(--('Input|VBRC Calc'!$E$9:$E$19=$E174),'Input|VBRC Calc'!N$9:N$19)</f>
        <v>178.82042127371284</v>
      </c>
      <c r="N174" s="7"/>
      <c r="O174" s="7"/>
    </row>
    <row r="175" spans="1:15" x14ac:dyDescent="0.3">
      <c r="A175" s="7"/>
      <c r="B175" s="7"/>
      <c r="C175" s="158">
        <v>1</v>
      </c>
      <c r="D175" s="7"/>
      <c r="E175" s="38" t="s">
        <v>241</v>
      </c>
      <c r="F175" s="38" t="s">
        <v>422</v>
      </c>
      <c r="G175" s="38" t="str">
        <f>VLOOKUP(E175,Mapping!$E$11:$G$204,3,0)</f>
        <v>Replacement</v>
      </c>
      <c r="H175" s="38" t="str">
        <f>VLOOKUP(E175,Mapping!$E$11:$K$204,7,0)</f>
        <v>SCS</v>
      </c>
      <c r="I175" s="43">
        <f>'Input|Forecast Data'!G175-SUMPRODUCT(--('Input|VBRC Calc'!$E$9:$E$19=$E175),'Input|VBRC Calc'!J$9:J$19)</f>
        <v>106.80067599289897</v>
      </c>
      <c r="J175" s="43">
        <f>'Input|Forecast Data'!H175-SUMPRODUCT(--('Input|VBRC Calc'!$E$9:$E$19=$E175),'Input|VBRC Calc'!K$9:K$19)</f>
        <v>106.80067599289897</v>
      </c>
      <c r="K175" s="43">
        <f>'Input|Forecast Data'!I175-SUMPRODUCT(--('Input|VBRC Calc'!$E$9:$E$19=$E175),'Input|VBRC Calc'!L$9:L$19)</f>
        <v>106.80067599289897</v>
      </c>
      <c r="L175" s="43">
        <f>'Input|Forecast Data'!J175-SUMPRODUCT(--('Input|VBRC Calc'!$E$9:$E$19=$E175),'Input|VBRC Calc'!M$9:M$19)</f>
        <v>106.80067599289897</v>
      </c>
      <c r="M175" s="43">
        <f>'Input|Forecast Data'!K175-SUMPRODUCT(--('Input|VBRC Calc'!$E$9:$E$19=$E175),'Input|VBRC Calc'!N$9:N$19)</f>
        <v>106.80067599289897</v>
      </c>
      <c r="N175" s="7"/>
      <c r="O175" s="7"/>
    </row>
    <row r="176" spans="1:15" x14ac:dyDescent="0.3">
      <c r="A176" s="7"/>
      <c r="B176" s="7"/>
      <c r="C176" s="158">
        <v>1</v>
      </c>
      <c r="D176" s="7"/>
      <c r="E176" s="38" t="s">
        <v>242</v>
      </c>
      <c r="F176" s="38" t="s">
        <v>423</v>
      </c>
      <c r="G176" s="38" t="str">
        <f>VLOOKUP(E176,Mapping!$E$11:$G$204,3,0)</f>
        <v>Replacement</v>
      </c>
      <c r="H176" s="38" t="str">
        <f>VLOOKUP(E176,Mapping!$E$11:$K$204,7,0)</f>
        <v>SCS</v>
      </c>
      <c r="I176" s="43">
        <f>'Input|Forecast Data'!G176-SUMPRODUCT(--('Input|VBRC Calc'!$E$9:$E$19=$E176),'Input|VBRC Calc'!J$9:J$19)</f>
        <v>24.090222638171849</v>
      </c>
      <c r="J176" s="43">
        <f>'Input|Forecast Data'!H176-SUMPRODUCT(--('Input|VBRC Calc'!$E$9:$E$19=$E176),'Input|VBRC Calc'!K$9:K$19)</f>
        <v>24.090222638171849</v>
      </c>
      <c r="K176" s="43">
        <f>'Input|Forecast Data'!I176-SUMPRODUCT(--('Input|VBRC Calc'!$E$9:$E$19=$E176),'Input|VBRC Calc'!L$9:L$19)</f>
        <v>24.090222638171849</v>
      </c>
      <c r="L176" s="43">
        <f>'Input|Forecast Data'!J176-SUMPRODUCT(--('Input|VBRC Calc'!$E$9:$E$19=$E176),'Input|VBRC Calc'!M$9:M$19)</f>
        <v>24.090222638171849</v>
      </c>
      <c r="M176" s="43">
        <f>'Input|Forecast Data'!K176-SUMPRODUCT(--('Input|VBRC Calc'!$E$9:$E$19=$E176),'Input|VBRC Calc'!N$9:N$19)</f>
        <v>24.090222638171849</v>
      </c>
      <c r="N176" s="7"/>
      <c r="O176" s="7"/>
    </row>
    <row r="177" spans="1:15" x14ac:dyDescent="0.3">
      <c r="A177" s="7"/>
      <c r="B177" s="7"/>
      <c r="C177" s="158">
        <v>1</v>
      </c>
      <c r="D177" s="7"/>
      <c r="E177" s="38" t="s">
        <v>243</v>
      </c>
      <c r="F177" s="38" t="s">
        <v>424</v>
      </c>
      <c r="G177" s="38" t="str">
        <f>VLOOKUP(E177,Mapping!$E$11:$G$204,3,0)</f>
        <v>Replacement</v>
      </c>
      <c r="H177" s="38" t="str">
        <f>VLOOKUP(E177,Mapping!$E$11:$K$204,7,0)</f>
        <v>SCS</v>
      </c>
      <c r="I177" s="43">
        <f>'Input|Forecast Data'!G177-SUMPRODUCT(--('Input|VBRC Calc'!$E$9:$E$19=$E177),'Input|VBRC Calc'!J$9:J$19)</f>
        <v>0</v>
      </c>
      <c r="J177" s="43">
        <f>'Input|Forecast Data'!H177-SUMPRODUCT(--('Input|VBRC Calc'!$E$9:$E$19=$E177),'Input|VBRC Calc'!K$9:K$19)</f>
        <v>0</v>
      </c>
      <c r="K177" s="43">
        <f>'Input|Forecast Data'!I177-SUMPRODUCT(--('Input|VBRC Calc'!$E$9:$E$19=$E177),'Input|VBRC Calc'!L$9:L$19)</f>
        <v>0</v>
      </c>
      <c r="L177" s="43">
        <f>'Input|Forecast Data'!J177-SUMPRODUCT(--('Input|VBRC Calc'!$E$9:$E$19=$E177),'Input|VBRC Calc'!M$9:M$19)</f>
        <v>0</v>
      </c>
      <c r="M177" s="43">
        <f>'Input|Forecast Data'!K177-SUMPRODUCT(--('Input|VBRC Calc'!$E$9:$E$19=$E177),'Input|VBRC Calc'!N$9:N$19)</f>
        <v>0</v>
      </c>
      <c r="N177" s="7"/>
      <c r="O177" s="7"/>
    </row>
    <row r="178" spans="1:15" x14ac:dyDescent="0.3">
      <c r="A178" s="7"/>
      <c r="B178" s="7"/>
      <c r="C178" s="158">
        <v>1</v>
      </c>
      <c r="D178" s="7"/>
      <c r="E178" s="38" t="s">
        <v>244</v>
      </c>
      <c r="F178" s="38" t="s">
        <v>425</v>
      </c>
      <c r="G178" s="38" t="str">
        <f>VLOOKUP(E178,Mapping!$E$11:$G$204,3,0)</f>
        <v>Replacement</v>
      </c>
      <c r="H178" s="38" t="str">
        <f>VLOOKUP(E178,Mapping!$E$11:$K$204,7,0)</f>
        <v>SCS</v>
      </c>
      <c r="I178" s="43">
        <f>'Input|Forecast Data'!G178-SUMPRODUCT(--('Input|VBRC Calc'!$E$9:$E$19=$E178),'Input|VBRC Calc'!J$9:J$19)</f>
        <v>435.87817836171695</v>
      </c>
      <c r="J178" s="43">
        <f>'Input|Forecast Data'!H178-SUMPRODUCT(--('Input|VBRC Calc'!$E$9:$E$19=$E178),'Input|VBRC Calc'!K$9:K$19)</f>
        <v>435.87817836171695</v>
      </c>
      <c r="K178" s="43">
        <f>'Input|Forecast Data'!I178-SUMPRODUCT(--('Input|VBRC Calc'!$E$9:$E$19=$E178),'Input|VBRC Calc'!L$9:L$19)</f>
        <v>435.87817836171695</v>
      </c>
      <c r="L178" s="43">
        <f>'Input|Forecast Data'!J178-SUMPRODUCT(--('Input|VBRC Calc'!$E$9:$E$19=$E178),'Input|VBRC Calc'!M$9:M$19)</f>
        <v>435.87817836171695</v>
      </c>
      <c r="M178" s="43">
        <f>'Input|Forecast Data'!K178-SUMPRODUCT(--('Input|VBRC Calc'!$E$9:$E$19=$E178),'Input|VBRC Calc'!N$9:N$19)</f>
        <v>435.87817836171695</v>
      </c>
      <c r="N178" s="7"/>
      <c r="O178" s="7"/>
    </row>
    <row r="179" spans="1:15" x14ac:dyDescent="0.3">
      <c r="A179" s="7"/>
      <c r="B179" s="7"/>
      <c r="C179" s="158">
        <v>0</v>
      </c>
      <c r="D179" s="7"/>
      <c r="E179" s="38" t="s">
        <v>245</v>
      </c>
      <c r="F179" s="38" t="s">
        <v>426</v>
      </c>
      <c r="G179" s="38" t="str">
        <f>VLOOKUP(E179,Mapping!$E$11:$G$204,3,0)</f>
        <v>ACS</v>
      </c>
      <c r="H179" s="38" t="str">
        <f>VLOOKUP(E179,Mapping!$E$11:$K$204,7,0)</f>
        <v>ACS</v>
      </c>
      <c r="I179" s="43">
        <f>'Input|Forecast Data'!G179-SUMPRODUCT(--('Input|VBRC Calc'!$E$9:$E$19=$E179),'Input|VBRC Calc'!J$9:J$19)</f>
        <v>0</v>
      </c>
      <c r="J179" s="43">
        <f>'Input|Forecast Data'!H179-SUMPRODUCT(--('Input|VBRC Calc'!$E$9:$E$19=$E179),'Input|VBRC Calc'!K$9:K$19)</f>
        <v>0</v>
      </c>
      <c r="K179" s="43">
        <f>'Input|Forecast Data'!I179-SUMPRODUCT(--('Input|VBRC Calc'!$E$9:$E$19=$E179),'Input|VBRC Calc'!L$9:L$19)</f>
        <v>0</v>
      </c>
      <c r="L179" s="43">
        <f>'Input|Forecast Data'!J179-SUMPRODUCT(--('Input|VBRC Calc'!$E$9:$E$19=$E179),'Input|VBRC Calc'!M$9:M$19)</f>
        <v>0</v>
      </c>
      <c r="M179" s="43">
        <f>'Input|Forecast Data'!K179-SUMPRODUCT(--('Input|VBRC Calc'!$E$9:$E$19=$E179),'Input|VBRC Calc'!N$9:N$19)</f>
        <v>0</v>
      </c>
      <c r="N179" s="7"/>
      <c r="O179" s="7"/>
    </row>
    <row r="180" spans="1:15" x14ac:dyDescent="0.3">
      <c r="A180" s="7"/>
      <c r="B180" s="7"/>
      <c r="C180" s="158">
        <v>0</v>
      </c>
      <c r="D180" s="7"/>
      <c r="E180" s="38" t="s">
        <v>246</v>
      </c>
      <c r="F180" s="38" t="s">
        <v>427</v>
      </c>
      <c r="G180" s="38" t="str">
        <f>VLOOKUP(E180,Mapping!$E$11:$G$204,3,0)</f>
        <v>ACS</v>
      </c>
      <c r="H180" s="38" t="str">
        <f>VLOOKUP(E180,Mapping!$E$11:$K$204,7,0)</f>
        <v>ACS</v>
      </c>
      <c r="I180" s="43">
        <f>'Input|Forecast Data'!G180-SUMPRODUCT(--('Input|VBRC Calc'!$E$9:$E$19=$E180),'Input|VBRC Calc'!J$9:J$19)</f>
        <v>0</v>
      </c>
      <c r="J180" s="43">
        <f>'Input|Forecast Data'!H180-SUMPRODUCT(--('Input|VBRC Calc'!$E$9:$E$19=$E180),'Input|VBRC Calc'!K$9:K$19)</f>
        <v>0</v>
      </c>
      <c r="K180" s="43">
        <f>'Input|Forecast Data'!I180-SUMPRODUCT(--('Input|VBRC Calc'!$E$9:$E$19=$E180),'Input|VBRC Calc'!L$9:L$19)</f>
        <v>0</v>
      </c>
      <c r="L180" s="43">
        <f>'Input|Forecast Data'!J180-SUMPRODUCT(--('Input|VBRC Calc'!$E$9:$E$19=$E180),'Input|VBRC Calc'!M$9:M$19)</f>
        <v>0</v>
      </c>
      <c r="M180" s="43">
        <f>'Input|Forecast Data'!K180-SUMPRODUCT(--('Input|VBRC Calc'!$E$9:$E$19=$E180),'Input|VBRC Calc'!N$9:N$19)</f>
        <v>0</v>
      </c>
      <c r="N180" s="7"/>
      <c r="O180" s="7"/>
    </row>
    <row r="181" spans="1:15" x14ac:dyDescent="0.3">
      <c r="A181" s="7"/>
      <c r="B181" s="7"/>
      <c r="C181" s="158">
        <v>0</v>
      </c>
      <c r="D181" s="7"/>
      <c r="E181" s="38" t="s">
        <v>247</v>
      </c>
      <c r="F181" s="38" t="s">
        <v>428</v>
      </c>
      <c r="G181" s="38" t="str">
        <f>VLOOKUP(E181,Mapping!$E$11:$G$204,3,0)</f>
        <v>ACS</v>
      </c>
      <c r="H181" s="38" t="str">
        <f>VLOOKUP(E181,Mapping!$E$11:$K$204,7,0)</f>
        <v>ACS</v>
      </c>
      <c r="I181" s="43">
        <f>'Input|Forecast Data'!G181-SUMPRODUCT(--('Input|VBRC Calc'!$E$9:$E$19=$E181),'Input|VBRC Calc'!J$9:J$19)</f>
        <v>0</v>
      </c>
      <c r="J181" s="43">
        <f>'Input|Forecast Data'!H181-SUMPRODUCT(--('Input|VBRC Calc'!$E$9:$E$19=$E181),'Input|VBRC Calc'!K$9:K$19)</f>
        <v>0</v>
      </c>
      <c r="K181" s="43">
        <f>'Input|Forecast Data'!I181-SUMPRODUCT(--('Input|VBRC Calc'!$E$9:$E$19=$E181),'Input|VBRC Calc'!L$9:L$19)</f>
        <v>0</v>
      </c>
      <c r="L181" s="43">
        <f>'Input|Forecast Data'!J181-SUMPRODUCT(--('Input|VBRC Calc'!$E$9:$E$19=$E181),'Input|VBRC Calc'!M$9:M$19)</f>
        <v>0</v>
      </c>
      <c r="M181" s="43">
        <f>'Input|Forecast Data'!K181-SUMPRODUCT(--('Input|VBRC Calc'!$E$9:$E$19=$E181),'Input|VBRC Calc'!N$9:N$19)</f>
        <v>0</v>
      </c>
      <c r="N181" s="7"/>
      <c r="O181" s="7"/>
    </row>
    <row r="182" spans="1:15" x14ac:dyDescent="0.3">
      <c r="A182" s="7"/>
      <c r="B182" s="7"/>
      <c r="C182" s="158">
        <v>0</v>
      </c>
      <c r="D182" s="7"/>
      <c r="E182" s="38" t="s">
        <v>248</v>
      </c>
      <c r="F182" s="38" t="s">
        <v>429</v>
      </c>
      <c r="G182" s="38" t="str">
        <f>VLOOKUP(E182,Mapping!$E$11:$G$204,3,0)</f>
        <v>ACS</v>
      </c>
      <c r="H182" s="38" t="str">
        <f>VLOOKUP(E182,Mapping!$E$11:$K$204,7,0)</f>
        <v>ACS</v>
      </c>
      <c r="I182" s="43">
        <f>'Input|Forecast Data'!G182-SUMPRODUCT(--('Input|VBRC Calc'!$E$9:$E$19=$E182),'Input|VBRC Calc'!J$9:J$19)</f>
        <v>0</v>
      </c>
      <c r="J182" s="43">
        <f>'Input|Forecast Data'!H182-SUMPRODUCT(--('Input|VBRC Calc'!$E$9:$E$19=$E182),'Input|VBRC Calc'!K$9:K$19)</f>
        <v>0</v>
      </c>
      <c r="K182" s="43">
        <f>'Input|Forecast Data'!I182-SUMPRODUCT(--('Input|VBRC Calc'!$E$9:$E$19=$E182),'Input|VBRC Calc'!L$9:L$19)</f>
        <v>0</v>
      </c>
      <c r="L182" s="43">
        <f>'Input|Forecast Data'!J182-SUMPRODUCT(--('Input|VBRC Calc'!$E$9:$E$19=$E182),'Input|VBRC Calc'!M$9:M$19)</f>
        <v>0</v>
      </c>
      <c r="M182" s="43">
        <f>'Input|Forecast Data'!K182-SUMPRODUCT(--('Input|VBRC Calc'!$E$9:$E$19=$E182),'Input|VBRC Calc'!N$9:N$19)</f>
        <v>0</v>
      </c>
      <c r="N182" s="7"/>
      <c r="O182" s="7"/>
    </row>
    <row r="183" spans="1:15" x14ac:dyDescent="0.3">
      <c r="A183" s="7"/>
      <c r="B183" s="7"/>
      <c r="C183" s="158">
        <v>0</v>
      </c>
      <c r="D183" s="7"/>
      <c r="E183" s="38" t="s">
        <v>249</v>
      </c>
      <c r="F183" s="38" t="s">
        <v>430</v>
      </c>
      <c r="G183" s="38" t="str">
        <f>VLOOKUP(E183,Mapping!$E$11:$G$204,3,0)</f>
        <v>ACS</v>
      </c>
      <c r="H183" s="38" t="str">
        <f>VLOOKUP(E183,Mapping!$E$11:$K$204,7,0)</f>
        <v>ACS</v>
      </c>
      <c r="I183" s="43">
        <f>'Input|Forecast Data'!G183-SUMPRODUCT(--('Input|VBRC Calc'!$E$9:$E$19=$E183),'Input|VBRC Calc'!J$9:J$19)</f>
        <v>0</v>
      </c>
      <c r="J183" s="43">
        <f>'Input|Forecast Data'!H183-SUMPRODUCT(--('Input|VBRC Calc'!$E$9:$E$19=$E183),'Input|VBRC Calc'!K$9:K$19)</f>
        <v>0</v>
      </c>
      <c r="K183" s="43">
        <f>'Input|Forecast Data'!I183-SUMPRODUCT(--('Input|VBRC Calc'!$E$9:$E$19=$E183),'Input|VBRC Calc'!L$9:L$19)</f>
        <v>0</v>
      </c>
      <c r="L183" s="43">
        <f>'Input|Forecast Data'!J183-SUMPRODUCT(--('Input|VBRC Calc'!$E$9:$E$19=$E183),'Input|VBRC Calc'!M$9:M$19)</f>
        <v>0</v>
      </c>
      <c r="M183" s="43">
        <f>'Input|Forecast Data'!K183-SUMPRODUCT(--('Input|VBRC Calc'!$E$9:$E$19=$E183),'Input|VBRC Calc'!N$9:N$19)</f>
        <v>0</v>
      </c>
      <c r="N183" s="7"/>
      <c r="O183" s="7"/>
    </row>
    <row r="184" spans="1:15" x14ac:dyDescent="0.3">
      <c r="A184" s="7"/>
      <c r="B184" s="7"/>
      <c r="C184" s="158">
        <v>0</v>
      </c>
      <c r="D184" s="7"/>
      <c r="E184" s="38" t="s">
        <v>250</v>
      </c>
      <c r="F184" s="38" t="s">
        <v>431</v>
      </c>
      <c r="G184" s="38" t="str">
        <f>VLOOKUP(E184,Mapping!$E$11:$G$204,3,0)</f>
        <v>Augmentation</v>
      </c>
      <c r="H184" s="38" t="str">
        <f>VLOOKUP(E184,Mapping!$E$11:$K$204,7,0)</f>
        <v>SCADA (10-year asset)</v>
      </c>
      <c r="I184" s="43">
        <f>'Input|Forecast Data'!G184-SUMPRODUCT(--('Input|VBRC Calc'!$E$9:$E$19=$E184),'Input|VBRC Calc'!J$9:J$19)</f>
        <v>1152.0307755274152</v>
      </c>
      <c r="J184" s="43">
        <f>'Input|Forecast Data'!H184-SUMPRODUCT(--('Input|VBRC Calc'!$E$9:$E$19=$E184),'Input|VBRC Calc'!K$9:K$19)</f>
        <v>939.98930838002661</v>
      </c>
      <c r="K184" s="43">
        <f>'Input|Forecast Data'!I184-SUMPRODUCT(--('Input|VBRC Calc'!$E$9:$E$19=$E184),'Input|VBRC Calc'!L$9:L$19)</f>
        <v>933.43378358344262</v>
      </c>
      <c r="L184" s="43">
        <f>'Input|Forecast Data'!J184-SUMPRODUCT(--('Input|VBRC Calc'!$E$9:$E$19=$E184),'Input|VBRC Calc'!M$9:M$19)</f>
        <v>976.093321395457</v>
      </c>
      <c r="M184" s="43">
        <f>'Input|Forecast Data'!K184-SUMPRODUCT(--('Input|VBRC Calc'!$E$9:$E$19=$E184),'Input|VBRC Calc'!N$9:N$19)</f>
        <v>1144.0409496518143</v>
      </c>
      <c r="N184" s="7"/>
      <c r="O184" s="7"/>
    </row>
    <row r="185" spans="1:15" x14ac:dyDescent="0.3">
      <c r="A185" s="7"/>
      <c r="B185" s="7"/>
      <c r="C185" s="158">
        <v>0</v>
      </c>
      <c r="D185" s="7"/>
      <c r="E185" s="38" t="s">
        <v>251</v>
      </c>
      <c r="F185" s="38" t="s">
        <v>432</v>
      </c>
      <c r="G185" s="38" t="str">
        <f>VLOOKUP(E185,Mapping!$E$11:$G$204,3,0)</f>
        <v>ACS</v>
      </c>
      <c r="H185" s="38" t="str">
        <f>VLOOKUP(E185,Mapping!$E$11:$K$204,7,0)</f>
        <v>ACS</v>
      </c>
      <c r="I185" s="43">
        <f>'Input|Forecast Data'!G185-SUMPRODUCT(--('Input|VBRC Calc'!$E$9:$E$19=$E185),'Input|VBRC Calc'!J$9:J$19)</f>
        <v>0</v>
      </c>
      <c r="J185" s="43">
        <f>'Input|Forecast Data'!H185-SUMPRODUCT(--('Input|VBRC Calc'!$E$9:$E$19=$E185),'Input|VBRC Calc'!K$9:K$19)</f>
        <v>0</v>
      </c>
      <c r="K185" s="43">
        <f>'Input|Forecast Data'!I185-SUMPRODUCT(--('Input|VBRC Calc'!$E$9:$E$19=$E185),'Input|VBRC Calc'!L$9:L$19)</f>
        <v>0</v>
      </c>
      <c r="L185" s="43">
        <f>'Input|Forecast Data'!J185-SUMPRODUCT(--('Input|VBRC Calc'!$E$9:$E$19=$E185),'Input|VBRC Calc'!M$9:M$19)</f>
        <v>0</v>
      </c>
      <c r="M185" s="43">
        <f>'Input|Forecast Data'!K185-SUMPRODUCT(--('Input|VBRC Calc'!$E$9:$E$19=$E185),'Input|VBRC Calc'!N$9:N$19)</f>
        <v>0</v>
      </c>
      <c r="N185" s="7"/>
      <c r="O185" s="7"/>
    </row>
    <row r="186" spans="1:15" x14ac:dyDescent="0.3">
      <c r="A186" s="7"/>
      <c r="B186" s="7"/>
      <c r="C186" s="158">
        <v>0</v>
      </c>
      <c r="D186" s="7"/>
      <c r="E186" s="38" t="s">
        <v>252</v>
      </c>
      <c r="F186" s="38" t="s">
        <v>433</v>
      </c>
      <c r="G186" s="38" t="str">
        <f>VLOOKUP(E186,Mapping!$E$11:$G$204,3,0)</f>
        <v>ACS</v>
      </c>
      <c r="H186" s="38" t="str">
        <f>VLOOKUP(E186,Mapping!$E$11:$K$204,7,0)</f>
        <v>ACS</v>
      </c>
      <c r="I186" s="43">
        <f>'Input|Forecast Data'!G186-SUMPRODUCT(--('Input|VBRC Calc'!$E$9:$E$19=$E186),'Input|VBRC Calc'!J$9:J$19)</f>
        <v>0</v>
      </c>
      <c r="J186" s="43">
        <f>'Input|Forecast Data'!H186-SUMPRODUCT(--('Input|VBRC Calc'!$E$9:$E$19=$E186),'Input|VBRC Calc'!K$9:K$19)</f>
        <v>0</v>
      </c>
      <c r="K186" s="43">
        <f>'Input|Forecast Data'!I186-SUMPRODUCT(--('Input|VBRC Calc'!$E$9:$E$19=$E186),'Input|VBRC Calc'!L$9:L$19)</f>
        <v>0</v>
      </c>
      <c r="L186" s="43">
        <f>'Input|Forecast Data'!J186-SUMPRODUCT(--('Input|VBRC Calc'!$E$9:$E$19=$E186),'Input|VBRC Calc'!M$9:M$19)</f>
        <v>0</v>
      </c>
      <c r="M186" s="43">
        <f>'Input|Forecast Data'!K186-SUMPRODUCT(--('Input|VBRC Calc'!$E$9:$E$19=$E186),'Input|VBRC Calc'!N$9:N$19)</f>
        <v>0</v>
      </c>
      <c r="N186" s="7"/>
      <c r="O186" s="7"/>
    </row>
    <row r="187" spans="1:15" x14ac:dyDescent="0.3">
      <c r="A187" s="7"/>
      <c r="B187" s="7"/>
      <c r="C187" s="158">
        <v>0</v>
      </c>
      <c r="D187" s="7"/>
      <c r="E187" s="38" t="s">
        <v>253</v>
      </c>
      <c r="F187" s="38" t="s">
        <v>434</v>
      </c>
      <c r="G187" s="38" t="str">
        <f>VLOOKUP(E187,Mapping!$E$11:$G$204,3,0)</f>
        <v>ACS</v>
      </c>
      <c r="H187" s="38" t="str">
        <f>VLOOKUP(E187,Mapping!$E$11:$K$204,7,0)</f>
        <v>ACS</v>
      </c>
      <c r="I187" s="43">
        <f>'Input|Forecast Data'!G187-SUMPRODUCT(--('Input|VBRC Calc'!$E$9:$E$19=$E187),'Input|VBRC Calc'!J$9:J$19)</f>
        <v>0</v>
      </c>
      <c r="J187" s="43">
        <f>'Input|Forecast Data'!H187-SUMPRODUCT(--('Input|VBRC Calc'!$E$9:$E$19=$E187),'Input|VBRC Calc'!K$9:K$19)</f>
        <v>0</v>
      </c>
      <c r="K187" s="43">
        <f>'Input|Forecast Data'!I187-SUMPRODUCT(--('Input|VBRC Calc'!$E$9:$E$19=$E187),'Input|VBRC Calc'!L$9:L$19)</f>
        <v>0</v>
      </c>
      <c r="L187" s="43">
        <f>'Input|Forecast Data'!J187-SUMPRODUCT(--('Input|VBRC Calc'!$E$9:$E$19=$E187),'Input|VBRC Calc'!M$9:M$19)</f>
        <v>0</v>
      </c>
      <c r="M187" s="43">
        <f>'Input|Forecast Data'!K187-SUMPRODUCT(--('Input|VBRC Calc'!$E$9:$E$19=$E187),'Input|VBRC Calc'!N$9:N$19)</f>
        <v>0</v>
      </c>
      <c r="N187" s="7"/>
      <c r="O187" s="7"/>
    </row>
    <row r="188" spans="1:15" x14ac:dyDescent="0.3">
      <c r="A188" s="7"/>
      <c r="B188" s="7"/>
      <c r="C188" s="158">
        <v>0</v>
      </c>
      <c r="D188" s="7"/>
      <c r="E188" s="38" t="s">
        <v>254</v>
      </c>
      <c r="F188" s="38" t="s">
        <v>435</v>
      </c>
      <c r="G188" s="38" t="str">
        <f>VLOOKUP(E188,Mapping!$E$11:$G$204,3,0)</f>
        <v>ACS</v>
      </c>
      <c r="H188" s="38" t="str">
        <f>VLOOKUP(E188,Mapping!$E$11:$K$204,7,0)</f>
        <v>ACS</v>
      </c>
      <c r="I188" s="43">
        <f>'Input|Forecast Data'!G188-SUMPRODUCT(--('Input|VBRC Calc'!$E$9:$E$19=$E188),'Input|VBRC Calc'!J$9:J$19)</f>
        <v>0</v>
      </c>
      <c r="J188" s="43">
        <f>'Input|Forecast Data'!H188-SUMPRODUCT(--('Input|VBRC Calc'!$E$9:$E$19=$E188),'Input|VBRC Calc'!K$9:K$19)</f>
        <v>0</v>
      </c>
      <c r="K188" s="43">
        <f>'Input|Forecast Data'!I188-SUMPRODUCT(--('Input|VBRC Calc'!$E$9:$E$19=$E188),'Input|VBRC Calc'!L$9:L$19)</f>
        <v>0</v>
      </c>
      <c r="L188" s="43">
        <f>'Input|Forecast Data'!J188-SUMPRODUCT(--('Input|VBRC Calc'!$E$9:$E$19=$E188),'Input|VBRC Calc'!M$9:M$19)</f>
        <v>0</v>
      </c>
      <c r="M188" s="43">
        <f>'Input|Forecast Data'!K188-SUMPRODUCT(--('Input|VBRC Calc'!$E$9:$E$19=$E188),'Input|VBRC Calc'!N$9:N$19)</f>
        <v>0</v>
      </c>
      <c r="N188" s="7"/>
      <c r="O188" s="7"/>
    </row>
    <row r="189" spans="1:15" x14ac:dyDescent="0.3">
      <c r="A189" s="7"/>
      <c r="B189" s="7"/>
      <c r="C189" s="158">
        <v>0</v>
      </c>
      <c r="D189" s="7"/>
      <c r="E189" s="38" t="s">
        <v>255</v>
      </c>
      <c r="F189" s="38" t="s">
        <v>436</v>
      </c>
      <c r="G189" s="38" t="str">
        <f>VLOOKUP(E189,Mapping!$E$11:$G$204,3,0)</f>
        <v>ACS</v>
      </c>
      <c r="H189" s="38" t="str">
        <f>VLOOKUP(E189,Mapping!$E$11:$K$204,7,0)</f>
        <v>ACS</v>
      </c>
      <c r="I189" s="43">
        <f>'Input|Forecast Data'!G189-SUMPRODUCT(--('Input|VBRC Calc'!$E$9:$E$19=$E189),'Input|VBRC Calc'!J$9:J$19)</f>
        <v>0</v>
      </c>
      <c r="J189" s="43">
        <f>'Input|Forecast Data'!H189-SUMPRODUCT(--('Input|VBRC Calc'!$E$9:$E$19=$E189),'Input|VBRC Calc'!K$9:K$19)</f>
        <v>0</v>
      </c>
      <c r="K189" s="43">
        <f>'Input|Forecast Data'!I189-SUMPRODUCT(--('Input|VBRC Calc'!$E$9:$E$19=$E189),'Input|VBRC Calc'!L$9:L$19)</f>
        <v>0</v>
      </c>
      <c r="L189" s="43">
        <f>'Input|Forecast Data'!J189-SUMPRODUCT(--('Input|VBRC Calc'!$E$9:$E$19=$E189),'Input|VBRC Calc'!M$9:M$19)</f>
        <v>0</v>
      </c>
      <c r="M189" s="43">
        <f>'Input|Forecast Data'!K189-SUMPRODUCT(--('Input|VBRC Calc'!$E$9:$E$19=$E189),'Input|VBRC Calc'!N$9:N$19)</f>
        <v>0</v>
      </c>
      <c r="N189" s="7"/>
      <c r="O189" s="7"/>
    </row>
    <row r="190" spans="1:15" x14ac:dyDescent="0.3">
      <c r="A190" s="7"/>
      <c r="B190" s="7"/>
      <c r="C190" s="158">
        <v>0</v>
      </c>
      <c r="D190" s="7"/>
      <c r="E190" s="38" t="s">
        <v>256</v>
      </c>
      <c r="F190" s="38" t="s">
        <v>437</v>
      </c>
      <c r="G190" s="38" t="str">
        <f>VLOOKUP(E190,Mapping!$E$11:$G$204,3,0)</f>
        <v>ACS</v>
      </c>
      <c r="H190" s="38" t="str">
        <f>VLOOKUP(E190,Mapping!$E$11:$K$204,7,0)</f>
        <v>ACS</v>
      </c>
      <c r="I190" s="43">
        <f>'Input|Forecast Data'!G190-SUMPRODUCT(--('Input|VBRC Calc'!$E$9:$E$19=$E190),'Input|VBRC Calc'!J$9:J$19)</f>
        <v>0</v>
      </c>
      <c r="J190" s="43">
        <f>'Input|Forecast Data'!H190-SUMPRODUCT(--('Input|VBRC Calc'!$E$9:$E$19=$E190),'Input|VBRC Calc'!K$9:K$19)</f>
        <v>0</v>
      </c>
      <c r="K190" s="43">
        <f>'Input|Forecast Data'!I190-SUMPRODUCT(--('Input|VBRC Calc'!$E$9:$E$19=$E190),'Input|VBRC Calc'!L$9:L$19)</f>
        <v>0</v>
      </c>
      <c r="L190" s="43">
        <f>'Input|Forecast Data'!J190-SUMPRODUCT(--('Input|VBRC Calc'!$E$9:$E$19=$E190),'Input|VBRC Calc'!M$9:M$19)</f>
        <v>0</v>
      </c>
      <c r="M190" s="43">
        <f>'Input|Forecast Data'!K190-SUMPRODUCT(--('Input|VBRC Calc'!$E$9:$E$19=$E190),'Input|VBRC Calc'!N$9:N$19)</f>
        <v>0</v>
      </c>
      <c r="N190" s="7"/>
      <c r="O190" s="7"/>
    </row>
    <row r="191" spans="1:15" x14ac:dyDescent="0.3">
      <c r="A191" s="7"/>
      <c r="B191" s="7"/>
      <c r="C191" s="158">
        <v>0</v>
      </c>
      <c r="D191" s="7"/>
      <c r="E191" s="38" t="s">
        <v>257</v>
      </c>
      <c r="F191" s="38" t="s">
        <v>438</v>
      </c>
      <c r="G191" s="38" t="str">
        <f>VLOOKUP(E191,Mapping!$E$11:$G$204,3,0)</f>
        <v>ACS</v>
      </c>
      <c r="H191" s="38" t="str">
        <f>VLOOKUP(E191,Mapping!$E$11:$K$204,7,0)</f>
        <v>ACS</v>
      </c>
      <c r="I191" s="43">
        <f>'Input|Forecast Data'!G191-SUMPRODUCT(--('Input|VBRC Calc'!$E$9:$E$19=$E191),'Input|VBRC Calc'!J$9:J$19)</f>
        <v>0</v>
      </c>
      <c r="J191" s="43">
        <f>'Input|Forecast Data'!H191-SUMPRODUCT(--('Input|VBRC Calc'!$E$9:$E$19=$E191),'Input|VBRC Calc'!K$9:K$19)</f>
        <v>0</v>
      </c>
      <c r="K191" s="43">
        <f>'Input|Forecast Data'!I191-SUMPRODUCT(--('Input|VBRC Calc'!$E$9:$E$19=$E191),'Input|VBRC Calc'!L$9:L$19)</f>
        <v>0</v>
      </c>
      <c r="L191" s="43">
        <f>'Input|Forecast Data'!J191-SUMPRODUCT(--('Input|VBRC Calc'!$E$9:$E$19=$E191),'Input|VBRC Calc'!M$9:M$19)</f>
        <v>0</v>
      </c>
      <c r="M191" s="43">
        <f>'Input|Forecast Data'!K191-SUMPRODUCT(--('Input|VBRC Calc'!$E$9:$E$19=$E191),'Input|VBRC Calc'!N$9:N$19)</f>
        <v>0</v>
      </c>
      <c r="N191" s="7"/>
      <c r="O191" s="7"/>
    </row>
    <row r="192" spans="1:15" x14ac:dyDescent="0.3">
      <c r="A192" s="7"/>
      <c r="B192" s="7"/>
      <c r="C192" s="158">
        <v>0</v>
      </c>
      <c r="D192" s="7"/>
      <c r="E192" s="38" t="s">
        <v>258</v>
      </c>
      <c r="F192" s="38" t="s">
        <v>439</v>
      </c>
      <c r="G192" s="38" t="str">
        <f>VLOOKUP(E192,Mapping!$E$11:$G$204,3,0)</f>
        <v>ACS</v>
      </c>
      <c r="H192" s="38" t="str">
        <f>VLOOKUP(E192,Mapping!$E$11:$K$204,7,0)</f>
        <v>ACS</v>
      </c>
      <c r="I192" s="43">
        <f>'Input|Forecast Data'!G192-SUMPRODUCT(--('Input|VBRC Calc'!$E$9:$E$19=$E192),'Input|VBRC Calc'!J$9:J$19)</f>
        <v>0</v>
      </c>
      <c r="J192" s="43">
        <f>'Input|Forecast Data'!H192-SUMPRODUCT(--('Input|VBRC Calc'!$E$9:$E$19=$E192),'Input|VBRC Calc'!K$9:K$19)</f>
        <v>0</v>
      </c>
      <c r="K192" s="43">
        <f>'Input|Forecast Data'!I192-SUMPRODUCT(--('Input|VBRC Calc'!$E$9:$E$19=$E192),'Input|VBRC Calc'!L$9:L$19)</f>
        <v>0</v>
      </c>
      <c r="L192" s="43">
        <f>'Input|Forecast Data'!J192-SUMPRODUCT(--('Input|VBRC Calc'!$E$9:$E$19=$E192),'Input|VBRC Calc'!M$9:M$19)</f>
        <v>0</v>
      </c>
      <c r="M192" s="43">
        <f>'Input|Forecast Data'!K192-SUMPRODUCT(--('Input|VBRC Calc'!$E$9:$E$19=$E192),'Input|VBRC Calc'!N$9:N$19)</f>
        <v>0</v>
      </c>
      <c r="N192" s="7"/>
      <c r="O192" s="7"/>
    </row>
    <row r="193" spans="1:15" x14ac:dyDescent="0.3">
      <c r="A193" s="7"/>
      <c r="B193" s="7"/>
      <c r="C193" s="158">
        <v>0</v>
      </c>
      <c r="D193" s="7"/>
      <c r="E193" s="38" t="s">
        <v>259</v>
      </c>
      <c r="F193" s="38" t="s">
        <v>440</v>
      </c>
      <c r="G193" s="38" t="str">
        <f>VLOOKUP(E193,Mapping!$E$11:$G$204,3,0)</f>
        <v>ACS</v>
      </c>
      <c r="H193" s="38" t="str">
        <f>VLOOKUP(E193,Mapping!$E$11:$K$204,7,0)</f>
        <v>ACS</v>
      </c>
      <c r="I193" s="43">
        <f>'Input|Forecast Data'!G193-SUMPRODUCT(--('Input|VBRC Calc'!$E$9:$E$19=$E193),'Input|VBRC Calc'!J$9:J$19)</f>
        <v>0</v>
      </c>
      <c r="J193" s="43">
        <f>'Input|Forecast Data'!H193-SUMPRODUCT(--('Input|VBRC Calc'!$E$9:$E$19=$E193),'Input|VBRC Calc'!K$9:K$19)</f>
        <v>0</v>
      </c>
      <c r="K193" s="43">
        <f>'Input|Forecast Data'!I193-SUMPRODUCT(--('Input|VBRC Calc'!$E$9:$E$19=$E193),'Input|VBRC Calc'!L$9:L$19)</f>
        <v>0</v>
      </c>
      <c r="L193" s="43">
        <f>'Input|Forecast Data'!J193-SUMPRODUCT(--('Input|VBRC Calc'!$E$9:$E$19=$E193),'Input|VBRC Calc'!M$9:M$19)</f>
        <v>0</v>
      </c>
      <c r="M193" s="43">
        <f>'Input|Forecast Data'!K193-SUMPRODUCT(--('Input|VBRC Calc'!$E$9:$E$19=$E193),'Input|VBRC Calc'!N$9:N$19)</f>
        <v>0</v>
      </c>
      <c r="N193" s="7"/>
      <c r="O193" s="7"/>
    </row>
    <row r="194" spans="1:15" x14ac:dyDescent="0.3">
      <c r="A194" s="7"/>
      <c r="B194" s="7"/>
      <c r="C194" s="158">
        <v>0</v>
      </c>
      <c r="D194" s="7"/>
      <c r="E194" s="38" t="s">
        <v>260</v>
      </c>
      <c r="F194" s="38" t="s">
        <v>441</v>
      </c>
      <c r="G194" s="38" t="str">
        <f>VLOOKUP(E194,Mapping!$E$11:$G$204,3,0)</f>
        <v>Replacement</v>
      </c>
      <c r="H194" s="38" t="str">
        <f>VLOOKUP(E194,Mapping!$E$11:$K$204,7,0)</f>
        <v>SCS</v>
      </c>
      <c r="I194" s="43">
        <f>'Input|Forecast Data'!G194-SUMPRODUCT(--('Input|VBRC Calc'!$E$9:$E$19=$E194),'Input|VBRC Calc'!J$9:J$19)</f>
        <v>348.10124733074184</v>
      </c>
      <c r="J194" s="43">
        <f>'Input|Forecast Data'!H194-SUMPRODUCT(--('Input|VBRC Calc'!$E$9:$E$19=$E194),'Input|VBRC Calc'!K$9:K$19)</f>
        <v>348.10124733074184</v>
      </c>
      <c r="K194" s="43">
        <f>'Input|Forecast Data'!I194-SUMPRODUCT(--('Input|VBRC Calc'!$E$9:$E$19=$E194),'Input|VBRC Calc'!L$9:L$19)</f>
        <v>348.10124733074184</v>
      </c>
      <c r="L194" s="43">
        <f>'Input|Forecast Data'!J194-SUMPRODUCT(--('Input|VBRC Calc'!$E$9:$E$19=$E194),'Input|VBRC Calc'!M$9:M$19)</f>
        <v>348.10124733074184</v>
      </c>
      <c r="M194" s="43">
        <f>'Input|Forecast Data'!K194-SUMPRODUCT(--('Input|VBRC Calc'!$E$9:$E$19=$E194),'Input|VBRC Calc'!N$9:N$19)</f>
        <v>348.10124733074184</v>
      </c>
      <c r="N194" s="7"/>
      <c r="O194" s="7"/>
    </row>
    <row r="195" spans="1:15" x14ac:dyDescent="0.3">
      <c r="A195" s="7"/>
      <c r="B195" s="7"/>
      <c r="C195" s="158">
        <v>0</v>
      </c>
      <c r="D195" s="7"/>
      <c r="E195" s="38" t="s">
        <v>261</v>
      </c>
      <c r="F195" s="38" t="s">
        <v>442</v>
      </c>
      <c r="G195" s="38" t="str">
        <f>VLOOKUP(E195,Mapping!$E$11:$G$204,3,0)</f>
        <v>ACS</v>
      </c>
      <c r="H195" s="38" t="str">
        <f>VLOOKUP(E195,Mapping!$E$11:$K$204,7,0)</f>
        <v>ACS</v>
      </c>
      <c r="I195" s="43">
        <f>'Input|Forecast Data'!G195-SUMPRODUCT(--('Input|VBRC Calc'!$E$9:$E$19=$E195),'Input|VBRC Calc'!J$9:J$19)</f>
        <v>0</v>
      </c>
      <c r="J195" s="43">
        <f>'Input|Forecast Data'!H195-SUMPRODUCT(--('Input|VBRC Calc'!$E$9:$E$19=$E195),'Input|VBRC Calc'!K$9:K$19)</f>
        <v>0</v>
      </c>
      <c r="K195" s="43">
        <f>'Input|Forecast Data'!I195-SUMPRODUCT(--('Input|VBRC Calc'!$E$9:$E$19=$E195),'Input|VBRC Calc'!L$9:L$19)</f>
        <v>0</v>
      </c>
      <c r="L195" s="43">
        <f>'Input|Forecast Data'!J195-SUMPRODUCT(--('Input|VBRC Calc'!$E$9:$E$19=$E195),'Input|VBRC Calc'!M$9:M$19)</f>
        <v>0</v>
      </c>
      <c r="M195" s="43">
        <f>'Input|Forecast Data'!K195-SUMPRODUCT(--('Input|VBRC Calc'!$E$9:$E$19=$E195),'Input|VBRC Calc'!N$9:N$19)</f>
        <v>0</v>
      </c>
      <c r="N195" s="7"/>
      <c r="O195" s="7"/>
    </row>
    <row r="196" spans="1:15" x14ac:dyDescent="0.3">
      <c r="A196" s="7"/>
      <c r="B196" s="7"/>
      <c r="C196" s="158">
        <v>0</v>
      </c>
      <c r="D196" s="7"/>
      <c r="E196" s="38" t="s">
        <v>262</v>
      </c>
      <c r="F196" s="38" t="s">
        <v>443</v>
      </c>
      <c r="G196" s="38" t="str">
        <f>VLOOKUP(E196,Mapping!$E$11:$G$204,3,0)</f>
        <v>ACS</v>
      </c>
      <c r="H196" s="38" t="str">
        <f>VLOOKUP(E196,Mapping!$E$11:$K$204,7,0)</f>
        <v>ACS</v>
      </c>
      <c r="I196" s="43">
        <f>'Input|Forecast Data'!G196-SUMPRODUCT(--('Input|VBRC Calc'!$E$9:$E$19=$E196),'Input|VBRC Calc'!J$9:J$19)</f>
        <v>0</v>
      </c>
      <c r="J196" s="43">
        <f>'Input|Forecast Data'!H196-SUMPRODUCT(--('Input|VBRC Calc'!$E$9:$E$19=$E196),'Input|VBRC Calc'!K$9:K$19)</f>
        <v>0</v>
      </c>
      <c r="K196" s="43">
        <f>'Input|Forecast Data'!I196-SUMPRODUCT(--('Input|VBRC Calc'!$E$9:$E$19=$E196),'Input|VBRC Calc'!L$9:L$19)</f>
        <v>0</v>
      </c>
      <c r="L196" s="43">
        <f>'Input|Forecast Data'!J196-SUMPRODUCT(--('Input|VBRC Calc'!$E$9:$E$19=$E196),'Input|VBRC Calc'!M$9:M$19)</f>
        <v>0</v>
      </c>
      <c r="M196" s="43">
        <f>'Input|Forecast Data'!K196-SUMPRODUCT(--('Input|VBRC Calc'!$E$9:$E$19=$E196),'Input|VBRC Calc'!N$9:N$19)</f>
        <v>0</v>
      </c>
      <c r="N196" s="7"/>
      <c r="O196" s="7"/>
    </row>
    <row r="197" spans="1:15" x14ac:dyDescent="0.3">
      <c r="A197" s="7"/>
      <c r="B197" s="7"/>
      <c r="C197" s="158">
        <v>0</v>
      </c>
      <c r="D197" s="7"/>
      <c r="E197" s="38" t="s">
        <v>263</v>
      </c>
      <c r="F197" s="38" t="s">
        <v>444</v>
      </c>
      <c r="G197" s="38" t="str">
        <f>VLOOKUP(E197,Mapping!$E$11:$G$204,3,0)</f>
        <v>ACS</v>
      </c>
      <c r="H197" s="38" t="str">
        <f>VLOOKUP(E197,Mapping!$E$11:$K$204,7,0)</f>
        <v>ACS</v>
      </c>
      <c r="I197" s="43">
        <f>'Input|Forecast Data'!G197-SUMPRODUCT(--('Input|VBRC Calc'!$E$9:$E$19=$E197),'Input|VBRC Calc'!J$9:J$19)</f>
        <v>0</v>
      </c>
      <c r="J197" s="43">
        <f>'Input|Forecast Data'!H197-SUMPRODUCT(--('Input|VBRC Calc'!$E$9:$E$19=$E197),'Input|VBRC Calc'!K$9:K$19)</f>
        <v>0</v>
      </c>
      <c r="K197" s="43">
        <f>'Input|Forecast Data'!I197-SUMPRODUCT(--('Input|VBRC Calc'!$E$9:$E$19=$E197),'Input|VBRC Calc'!L$9:L$19)</f>
        <v>0</v>
      </c>
      <c r="L197" s="43">
        <f>'Input|Forecast Data'!J197-SUMPRODUCT(--('Input|VBRC Calc'!$E$9:$E$19=$E197),'Input|VBRC Calc'!M$9:M$19)</f>
        <v>0</v>
      </c>
      <c r="M197" s="43">
        <f>'Input|Forecast Data'!K197-SUMPRODUCT(--('Input|VBRC Calc'!$E$9:$E$19=$E197),'Input|VBRC Calc'!N$9:N$19)</f>
        <v>0</v>
      </c>
      <c r="N197" s="7"/>
      <c r="O197" s="7"/>
    </row>
    <row r="198" spans="1:15" x14ac:dyDescent="0.3">
      <c r="A198" s="7"/>
      <c r="B198" s="7"/>
      <c r="C198" s="158">
        <v>0</v>
      </c>
      <c r="D198" s="7"/>
      <c r="E198" s="38" t="s">
        <v>264</v>
      </c>
      <c r="F198" s="38" t="s">
        <v>445</v>
      </c>
      <c r="G198" s="38" t="str">
        <f>VLOOKUP(E198,Mapping!$E$11:$G$204,3,0)</f>
        <v>ACS</v>
      </c>
      <c r="H198" s="38" t="str">
        <f>VLOOKUP(E198,Mapping!$E$11:$K$204,7,0)</f>
        <v>ACS</v>
      </c>
      <c r="I198" s="43">
        <f>'Input|Forecast Data'!G198-SUMPRODUCT(--('Input|VBRC Calc'!$E$9:$E$19=$E198),'Input|VBRC Calc'!J$9:J$19)</f>
        <v>0</v>
      </c>
      <c r="J198" s="43">
        <f>'Input|Forecast Data'!H198-SUMPRODUCT(--('Input|VBRC Calc'!$E$9:$E$19=$E198),'Input|VBRC Calc'!K$9:K$19)</f>
        <v>0</v>
      </c>
      <c r="K198" s="43">
        <f>'Input|Forecast Data'!I198-SUMPRODUCT(--('Input|VBRC Calc'!$E$9:$E$19=$E198),'Input|VBRC Calc'!L$9:L$19)</f>
        <v>0</v>
      </c>
      <c r="L198" s="43">
        <f>'Input|Forecast Data'!J198-SUMPRODUCT(--('Input|VBRC Calc'!$E$9:$E$19=$E198),'Input|VBRC Calc'!M$9:M$19)</f>
        <v>0</v>
      </c>
      <c r="M198" s="43">
        <f>'Input|Forecast Data'!K198-SUMPRODUCT(--('Input|VBRC Calc'!$E$9:$E$19=$E198),'Input|VBRC Calc'!N$9:N$19)</f>
        <v>0</v>
      </c>
      <c r="N198" s="7"/>
      <c r="O198" s="7"/>
    </row>
    <row r="199" spans="1:15" x14ac:dyDescent="0.3">
      <c r="A199" s="7"/>
      <c r="B199" s="7"/>
      <c r="C199" s="158">
        <v>0</v>
      </c>
      <c r="D199" s="7"/>
      <c r="E199" s="38" t="s">
        <v>265</v>
      </c>
      <c r="F199" s="38" t="s">
        <v>446</v>
      </c>
      <c r="G199" s="38" t="str">
        <f>VLOOKUP(E199,Mapping!$E$11:$G$204,3,0)</f>
        <v>Non-network general assets - IT</v>
      </c>
      <c r="H199" s="38" t="str">
        <f>VLOOKUP(E199,Mapping!$E$11:$K$204,7,0)</f>
        <v>Non-network general assets - IT</v>
      </c>
      <c r="I199" s="43">
        <f>'Input|Forecast Data'!G199-SUMPRODUCT(--('Input|VBRC Calc'!$E$9:$E$19=$E199),'Input|VBRC Calc'!J$9:J$19)</f>
        <v>54188.162104146933</v>
      </c>
      <c r="J199" s="43">
        <f>'Input|Forecast Data'!H199-SUMPRODUCT(--('Input|VBRC Calc'!$E$9:$E$19=$E199),'Input|VBRC Calc'!K$9:K$19)</f>
        <v>36909.970576053776</v>
      </c>
      <c r="K199" s="43">
        <f>'Input|Forecast Data'!I199-SUMPRODUCT(--('Input|VBRC Calc'!$E$9:$E$19=$E199),'Input|VBRC Calc'!L$9:L$19)</f>
        <v>35775.946192681062</v>
      </c>
      <c r="L199" s="43">
        <f>'Input|Forecast Data'!J199-SUMPRODUCT(--('Input|VBRC Calc'!$E$9:$E$19=$E199),'Input|VBRC Calc'!M$9:M$19)</f>
        <v>32531.833152301377</v>
      </c>
      <c r="M199" s="43">
        <f>'Input|Forecast Data'!K199-SUMPRODUCT(--('Input|VBRC Calc'!$E$9:$E$19=$E199),'Input|VBRC Calc'!N$9:N$19)</f>
        <v>22438.273572123271</v>
      </c>
      <c r="N199" s="7"/>
      <c r="O199" s="7"/>
    </row>
    <row r="200" spans="1:15" x14ac:dyDescent="0.3">
      <c r="A200" s="7"/>
      <c r="B200" s="7"/>
      <c r="C200" s="158">
        <v>0</v>
      </c>
      <c r="D200" s="7"/>
      <c r="E200" s="38" t="s">
        <v>266</v>
      </c>
      <c r="F200" s="38" t="s">
        <v>447</v>
      </c>
      <c r="G200" s="38" t="str">
        <f>VLOOKUP(E200,Mapping!$E$11:$G$204,3,0)</f>
        <v>ACS</v>
      </c>
      <c r="H200" s="38" t="str">
        <f>VLOOKUP(E200,Mapping!$E$11:$K$204,7,0)</f>
        <v>ACS</v>
      </c>
      <c r="I200" s="43">
        <f>'Input|Forecast Data'!G200-SUMPRODUCT(--('Input|VBRC Calc'!$E$9:$E$19=$E200),'Input|VBRC Calc'!J$9:J$19)</f>
        <v>0</v>
      </c>
      <c r="J200" s="43">
        <f>'Input|Forecast Data'!H200-SUMPRODUCT(--('Input|VBRC Calc'!$E$9:$E$19=$E200),'Input|VBRC Calc'!K$9:K$19)</f>
        <v>0</v>
      </c>
      <c r="K200" s="43">
        <f>'Input|Forecast Data'!I200-SUMPRODUCT(--('Input|VBRC Calc'!$E$9:$E$19=$E200),'Input|VBRC Calc'!L$9:L$19)</f>
        <v>0</v>
      </c>
      <c r="L200" s="43">
        <f>'Input|Forecast Data'!J200-SUMPRODUCT(--('Input|VBRC Calc'!$E$9:$E$19=$E200),'Input|VBRC Calc'!M$9:M$19)</f>
        <v>0</v>
      </c>
      <c r="M200" s="43">
        <f>'Input|Forecast Data'!K200-SUMPRODUCT(--('Input|VBRC Calc'!$E$9:$E$19=$E200),'Input|VBRC Calc'!N$9:N$19)</f>
        <v>0</v>
      </c>
      <c r="N200" s="7"/>
      <c r="O200" s="7"/>
    </row>
    <row r="201" spans="1:15" x14ac:dyDescent="0.3">
      <c r="A201" s="7"/>
      <c r="B201" s="7"/>
      <c r="C201" s="158">
        <v>0</v>
      </c>
      <c r="D201" s="7"/>
      <c r="E201" s="38" t="s">
        <v>267</v>
      </c>
      <c r="F201" s="38" t="s">
        <v>448</v>
      </c>
      <c r="G201" s="38" t="str">
        <f>VLOOKUP(E201,Mapping!$E$11:$G$204,3,0)</f>
        <v>Replacement</v>
      </c>
      <c r="H201" s="38" t="str">
        <f>VLOOKUP(E201,Mapping!$E$11:$K$204,7,0)</f>
        <v>SCS</v>
      </c>
      <c r="I201" s="43">
        <f>'Input|Forecast Data'!G201-SUMPRODUCT(--('Input|VBRC Calc'!$E$9:$E$19=$E201),'Input|VBRC Calc'!J$9:J$19)</f>
        <v>0</v>
      </c>
      <c r="J201" s="43">
        <f>'Input|Forecast Data'!H201-SUMPRODUCT(--('Input|VBRC Calc'!$E$9:$E$19=$E201),'Input|VBRC Calc'!K$9:K$19)</f>
        <v>0</v>
      </c>
      <c r="K201" s="43">
        <f>'Input|Forecast Data'!I201-SUMPRODUCT(--('Input|VBRC Calc'!$E$9:$E$19=$E201),'Input|VBRC Calc'!L$9:L$19)</f>
        <v>0</v>
      </c>
      <c r="L201" s="43">
        <f>'Input|Forecast Data'!J201-SUMPRODUCT(--('Input|VBRC Calc'!$E$9:$E$19=$E201),'Input|VBRC Calc'!M$9:M$19)</f>
        <v>0</v>
      </c>
      <c r="M201" s="43">
        <f>'Input|Forecast Data'!K201-SUMPRODUCT(--('Input|VBRC Calc'!$E$9:$E$19=$E201),'Input|VBRC Calc'!N$9:N$19)</f>
        <v>0</v>
      </c>
      <c r="N201" s="7"/>
      <c r="O201" s="7"/>
    </row>
    <row r="202" spans="1:15" x14ac:dyDescent="0.3">
      <c r="A202" s="7"/>
      <c r="B202" s="7"/>
      <c r="C202" s="158">
        <v>0</v>
      </c>
      <c r="D202" s="7"/>
      <c r="E202" s="38" t="s">
        <v>268</v>
      </c>
      <c r="F202" s="38" t="s">
        <v>449</v>
      </c>
      <c r="G202" s="38" t="str">
        <f>VLOOKUP(E202,Mapping!$E$11:$G$204,3,0)</f>
        <v>Replacement</v>
      </c>
      <c r="H202" s="38" t="str">
        <f>VLOOKUP(E202,Mapping!$E$11:$K$204,7,0)</f>
        <v>SCS</v>
      </c>
      <c r="I202" s="43">
        <f>'Input|Forecast Data'!G202-SUMPRODUCT(--('Input|VBRC Calc'!$E$9:$E$19=$E202),'Input|VBRC Calc'!J$9:J$19)</f>
        <v>0</v>
      </c>
      <c r="J202" s="43">
        <f>'Input|Forecast Data'!H202-SUMPRODUCT(--('Input|VBRC Calc'!$E$9:$E$19=$E202),'Input|VBRC Calc'!K$9:K$19)</f>
        <v>0</v>
      </c>
      <c r="K202" s="43">
        <f>'Input|Forecast Data'!I202-SUMPRODUCT(--('Input|VBRC Calc'!$E$9:$E$19=$E202),'Input|VBRC Calc'!L$9:L$19)</f>
        <v>0</v>
      </c>
      <c r="L202" s="43">
        <f>'Input|Forecast Data'!J202-SUMPRODUCT(--('Input|VBRC Calc'!$E$9:$E$19=$E202),'Input|VBRC Calc'!M$9:M$19)</f>
        <v>0</v>
      </c>
      <c r="M202" s="43">
        <f>'Input|Forecast Data'!K202-SUMPRODUCT(--('Input|VBRC Calc'!$E$9:$E$19=$E202),'Input|VBRC Calc'!N$9:N$19)</f>
        <v>8.7799239353251135</v>
      </c>
      <c r="N202" s="7"/>
      <c r="O202" s="7"/>
    </row>
    <row r="203" spans="1:15" x14ac:dyDescent="0.3">
      <c r="A203" s="7"/>
      <c r="B203" s="7"/>
      <c r="C203" s="158">
        <v>0</v>
      </c>
      <c r="D203" s="7"/>
      <c r="E203" s="38" t="s">
        <v>268</v>
      </c>
      <c r="F203" s="38" t="s">
        <v>449</v>
      </c>
      <c r="G203" s="148" t="str">
        <f>'Input|Forecast Data'!L203</f>
        <v>Augmentation</v>
      </c>
      <c r="H203" s="38" t="str">
        <f>VLOOKUP(E203,Mapping!$E$11:$K$204,7,0)</f>
        <v>SCS</v>
      </c>
      <c r="I203" s="43">
        <f>'Input|Forecast Data'!G203-SUMPRODUCT(--('Input|VBRC Calc'!$E$9:$E$19=$E203),'Input|VBRC Calc'!J$9:J$19)</f>
        <v>2131.4667841196397</v>
      </c>
      <c r="J203" s="43">
        <f>'Input|Forecast Data'!H203-SUMPRODUCT(--('Input|VBRC Calc'!$E$9:$E$19=$E203),'Input|VBRC Calc'!K$9:K$19)</f>
        <v>2131.4667841196397</v>
      </c>
      <c r="K203" s="43">
        <f>'Input|Forecast Data'!I203-SUMPRODUCT(--('Input|VBRC Calc'!$E$9:$E$19=$E203),'Input|VBRC Calc'!L$9:L$19)</f>
        <v>0</v>
      </c>
      <c r="L203" s="43">
        <f>'Input|Forecast Data'!J203-SUMPRODUCT(--('Input|VBRC Calc'!$E$9:$E$19=$E203),'Input|VBRC Calc'!M$9:M$19)</f>
        <v>0</v>
      </c>
      <c r="M203" s="43">
        <f>'Input|Forecast Data'!K203-SUMPRODUCT(--('Input|VBRC Calc'!$E$9:$E$19=$E203),'Input|VBRC Calc'!N$9:N$19)</f>
        <v>0</v>
      </c>
      <c r="N203" s="7"/>
      <c r="O203" s="7"/>
    </row>
    <row r="204" spans="1:15" x14ac:dyDescent="0.3">
      <c r="A204" s="7"/>
      <c r="B204" s="7"/>
      <c r="C204" s="158">
        <v>0</v>
      </c>
      <c r="D204" s="7"/>
      <c r="E204" s="111" t="s">
        <v>8</v>
      </c>
      <c r="F204" s="111" t="s">
        <v>8</v>
      </c>
      <c r="G204" s="163"/>
      <c r="H204" s="163" t="s">
        <v>6</v>
      </c>
      <c r="I204" s="116">
        <f>'Input|VBRC Calc'!J20</f>
        <v>0</v>
      </c>
      <c r="J204" s="116">
        <f>'Input|VBRC Calc'!K20</f>
        <v>0</v>
      </c>
      <c r="K204" s="116">
        <f>'Input|VBRC Calc'!L20</f>
        <v>0</v>
      </c>
      <c r="L204" s="116">
        <f>'Input|VBRC Calc'!M20</f>
        <v>0</v>
      </c>
      <c r="M204" s="116">
        <f>'Input|VBRC Calc'!N20</f>
        <v>0</v>
      </c>
      <c r="N204" s="7"/>
      <c r="O204" s="7"/>
    </row>
    <row r="205" spans="1:15" x14ac:dyDescent="0.3">
      <c r="A205" s="7"/>
      <c r="B205" s="7"/>
      <c r="C205" s="158">
        <v>0</v>
      </c>
      <c r="D205" s="7"/>
      <c r="E205" s="162" t="s">
        <v>619</v>
      </c>
      <c r="F205" s="162"/>
      <c r="G205" s="163" t="s">
        <v>59</v>
      </c>
      <c r="H205" s="163" t="s">
        <v>6</v>
      </c>
      <c r="I205" s="116"/>
      <c r="J205" s="116"/>
      <c r="K205" s="116"/>
      <c r="L205" s="116"/>
      <c r="M205" s="116"/>
      <c r="N205" s="7"/>
      <c r="O205" s="7"/>
    </row>
    <row r="206" spans="1:15" x14ac:dyDescent="0.3">
      <c r="A206" s="7"/>
      <c r="B206" s="7"/>
      <c r="C206" s="158">
        <v>0</v>
      </c>
      <c r="D206" s="7"/>
      <c r="E206" s="162" t="s">
        <v>620</v>
      </c>
      <c r="F206" s="162"/>
      <c r="G206" s="163" t="s">
        <v>28</v>
      </c>
      <c r="H206" s="163" t="s">
        <v>6</v>
      </c>
      <c r="I206" s="116"/>
      <c r="J206" s="116"/>
      <c r="K206" s="116"/>
      <c r="L206" s="116"/>
      <c r="M206" s="116"/>
      <c r="N206" s="7"/>
      <c r="O206" s="7"/>
    </row>
    <row r="207" spans="1:15" x14ac:dyDescent="0.3">
      <c r="A207" s="7"/>
      <c r="B207" s="7"/>
      <c r="C207" s="158">
        <v>0</v>
      </c>
      <c r="D207" s="7"/>
      <c r="E207" s="162" t="s">
        <v>621</v>
      </c>
      <c r="F207" s="162"/>
      <c r="G207" s="163" t="s">
        <v>29</v>
      </c>
      <c r="H207" s="163" t="s">
        <v>6</v>
      </c>
      <c r="I207" s="116"/>
      <c r="J207" s="116"/>
      <c r="K207" s="116"/>
      <c r="L207" s="116"/>
      <c r="M207" s="116"/>
      <c r="N207" s="7"/>
      <c r="O207" s="7"/>
    </row>
    <row r="208" spans="1:15" x14ac:dyDescent="0.3">
      <c r="A208" s="7"/>
      <c r="B208" s="7"/>
      <c r="C208" s="158">
        <v>0</v>
      </c>
      <c r="D208" s="7"/>
      <c r="E208" s="162" t="s">
        <v>622</v>
      </c>
      <c r="F208" s="162"/>
      <c r="G208" s="163" t="s">
        <v>28</v>
      </c>
      <c r="H208" s="163" t="s">
        <v>6</v>
      </c>
      <c r="I208" s="116"/>
      <c r="J208" s="116"/>
      <c r="K208" s="116"/>
      <c r="L208" s="116"/>
      <c r="M208" s="116"/>
      <c r="N208" s="7"/>
      <c r="O208" s="7"/>
    </row>
    <row r="209" spans="1:15" x14ac:dyDescent="0.3">
      <c r="A209" s="7"/>
      <c r="B209" s="7"/>
      <c r="C209" s="158">
        <v>0</v>
      </c>
      <c r="D209" s="7"/>
      <c r="E209" s="162" t="s">
        <v>623</v>
      </c>
      <c r="F209" s="162"/>
      <c r="G209" s="163" t="s">
        <v>29</v>
      </c>
      <c r="H209" s="163" t="s">
        <v>6</v>
      </c>
      <c r="I209" s="116"/>
      <c r="J209" s="116"/>
      <c r="K209" s="116"/>
      <c r="L209" s="116"/>
      <c r="M209" s="116"/>
      <c r="N209" s="7"/>
      <c r="O209" s="7"/>
    </row>
    <row r="210" spans="1:15" x14ac:dyDescent="0.3">
      <c r="A210" s="7"/>
      <c r="B210" s="7"/>
      <c r="C210" s="209"/>
      <c r="D210" s="7"/>
      <c r="E210" s="56" t="s">
        <v>55</v>
      </c>
      <c r="F210" s="56"/>
      <c r="G210" s="56"/>
      <c r="H210" s="56"/>
      <c r="I210" s="57">
        <f t="shared" ref="I210:M210" si="0">SUM(I9:I204)</f>
        <v>236168.85246709848</v>
      </c>
      <c r="J210" s="57">
        <f t="shared" si="0"/>
        <v>198105.04287650005</v>
      </c>
      <c r="K210" s="57">
        <f t="shared" si="0"/>
        <v>182503.93178637949</v>
      </c>
      <c r="L210" s="57">
        <f t="shared" si="0"/>
        <v>183281.06729259822</v>
      </c>
      <c r="M210" s="57">
        <f t="shared" si="0"/>
        <v>169844.15136555719</v>
      </c>
      <c r="N210" s="7"/>
      <c r="O210" s="7"/>
    </row>
    <row r="211" spans="1:15" x14ac:dyDescent="0.3">
      <c r="A211" s="7"/>
      <c r="B211" s="7"/>
      <c r="C211" s="209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x14ac:dyDescent="0.3">
      <c r="A212" s="21" t="s">
        <v>80</v>
      </c>
      <c r="B212" s="21"/>
      <c r="C212" s="24"/>
      <c r="D212" s="23"/>
      <c r="E212" s="24"/>
      <c r="F212" s="24"/>
      <c r="G212" s="24"/>
      <c r="H212" s="24"/>
      <c r="I212" s="34" t="s">
        <v>602</v>
      </c>
      <c r="J212" s="34" t="s">
        <v>602</v>
      </c>
      <c r="K212" s="34" t="s">
        <v>602</v>
      </c>
      <c r="L212" s="34" t="s">
        <v>602</v>
      </c>
      <c r="M212" s="34" t="s">
        <v>602</v>
      </c>
      <c r="N212" s="24"/>
      <c r="O212" s="24"/>
    </row>
    <row r="213" spans="1:15" x14ac:dyDescent="0.3">
      <c r="A213" s="7"/>
      <c r="B213" s="7"/>
      <c r="C213" s="158" t="s">
        <v>1036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x14ac:dyDescent="0.3">
      <c r="A214" s="7"/>
      <c r="B214" s="7"/>
      <c r="C214" s="158">
        <v>0</v>
      </c>
      <c r="D214" s="7"/>
      <c r="E214" s="38" t="s">
        <v>96</v>
      </c>
      <c r="F214" s="38" t="s">
        <v>270</v>
      </c>
      <c r="G214" s="38" t="str">
        <f>VLOOKUP(E214,Mapping!$E$11:$G$204,3,0)</f>
        <v>Connections</v>
      </c>
      <c r="H214" s="38" t="str">
        <f>VLOOKUP(E214,Mapping!$E$11:$K$204,7,0)</f>
        <v>SCS</v>
      </c>
      <c r="I214" s="43">
        <f>I9*(1+'Calc|Overheads'!O$27)</f>
        <v>0</v>
      </c>
      <c r="J214" s="43">
        <f>J9*(1+'Calc|Overheads'!P$27)</f>
        <v>0</v>
      </c>
      <c r="K214" s="43">
        <f>K9*(1+'Calc|Overheads'!Q$27)</f>
        <v>0</v>
      </c>
      <c r="L214" s="43">
        <f>L9*(1+'Calc|Overheads'!R$27)</f>
        <v>0</v>
      </c>
      <c r="M214" s="43">
        <f>M9*(1+'Calc|Overheads'!S$27)</f>
        <v>0</v>
      </c>
      <c r="N214" s="103"/>
      <c r="O214" s="7"/>
    </row>
    <row r="215" spans="1:15" x14ac:dyDescent="0.3">
      <c r="A215" s="7"/>
      <c r="B215" s="7"/>
      <c r="C215" s="158">
        <v>0</v>
      </c>
      <c r="D215" s="7"/>
      <c r="E215" s="38" t="s">
        <v>546</v>
      </c>
      <c r="F215" s="38" t="s">
        <v>271</v>
      </c>
      <c r="G215" s="38" t="str">
        <f>VLOOKUP(E215,Mapping!$E$11:$G$204,3,0)</f>
        <v>Connections</v>
      </c>
      <c r="H215" s="38" t="str">
        <f>VLOOKUP(E215,Mapping!$E$11:$K$204,7,0)</f>
        <v>SCS</v>
      </c>
      <c r="I215" s="43">
        <f>I10*(1+'Calc|Overheads'!O$27)</f>
        <v>2088.9022981923813</v>
      </c>
      <c r="J215" s="43">
        <f>J10*(1+'Calc|Overheads'!P$27)</f>
        <v>1999.9630859107269</v>
      </c>
      <c r="K215" s="43">
        <f>K10*(1+'Calc|Overheads'!Q$27)</f>
        <v>1886.3322973525601</v>
      </c>
      <c r="L215" s="43">
        <f>L10*(1+'Calc|Overheads'!R$27)</f>
        <v>2004.1798692306431</v>
      </c>
      <c r="M215" s="43">
        <f>M10*(1+'Calc|Overheads'!S$27)</f>
        <v>2222.43281608903</v>
      </c>
      <c r="N215" s="7"/>
      <c r="O215" s="7"/>
    </row>
    <row r="216" spans="1:15" x14ac:dyDescent="0.3">
      <c r="A216" s="7"/>
      <c r="B216" s="7"/>
      <c r="C216" s="158">
        <v>0</v>
      </c>
      <c r="D216" s="7"/>
      <c r="E216" s="38" t="s">
        <v>547</v>
      </c>
      <c r="F216" s="38" t="s">
        <v>272</v>
      </c>
      <c r="G216" s="38" t="str">
        <f>VLOOKUP(E216,Mapping!$E$11:$G$204,3,0)</f>
        <v>Connections</v>
      </c>
      <c r="H216" s="38" t="str">
        <f>VLOOKUP(E216,Mapping!$E$11:$K$204,7,0)</f>
        <v>SCS</v>
      </c>
      <c r="I216" s="43">
        <f>I11*(1+'Calc|Overheads'!O$27)</f>
        <v>257.63092276561554</v>
      </c>
      <c r="J216" s="43">
        <f>J11*(1+'Calc|Overheads'!P$27)</f>
        <v>248.39499732097877</v>
      </c>
      <c r="K216" s="43">
        <f>K11*(1+'Calc|Overheads'!Q$27)</f>
        <v>234.08203262938778</v>
      </c>
      <c r="L216" s="43">
        <f>L11*(1+'Calc|Overheads'!R$27)</f>
        <v>248.9334907395548</v>
      </c>
      <c r="M216" s="43">
        <f>M11*(1+'Calc|Overheads'!S$27)</f>
        <v>275.84772923982791</v>
      </c>
      <c r="N216" s="7"/>
      <c r="O216" s="7"/>
    </row>
    <row r="217" spans="1:15" x14ac:dyDescent="0.3">
      <c r="A217" s="7"/>
      <c r="B217" s="7"/>
      <c r="C217" s="158">
        <v>0</v>
      </c>
      <c r="D217" s="7"/>
      <c r="E217" s="38" t="s">
        <v>548</v>
      </c>
      <c r="F217" s="38" t="s">
        <v>273</v>
      </c>
      <c r="G217" s="38" t="str">
        <f>VLOOKUP(E217,Mapping!$E$11:$G$204,3,0)</f>
        <v>Connections</v>
      </c>
      <c r="H217" s="38" t="str">
        <f>VLOOKUP(E217,Mapping!$E$11:$K$204,7,0)</f>
        <v>SCS</v>
      </c>
      <c r="I217" s="43">
        <f>I12*(1+'Calc|Overheads'!O$27)</f>
        <v>363.77191165721939</v>
      </c>
      <c r="J217" s="43">
        <f>J12*(1+'Calc|Overheads'!P$27)</f>
        <v>376.11039440075649</v>
      </c>
      <c r="K217" s="43">
        <f>K12*(1+'Calc|Overheads'!Q$27)</f>
        <v>358.2878931214932</v>
      </c>
      <c r="L217" s="43">
        <f>L12*(1+'Calc|Overheads'!R$27)</f>
        <v>370.63356389117024</v>
      </c>
      <c r="M217" s="43">
        <f>M12*(1+'Calc|Overheads'!S$27)</f>
        <v>406.23222502358271</v>
      </c>
      <c r="N217" s="7"/>
      <c r="O217" s="7"/>
    </row>
    <row r="218" spans="1:15" x14ac:dyDescent="0.3">
      <c r="A218" s="7"/>
      <c r="B218" s="7"/>
      <c r="C218" s="158">
        <v>0</v>
      </c>
      <c r="D218" s="7"/>
      <c r="E218" s="38" t="s">
        <v>555</v>
      </c>
      <c r="F218" s="38" t="s">
        <v>273</v>
      </c>
      <c r="G218" s="38" t="str">
        <f>VLOOKUP(E218,Mapping!$E$11:$G$204,3,0)</f>
        <v>Connections</v>
      </c>
      <c r="H218" s="38" t="str">
        <f>VLOOKUP(E218,Mapping!$E$11:$K$204,7,0)</f>
        <v>SCS</v>
      </c>
      <c r="I218" s="43">
        <f>I13*(1+'Calc|Overheads'!O$27)</f>
        <v>2127.9406992684658</v>
      </c>
      <c r="J218" s="43">
        <f>J13*(1+'Calc|Overheads'!P$27)</f>
        <v>3039.4257744685215</v>
      </c>
      <c r="K218" s="43">
        <f>K13*(1+'Calc|Overheads'!Q$27)</f>
        <v>1733.3342277764129</v>
      </c>
      <c r="L218" s="43">
        <f>L13*(1+'Calc|Overheads'!R$27)</f>
        <v>3342.5109297216291</v>
      </c>
      <c r="M218" s="43">
        <f>M13*(1+'Calc|Overheads'!S$27)</f>
        <v>2324.5658916316502</v>
      </c>
      <c r="N218" s="7"/>
      <c r="O218" s="7"/>
    </row>
    <row r="219" spans="1:15" x14ac:dyDescent="0.3">
      <c r="A219" s="7"/>
      <c r="B219" s="7"/>
      <c r="C219" s="158">
        <v>0</v>
      </c>
      <c r="D219" s="7"/>
      <c r="E219" s="38" t="s">
        <v>549</v>
      </c>
      <c r="F219" s="38" t="s">
        <v>274</v>
      </c>
      <c r="G219" s="38" t="str">
        <f>VLOOKUP(E219,Mapping!$E$11:$G$204,3,0)</f>
        <v>Connections</v>
      </c>
      <c r="H219" s="38" t="str">
        <f>VLOOKUP(E219,Mapping!$E$11:$K$204,7,0)</f>
        <v>SCS</v>
      </c>
      <c r="I219" s="43">
        <f>I14*(1+'Calc|Overheads'!O$27)</f>
        <v>5004.2420835887569</v>
      </c>
      <c r="J219" s="43">
        <f>J14*(1+'Calc|Overheads'!P$27)</f>
        <v>4811.9159191359167</v>
      </c>
      <c r="K219" s="43">
        <f>K14*(1+'Calc|Overheads'!Q$27)</f>
        <v>4536.1154292828487</v>
      </c>
      <c r="L219" s="43">
        <f>L14*(1+'Calc|Overheads'!R$27)</f>
        <v>4822.2470302025913</v>
      </c>
      <c r="M219" s="43">
        <f>M14*(1+'Calc|Overheads'!S$27)</f>
        <v>5345.0600134244196</v>
      </c>
      <c r="N219" s="7"/>
      <c r="O219" s="7"/>
    </row>
    <row r="220" spans="1:15" x14ac:dyDescent="0.3">
      <c r="A220" s="7"/>
      <c r="B220" s="7"/>
      <c r="C220" s="158">
        <v>0</v>
      </c>
      <c r="D220" s="7"/>
      <c r="E220" s="38" t="s">
        <v>556</v>
      </c>
      <c r="F220" s="38" t="s">
        <v>274</v>
      </c>
      <c r="G220" s="38" t="str">
        <f>VLOOKUP(E220,Mapping!$E$11:$G$204,3,0)</f>
        <v>Connections</v>
      </c>
      <c r="H220" s="38" t="str">
        <f>VLOOKUP(E220,Mapping!$E$11:$K$204,7,0)</f>
        <v>SCS</v>
      </c>
      <c r="I220" s="43">
        <f>I15*(1+'Calc|Overheads'!O$27)</f>
        <v>875.95951672532601</v>
      </c>
      <c r="J220" s="43">
        <f>J15*(1+'Calc|Overheads'!P$27)</f>
        <v>844.55685472284813</v>
      </c>
      <c r="K220" s="43">
        <f>K15*(1+'Calc|Overheads'!Q$27)</f>
        <v>795.89197591263257</v>
      </c>
      <c r="L220" s="43">
        <f>L15*(1+'Calc|Overheads'!R$27)</f>
        <v>846.38776240129005</v>
      </c>
      <c r="M220" s="43">
        <f>M15*(1+'Calc|Overheads'!S$27)</f>
        <v>937.89767548411476</v>
      </c>
      <c r="N220" s="7"/>
      <c r="O220" s="7"/>
    </row>
    <row r="221" spans="1:15" x14ac:dyDescent="0.3">
      <c r="A221" s="7"/>
      <c r="B221" s="7"/>
      <c r="C221" s="158">
        <v>0</v>
      </c>
      <c r="D221" s="7"/>
      <c r="E221" s="38" t="s">
        <v>550</v>
      </c>
      <c r="F221" s="38" t="s">
        <v>275</v>
      </c>
      <c r="G221" s="38" t="str">
        <f>VLOOKUP(E221,Mapping!$E$11:$G$204,3,0)</f>
        <v>Connections</v>
      </c>
      <c r="H221" s="38" t="str">
        <f>VLOOKUP(E221,Mapping!$E$11:$K$204,7,0)</f>
        <v>SCS</v>
      </c>
      <c r="I221" s="43">
        <f>I16*(1+'Calc|Overheads'!O$27)</f>
        <v>8631.1962662944388</v>
      </c>
      <c r="J221" s="43">
        <f>J16*(1+'Calc|Overheads'!P$27)</f>
        <v>8263.5295981782911</v>
      </c>
      <c r="K221" s="43">
        <f>K16*(1+'Calc|Overheads'!Q$27)</f>
        <v>7793.6764228208458</v>
      </c>
      <c r="L221" s="43">
        <f>L16*(1+'Calc|Overheads'!R$27)</f>
        <v>8281.3021877797346</v>
      </c>
      <c r="M221" s="43">
        <f>M16*(1+'Calc|Overheads'!S$27)</f>
        <v>9183.2321701795408</v>
      </c>
      <c r="N221" s="7"/>
      <c r="O221" s="7"/>
    </row>
    <row r="222" spans="1:15" x14ac:dyDescent="0.3">
      <c r="A222" s="7"/>
      <c r="B222" s="7"/>
      <c r="C222" s="158">
        <v>0</v>
      </c>
      <c r="D222" s="7"/>
      <c r="E222" s="38" t="s">
        <v>557</v>
      </c>
      <c r="F222" s="38" t="s">
        <v>275</v>
      </c>
      <c r="G222" s="38" t="str">
        <f>VLOOKUP(E222,Mapping!$E$11:$G$204,3,0)</f>
        <v>Connections</v>
      </c>
      <c r="H222" s="38" t="str">
        <f>VLOOKUP(E222,Mapping!$E$11:$K$204,7,0)</f>
        <v>SCS</v>
      </c>
      <c r="I222" s="43">
        <f>I17*(1+'Calc|Overheads'!O$27)</f>
        <v>1504.0560923497044</v>
      </c>
      <c r="J222" s="43">
        <f>J17*(1+'Calc|Overheads'!P$27)</f>
        <v>1425.5231756802898</v>
      </c>
      <c r="K222" s="43">
        <f>K17*(1+'Calc|Overheads'!Q$27)</f>
        <v>1345.7443127694366</v>
      </c>
      <c r="L222" s="43">
        <f>L17*(1+'Calc|Overheads'!R$27)</f>
        <v>1428.844144805591</v>
      </c>
      <c r="M222" s="43">
        <f>M17*(1+'Calc|Overheads'!S$27)</f>
        <v>1586.1779077825324</v>
      </c>
      <c r="N222" s="7"/>
      <c r="O222" s="7"/>
    </row>
    <row r="223" spans="1:15" x14ac:dyDescent="0.3">
      <c r="A223" s="7"/>
      <c r="B223" s="7"/>
      <c r="C223" s="158">
        <v>0</v>
      </c>
      <c r="D223" s="7"/>
      <c r="E223" s="38" t="s">
        <v>551</v>
      </c>
      <c r="F223" s="38" t="s">
        <v>276</v>
      </c>
      <c r="G223" s="38" t="str">
        <f>VLOOKUP(E223,Mapping!$E$11:$G$204,3,0)</f>
        <v>Connections</v>
      </c>
      <c r="H223" s="38" t="str">
        <f>VLOOKUP(E223,Mapping!$E$11:$K$204,7,0)</f>
        <v>SCS</v>
      </c>
      <c r="I223" s="43">
        <f>I18*(1+'Calc|Overheads'!O$27)</f>
        <v>1991.757612736179</v>
      </c>
      <c r="J223" s="43">
        <f>J18*(1+'Calc|Overheads'!P$27)</f>
        <v>1915.0871241988427</v>
      </c>
      <c r="K223" s="43">
        <f>K18*(1+'Calc|Overheads'!Q$27)</f>
        <v>1805.3495612373513</v>
      </c>
      <c r="L223" s="43">
        <f>L18*(1+'Calc|Overheads'!R$27)</f>
        <v>1919.1844691457518</v>
      </c>
      <c r="M223" s="43">
        <f>M18*(1+'Calc|Overheads'!S$27)</f>
        <v>2127.2667491663074</v>
      </c>
      <c r="N223" s="7"/>
      <c r="O223" s="7"/>
    </row>
    <row r="224" spans="1:15" x14ac:dyDescent="0.3">
      <c r="A224" s="7"/>
      <c r="B224" s="7"/>
      <c r="C224" s="158">
        <v>0</v>
      </c>
      <c r="D224" s="7"/>
      <c r="E224" s="38" t="s">
        <v>552</v>
      </c>
      <c r="F224" s="38" t="s">
        <v>277</v>
      </c>
      <c r="G224" s="38" t="str">
        <f>VLOOKUP(E224,Mapping!$E$11:$G$204,3,0)</f>
        <v>Connections</v>
      </c>
      <c r="H224" s="38" t="str">
        <f>VLOOKUP(E224,Mapping!$E$11:$K$204,7,0)</f>
        <v>SCS</v>
      </c>
      <c r="I224" s="43">
        <f>I19*(1+'Calc|Overheads'!O$27)</f>
        <v>5026.2790419604144</v>
      </c>
      <c r="J224" s="43">
        <f>J19*(1+'Calc|Overheads'!P$27)</f>
        <v>4837.2895733141995</v>
      </c>
      <c r="K224" s="43">
        <f>K19*(1+'Calc|Overheads'!Q$27)</f>
        <v>4559.587647975668</v>
      </c>
      <c r="L224" s="43">
        <f>L19*(1+'Calc|Overheads'!R$27)</f>
        <v>4847.6786821045562</v>
      </c>
      <c r="M224" s="43">
        <f>M19*(1+'Calc|Overheads'!S$27)</f>
        <v>5372.7740334826767</v>
      </c>
      <c r="N224" s="7"/>
      <c r="O224" s="7"/>
    </row>
    <row r="225" spans="1:15" x14ac:dyDescent="0.3">
      <c r="A225" s="7"/>
      <c r="B225" s="7"/>
      <c r="C225" s="158">
        <v>0</v>
      </c>
      <c r="D225" s="7"/>
      <c r="E225" s="38" t="s">
        <v>524</v>
      </c>
      <c r="F225" s="38" t="s">
        <v>278</v>
      </c>
      <c r="G225" s="38" t="str">
        <f>VLOOKUP(E225,Mapping!$E$11:$G$204,3,0)</f>
        <v>Connections</v>
      </c>
      <c r="H225" s="38" t="str">
        <f>VLOOKUP(E225,Mapping!$E$11:$K$204,7,0)</f>
        <v>SCS</v>
      </c>
      <c r="I225" s="43">
        <f>I20*(1+'Calc|Overheads'!O$27)</f>
        <v>9888.4561871546812</v>
      </c>
      <c r="J225" s="43">
        <f>J20*(1+'Calc|Overheads'!P$27)</f>
        <v>16678.834130935411</v>
      </c>
      <c r="K225" s="43">
        <f>K20*(1+'Calc|Overheads'!Q$27)</f>
        <v>16091.381991277849</v>
      </c>
      <c r="L225" s="43">
        <f>L20*(1+'Calc|Overheads'!R$27)</f>
        <v>16886.35172714564</v>
      </c>
      <c r="M225" s="43">
        <f>M20*(1+'Calc|Overheads'!S$27)</f>
        <v>18617.320405494407</v>
      </c>
      <c r="N225" s="7"/>
      <c r="O225" s="7"/>
    </row>
    <row r="226" spans="1:15" x14ac:dyDescent="0.3">
      <c r="A226" s="7"/>
      <c r="B226" s="7"/>
      <c r="C226" s="158">
        <v>0</v>
      </c>
      <c r="D226" s="7"/>
      <c r="E226" s="38" t="s">
        <v>525</v>
      </c>
      <c r="F226" s="38" t="s">
        <v>278</v>
      </c>
      <c r="G226" s="38" t="str">
        <f>VLOOKUP(E226,Mapping!$E$11:$G$204,3,0)</f>
        <v>Connections</v>
      </c>
      <c r="H226" s="38" t="str">
        <f>VLOOKUP(E226,Mapping!$E$11:$K$204,7,0)</f>
        <v>SCS</v>
      </c>
      <c r="I226" s="43">
        <f>I21*(1+'Calc|Overheads'!O$27)</f>
        <v>0</v>
      </c>
      <c r="J226" s="43">
        <f>J21*(1+'Calc|Overheads'!P$27)</f>
        <v>0</v>
      </c>
      <c r="K226" s="43">
        <f>K21*(1+'Calc|Overheads'!Q$27)</f>
        <v>0</v>
      </c>
      <c r="L226" s="43">
        <f>L21*(1+'Calc|Overheads'!R$27)</f>
        <v>0</v>
      </c>
      <c r="M226" s="43">
        <f>M21*(1+'Calc|Overheads'!S$27)</f>
        <v>0</v>
      </c>
      <c r="N226" s="7"/>
      <c r="O226" s="7"/>
    </row>
    <row r="227" spans="1:15" x14ac:dyDescent="0.3">
      <c r="A227" s="7"/>
      <c r="B227" s="7"/>
      <c r="C227" s="158">
        <v>0</v>
      </c>
      <c r="D227" s="7"/>
      <c r="E227" s="38" t="s">
        <v>526</v>
      </c>
      <c r="F227" s="38" t="s">
        <v>279</v>
      </c>
      <c r="G227" s="38" t="str">
        <f>VLOOKUP(E227,Mapping!$E$11:$G$204,3,0)</f>
        <v>Connections</v>
      </c>
      <c r="H227" s="38" t="str">
        <f>VLOOKUP(E227,Mapping!$E$11:$K$204,7,0)</f>
        <v>SCS</v>
      </c>
      <c r="I227" s="43">
        <f>I22*(1+'Calc|Overheads'!O$27)</f>
        <v>0</v>
      </c>
      <c r="J227" s="43">
        <f>J22*(1+'Calc|Overheads'!P$27)</f>
        <v>0</v>
      </c>
      <c r="K227" s="43">
        <f>K22*(1+'Calc|Overheads'!Q$27)</f>
        <v>0</v>
      </c>
      <c r="L227" s="43">
        <f>L22*(1+'Calc|Overheads'!R$27)</f>
        <v>0</v>
      </c>
      <c r="M227" s="43">
        <f>M22*(1+'Calc|Overheads'!S$27)</f>
        <v>0</v>
      </c>
      <c r="N227" s="7"/>
      <c r="O227" s="7"/>
    </row>
    <row r="228" spans="1:15" x14ac:dyDescent="0.3">
      <c r="A228" s="7"/>
      <c r="B228" s="7"/>
      <c r="C228" s="158">
        <v>0</v>
      </c>
      <c r="D228" s="7"/>
      <c r="E228" s="38" t="s">
        <v>527</v>
      </c>
      <c r="F228" s="38" t="s">
        <v>279</v>
      </c>
      <c r="G228" s="38" t="str">
        <f>VLOOKUP(E228,Mapping!$E$11:$G$204,3,0)</f>
        <v>Connections</v>
      </c>
      <c r="H228" s="38" t="str">
        <f>VLOOKUP(E228,Mapping!$E$11:$K$204,7,0)</f>
        <v>SCS</v>
      </c>
      <c r="I228" s="43">
        <f>I23*(1+'Calc|Overheads'!O$27)</f>
        <v>0</v>
      </c>
      <c r="J228" s="43">
        <f>J23*(1+'Calc|Overheads'!P$27)</f>
        <v>0</v>
      </c>
      <c r="K228" s="43">
        <f>K23*(1+'Calc|Overheads'!Q$27)</f>
        <v>0</v>
      </c>
      <c r="L228" s="43">
        <f>L23*(1+'Calc|Overheads'!R$27)</f>
        <v>0</v>
      </c>
      <c r="M228" s="43">
        <f>M23*(1+'Calc|Overheads'!S$27)</f>
        <v>0</v>
      </c>
      <c r="N228" s="7"/>
      <c r="O228" s="7"/>
    </row>
    <row r="229" spans="1:15" x14ac:dyDescent="0.3">
      <c r="A229" s="7"/>
      <c r="B229" s="7"/>
      <c r="C229" s="158">
        <v>0</v>
      </c>
      <c r="D229" s="7"/>
      <c r="E229" s="38" t="s">
        <v>99</v>
      </c>
      <c r="F229" s="38" t="s">
        <v>280</v>
      </c>
      <c r="G229" s="38" t="str">
        <f>VLOOKUP(E229,Mapping!$E$11:$G$204,3,0)</f>
        <v>Connections</v>
      </c>
      <c r="H229" s="38" t="str">
        <f>VLOOKUP(E229,Mapping!$E$11:$K$204,7,0)</f>
        <v>SCS</v>
      </c>
      <c r="I229" s="43">
        <f>I24*(1+'Calc|Overheads'!O$27)</f>
        <v>0</v>
      </c>
      <c r="J229" s="43">
        <f>J24*(1+'Calc|Overheads'!P$27)</f>
        <v>0</v>
      </c>
      <c r="K229" s="43">
        <f>K24*(1+'Calc|Overheads'!Q$27)</f>
        <v>0</v>
      </c>
      <c r="L229" s="43">
        <f>L24*(1+'Calc|Overheads'!R$27)</f>
        <v>0</v>
      </c>
      <c r="M229" s="43">
        <f>M24*(1+'Calc|Overheads'!S$27)</f>
        <v>0</v>
      </c>
      <c r="N229" s="7"/>
      <c r="O229" s="7"/>
    </row>
    <row r="230" spans="1:15" x14ac:dyDescent="0.3">
      <c r="A230" s="7"/>
      <c r="B230" s="7"/>
      <c r="C230" s="158">
        <v>0</v>
      </c>
      <c r="D230" s="7"/>
      <c r="E230" s="38" t="s">
        <v>100</v>
      </c>
      <c r="F230" s="38" t="s">
        <v>281</v>
      </c>
      <c r="G230" s="38" t="str">
        <f>VLOOKUP(E230,Mapping!$E$11:$G$204,3,0)</f>
        <v>Connections</v>
      </c>
      <c r="H230" s="38" t="str">
        <f>VLOOKUP(E230,Mapping!$E$11:$K$204,7,0)</f>
        <v>SCS</v>
      </c>
      <c r="I230" s="43">
        <f>I25*(1+'Calc|Overheads'!O$27)</f>
        <v>0</v>
      </c>
      <c r="J230" s="43">
        <f>J25*(1+'Calc|Overheads'!P$27)</f>
        <v>0</v>
      </c>
      <c r="K230" s="43">
        <f>K25*(1+'Calc|Overheads'!Q$27)</f>
        <v>0</v>
      </c>
      <c r="L230" s="43">
        <f>L25*(1+'Calc|Overheads'!R$27)</f>
        <v>0</v>
      </c>
      <c r="M230" s="43">
        <f>M25*(1+'Calc|Overheads'!S$27)</f>
        <v>0</v>
      </c>
      <c r="N230" s="7"/>
      <c r="O230" s="7"/>
    </row>
    <row r="231" spans="1:15" x14ac:dyDescent="0.3">
      <c r="A231" s="7"/>
      <c r="B231" s="7"/>
      <c r="C231" s="158">
        <v>0</v>
      </c>
      <c r="D231" s="7"/>
      <c r="E231" s="38" t="s">
        <v>553</v>
      </c>
      <c r="F231" s="38" t="s">
        <v>282</v>
      </c>
      <c r="G231" s="38" t="str">
        <f>VLOOKUP(E231,Mapping!$E$11:$G$204,3,0)</f>
        <v>Connections</v>
      </c>
      <c r="H231" s="38" t="str">
        <f>VLOOKUP(E231,Mapping!$E$11:$K$204,7,0)</f>
        <v>SCS</v>
      </c>
      <c r="I231" s="43">
        <f>I26*(1+'Calc|Overheads'!O$27)</f>
        <v>607.487383741955</v>
      </c>
      <c r="J231" s="43">
        <f>J26*(1+'Calc|Overheads'!P$27)</f>
        <v>1042.9404427768873</v>
      </c>
      <c r="K231" s="43">
        <f>K26*(1+'Calc|Overheads'!Q$27)</f>
        <v>1193.9556771192556</v>
      </c>
      <c r="L231" s="43">
        <f>L26*(1+'Calc|Overheads'!R$27)</f>
        <v>1291.0219985522626</v>
      </c>
      <c r="M231" s="43">
        <f>M26*(1+'Calc|Overheads'!S$27)</f>
        <v>1427.9247251826655</v>
      </c>
      <c r="N231" s="7"/>
      <c r="O231" s="7"/>
    </row>
    <row r="232" spans="1:15" x14ac:dyDescent="0.3">
      <c r="A232" s="7"/>
      <c r="B232" s="7"/>
      <c r="C232" s="158">
        <v>0</v>
      </c>
      <c r="D232" s="7"/>
      <c r="E232" s="38" t="s">
        <v>554</v>
      </c>
      <c r="F232" s="38" t="s">
        <v>282</v>
      </c>
      <c r="G232" s="38" t="str">
        <f>VLOOKUP(E232,Mapping!$E$11:$G$204,3,0)</f>
        <v>Connections</v>
      </c>
      <c r="H232" s="38" t="str">
        <f>VLOOKUP(E232,Mapping!$E$11:$K$204,7,0)</f>
        <v>SCS</v>
      </c>
      <c r="I232" s="43">
        <f>I27*(1+'Calc|Overheads'!O$27)</f>
        <v>270.97299483349599</v>
      </c>
      <c r="J232" s="43">
        <f>J27*(1+'Calc|Overheads'!P$27)</f>
        <v>454.6826087237053</v>
      </c>
      <c r="K232" s="43">
        <f>K27*(1+'Calc|Overheads'!Q$27)</f>
        <v>477.89660451253962</v>
      </c>
      <c r="L232" s="43">
        <f>L27*(1+'Calc|Overheads'!R$27)</f>
        <v>514.04657683228868</v>
      </c>
      <c r="M232" s="43">
        <f>M27*(1+'Calc|Overheads'!S$27)</f>
        <v>567.29232250927726</v>
      </c>
      <c r="N232" s="7"/>
      <c r="O232" s="7"/>
    </row>
    <row r="233" spans="1:15" x14ac:dyDescent="0.3">
      <c r="A233" s="7"/>
      <c r="B233" s="7"/>
      <c r="C233" s="158">
        <v>0</v>
      </c>
      <c r="D233" s="7"/>
      <c r="E233" s="38" t="s">
        <v>528</v>
      </c>
      <c r="F233" s="38" t="s">
        <v>283</v>
      </c>
      <c r="G233" s="38" t="str">
        <f>VLOOKUP(E233,Mapping!$E$11:$G$204,3,0)</f>
        <v>Connections</v>
      </c>
      <c r="H233" s="38" t="str">
        <f>VLOOKUP(E233,Mapping!$E$11:$K$204,7,0)</f>
        <v>SCS</v>
      </c>
      <c r="I233" s="43">
        <f>I28*(1+'Calc|Overheads'!O$27)</f>
        <v>653.88148607939502</v>
      </c>
      <c r="J233" s="43">
        <f>J28*(1+'Calc|Overheads'!P$27)</f>
        <v>1117.2254007227243</v>
      </c>
      <c r="K233" s="43">
        <f>K28*(1+'Calc|Overheads'!Q$27)</f>
        <v>1257.236277156019</v>
      </c>
      <c r="L233" s="43">
        <f>L28*(1+'Calc|Overheads'!R$27)</f>
        <v>1358.2187166592696</v>
      </c>
      <c r="M233" s="43">
        <f>M28*(1+'Calc|Overheads'!S$27)</f>
        <v>1501.6224242168171</v>
      </c>
      <c r="N233" s="7"/>
      <c r="O233" s="7"/>
    </row>
    <row r="234" spans="1:15" x14ac:dyDescent="0.3">
      <c r="A234" s="7"/>
      <c r="B234" s="7"/>
      <c r="C234" s="158">
        <v>0</v>
      </c>
      <c r="D234" s="7"/>
      <c r="E234" s="38" t="s">
        <v>529</v>
      </c>
      <c r="F234" s="38" t="s">
        <v>283</v>
      </c>
      <c r="G234" s="38" t="str">
        <f>VLOOKUP(E234,Mapping!$E$11:$G$204,3,0)</f>
        <v>Connections</v>
      </c>
      <c r="H234" s="38" t="str">
        <f>VLOOKUP(E234,Mapping!$E$11:$K$204,7,0)</f>
        <v>SCS</v>
      </c>
      <c r="I234" s="43">
        <f>I29*(1+'Calc|Overheads'!O$27)</f>
        <v>225.41920454524367</v>
      </c>
      <c r="J234" s="43">
        <f>J29*(1+'Calc|Overheads'!P$27)</f>
        <v>378.24504261774592</v>
      </c>
      <c r="K234" s="43">
        <f>K29*(1+'Calc|Overheads'!Q$27)</f>
        <v>397.55648901575728</v>
      </c>
      <c r="L234" s="43">
        <f>L29*(1+'Calc|Overheads'!R$27)</f>
        <v>427.62922009974454</v>
      </c>
      <c r="M234" s="43">
        <f>M29*(1+'Calc|Overheads'!S$27)</f>
        <v>471.92372126691924</v>
      </c>
      <c r="N234" s="7"/>
      <c r="O234" s="7"/>
    </row>
    <row r="235" spans="1:15" x14ac:dyDescent="0.3">
      <c r="A235" s="7"/>
      <c r="B235" s="7"/>
      <c r="C235" s="158">
        <v>0</v>
      </c>
      <c r="D235" s="7"/>
      <c r="E235" s="38" t="s">
        <v>102</v>
      </c>
      <c r="F235" s="38" t="s">
        <v>284</v>
      </c>
      <c r="G235" s="38" t="str">
        <f>VLOOKUP(E235,Mapping!$E$11:$G$204,3,0)</f>
        <v>Public Lighting</v>
      </c>
      <c r="H235" s="38" t="str">
        <f>VLOOKUP(E235,Mapping!$E$11:$K$204,7,0)</f>
        <v>Public Lighting</v>
      </c>
      <c r="I235" s="43">
        <f>I30*(1+'Calc|Overheads'!O$27)</f>
        <v>0</v>
      </c>
      <c r="J235" s="43">
        <f>J30*(1+'Calc|Overheads'!P$27)</f>
        <v>0</v>
      </c>
      <c r="K235" s="43">
        <f>K30*(1+'Calc|Overheads'!Q$27)</f>
        <v>0</v>
      </c>
      <c r="L235" s="43">
        <f>L30*(1+'Calc|Overheads'!R$27)</f>
        <v>0</v>
      </c>
      <c r="M235" s="43">
        <f>M30*(1+'Calc|Overheads'!S$27)</f>
        <v>0</v>
      </c>
      <c r="N235" s="7"/>
      <c r="O235" s="7"/>
    </row>
    <row r="236" spans="1:15" x14ac:dyDescent="0.3">
      <c r="A236" s="7"/>
      <c r="B236" s="7"/>
      <c r="C236" s="158">
        <v>0</v>
      </c>
      <c r="D236" s="7"/>
      <c r="E236" s="38" t="s">
        <v>103</v>
      </c>
      <c r="F236" s="38" t="s">
        <v>285</v>
      </c>
      <c r="G236" s="38" t="str">
        <f>VLOOKUP(E236,Mapping!$E$11:$G$204,3,0)</f>
        <v>Public Lighting</v>
      </c>
      <c r="H236" s="38" t="str">
        <f>VLOOKUP(E236,Mapping!$E$11:$K$204,7,0)</f>
        <v>Public Lighting</v>
      </c>
      <c r="I236" s="43">
        <f>I31*(1+'Calc|Overheads'!O$27)</f>
        <v>0</v>
      </c>
      <c r="J236" s="43">
        <f>J31*(1+'Calc|Overheads'!P$27)</f>
        <v>0</v>
      </c>
      <c r="K236" s="43">
        <f>K31*(1+'Calc|Overheads'!Q$27)</f>
        <v>0</v>
      </c>
      <c r="L236" s="43">
        <f>L31*(1+'Calc|Overheads'!R$27)</f>
        <v>0</v>
      </c>
      <c r="M236" s="43">
        <f>M31*(1+'Calc|Overheads'!S$27)</f>
        <v>0</v>
      </c>
      <c r="N236" s="7"/>
      <c r="O236" s="7"/>
    </row>
    <row r="237" spans="1:15" x14ac:dyDescent="0.3">
      <c r="A237" s="7"/>
      <c r="B237" s="7"/>
      <c r="C237" s="158">
        <v>0</v>
      </c>
      <c r="D237" s="7"/>
      <c r="E237" s="38" t="s">
        <v>104</v>
      </c>
      <c r="F237" s="38" t="s">
        <v>286</v>
      </c>
      <c r="G237" s="38" t="str">
        <f>VLOOKUP(E237,Mapping!$E$11:$G$204,3,0)</f>
        <v>Public Lighting</v>
      </c>
      <c r="H237" s="38" t="str">
        <f>VLOOKUP(E237,Mapping!$E$11:$K$204,7,0)</f>
        <v>Public Lighting</v>
      </c>
      <c r="I237" s="43">
        <f>I32*(1+'Calc|Overheads'!O$27)</f>
        <v>0</v>
      </c>
      <c r="J237" s="43">
        <f>J32*(1+'Calc|Overheads'!P$27)</f>
        <v>0</v>
      </c>
      <c r="K237" s="43">
        <f>K32*(1+'Calc|Overheads'!Q$27)</f>
        <v>0</v>
      </c>
      <c r="L237" s="43">
        <f>L32*(1+'Calc|Overheads'!R$27)</f>
        <v>0</v>
      </c>
      <c r="M237" s="43">
        <f>M32*(1+'Calc|Overheads'!S$27)</f>
        <v>0</v>
      </c>
      <c r="N237" s="7"/>
      <c r="O237" s="7"/>
    </row>
    <row r="238" spans="1:15" x14ac:dyDescent="0.3">
      <c r="A238" s="7"/>
      <c r="B238" s="7"/>
      <c r="C238" s="158">
        <v>0</v>
      </c>
      <c r="D238" s="7"/>
      <c r="E238" s="38" t="s">
        <v>105</v>
      </c>
      <c r="F238" s="38" t="s">
        <v>287</v>
      </c>
      <c r="G238" s="38" t="str">
        <f>VLOOKUP(E238,Mapping!$E$11:$G$204,3,0)</f>
        <v>ACS</v>
      </c>
      <c r="H238" s="38" t="str">
        <f>VLOOKUP(E238,Mapping!$E$11:$K$204,7,0)</f>
        <v>ACS</v>
      </c>
      <c r="I238" s="43">
        <f>I33*(1+'Calc|Overheads'!O$27)</f>
        <v>0</v>
      </c>
      <c r="J238" s="43">
        <f>J33*(1+'Calc|Overheads'!P$27)</f>
        <v>0</v>
      </c>
      <c r="K238" s="43">
        <f>K33*(1+'Calc|Overheads'!Q$27)</f>
        <v>0</v>
      </c>
      <c r="L238" s="43">
        <f>L33*(1+'Calc|Overheads'!R$27)</f>
        <v>0</v>
      </c>
      <c r="M238" s="43">
        <f>M33*(1+'Calc|Overheads'!S$27)</f>
        <v>0</v>
      </c>
      <c r="N238" s="7"/>
      <c r="O238" s="7"/>
    </row>
    <row r="239" spans="1:15" x14ac:dyDescent="0.3">
      <c r="A239" s="7"/>
      <c r="B239" s="7"/>
      <c r="C239" s="158">
        <v>0</v>
      </c>
      <c r="D239" s="7"/>
      <c r="E239" s="38" t="s">
        <v>106</v>
      </c>
      <c r="F239" s="38" t="s">
        <v>288</v>
      </c>
      <c r="G239" s="38" t="str">
        <f>VLOOKUP(E239,Mapping!$E$11:$G$204,3,0)</f>
        <v>ACS</v>
      </c>
      <c r="H239" s="38" t="str">
        <f>VLOOKUP(E239,Mapping!$E$11:$K$204,7,0)</f>
        <v>ACS</v>
      </c>
      <c r="I239" s="43">
        <f>I34*(1+'Calc|Overheads'!O$27)</f>
        <v>0</v>
      </c>
      <c r="J239" s="43">
        <f>J34*(1+'Calc|Overheads'!P$27)</f>
        <v>0</v>
      </c>
      <c r="K239" s="43">
        <f>K34*(1+'Calc|Overheads'!Q$27)</f>
        <v>0</v>
      </c>
      <c r="L239" s="43">
        <f>L34*(1+'Calc|Overheads'!R$27)</f>
        <v>0</v>
      </c>
      <c r="M239" s="43">
        <f>M34*(1+'Calc|Overheads'!S$27)</f>
        <v>0</v>
      </c>
      <c r="N239" s="7"/>
      <c r="O239" s="7"/>
    </row>
    <row r="240" spans="1:15" x14ac:dyDescent="0.3">
      <c r="A240" s="7"/>
      <c r="B240" s="7"/>
      <c r="C240" s="158">
        <v>0</v>
      </c>
      <c r="D240" s="7"/>
      <c r="E240" s="38" t="s">
        <v>107</v>
      </c>
      <c r="F240" s="38" t="s">
        <v>289</v>
      </c>
      <c r="G240" s="38" t="str">
        <f>VLOOKUP(E240,Mapping!$E$11:$G$204,3,0)</f>
        <v>Public Lighting</v>
      </c>
      <c r="H240" s="38" t="str">
        <f>VLOOKUP(E240,Mapping!$E$11:$K$204,7,0)</f>
        <v>Public Lighting</v>
      </c>
      <c r="I240" s="43">
        <f>I35*(1+'Calc|Overheads'!O$27)</f>
        <v>0</v>
      </c>
      <c r="J240" s="43">
        <f>J35*(1+'Calc|Overheads'!P$27)</f>
        <v>0</v>
      </c>
      <c r="K240" s="43">
        <f>K35*(1+'Calc|Overheads'!Q$27)</f>
        <v>0</v>
      </c>
      <c r="L240" s="43">
        <f>L35*(1+'Calc|Overheads'!R$27)</f>
        <v>0</v>
      </c>
      <c r="M240" s="43">
        <f>M35*(1+'Calc|Overheads'!S$27)</f>
        <v>0</v>
      </c>
      <c r="N240" s="7"/>
      <c r="O240" s="7"/>
    </row>
    <row r="241" spans="1:15" x14ac:dyDescent="0.3">
      <c r="A241" s="7"/>
      <c r="B241" s="7"/>
      <c r="C241" s="158">
        <v>0</v>
      </c>
      <c r="D241" s="7"/>
      <c r="E241" s="38" t="s">
        <v>108</v>
      </c>
      <c r="F241" s="38" t="s">
        <v>290</v>
      </c>
      <c r="G241" s="38" t="str">
        <f>VLOOKUP(E241,Mapping!$E$11:$G$204,3,0)</f>
        <v>Public Lighting</v>
      </c>
      <c r="H241" s="38" t="str">
        <f>VLOOKUP(E241,Mapping!$E$11:$K$204,7,0)</f>
        <v>Public Lighting</v>
      </c>
      <c r="I241" s="43">
        <f>I36*(1+'Calc|Overheads'!O$27)</f>
        <v>0</v>
      </c>
      <c r="J241" s="43">
        <f>J36*(1+'Calc|Overheads'!P$27)</f>
        <v>0</v>
      </c>
      <c r="K241" s="43">
        <f>K36*(1+'Calc|Overheads'!Q$27)</f>
        <v>0</v>
      </c>
      <c r="L241" s="43">
        <f>L36*(1+'Calc|Overheads'!R$27)</f>
        <v>0</v>
      </c>
      <c r="M241" s="43">
        <f>M36*(1+'Calc|Overheads'!S$27)</f>
        <v>0</v>
      </c>
      <c r="N241" s="7"/>
      <c r="O241" s="7"/>
    </row>
    <row r="242" spans="1:15" x14ac:dyDescent="0.3">
      <c r="A242" s="7"/>
      <c r="B242" s="7"/>
      <c r="C242" s="158">
        <v>0</v>
      </c>
      <c r="D242" s="7"/>
      <c r="E242" s="38" t="s">
        <v>109</v>
      </c>
      <c r="F242" s="38" t="s">
        <v>291</v>
      </c>
      <c r="G242" s="38" t="str">
        <f>VLOOKUP(E242,Mapping!$E$11:$G$204,3,0)</f>
        <v>Public Lighting</v>
      </c>
      <c r="H242" s="38" t="str">
        <f>VLOOKUP(E242,Mapping!$E$11:$K$204,7,0)</f>
        <v>Public Lighting</v>
      </c>
      <c r="I242" s="43">
        <f>I37*(1+'Calc|Overheads'!O$27)</f>
        <v>0</v>
      </c>
      <c r="J242" s="43">
        <f>J37*(1+'Calc|Overheads'!P$27)</f>
        <v>0</v>
      </c>
      <c r="K242" s="43">
        <f>K37*(1+'Calc|Overheads'!Q$27)</f>
        <v>0</v>
      </c>
      <c r="L242" s="43">
        <f>L37*(1+'Calc|Overheads'!R$27)</f>
        <v>0</v>
      </c>
      <c r="M242" s="43">
        <f>M37*(1+'Calc|Overheads'!S$27)</f>
        <v>0</v>
      </c>
      <c r="N242" s="7"/>
      <c r="O242" s="7"/>
    </row>
    <row r="243" spans="1:15" x14ac:dyDescent="0.3">
      <c r="A243" s="7"/>
      <c r="B243" s="7"/>
      <c r="C243" s="158">
        <v>0</v>
      </c>
      <c r="D243" s="7"/>
      <c r="E243" s="38" t="s">
        <v>110</v>
      </c>
      <c r="F243" s="38" t="s">
        <v>292</v>
      </c>
      <c r="G243" s="38" t="str">
        <f>VLOOKUP(E243,Mapping!$E$11:$G$204,3,0)</f>
        <v>Public Lighting</v>
      </c>
      <c r="H243" s="38" t="str">
        <f>VLOOKUP(E243,Mapping!$E$11:$K$204,7,0)</f>
        <v>Public Lighting</v>
      </c>
      <c r="I243" s="43">
        <f>I38*(1+'Calc|Overheads'!O$27)</f>
        <v>0</v>
      </c>
      <c r="J243" s="43">
        <f>J38*(1+'Calc|Overheads'!P$27)</f>
        <v>0</v>
      </c>
      <c r="K243" s="43">
        <f>K38*(1+'Calc|Overheads'!Q$27)</f>
        <v>0</v>
      </c>
      <c r="L243" s="43">
        <f>L38*(1+'Calc|Overheads'!R$27)</f>
        <v>0</v>
      </c>
      <c r="M243" s="43">
        <f>M38*(1+'Calc|Overheads'!S$27)</f>
        <v>0</v>
      </c>
      <c r="N243" s="7"/>
      <c r="O243" s="7"/>
    </row>
    <row r="244" spans="1:15" x14ac:dyDescent="0.3">
      <c r="A244" s="7"/>
      <c r="B244" s="7"/>
      <c r="C244" s="158">
        <v>0</v>
      </c>
      <c r="D244" s="7"/>
      <c r="E244" s="38" t="s">
        <v>111</v>
      </c>
      <c r="F244" s="38" t="s">
        <v>293</v>
      </c>
      <c r="G244" s="38" t="str">
        <f>VLOOKUP(E244,Mapping!$E$11:$G$204,3,0)</f>
        <v>Connections</v>
      </c>
      <c r="H244" s="38" t="str">
        <f>VLOOKUP(E244,Mapping!$E$11:$K$204,7,0)</f>
        <v>SCS</v>
      </c>
      <c r="I244" s="43">
        <f>I39*(1+'Calc|Overheads'!O$27)</f>
        <v>0</v>
      </c>
      <c r="J244" s="43">
        <f>J39*(1+'Calc|Overheads'!P$27)</f>
        <v>0</v>
      </c>
      <c r="K244" s="43">
        <f>K39*(1+'Calc|Overheads'!Q$27)</f>
        <v>0</v>
      </c>
      <c r="L244" s="43">
        <f>L39*(1+'Calc|Overheads'!R$27)</f>
        <v>0</v>
      </c>
      <c r="M244" s="43">
        <f>M39*(1+'Calc|Overheads'!S$27)</f>
        <v>0</v>
      </c>
      <c r="N244" s="7"/>
      <c r="O244" s="7"/>
    </row>
    <row r="245" spans="1:15" x14ac:dyDescent="0.3">
      <c r="A245" s="7"/>
      <c r="B245" s="7"/>
      <c r="C245" s="158">
        <v>0</v>
      </c>
      <c r="D245" s="7"/>
      <c r="E245" s="38" t="s">
        <v>112</v>
      </c>
      <c r="F245" s="38" t="s">
        <v>294</v>
      </c>
      <c r="G245" s="38" t="str">
        <f>VLOOKUP(E245,Mapping!$E$11:$G$204,3,0)</f>
        <v>Connections</v>
      </c>
      <c r="H245" s="38" t="str">
        <f>VLOOKUP(E245,Mapping!$E$11:$K$204,7,0)</f>
        <v>SCS</v>
      </c>
      <c r="I245" s="43">
        <f>I40*(1+'Calc|Overheads'!O$27)</f>
        <v>0</v>
      </c>
      <c r="J245" s="43">
        <f>J40*(1+'Calc|Overheads'!P$27)</f>
        <v>0</v>
      </c>
      <c r="K245" s="43">
        <f>K40*(1+'Calc|Overheads'!Q$27)</f>
        <v>0</v>
      </c>
      <c r="L245" s="43">
        <f>L40*(1+'Calc|Overheads'!R$27)</f>
        <v>0</v>
      </c>
      <c r="M245" s="43">
        <f>M40*(1+'Calc|Overheads'!S$27)</f>
        <v>0</v>
      </c>
      <c r="N245" s="7"/>
      <c r="O245" s="7"/>
    </row>
    <row r="246" spans="1:15" x14ac:dyDescent="0.3">
      <c r="A246" s="7"/>
      <c r="B246" s="7"/>
      <c r="C246" s="158">
        <v>0</v>
      </c>
      <c r="D246" s="7"/>
      <c r="E246" s="38" t="s">
        <v>113</v>
      </c>
      <c r="F246" s="38" t="s">
        <v>295</v>
      </c>
      <c r="G246" s="38" t="str">
        <f>VLOOKUP(E246,Mapping!$E$11:$G$204,3,0)</f>
        <v>Connections</v>
      </c>
      <c r="H246" s="38" t="str">
        <f>VLOOKUP(E246,Mapping!$E$11:$K$204,7,0)</f>
        <v>SCS</v>
      </c>
      <c r="I246" s="43">
        <f>I41*(1+'Calc|Overheads'!O$27)</f>
        <v>0</v>
      </c>
      <c r="J246" s="43">
        <f>J41*(1+'Calc|Overheads'!P$27)</f>
        <v>0</v>
      </c>
      <c r="K246" s="43">
        <f>K41*(1+'Calc|Overheads'!Q$27)</f>
        <v>0</v>
      </c>
      <c r="L246" s="43">
        <f>L41*(1+'Calc|Overheads'!R$27)</f>
        <v>0</v>
      </c>
      <c r="M246" s="43">
        <f>M41*(1+'Calc|Overheads'!S$27)</f>
        <v>0</v>
      </c>
      <c r="N246" s="7"/>
      <c r="O246" s="7"/>
    </row>
    <row r="247" spans="1:15" x14ac:dyDescent="0.3">
      <c r="A247" s="7"/>
      <c r="B247" s="7"/>
      <c r="C247" s="158">
        <v>0</v>
      </c>
      <c r="D247" s="7"/>
      <c r="E247" s="38" t="s">
        <v>114</v>
      </c>
      <c r="F247" s="38" t="s">
        <v>296</v>
      </c>
      <c r="G247" s="38" t="str">
        <f>VLOOKUP(E247,Mapping!$E$11:$G$204,3,0)</f>
        <v>Connections</v>
      </c>
      <c r="H247" s="38" t="str">
        <f>VLOOKUP(E247,Mapping!$E$11:$K$204,7,0)</f>
        <v>SCS</v>
      </c>
      <c r="I247" s="43">
        <f>I42*(1+'Calc|Overheads'!O$27)</f>
        <v>0</v>
      </c>
      <c r="J247" s="43">
        <f>J42*(1+'Calc|Overheads'!P$27)</f>
        <v>0</v>
      </c>
      <c r="K247" s="43">
        <f>K42*(1+'Calc|Overheads'!Q$27)</f>
        <v>0</v>
      </c>
      <c r="L247" s="43">
        <f>L42*(1+'Calc|Overheads'!R$27)</f>
        <v>0</v>
      </c>
      <c r="M247" s="43">
        <f>M42*(1+'Calc|Overheads'!S$27)</f>
        <v>0</v>
      </c>
      <c r="N247" s="7"/>
      <c r="O247" s="7"/>
    </row>
    <row r="248" spans="1:15" x14ac:dyDescent="0.3">
      <c r="A248" s="7"/>
      <c r="B248" s="7"/>
      <c r="C248" s="158">
        <v>0</v>
      </c>
      <c r="D248" s="7"/>
      <c r="E248" s="38" t="s">
        <v>115</v>
      </c>
      <c r="F248" s="38" t="s">
        <v>297</v>
      </c>
      <c r="G248" s="38" t="str">
        <f>VLOOKUP(E248,Mapping!$E$11:$G$204,3,0)</f>
        <v>Connections</v>
      </c>
      <c r="H248" s="38" t="str">
        <f>VLOOKUP(E248,Mapping!$E$11:$K$204,7,0)</f>
        <v>SCS</v>
      </c>
      <c r="I248" s="43">
        <f>I43*(1+'Calc|Overheads'!O$27)</f>
        <v>0</v>
      </c>
      <c r="J248" s="43">
        <f>J43*(1+'Calc|Overheads'!P$27)</f>
        <v>0</v>
      </c>
      <c r="K248" s="43">
        <f>K43*(1+'Calc|Overheads'!Q$27)</f>
        <v>0</v>
      </c>
      <c r="L248" s="43">
        <f>L43*(1+'Calc|Overheads'!R$27)</f>
        <v>0</v>
      </c>
      <c r="M248" s="43">
        <f>M43*(1+'Calc|Overheads'!S$27)</f>
        <v>0</v>
      </c>
      <c r="N248" s="7"/>
      <c r="O248" s="7"/>
    </row>
    <row r="249" spans="1:15" x14ac:dyDescent="0.3">
      <c r="A249" s="7"/>
      <c r="B249" s="7"/>
      <c r="C249" s="158">
        <v>0</v>
      </c>
      <c r="D249" s="7"/>
      <c r="E249" s="38" t="s">
        <v>116</v>
      </c>
      <c r="F249" s="38" t="s">
        <v>298</v>
      </c>
      <c r="G249" s="38" t="str">
        <f>VLOOKUP(E249,Mapping!$E$11:$G$204,3,0)</f>
        <v>Connections</v>
      </c>
      <c r="H249" s="38" t="str">
        <f>VLOOKUP(E249,Mapping!$E$11:$K$204,7,0)</f>
        <v>SCS</v>
      </c>
      <c r="I249" s="43">
        <f>I44*(1+'Calc|Overheads'!O$27)</f>
        <v>0</v>
      </c>
      <c r="J249" s="43">
        <f>J44*(1+'Calc|Overheads'!P$27)</f>
        <v>0</v>
      </c>
      <c r="K249" s="43">
        <f>K44*(1+'Calc|Overheads'!Q$27)</f>
        <v>0</v>
      </c>
      <c r="L249" s="43">
        <f>L44*(1+'Calc|Overheads'!R$27)</f>
        <v>0</v>
      </c>
      <c r="M249" s="43">
        <f>M44*(1+'Calc|Overheads'!S$27)</f>
        <v>0</v>
      </c>
      <c r="N249" s="7"/>
      <c r="O249" s="7"/>
    </row>
    <row r="250" spans="1:15" x14ac:dyDescent="0.3">
      <c r="A250" s="7"/>
      <c r="B250" s="7"/>
      <c r="C250" s="158">
        <v>0</v>
      </c>
      <c r="D250" s="7"/>
      <c r="E250" s="38" t="s">
        <v>509</v>
      </c>
      <c r="F250" s="134" t="s">
        <v>615</v>
      </c>
      <c r="G250" s="38" t="str">
        <f>VLOOKUP(E250,Mapping!$E$11:$G$204,3,0)</f>
        <v>Connections</v>
      </c>
      <c r="H250" s="38" t="str">
        <f>VLOOKUP(E250,Mapping!$E$11:$K$204,7,0)</f>
        <v>SCS</v>
      </c>
      <c r="I250" s="43">
        <f>I45*(1+'Calc|Overheads'!O$27)</f>
        <v>7666.1498137195513</v>
      </c>
      <c r="J250" s="43">
        <f>J45*(1+'Calc|Overheads'!P$27)</f>
        <v>7925.9706550910378</v>
      </c>
      <c r="K250" s="43">
        <f>K45*(1+'Calc|Overheads'!Q$27)</f>
        <v>7554.5355234464923</v>
      </c>
      <c r="L250" s="43">
        <f>L45*(1+'Calc|Overheads'!R$27)</f>
        <v>7806.5774168203288</v>
      </c>
      <c r="M250" s="43">
        <f>M45*(1+'Calc|Overheads'!S$27)</f>
        <v>8555.3487683323474</v>
      </c>
      <c r="N250" s="7"/>
      <c r="O250" s="7"/>
    </row>
    <row r="251" spans="1:15" x14ac:dyDescent="0.3">
      <c r="A251" s="7"/>
      <c r="B251" s="7"/>
      <c r="C251" s="158">
        <v>0</v>
      </c>
      <c r="D251" s="7"/>
      <c r="E251" s="38" t="s">
        <v>510</v>
      </c>
      <c r="F251" s="134" t="s">
        <v>616</v>
      </c>
      <c r="G251" s="38" t="str">
        <f>VLOOKUP(E251,Mapping!$E$11:$G$204,3,0)</f>
        <v>Connections</v>
      </c>
      <c r="H251" s="38" t="str">
        <f>VLOOKUP(E251,Mapping!$E$11:$K$204,7,0)</f>
        <v>SCS</v>
      </c>
      <c r="I251" s="43">
        <f>I46*(1+'Calc|Overheads'!O$27)</f>
        <v>11379.665723062782</v>
      </c>
      <c r="J251" s="43">
        <f>J46*(1+'Calc|Overheads'!P$27)</f>
        <v>9395.5650203608384</v>
      </c>
      <c r="K251" s="43">
        <f>K46*(1+'Calc|Overheads'!Q$27)</f>
        <v>13270.247375223691</v>
      </c>
      <c r="L251" s="43">
        <f>L46*(1+'Calc|Overheads'!R$27)</f>
        <v>8492.7808715947449</v>
      </c>
      <c r="M251" s="43">
        <f>M46*(1+'Calc|Overheads'!S$27)</f>
        <v>3553.4763326967241</v>
      </c>
      <c r="N251" s="7"/>
      <c r="O251" s="7"/>
    </row>
    <row r="252" spans="1:15" x14ac:dyDescent="0.3">
      <c r="A252" s="7"/>
      <c r="B252" s="7"/>
      <c r="C252" s="158">
        <v>0</v>
      </c>
      <c r="D252" s="7"/>
      <c r="E252" s="38" t="s">
        <v>511</v>
      </c>
      <c r="F252" s="134" t="s">
        <v>617</v>
      </c>
      <c r="G252" s="38" t="str">
        <f>VLOOKUP(E252,Mapping!$E$11:$G$204,3,0)</f>
        <v>Connections</v>
      </c>
      <c r="H252" s="38" t="str">
        <f>VLOOKUP(E252,Mapping!$E$11:$K$204,7,0)</f>
        <v>SCS</v>
      </c>
      <c r="I252" s="43">
        <f>I47*(1+'Calc|Overheads'!O$27)</f>
        <v>436.18567172097215</v>
      </c>
      <c r="J252" s="43">
        <f>J47*(1+'Calc|Overheads'!P$27)</f>
        <v>731.99621857104148</v>
      </c>
      <c r="K252" s="43">
        <f>K47*(1+'Calc|Overheads'!Q$27)</f>
        <v>706.86841851286283</v>
      </c>
      <c r="L252" s="43">
        <f>L47*(1+'Calc|Overheads'!R$27)</f>
        <v>739.86295082457593</v>
      </c>
      <c r="M252" s="43">
        <f>M47*(1+'Calc|Overheads'!S$27)</f>
        <v>816.4424989428278</v>
      </c>
      <c r="N252" s="7"/>
      <c r="O252" s="7"/>
    </row>
    <row r="253" spans="1:15" x14ac:dyDescent="0.3">
      <c r="A253" s="7"/>
      <c r="B253" s="7"/>
      <c r="C253" s="158">
        <v>0</v>
      </c>
      <c r="D253" s="7"/>
      <c r="E253" s="38" t="s">
        <v>117</v>
      </c>
      <c r="F253" s="38" t="s">
        <v>299</v>
      </c>
      <c r="G253" s="38" t="str">
        <f>VLOOKUP(E253,Mapping!$E$11:$G$204,3,0)</f>
        <v>Connections</v>
      </c>
      <c r="H253" s="38" t="str">
        <f>VLOOKUP(E253,Mapping!$E$11:$K$204,7,0)</f>
        <v>SCS</v>
      </c>
      <c r="I253" s="43">
        <f>I48*(1+'Calc|Overheads'!O$27)</f>
        <v>0</v>
      </c>
      <c r="J253" s="43">
        <f>J48*(1+'Calc|Overheads'!P$27)</f>
        <v>0</v>
      </c>
      <c r="K253" s="43">
        <f>K48*(1+'Calc|Overheads'!Q$27)</f>
        <v>0</v>
      </c>
      <c r="L253" s="43">
        <f>L48*(1+'Calc|Overheads'!R$27)</f>
        <v>0</v>
      </c>
      <c r="M253" s="43">
        <f>M48*(1+'Calc|Overheads'!S$27)</f>
        <v>0</v>
      </c>
      <c r="N253" s="7"/>
      <c r="O253" s="7"/>
    </row>
    <row r="254" spans="1:15" x14ac:dyDescent="0.3">
      <c r="A254" s="7"/>
      <c r="B254" s="7"/>
      <c r="C254" s="158">
        <v>0</v>
      </c>
      <c r="D254" s="7"/>
      <c r="E254" s="38" t="s">
        <v>118</v>
      </c>
      <c r="F254" s="38" t="s">
        <v>300</v>
      </c>
      <c r="G254" s="38" t="str">
        <f>VLOOKUP(E254,Mapping!$E$11:$G$204,3,0)</f>
        <v>Connections</v>
      </c>
      <c r="H254" s="38" t="str">
        <f>VLOOKUP(E254,Mapping!$E$11:$K$204,7,0)</f>
        <v>SCS</v>
      </c>
      <c r="I254" s="43">
        <f>I49*(1+'Calc|Overheads'!O$27)</f>
        <v>0</v>
      </c>
      <c r="J254" s="43">
        <f>J49*(1+'Calc|Overheads'!P$27)</f>
        <v>0</v>
      </c>
      <c r="K254" s="43">
        <f>K49*(1+'Calc|Overheads'!Q$27)</f>
        <v>0</v>
      </c>
      <c r="L254" s="43">
        <f>L49*(1+'Calc|Overheads'!R$27)</f>
        <v>0</v>
      </c>
      <c r="M254" s="43">
        <f>M49*(1+'Calc|Overheads'!S$27)</f>
        <v>0</v>
      </c>
      <c r="N254" s="7"/>
      <c r="O254" s="7"/>
    </row>
    <row r="255" spans="1:15" x14ac:dyDescent="0.3">
      <c r="A255" s="7"/>
      <c r="B255" s="7"/>
      <c r="C255" s="158">
        <v>0</v>
      </c>
      <c r="D255" s="7"/>
      <c r="E255" s="38" t="s">
        <v>119</v>
      </c>
      <c r="F255" s="38" t="s">
        <v>301</v>
      </c>
      <c r="G255" s="38" t="str">
        <f>VLOOKUP(E255,Mapping!$E$11:$G$204,3,0)</f>
        <v>Connections</v>
      </c>
      <c r="H255" s="38" t="str">
        <f>VLOOKUP(E255,Mapping!$E$11:$K$204,7,0)</f>
        <v>SCS</v>
      </c>
      <c r="I255" s="43">
        <f>I50*(1+'Calc|Overheads'!O$27)</f>
        <v>0</v>
      </c>
      <c r="J255" s="43">
        <f>J50*(1+'Calc|Overheads'!P$27)</f>
        <v>0</v>
      </c>
      <c r="K255" s="43">
        <f>K50*(1+'Calc|Overheads'!Q$27)</f>
        <v>0</v>
      </c>
      <c r="L255" s="43">
        <f>L50*(1+'Calc|Overheads'!R$27)</f>
        <v>0</v>
      </c>
      <c r="M255" s="43">
        <f>M50*(1+'Calc|Overheads'!S$27)</f>
        <v>0</v>
      </c>
      <c r="N255" s="7"/>
      <c r="O255" s="7"/>
    </row>
    <row r="256" spans="1:15" x14ac:dyDescent="0.3">
      <c r="A256" s="7"/>
      <c r="B256" s="7"/>
      <c r="C256" s="158">
        <v>0</v>
      </c>
      <c r="D256" s="7"/>
      <c r="E256" s="38" t="s">
        <v>120</v>
      </c>
      <c r="F256" s="38" t="s">
        <v>302</v>
      </c>
      <c r="G256" s="38" t="str">
        <f>VLOOKUP(E256,Mapping!$E$11:$G$204,3,0)</f>
        <v>Augmentation</v>
      </c>
      <c r="H256" s="38" t="str">
        <f>VLOOKUP(E256,Mapping!$E$11:$K$204,7,0)</f>
        <v>SCS</v>
      </c>
      <c r="I256" s="43">
        <f>I51*(1+'Calc|Overheads'!O$27)</f>
        <v>0</v>
      </c>
      <c r="J256" s="43">
        <f>J51*(1+'Calc|Overheads'!P$27)</f>
        <v>0</v>
      </c>
      <c r="K256" s="43">
        <f>K51*(1+'Calc|Overheads'!Q$27)</f>
        <v>0</v>
      </c>
      <c r="L256" s="43">
        <f>L51*(1+'Calc|Overheads'!R$27)</f>
        <v>0</v>
      </c>
      <c r="M256" s="43">
        <f>M51*(1+'Calc|Overheads'!S$27)</f>
        <v>0</v>
      </c>
      <c r="N256" s="7"/>
      <c r="O256" s="7"/>
    </row>
    <row r="257" spans="1:15" x14ac:dyDescent="0.3">
      <c r="A257" s="7"/>
      <c r="B257" s="7"/>
      <c r="C257" s="158">
        <v>0</v>
      </c>
      <c r="D257" s="7"/>
      <c r="E257" s="38" t="s">
        <v>121</v>
      </c>
      <c r="F257" s="38" t="s">
        <v>303</v>
      </c>
      <c r="G257" s="38" t="str">
        <f>VLOOKUP(E257,Mapping!$E$11:$G$204,3,0)</f>
        <v>Augmentation</v>
      </c>
      <c r="H257" s="38" t="str">
        <f>VLOOKUP(E257,Mapping!$E$11:$K$204,7,0)</f>
        <v>SCS</v>
      </c>
      <c r="I257" s="43">
        <f>I52*(1+'Calc|Overheads'!O$27)</f>
        <v>0</v>
      </c>
      <c r="J257" s="43">
        <f>J52*(1+'Calc|Overheads'!P$27)</f>
        <v>0</v>
      </c>
      <c r="K257" s="43">
        <f>K52*(1+'Calc|Overheads'!Q$27)</f>
        <v>0</v>
      </c>
      <c r="L257" s="43">
        <f>L52*(1+'Calc|Overheads'!R$27)</f>
        <v>0</v>
      </c>
      <c r="M257" s="43">
        <f>M52*(1+'Calc|Overheads'!S$27)</f>
        <v>0</v>
      </c>
      <c r="N257" s="7"/>
      <c r="O257" s="7"/>
    </row>
    <row r="258" spans="1:15" x14ac:dyDescent="0.3">
      <c r="A258" s="7"/>
      <c r="B258" s="7"/>
      <c r="C258" s="158">
        <v>0</v>
      </c>
      <c r="D258" s="7"/>
      <c r="E258" s="38" t="s">
        <v>122</v>
      </c>
      <c r="F258" s="38" t="s">
        <v>304</v>
      </c>
      <c r="G258" s="38" t="str">
        <f>VLOOKUP(E258,Mapping!$E$11:$G$204,3,0)</f>
        <v>Augmentation</v>
      </c>
      <c r="H258" s="38" t="str">
        <f>VLOOKUP(E258,Mapping!$E$11:$K$204,7,0)</f>
        <v>SCS</v>
      </c>
      <c r="I258" s="43">
        <f>I53*(1+'Calc|Overheads'!O$27)</f>
        <v>16238.196151792428</v>
      </c>
      <c r="J258" s="43">
        <f>J53*(1+'Calc|Overheads'!P$27)</f>
        <v>16160.540753264351</v>
      </c>
      <c r="K258" s="43">
        <f>K53*(1+'Calc|Overheads'!Q$27)</f>
        <v>16185.081332844289</v>
      </c>
      <c r="L258" s="43">
        <f>L53*(1+'Calc|Overheads'!R$27)</f>
        <v>16195.534839725649</v>
      </c>
      <c r="M258" s="43">
        <f>M53*(1+'Calc|Overheads'!S$27)</f>
        <v>16264.183853553892</v>
      </c>
      <c r="N258" s="7"/>
      <c r="O258" s="7"/>
    </row>
    <row r="259" spans="1:15" x14ac:dyDescent="0.3">
      <c r="A259" s="7"/>
      <c r="B259" s="7"/>
      <c r="C259" s="158">
        <v>0</v>
      </c>
      <c r="D259" s="7"/>
      <c r="E259" s="38" t="s">
        <v>123</v>
      </c>
      <c r="F259" s="38" t="s">
        <v>305</v>
      </c>
      <c r="G259" s="38" t="str">
        <f>VLOOKUP(E259,Mapping!$E$11:$G$204,3,0)</f>
        <v>Augmentation</v>
      </c>
      <c r="H259" s="38" t="str">
        <f>VLOOKUP(E259,Mapping!$E$11:$K$204,7,0)</f>
        <v>SCS</v>
      </c>
      <c r="I259" s="43">
        <f>I54*(1+'Calc|Overheads'!O$27)</f>
        <v>0</v>
      </c>
      <c r="J259" s="43">
        <f>J54*(1+'Calc|Overheads'!P$27)</f>
        <v>0</v>
      </c>
      <c r="K259" s="43">
        <f>K54*(1+'Calc|Overheads'!Q$27)</f>
        <v>0</v>
      </c>
      <c r="L259" s="43">
        <f>L54*(1+'Calc|Overheads'!R$27)</f>
        <v>0</v>
      </c>
      <c r="M259" s="43">
        <f>M54*(1+'Calc|Overheads'!S$27)</f>
        <v>0</v>
      </c>
      <c r="N259" s="7"/>
      <c r="O259" s="7"/>
    </row>
    <row r="260" spans="1:15" x14ac:dyDescent="0.3">
      <c r="A260" s="7"/>
      <c r="B260" s="7"/>
      <c r="C260" s="158">
        <v>0</v>
      </c>
      <c r="D260" s="7"/>
      <c r="E260" s="38" t="s">
        <v>124</v>
      </c>
      <c r="F260" s="38" t="s">
        <v>306</v>
      </c>
      <c r="G260" s="38" t="str">
        <f>VLOOKUP(E260,Mapping!$E$11:$G$204,3,0)</f>
        <v>Augmentation</v>
      </c>
      <c r="H260" s="38" t="str">
        <f>VLOOKUP(E260,Mapping!$E$11:$K$204,7,0)</f>
        <v>SCS</v>
      </c>
      <c r="I260" s="43">
        <f>I55*(1+'Calc|Overheads'!O$27)</f>
        <v>0</v>
      </c>
      <c r="J260" s="43">
        <f>J55*(1+'Calc|Overheads'!P$27)</f>
        <v>0</v>
      </c>
      <c r="K260" s="43">
        <f>K55*(1+'Calc|Overheads'!Q$27)</f>
        <v>0</v>
      </c>
      <c r="L260" s="43">
        <f>L55*(1+'Calc|Overheads'!R$27)</f>
        <v>0</v>
      </c>
      <c r="M260" s="43">
        <f>M55*(1+'Calc|Overheads'!S$27)</f>
        <v>0</v>
      </c>
      <c r="N260" s="7"/>
      <c r="O260" s="7"/>
    </row>
    <row r="261" spans="1:15" x14ac:dyDescent="0.3">
      <c r="A261" s="7"/>
      <c r="B261" s="7"/>
      <c r="C261" s="158">
        <v>0</v>
      </c>
      <c r="D261" s="7"/>
      <c r="E261" s="38" t="s">
        <v>125</v>
      </c>
      <c r="F261" s="38" t="s">
        <v>307</v>
      </c>
      <c r="G261" s="38" t="str">
        <f>VLOOKUP(E261,Mapping!$E$11:$G$204,3,0)</f>
        <v>Augmentation</v>
      </c>
      <c r="H261" s="38" t="str">
        <f>VLOOKUP(E261,Mapping!$E$11:$K$204,7,0)</f>
        <v>SCS</v>
      </c>
      <c r="I261" s="43">
        <f>I56*(1+'Calc|Overheads'!O$27)</f>
        <v>0</v>
      </c>
      <c r="J261" s="43">
        <f>J56*(1+'Calc|Overheads'!P$27)</f>
        <v>0</v>
      </c>
      <c r="K261" s="43">
        <f>K56*(1+'Calc|Overheads'!Q$27)</f>
        <v>0</v>
      </c>
      <c r="L261" s="43">
        <f>L56*(1+'Calc|Overheads'!R$27)</f>
        <v>0</v>
      </c>
      <c r="M261" s="43">
        <f>M56*(1+'Calc|Overheads'!S$27)</f>
        <v>0</v>
      </c>
      <c r="N261" s="7"/>
      <c r="O261" s="7"/>
    </row>
    <row r="262" spans="1:15" x14ac:dyDescent="0.3">
      <c r="A262" s="7" t="s">
        <v>50</v>
      </c>
      <c r="B262" s="7"/>
      <c r="C262" s="158">
        <v>0</v>
      </c>
      <c r="D262" s="7"/>
      <c r="E262" s="38" t="s">
        <v>126</v>
      </c>
      <c r="F262" s="38" t="s">
        <v>308</v>
      </c>
      <c r="G262" s="38" t="str">
        <f>VLOOKUP(E262,Mapping!$E$11:$G$204,3,0)</f>
        <v>Augmentation</v>
      </c>
      <c r="H262" s="38" t="str">
        <f>VLOOKUP(E262,Mapping!$E$11:$K$204,7,0)</f>
        <v>SCS</v>
      </c>
      <c r="I262" s="43">
        <f>I57*(1+'Calc|Overheads'!O$27)</f>
        <v>0</v>
      </c>
      <c r="J262" s="43">
        <f>J57*(1+'Calc|Overheads'!P$27)</f>
        <v>0</v>
      </c>
      <c r="K262" s="43">
        <f>K57*(1+'Calc|Overheads'!Q$27)</f>
        <v>0</v>
      </c>
      <c r="L262" s="43">
        <f>L57*(1+'Calc|Overheads'!R$27)</f>
        <v>0</v>
      </c>
      <c r="M262" s="43">
        <f>M57*(1+'Calc|Overheads'!S$27)</f>
        <v>0</v>
      </c>
      <c r="N262" s="7"/>
      <c r="O262" s="7"/>
    </row>
    <row r="263" spans="1:15" x14ac:dyDescent="0.3">
      <c r="A263" s="7"/>
      <c r="B263" s="7"/>
      <c r="C263" s="158">
        <v>0</v>
      </c>
      <c r="D263" s="7"/>
      <c r="E263" s="38" t="s">
        <v>127</v>
      </c>
      <c r="F263" s="38" t="s">
        <v>17</v>
      </c>
      <c r="G263" s="38" t="str">
        <f>VLOOKUP(E263,Mapping!$E$11:$G$204,3,0)</f>
        <v>Non-network general assets - Other</v>
      </c>
      <c r="H263" s="38" t="str">
        <f>VLOOKUP(E263,Mapping!$E$11:$K$204,7,0)</f>
        <v>Non-network general assets - Other</v>
      </c>
      <c r="I263" s="117">
        <f t="shared" ref="I263:M263" si="1">I58</f>
        <v>421.29753409864247</v>
      </c>
      <c r="J263" s="117">
        <f t="shared" si="1"/>
        <v>421.29753409864247</v>
      </c>
      <c r="K263" s="117">
        <f t="shared" si="1"/>
        <v>421.29753409864247</v>
      </c>
      <c r="L263" s="117">
        <f t="shared" si="1"/>
        <v>421.29753409864247</v>
      </c>
      <c r="M263" s="117">
        <f t="shared" si="1"/>
        <v>421.29753409864247</v>
      </c>
      <c r="N263" s="7"/>
      <c r="O263" s="7"/>
    </row>
    <row r="264" spans="1:15" x14ac:dyDescent="0.3">
      <c r="A264" s="7"/>
      <c r="B264" s="7"/>
      <c r="C264" s="158">
        <v>0</v>
      </c>
      <c r="D264" s="7"/>
      <c r="E264" s="38" t="s">
        <v>128</v>
      </c>
      <c r="F264" s="38" t="s">
        <v>309</v>
      </c>
      <c r="G264" s="38" t="str">
        <f>VLOOKUP(E264,Mapping!$E$11:$G$204,3,0)</f>
        <v>Non-network general assets - Other</v>
      </c>
      <c r="H264" s="38" t="str">
        <f>VLOOKUP(E264,Mapping!$E$11:$K$204,7,0)</f>
        <v>Non-network general assets - Other</v>
      </c>
      <c r="I264" s="117">
        <f t="shared" ref="I264:M264" si="2">I59</f>
        <v>0</v>
      </c>
      <c r="J264" s="117">
        <f t="shared" si="2"/>
        <v>0</v>
      </c>
      <c r="K264" s="117">
        <f t="shared" si="2"/>
        <v>0</v>
      </c>
      <c r="L264" s="117">
        <f t="shared" si="2"/>
        <v>0</v>
      </c>
      <c r="M264" s="117">
        <f t="shared" si="2"/>
        <v>0</v>
      </c>
      <c r="N264" s="7"/>
      <c r="O264" s="7"/>
    </row>
    <row r="265" spans="1:15" x14ac:dyDescent="0.3">
      <c r="A265" s="7"/>
      <c r="B265" s="7"/>
      <c r="C265" s="158">
        <v>0</v>
      </c>
      <c r="D265" s="7"/>
      <c r="E265" s="38" t="s">
        <v>129</v>
      </c>
      <c r="F265" s="38" t="s">
        <v>310</v>
      </c>
      <c r="G265" s="38" t="str">
        <f>VLOOKUP(E265,Mapping!$E$11:$G$204,3,0)</f>
        <v>Non-network general assets - Other</v>
      </c>
      <c r="H265" s="38" t="str">
        <f>VLOOKUP(E265,Mapping!$E$11:$K$204,7,0)</f>
        <v>Non-network general assets - Other</v>
      </c>
      <c r="I265" s="117">
        <f t="shared" ref="I265:M265" si="3">I60</f>
        <v>37817.198462745597</v>
      </c>
      <c r="J265" s="117">
        <f t="shared" si="3"/>
        <v>13598.119590702692</v>
      </c>
      <c r="K265" s="117">
        <f t="shared" si="3"/>
        <v>921.36759361693146</v>
      </c>
      <c r="L265" s="117">
        <f t="shared" si="3"/>
        <v>4310.3058689895533</v>
      </c>
      <c r="M265" s="117">
        <f t="shared" si="3"/>
        <v>9139.5429113955379</v>
      </c>
      <c r="N265" s="7"/>
      <c r="O265" s="7"/>
    </row>
    <row r="266" spans="1:15" x14ac:dyDescent="0.3">
      <c r="A266" s="7"/>
      <c r="B266" s="7"/>
      <c r="C266" s="158">
        <v>0</v>
      </c>
      <c r="D266" s="7"/>
      <c r="E266" s="38" t="s">
        <v>130</v>
      </c>
      <c r="F266" s="38" t="s">
        <v>311</v>
      </c>
      <c r="G266" s="38" t="str">
        <f>VLOOKUP(E266,Mapping!$E$11:$G$204,3,0)</f>
        <v>Non-network general assets - Other</v>
      </c>
      <c r="H266" s="38" t="str">
        <f>VLOOKUP(E266,Mapping!$E$11:$K$204,7,0)</f>
        <v>Non-network general assets - Other</v>
      </c>
      <c r="I266" s="117">
        <f t="shared" ref="I266:M266" si="4">I61</f>
        <v>5439.2459319730588</v>
      </c>
      <c r="J266" s="117">
        <f t="shared" si="4"/>
        <v>1338.6306187721857</v>
      </c>
      <c r="K266" s="117">
        <f t="shared" si="4"/>
        <v>2016.4182738467098</v>
      </c>
      <c r="L266" s="117">
        <f t="shared" si="4"/>
        <v>1556.7935202492981</v>
      </c>
      <c r="M266" s="117">
        <f t="shared" si="4"/>
        <v>1892.5102181533985</v>
      </c>
      <c r="N266" s="7"/>
      <c r="O266" s="7"/>
    </row>
    <row r="267" spans="1:15" x14ac:dyDescent="0.3">
      <c r="A267" s="7"/>
      <c r="B267" s="7"/>
      <c r="C267" s="158">
        <v>0</v>
      </c>
      <c r="D267" s="7"/>
      <c r="E267" s="38" t="s">
        <v>131</v>
      </c>
      <c r="F267" s="38" t="s">
        <v>312</v>
      </c>
      <c r="G267" s="38" t="str">
        <f>VLOOKUP(E267,Mapping!$E$11:$G$204,3,0)</f>
        <v>Non-network general assets - Other</v>
      </c>
      <c r="H267" s="38" t="str">
        <f>VLOOKUP(E267,Mapping!$E$11:$K$204,7,0)</f>
        <v>Non-network general assets - Other</v>
      </c>
      <c r="I267" s="117">
        <f>I62*(1+'Calc|Weightings'!$BA59)-SUMPRODUCT(--('Input|VBRC Calc'!$E$37:$E$47=$E267),'Input|VBRC Calc'!J$37:J$47)</f>
        <v>0</v>
      </c>
      <c r="J267" s="117">
        <f>J62*(1+'Calc|Weightings'!$BA59)-SUMPRODUCT(--('Input|VBRC Calc'!$E$37:$E$47=$E267),'Input|VBRC Calc'!K$37:K$47)</f>
        <v>0</v>
      </c>
      <c r="K267" s="117">
        <f>K62*(1+'Calc|Weightings'!$BA59)-SUMPRODUCT(--('Input|VBRC Calc'!$E$37:$E$47=$E267),'Input|VBRC Calc'!L$37:L$47)</f>
        <v>0</v>
      </c>
      <c r="L267" s="117">
        <f>L62*(1+'Calc|Weightings'!$BA59)-SUMPRODUCT(--('Input|VBRC Calc'!$E$37:$E$47=$E267),'Input|VBRC Calc'!M$37:M$47)</f>
        <v>0</v>
      </c>
      <c r="M267" s="117">
        <f>M62*(1+'Calc|Weightings'!$BA59)-SUMPRODUCT(--('Input|VBRC Calc'!$E$37:$E$47=$E267),'Input|VBRC Calc'!N$37:N$47)</f>
        <v>0</v>
      </c>
      <c r="N267" s="7"/>
      <c r="O267" s="7"/>
    </row>
    <row r="268" spans="1:15" x14ac:dyDescent="0.3">
      <c r="A268" s="7"/>
      <c r="B268" s="7"/>
      <c r="C268" s="158">
        <v>0</v>
      </c>
      <c r="D268" s="7"/>
      <c r="E268" s="38" t="s">
        <v>601</v>
      </c>
      <c r="F268" s="38" t="s">
        <v>44</v>
      </c>
      <c r="G268" s="38" t="str">
        <f>VLOOKUP(E268,Mapping!$E$11:$G$204,3,0)</f>
        <v>Non-network general assets - Other</v>
      </c>
      <c r="H268" s="38" t="str">
        <f>VLOOKUP(E268,Mapping!$E$11:$K$204,7,0)</f>
        <v>Land</v>
      </c>
      <c r="I268" s="43">
        <f>I63*(1+'Calc|Overheads'!O$27)</f>
        <v>0</v>
      </c>
      <c r="J268" s="43">
        <f>J63*(1+'Calc|Overheads'!P$27)</f>
        <v>0</v>
      </c>
      <c r="K268" s="117">
        <f>K63</f>
        <v>0</v>
      </c>
      <c r="L268" s="117">
        <f>L63</f>
        <v>2118.0864221078882</v>
      </c>
      <c r="M268" s="43">
        <f>M63*(1+'Calc|Overheads'!S$27)</f>
        <v>0</v>
      </c>
      <c r="N268" s="7"/>
      <c r="O268" s="7"/>
    </row>
    <row r="269" spans="1:15" x14ac:dyDescent="0.3">
      <c r="A269" s="7"/>
      <c r="B269" s="7"/>
      <c r="C269" s="158">
        <v>0</v>
      </c>
      <c r="D269" s="7"/>
      <c r="E269" s="38" t="s">
        <v>132</v>
      </c>
      <c r="F269" s="38" t="s">
        <v>314</v>
      </c>
      <c r="G269" s="38" t="str">
        <f>VLOOKUP(E269,Mapping!$E$11:$G$204,3,0)</f>
        <v>ACS</v>
      </c>
      <c r="H269" s="38" t="str">
        <f>VLOOKUP(E269,Mapping!$E$11:$K$204,7,0)</f>
        <v>ACS</v>
      </c>
      <c r="I269" s="43">
        <f>I64*(1+'Calc|Overheads'!O$27)</f>
        <v>0</v>
      </c>
      <c r="J269" s="43">
        <f>J64*(1+'Calc|Overheads'!P$27)</f>
        <v>0</v>
      </c>
      <c r="K269" s="43">
        <f>K64*(1+'Calc|Overheads'!Q$27)</f>
        <v>0</v>
      </c>
      <c r="L269" s="43">
        <f>L64*(1+'Calc|Overheads'!R$27)</f>
        <v>0</v>
      </c>
      <c r="M269" s="43">
        <f>M64*(1+'Calc|Overheads'!S$27)</f>
        <v>0</v>
      </c>
      <c r="N269" s="7"/>
      <c r="O269" s="7"/>
    </row>
    <row r="270" spans="1:15" x14ac:dyDescent="0.3">
      <c r="A270" s="7"/>
      <c r="B270" s="7"/>
      <c r="C270" s="158">
        <v>0</v>
      </c>
      <c r="D270" s="7"/>
      <c r="E270" s="38" t="s">
        <v>133</v>
      </c>
      <c r="F270" s="38" t="s">
        <v>315</v>
      </c>
      <c r="G270" s="38" t="str">
        <f>VLOOKUP(E270,Mapping!$E$11:$G$204,3,0)</f>
        <v>ACS</v>
      </c>
      <c r="H270" s="38" t="str">
        <f>VLOOKUP(E270,Mapping!$E$11:$K$204,7,0)</f>
        <v>ACS</v>
      </c>
      <c r="I270" s="43">
        <f>I65*(1+'Calc|Overheads'!O$27)</f>
        <v>0</v>
      </c>
      <c r="J270" s="43">
        <f>J65*(1+'Calc|Overheads'!P$27)</f>
        <v>0</v>
      </c>
      <c r="K270" s="43">
        <f>K65*(1+'Calc|Overheads'!Q$27)</f>
        <v>0</v>
      </c>
      <c r="L270" s="43">
        <f>L65*(1+'Calc|Overheads'!R$27)</f>
        <v>0</v>
      </c>
      <c r="M270" s="43">
        <f>M65*(1+'Calc|Overheads'!S$27)</f>
        <v>0</v>
      </c>
      <c r="N270" s="7"/>
      <c r="O270" s="7"/>
    </row>
    <row r="271" spans="1:15" x14ac:dyDescent="0.3">
      <c r="A271" s="7"/>
      <c r="B271" s="7"/>
      <c r="C271" s="158">
        <v>0</v>
      </c>
      <c r="D271" s="7"/>
      <c r="E271" s="38" t="s">
        <v>134</v>
      </c>
      <c r="F271" s="38" t="s">
        <v>316</v>
      </c>
      <c r="G271" s="38" t="str">
        <f>VLOOKUP(E271,Mapping!$E$11:$G$204,3,0)</f>
        <v>ACS</v>
      </c>
      <c r="H271" s="38" t="str">
        <f>VLOOKUP(E271,Mapping!$E$11:$K$204,7,0)</f>
        <v>ACS</v>
      </c>
      <c r="I271" s="43">
        <f>I66*(1+'Calc|Overheads'!O$27)</f>
        <v>0</v>
      </c>
      <c r="J271" s="43">
        <f>J66*(1+'Calc|Overheads'!P$27)</f>
        <v>0</v>
      </c>
      <c r="K271" s="43">
        <f>K66*(1+'Calc|Overheads'!Q$27)</f>
        <v>0</v>
      </c>
      <c r="L271" s="43">
        <f>L66*(1+'Calc|Overheads'!R$27)</f>
        <v>0</v>
      </c>
      <c r="M271" s="43">
        <f>M66*(1+'Calc|Overheads'!S$27)</f>
        <v>0</v>
      </c>
      <c r="N271" s="7"/>
      <c r="O271" s="7"/>
    </row>
    <row r="272" spans="1:15" x14ac:dyDescent="0.3">
      <c r="A272" s="7"/>
      <c r="B272" s="7"/>
      <c r="C272" s="158">
        <v>0</v>
      </c>
      <c r="D272" s="7"/>
      <c r="E272" s="38" t="s">
        <v>135</v>
      </c>
      <c r="F272" s="38" t="s">
        <v>317</v>
      </c>
      <c r="G272" s="38" t="str">
        <f>VLOOKUP(E272,Mapping!$E$11:$G$204,3,0)</f>
        <v>ACS</v>
      </c>
      <c r="H272" s="38" t="str">
        <f>VLOOKUP(E272,Mapping!$E$11:$K$204,7,0)</f>
        <v>ACS</v>
      </c>
      <c r="I272" s="43">
        <f>I67*(1+'Calc|Overheads'!O$27)</f>
        <v>0</v>
      </c>
      <c r="J272" s="43">
        <f>J67*(1+'Calc|Overheads'!P$27)</f>
        <v>0</v>
      </c>
      <c r="K272" s="43">
        <f>K67*(1+'Calc|Overheads'!Q$27)</f>
        <v>0</v>
      </c>
      <c r="L272" s="43">
        <f>L67*(1+'Calc|Overheads'!R$27)</f>
        <v>0</v>
      </c>
      <c r="M272" s="43">
        <f>M67*(1+'Calc|Overheads'!S$27)</f>
        <v>0</v>
      </c>
      <c r="N272" s="7"/>
      <c r="O272" s="7"/>
    </row>
    <row r="273" spans="1:15" x14ac:dyDescent="0.3">
      <c r="A273" s="7"/>
      <c r="B273" s="7"/>
      <c r="C273" s="158">
        <v>0</v>
      </c>
      <c r="D273" s="7"/>
      <c r="E273" s="38" t="s">
        <v>136</v>
      </c>
      <c r="F273" s="38" t="s">
        <v>318</v>
      </c>
      <c r="G273" s="38" t="str">
        <f>VLOOKUP(E273,Mapping!$E$11:$G$204,3,0)</f>
        <v>ACS</v>
      </c>
      <c r="H273" s="38" t="str">
        <f>VLOOKUP(E273,Mapping!$E$11:$K$204,7,0)</f>
        <v>ACS</v>
      </c>
      <c r="I273" s="43">
        <f>I68*(1+'Calc|Overheads'!O$27)</f>
        <v>0</v>
      </c>
      <c r="J273" s="43">
        <f>J68*(1+'Calc|Overheads'!P$27)</f>
        <v>0</v>
      </c>
      <c r="K273" s="43">
        <f>K68*(1+'Calc|Overheads'!Q$27)</f>
        <v>0</v>
      </c>
      <c r="L273" s="43">
        <f>L68*(1+'Calc|Overheads'!R$27)</f>
        <v>0</v>
      </c>
      <c r="M273" s="43">
        <f>M68*(1+'Calc|Overheads'!S$27)</f>
        <v>0</v>
      </c>
      <c r="N273" s="7"/>
      <c r="O273" s="7"/>
    </row>
    <row r="274" spans="1:15" x14ac:dyDescent="0.3">
      <c r="A274" s="7"/>
      <c r="B274" s="7"/>
      <c r="C274" s="158">
        <v>0</v>
      </c>
      <c r="D274" s="7"/>
      <c r="E274" s="38" t="s">
        <v>137</v>
      </c>
      <c r="F274" s="38" t="s">
        <v>319</v>
      </c>
      <c r="G274" s="38" t="str">
        <f>VLOOKUP(E274,Mapping!$E$11:$G$204,3,0)</f>
        <v>ACS</v>
      </c>
      <c r="H274" s="38" t="str">
        <f>VLOOKUP(E274,Mapping!$E$11:$K$204,7,0)</f>
        <v>ACS</v>
      </c>
      <c r="I274" s="43">
        <f>I69*(1+'Calc|Overheads'!O$27)</f>
        <v>0</v>
      </c>
      <c r="J274" s="43">
        <f>J69*(1+'Calc|Overheads'!P$27)</f>
        <v>0</v>
      </c>
      <c r="K274" s="43">
        <f>K69*(1+'Calc|Overheads'!Q$27)</f>
        <v>0</v>
      </c>
      <c r="L274" s="43">
        <f>L69*(1+'Calc|Overheads'!R$27)</f>
        <v>0</v>
      </c>
      <c r="M274" s="43">
        <f>M69*(1+'Calc|Overheads'!S$27)</f>
        <v>0</v>
      </c>
      <c r="N274" s="7"/>
      <c r="O274" s="7"/>
    </row>
    <row r="275" spans="1:15" x14ac:dyDescent="0.3">
      <c r="A275" s="7"/>
      <c r="B275" s="7"/>
      <c r="C275" s="158">
        <v>0</v>
      </c>
      <c r="D275" s="7"/>
      <c r="E275" s="38" t="s">
        <v>138</v>
      </c>
      <c r="F275" s="38" t="s">
        <v>320</v>
      </c>
      <c r="G275" s="38" t="str">
        <f>VLOOKUP(E275,Mapping!$E$11:$G$204,3,0)</f>
        <v>ACS</v>
      </c>
      <c r="H275" s="38" t="str">
        <f>VLOOKUP(E275,Mapping!$E$11:$K$204,7,0)</f>
        <v>ACS</v>
      </c>
      <c r="I275" s="43">
        <f>I70*(1+'Calc|Overheads'!O$27)</f>
        <v>0</v>
      </c>
      <c r="J275" s="43">
        <f>J70*(1+'Calc|Overheads'!P$27)</f>
        <v>0</v>
      </c>
      <c r="K275" s="43">
        <f>K70*(1+'Calc|Overheads'!Q$27)</f>
        <v>0</v>
      </c>
      <c r="L275" s="43">
        <f>L70*(1+'Calc|Overheads'!R$27)</f>
        <v>0</v>
      </c>
      <c r="M275" s="43">
        <f>M70*(1+'Calc|Overheads'!S$27)</f>
        <v>0</v>
      </c>
      <c r="N275" s="7"/>
      <c r="O275" s="7"/>
    </row>
    <row r="276" spans="1:15" x14ac:dyDescent="0.3">
      <c r="A276" s="7"/>
      <c r="B276" s="7"/>
      <c r="C276" s="158">
        <v>0</v>
      </c>
      <c r="D276" s="7"/>
      <c r="E276" s="38" t="s">
        <v>139</v>
      </c>
      <c r="F276" s="38" t="s">
        <v>321</v>
      </c>
      <c r="G276" s="38" t="str">
        <f>VLOOKUP(E276,Mapping!$E$11:$G$204,3,0)</f>
        <v>ACS</v>
      </c>
      <c r="H276" s="38" t="str">
        <f>VLOOKUP(E276,Mapping!$E$11:$K$204,7,0)</f>
        <v>ACS</v>
      </c>
      <c r="I276" s="43">
        <f>I71*(1+'Calc|Overheads'!O$27)</f>
        <v>0</v>
      </c>
      <c r="J276" s="43">
        <f>J71*(1+'Calc|Overheads'!P$27)</f>
        <v>0</v>
      </c>
      <c r="K276" s="43">
        <f>K71*(1+'Calc|Overheads'!Q$27)</f>
        <v>0</v>
      </c>
      <c r="L276" s="43">
        <f>L71*(1+'Calc|Overheads'!R$27)</f>
        <v>0</v>
      </c>
      <c r="M276" s="43">
        <f>M71*(1+'Calc|Overheads'!S$27)</f>
        <v>0</v>
      </c>
      <c r="N276" s="7"/>
      <c r="O276" s="7"/>
    </row>
    <row r="277" spans="1:15" x14ac:dyDescent="0.3">
      <c r="A277" s="7"/>
      <c r="B277" s="7"/>
      <c r="C277" s="158">
        <v>0</v>
      </c>
      <c r="D277" s="7"/>
      <c r="E277" s="38" t="s">
        <v>140</v>
      </c>
      <c r="F277" s="38" t="s">
        <v>322</v>
      </c>
      <c r="G277" s="38" t="str">
        <f>VLOOKUP(E277,Mapping!$E$11:$G$204,3,0)</f>
        <v>ACS</v>
      </c>
      <c r="H277" s="38" t="str">
        <f>VLOOKUP(E277,Mapping!$E$11:$K$204,7,0)</f>
        <v>ACS</v>
      </c>
      <c r="I277" s="43">
        <f>I72*(1+'Calc|Overheads'!O$27)</f>
        <v>0</v>
      </c>
      <c r="J277" s="43">
        <f>J72*(1+'Calc|Overheads'!P$27)</f>
        <v>0</v>
      </c>
      <c r="K277" s="43">
        <f>K72*(1+'Calc|Overheads'!Q$27)</f>
        <v>0</v>
      </c>
      <c r="L277" s="43">
        <f>L72*(1+'Calc|Overheads'!R$27)</f>
        <v>0</v>
      </c>
      <c r="M277" s="43">
        <f>M72*(1+'Calc|Overheads'!S$27)</f>
        <v>0</v>
      </c>
      <c r="N277" s="7"/>
      <c r="O277" s="7"/>
    </row>
    <row r="278" spans="1:15" x14ac:dyDescent="0.3">
      <c r="A278" s="7"/>
      <c r="B278" s="7"/>
      <c r="C278" s="158">
        <v>0</v>
      </c>
      <c r="D278" s="7"/>
      <c r="E278" s="38" t="s">
        <v>141</v>
      </c>
      <c r="F278" s="38" t="s">
        <v>323</v>
      </c>
      <c r="G278" s="38" t="str">
        <f>VLOOKUP(E278,Mapping!$E$11:$G$204,3,0)</f>
        <v>ACS</v>
      </c>
      <c r="H278" s="38" t="str">
        <f>VLOOKUP(E278,Mapping!$E$11:$K$204,7,0)</f>
        <v>ACS</v>
      </c>
      <c r="I278" s="43">
        <f>I73*(1+'Calc|Overheads'!O$27)</f>
        <v>0</v>
      </c>
      <c r="J278" s="43">
        <f>J73*(1+'Calc|Overheads'!P$27)</f>
        <v>0</v>
      </c>
      <c r="K278" s="43">
        <f>K73*(1+'Calc|Overheads'!Q$27)</f>
        <v>0</v>
      </c>
      <c r="L278" s="43">
        <f>L73*(1+'Calc|Overheads'!R$27)</f>
        <v>0</v>
      </c>
      <c r="M278" s="43">
        <f>M73*(1+'Calc|Overheads'!S$27)</f>
        <v>0</v>
      </c>
      <c r="N278" s="7"/>
      <c r="O278" s="7"/>
    </row>
    <row r="279" spans="1:15" x14ac:dyDescent="0.3">
      <c r="A279" s="7"/>
      <c r="B279" s="7"/>
      <c r="C279" s="158">
        <v>0</v>
      </c>
      <c r="D279" s="7"/>
      <c r="E279" s="38" t="s">
        <v>142</v>
      </c>
      <c r="F279" s="38" t="s">
        <v>324</v>
      </c>
      <c r="G279" s="38" t="str">
        <f>VLOOKUP(E279,Mapping!$E$11:$G$204,3,0)</f>
        <v>ACS</v>
      </c>
      <c r="H279" s="38" t="str">
        <f>VLOOKUP(E279,Mapping!$E$11:$K$204,7,0)</f>
        <v>ACS</v>
      </c>
      <c r="I279" s="43">
        <f>I74*(1+'Calc|Overheads'!O$27)</f>
        <v>0</v>
      </c>
      <c r="J279" s="43">
        <f>J74*(1+'Calc|Overheads'!P$27)</f>
        <v>0</v>
      </c>
      <c r="K279" s="43">
        <f>K74*(1+'Calc|Overheads'!Q$27)</f>
        <v>0</v>
      </c>
      <c r="L279" s="43">
        <f>L74*(1+'Calc|Overheads'!R$27)</f>
        <v>0</v>
      </c>
      <c r="M279" s="43">
        <f>M74*(1+'Calc|Overheads'!S$27)</f>
        <v>0</v>
      </c>
      <c r="N279" s="7"/>
      <c r="O279" s="7"/>
    </row>
    <row r="280" spans="1:15" x14ac:dyDescent="0.3">
      <c r="A280" s="7"/>
      <c r="B280" s="7"/>
      <c r="C280" s="158">
        <v>0</v>
      </c>
      <c r="D280" s="7"/>
      <c r="E280" s="38" t="s">
        <v>143</v>
      </c>
      <c r="F280" s="38" t="s">
        <v>325</v>
      </c>
      <c r="G280" s="38" t="str">
        <f>VLOOKUP(E280,Mapping!$E$11:$G$204,3,0)</f>
        <v>ACS</v>
      </c>
      <c r="H280" s="38" t="str">
        <f>VLOOKUP(E280,Mapping!$E$11:$K$204,7,0)</f>
        <v>ACS</v>
      </c>
      <c r="I280" s="43">
        <f>I75*(1+'Calc|Overheads'!O$27)</f>
        <v>0</v>
      </c>
      <c r="J280" s="43">
        <f>J75*(1+'Calc|Overheads'!P$27)</f>
        <v>0</v>
      </c>
      <c r="K280" s="43">
        <f>K75*(1+'Calc|Overheads'!Q$27)</f>
        <v>0</v>
      </c>
      <c r="L280" s="43">
        <f>L75*(1+'Calc|Overheads'!R$27)</f>
        <v>0</v>
      </c>
      <c r="M280" s="43">
        <f>M75*(1+'Calc|Overheads'!S$27)</f>
        <v>0</v>
      </c>
      <c r="N280" s="7"/>
      <c r="O280" s="7"/>
    </row>
    <row r="281" spans="1:15" x14ac:dyDescent="0.3">
      <c r="A281" s="7"/>
      <c r="B281" s="7"/>
      <c r="C281" s="158">
        <v>0</v>
      </c>
      <c r="D281" s="7"/>
      <c r="E281" s="38" t="s">
        <v>144</v>
      </c>
      <c r="F281" s="38" t="s">
        <v>326</v>
      </c>
      <c r="G281" s="38" t="str">
        <f>VLOOKUP(E281,Mapping!$E$11:$G$204,3,0)</f>
        <v>Augmentation</v>
      </c>
      <c r="H281" s="38" t="str">
        <f>VLOOKUP(E281,Mapping!$E$11:$K$204,7,0)</f>
        <v>SCS</v>
      </c>
      <c r="I281" s="43">
        <f>I76*(1+'Calc|Overheads'!O$27)</f>
        <v>1728.2514415145954</v>
      </c>
      <c r="J281" s="43">
        <f>J76*(1+'Calc|Overheads'!P$27)</f>
        <v>1719.9864807275117</v>
      </c>
      <c r="K281" s="43">
        <f>K76*(1+'Calc|Overheads'!Q$27)</f>
        <v>1722.5983651781098</v>
      </c>
      <c r="L281" s="43">
        <f>L76*(1+'Calc|Overheads'!R$27)</f>
        <v>1723.7109449355974</v>
      </c>
      <c r="M281" s="43">
        <f>M76*(1+'Calc|Overheads'!S$27)</f>
        <v>1731.0173449814004</v>
      </c>
      <c r="N281" s="7"/>
      <c r="O281" s="7"/>
    </row>
    <row r="282" spans="1:15" x14ac:dyDescent="0.3">
      <c r="A282" s="7"/>
      <c r="B282" s="7"/>
      <c r="C282" s="158">
        <v>0</v>
      </c>
      <c r="D282" s="7"/>
      <c r="E282" s="38" t="s">
        <v>145</v>
      </c>
      <c r="F282" s="38" t="s">
        <v>327</v>
      </c>
      <c r="G282" s="38" t="str">
        <f>VLOOKUP(E282,Mapping!$E$11:$G$204,3,0)</f>
        <v>Augmentation</v>
      </c>
      <c r="H282" s="38" t="str">
        <f>VLOOKUP(E282,Mapping!$E$11:$K$204,7,0)</f>
        <v>SCS</v>
      </c>
      <c r="I282" s="43">
        <f>I77*(1+'Calc|Overheads'!O$27)</f>
        <v>651.1515188314695</v>
      </c>
      <c r="J282" s="43">
        <f>J77*(1+'Calc|Overheads'!P$27)</f>
        <v>648.03753805279553</v>
      </c>
      <c r="K282" s="43">
        <f>K77*(1+'Calc|Overheads'!Q$27)</f>
        <v>649.02161507201026</v>
      </c>
      <c r="L282" s="43">
        <f>L77*(1+'Calc|Overheads'!R$27)</f>
        <v>649.44080060341321</v>
      </c>
      <c r="M282" s="43">
        <f>M77*(1+'Calc|Overheads'!S$27)</f>
        <v>652.19362543707598</v>
      </c>
      <c r="N282" s="7"/>
      <c r="O282" s="7"/>
    </row>
    <row r="283" spans="1:15" x14ac:dyDescent="0.3">
      <c r="A283" s="7"/>
      <c r="B283" s="7"/>
      <c r="C283" s="158">
        <v>0</v>
      </c>
      <c r="D283" s="7"/>
      <c r="E283" s="38" t="s">
        <v>146</v>
      </c>
      <c r="F283" s="38" t="s">
        <v>328</v>
      </c>
      <c r="G283" s="38" t="str">
        <f>VLOOKUP(E283,Mapping!$E$11:$G$204,3,0)</f>
        <v>VBRC</v>
      </c>
      <c r="H283" s="38" t="str">
        <f>VLOOKUP(E283,Mapping!$E$11:$K$204,7,0)</f>
        <v>SCS</v>
      </c>
      <c r="I283" s="43">
        <f>I78*(1+'Calc|Overheads'!O$27)</f>
        <v>0</v>
      </c>
      <c r="J283" s="43">
        <f>J78*(1+'Calc|Overheads'!P$27)</f>
        <v>0</v>
      </c>
      <c r="K283" s="43">
        <f>K78*(1+'Calc|Overheads'!Q$27)</f>
        <v>0</v>
      </c>
      <c r="L283" s="43">
        <f>L78*(1+'Calc|Overheads'!R$27)</f>
        <v>0</v>
      </c>
      <c r="M283" s="43">
        <f>M78*(1+'Calc|Overheads'!S$27)</f>
        <v>0</v>
      </c>
      <c r="N283" s="7"/>
      <c r="O283" s="7"/>
    </row>
    <row r="284" spans="1:15" x14ac:dyDescent="0.3">
      <c r="A284" s="7"/>
      <c r="B284" s="7"/>
      <c r="C284" s="158">
        <v>0</v>
      </c>
      <c r="D284" s="7"/>
      <c r="E284" s="38" t="s">
        <v>147</v>
      </c>
      <c r="F284" s="38" t="s">
        <v>329</v>
      </c>
      <c r="G284" s="38" t="str">
        <f>VLOOKUP(E284,Mapping!$E$11:$G$204,3,0)</f>
        <v>Augmentation</v>
      </c>
      <c r="H284" s="38" t="str">
        <f>VLOOKUP(E284,Mapping!$E$11:$K$204,7,0)</f>
        <v>SCS</v>
      </c>
      <c r="I284" s="43">
        <f>I79*(1+'Calc|Overheads'!O$27)</f>
        <v>353.86664257402384</v>
      </c>
      <c r="J284" s="43">
        <f>J79*(1+'Calc|Overheads'!P$27)</f>
        <v>352.17435761219667</v>
      </c>
      <c r="K284" s="43">
        <f>K79*(1+'Calc|Overheads'!Q$27)</f>
        <v>235.13943451610578</v>
      </c>
      <c r="L284" s="43">
        <f>L79*(1+'Calc|Overheads'!R$27)</f>
        <v>117.64565236292646</v>
      </c>
      <c r="M284" s="43">
        <f>M79*(1+'Calc|Overheads'!S$27)</f>
        <v>118.14432425587839</v>
      </c>
      <c r="N284" s="7"/>
      <c r="O284" s="7"/>
    </row>
    <row r="285" spans="1:15" x14ac:dyDescent="0.3">
      <c r="A285" s="7"/>
      <c r="B285" s="7"/>
      <c r="C285" s="158">
        <v>0</v>
      </c>
      <c r="D285" s="7"/>
      <c r="E285" s="38" t="s">
        <v>148</v>
      </c>
      <c r="F285" s="38" t="s">
        <v>330</v>
      </c>
      <c r="G285" s="134" t="s">
        <v>59</v>
      </c>
      <c r="H285" s="38" t="str">
        <f>VLOOKUP(E285,Mapping!$E$11:$K$204,7,0)</f>
        <v>SCS</v>
      </c>
      <c r="I285" s="43">
        <f>I80*(1+'Calc|Overheads'!O$27)</f>
        <v>0</v>
      </c>
      <c r="J285" s="43">
        <f>J80*(1+'Calc|Overheads'!P$27)</f>
        <v>0</v>
      </c>
      <c r="K285" s="43">
        <f>K80*(1+'Calc|Overheads'!Q$27)</f>
        <v>0</v>
      </c>
      <c r="L285" s="43">
        <f>L80*(1+'Calc|Overheads'!R$27)</f>
        <v>0</v>
      </c>
      <c r="M285" s="43">
        <f>M80*(1+'Calc|Overheads'!S$27)</f>
        <v>0</v>
      </c>
      <c r="N285" s="7"/>
      <c r="O285" s="7"/>
    </row>
    <row r="286" spans="1:15" x14ac:dyDescent="0.3">
      <c r="A286" s="7"/>
      <c r="B286" s="7"/>
      <c r="C286" s="158">
        <v>0</v>
      </c>
      <c r="D286" s="7"/>
      <c r="E286" s="38" t="s">
        <v>149</v>
      </c>
      <c r="F286" s="38" t="s">
        <v>331</v>
      </c>
      <c r="G286" s="134" t="s">
        <v>59</v>
      </c>
      <c r="H286" s="38" t="str">
        <f>VLOOKUP(E286,Mapping!$E$11:$K$204,7,0)</f>
        <v>SCS</v>
      </c>
      <c r="I286" s="43">
        <f>I81*(1+'Calc|Overheads'!O$27)</f>
        <v>0</v>
      </c>
      <c r="J286" s="43">
        <f>J81*(1+'Calc|Overheads'!P$27)</f>
        <v>0</v>
      </c>
      <c r="K286" s="43">
        <f>K81*(1+'Calc|Overheads'!Q$27)</f>
        <v>0</v>
      </c>
      <c r="L286" s="43">
        <f>L81*(1+'Calc|Overheads'!R$27)</f>
        <v>0</v>
      </c>
      <c r="M286" s="43">
        <f>M81*(1+'Calc|Overheads'!S$27)</f>
        <v>0</v>
      </c>
      <c r="N286" s="7"/>
      <c r="O286" s="7"/>
    </row>
    <row r="287" spans="1:15" x14ac:dyDescent="0.3">
      <c r="A287" s="7"/>
      <c r="B287" s="7"/>
      <c r="C287" s="158">
        <v>0</v>
      </c>
      <c r="D287" s="7"/>
      <c r="E287" s="38" t="s">
        <v>150</v>
      </c>
      <c r="F287" s="38" t="s">
        <v>332</v>
      </c>
      <c r="G287" s="38" t="str">
        <f>VLOOKUP(E287,Mapping!$E$11:$G$204,3,0)</f>
        <v>Replacement</v>
      </c>
      <c r="H287" s="38" t="str">
        <f>VLOOKUP(E287,Mapping!$E$11:$K$204,7,0)</f>
        <v>SCS</v>
      </c>
      <c r="I287" s="43">
        <f>I82*(1+'Calc|Overheads'!O$27)</f>
        <v>123.53499468750007</v>
      </c>
      <c r="J287" s="43">
        <f>J82*(1+'Calc|Overheads'!P$27)</f>
        <v>122.94421729111035</v>
      </c>
      <c r="K287" s="43">
        <f>K82*(1+'Calc|Overheads'!Q$27)</f>
        <v>123.13091415938909</v>
      </c>
      <c r="L287" s="43">
        <f>L82*(1+'Calc|Overheads'!R$27)</f>
        <v>123.21044109113589</v>
      </c>
      <c r="M287" s="43">
        <f>M82*(1+'Calc|Overheads'!S$27)</f>
        <v>123.73270079777443</v>
      </c>
      <c r="N287" s="7"/>
      <c r="O287" s="7"/>
    </row>
    <row r="288" spans="1:15" x14ac:dyDescent="0.3">
      <c r="A288" s="7"/>
      <c r="B288" s="7"/>
      <c r="C288" s="158">
        <v>0</v>
      </c>
      <c r="D288" s="7"/>
      <c r="E288" s="38" t="s">
        <v>151</v>
      </c>
      <c r="F288" s="38" t="s">
        <v>333</v>
      </c>
      <c r="G288" s="38" t="str">
        <f>VLOOKUP(E288,Mapping!$E$11:$G$204,3,0)</f>
        <v>Replacement</v>
      </c>
      <c r="H288" s="38" t="str">
        <f>VLOOKUP(E288,Mapping!$E$11:$K$204,7,0)</f>
        <v>SCS</v>
      </c>
      <c r="I288" s="43">
        <f>I83*(1+'Calc|Overheads'!O$27)</f>
        <v>18.429918993079752</v>
      </c>
      <c r="J288" s="43">
        <f>J83*(1+'Calc|Overheads'!P$27)</f>
        <v>18.341782189529084</v>
      </c>
      <c r="K288" s="43">
        <f>K83*(1+'Calc|Overheads'!Q$27)</f>
        <v>18.369635091998891</v>
      </c>
      <c r="L288" s="43">
        <f>L83*(1+'Calc|Overheads'!R$27)</f>
        <v>18.381499543149509</v>
      </c>
      <c r="M288" s="43">
        <f>M83*(1+'Calc|Overheads'!S$27)</f>
        <v>18.459414340580359</v>
      </c>
      <c r="N288" s="7"/>
      <c r="O288" s="7"/>
    </row>
    <row r="289" spans="1:15" x14ac:dyDescent="0.3">
      <c r="A289" s="7"/>
      <c r="B289" s="7"/>
      <c r="C289" s="158">
        <v>0</v>
      </c>
      <c r="D289" s="7"/>
      <c r="E289" s="38" t="s">
        <v>152</v>
      </c>
      <c r="F289" s="38" t="s">
        <v>334</v>
      </c>
      <c r="G289" s="38" t="str">
        <f>VLOOKUP(E289,Mapping!$E$11:$G$204,3,0)</f>
        <v>Augmentation</v>
      </c>
      <c r="H289" s="38" t="str">
        <f>VLOOKUP(E289,Mapping!$E$11:$K$204,7,0)</f>
        <v>SCS</v>
      </c>
      <c r="I289" s="43">
        <f>I84*(1+'Calc|Overheads'!O$27)</f>
        <v>603.04778390211789</v>
      </c>
      <c r="J289" s="43">
        <f>J84*(1+'Calc|Overheads'!P$27)</f>
        <v>600.16384805403277</v>
      </c>
      <c r="K289" s="43">
        <f>K84*(1+'Calc|Overheads'!Q$27)</f>
        <v>601.07522650968224</v>
      </c>
      <c r="L289" s="43">
        <f>L84*(1+'Calc|Overheads'!R$27)</f>
        <v>601.46344476372235</v>
      </c>
      <c r="M289" s="43">
        <f>M84*(1+'Calc|Overheads'!S$27)</f>
        <v>604.0129050159079</v>
      </c>
      <c r="N289" s="7"/>
      <c r="O289" s="7"/>
    </row>
    <row r="290" spans="1:15" x14ac:dyDescent="0.3">
      <c r="A290" s="7"/>
      <c r="B290" s="7"/>
      <c r="C290" s="158">
        <v>0</v>
      </c>
      <c r="D290" s="7"/>
      <c r="E290" s="165" t="s">
        <v>152</v>
      </c>
      <c r="F290" s="165" t="s">
        <v>334</v>
      </c>
      <c r="G290" s="167" t="s">
        <v>29</v>
      </c>
      <c r="H290" s="38" t="str">
        <f>VLOOKUP(E290,Mapping!$E$11:$K$204,7,0)</f>
        <v>SCS</v>
      </c>
      <c r="I290" s="43">
        <f>I85*(1+'Calc|Overheads'!O$27)</f>
        <v>662.85409463587575</v>
      </c>
      <c r="J290" s="43">
        <f>J85*(1+'Calc|Overheads'!P$27)</f>
        <v>659.68414900868038</v>
      </c>
      <c r="K290" s="43">
        <f>K85*(1+'Calc|Overheads'!Q$27)</f>
        <v>660.68591198205741</v>
      </c>
      <c r="L290" s="43">
        <f>L85*(1+'Calc|Overheads'!R$27)</f>
        <v>661.11263116778719</v>
      </c>
      <c r="M290" s="43">
        <f>M85*(1+'Calc|Overheads'!S$27)</f>
        <v>663.91493011056366</v>
      </c>
      <c r="N290" s="7"/>
      <c r="O290" s="7"/>
    </row>
    <row r="291" spans="1:15" x14ac:dyDescent="0.3">
      <c r="A291" s="7"/>
      <c r="B291" s="7"/>
      <c r="C291" s="158">
        <v>0</v>
      </c>
      <c r="D291" s="7"/>
      <c r="E291" s="38" t="s">
        <v>153</v>
      </c>
      <c r="F291" s="38" t="s">
        <v>335</v>
      </c>
      <c r="G291" s="38" t="str">
        <f>VLOOKUP(E291,Mapping!$E$11:$G$204,3,0)</f>
        <v>Augmentation</v>
      </c>
      <c r="H291" s="38" t="str">
        <f>VLOOKUP(E291,Mapping!$E$11:$K$204,7,0)</f>
        <v>SCS</v>
      </c>
      <c r="I291" s="43">
        <f>I86*(1+'Calc|Overheads'!O$27)</f>
        <v>2.2685429757320739</v>
      </c>
      <c r="J291" s="43">
        <f>J86*(1+'Calc|Overheads'!P$27)</f>
        <v>2.2576941962733348</v>
      </c>
      <c r="K291" s="43">
        <f>K86*(1+'Calc|Overheads'!Q$27)</f>
        <v>2.2611226164565896</v>
      </c>
      <c r="L291" s="43">
        <f>L86*(1+'Calc|Overheads'!R$27)</f>
        <v>2.2625830144826882</v>
      </c>
      <c r="M291" s="43">
        <f>M86*(1+'Calc|Overheads'!S$27)</f>
        <v>2.2721735648526442</v>
      </c>
      <c r="N291" s="7"/>
      <c r="O291" s="7"/>
    </row>
    <row r="292" spans="1:15" x14ac:dyDescent="0.3">
      <c r="A292" s="7"/>
      <c r="B292" s="7"/>
      <c r="C292" s="158">
        <v>0</v>
      </c>
      <c r="D292" s="7"/>
      <c r="E292" s="38" t="s">
        <v>154</v>
      </c>
      <c r="F292" s="38" t="s">
        <v>336</v>
      </c>
      <c r="G292" s="38" t="str">
        <f>VLOOKUP(E292,Mapping!$E$11:$G$204,3,0)</f>
        <v>Augmentation</v>
      </c>
      <c r="H292" s="38" t="str">
        <f>VLOOKUP(E292,Mapping!$E$11:$K$204,7,0)</f>
        <v>SCADA (10-year asset)</v>
      </c>
      <c r="I292" s="43">
        <f>I87*(1+'Calc|Overheads'!O$27)</f>
        <v>0</v>
      </c>
      <c r="J292" s="43">
        <f>J87*(1+'Calc|Overheads'!P$27)</f>
        <v>0</v>
      </c>
      <c r="K292" s="43">
        <f>K87*(1+'Calc|Overheads'!Q$27)</f>
        <v>0</v>
      </c>
      <c r="L292" s="43">
        <f>L87*(1+'Calc|Overheads'!R$27)</f>
        <v>0</v>
      </c>
      <c r="M292" s="43">
        <f>M87*(1+'Calc|Overheads'!S$27)</f>
        <v>0</v>
      </c>
      <c r="N292" s="7"/>
      <c r="O292" s="7"/>
    </row>
    <row r="293" spans="1:15" x14ac:dyDescent="0.3">
      <c r="A293" s="7"/>
      <c r="B293" s="7"/>
      <c r="C293" s="158">
        <v>0</v>
      </c>
      <c r="D293" s="7"/>
      <c r="E293" s="38" t="s">
        <v>155</v>
      </c>
      <c r="F293" s="38" t="s">
        <v>337</v>
      </c>
      <c r="G293" s="38" t="str">
        <f>VLOOKUP(E293,Mapping!$E$11:$G$204,3,0)</f>
        <v>Replacement</v>
      </c>
      <c r="H293" s="38" t="str">
        <f>VLOOKUP(E293,Mapping!$E$11:$K$204,7,0)</f>
        <v>SCS</v>
      </c>
      <c r="I293" s="43">
        <f>I88*(1+'Calc|Overheads'!O$27)</f>
        <v>687.41815871580593</v>
      </c>
      <c r="J293" s="43">
        <f>J88*(1+'Calc|Overheads'!P$27)</f>
        <v>745.73146706268165</v>
      </c>
      <c r="K293" s="43">
        <f>K88*(1+'Calc|Overheads'!Q$27)</f>
        <v>808.55816678627696</v>
      </c>
      <c r="L293" s="43">
        <f>L88*(1+'Calc|Overheads'!R$27)</f>
        <v>870.81450897625643</v>
      </c>
      <c r="M293" s="43">
        <f>M88*(1+'Calc|Overheads'!S$27)</f>
        <v>936.50147674115055</v>
      </c>
      <c r="N293" s="7"/>
      <c r="O293" s="7"/>
    </row>
    <row r="294" spans="1:15" x14ac:dyDescent="0.3">
      <c r="A294" s="7"/>
      <c r="B294" s="7"/>
      <c r="C294" s="158">
        <v>0</v>
      </c>
      <c r="D294" s="7"/>
      <c r="E294" s="38" t="s">
        <v>156</v>
      </c>
      <c r="F294" s="38" t="s">
        <v>338</v>
      </c>
      <c r="G294" s="168" t="s">
        <v>59</v>
      </c>
      <c r="H294" s="38" t="str">
        <f>VLOOKUP(E294,Mapping!$E$11:$K$204,7,0)</f>
        <v>SCS</v>
      </c>
      <c r="I294" s="43">
        <f>I89*(1+'Calc|Overheads'!O$27)</f>
        <v>0</v>
      </c>
      <c r="J294" s="43">
        <f>J89*(1+'Calc|Overheads'!P$27)</f>
        <v>0</v>
      </c>
      <c r="K294" s="43">
        <f>K89*(1+'Calc|Overheads'!Q$27)</f>
        <v>0</v>
      </c>
      <c r="L294" s="43">
        <f>L89*(1+'Calc|Overheads'!R$27)</f>
        <v>0</v>
      </c>
      <c r="M294" s="43">
        <f>M89*(1+'Calc|Overheads'!S$27)</f>
        <v>0</v>
      </c>
      <c r="N294" s="7"/>
      <c r="O294" s="7"/>
    </row>
    <row r="295" spans="1:15" x14ac:dyDescent="0.3">
      <c r="A295" s="7"/>
      <c r="B295" s="7"/>
      <c r="C295" s="158">
        <v>0</v>
      </c>
      <c r="D295" s="7"/>
      <c r="E295" s="38" t="s">
        <v>157</v>
      </c>
      <c r="F295" s="38" t="s">
        <v>16</v>
      </c>
      <c r="G295" s="38" t="str">
        <f>VLOOKUP(E295,Mapping!$E$11:$G$204,3,0)</f>
        <v>Replacement</v>
      </c>
      <c r="H295" s="38" t="str">
        <f>VLOOKUP(E295,Mapping!$E$11:$K$204,7,0)</f>
        <v>SCS</v>
      </c>
      <c r="I295" s="43">
        <f>I90*(1+'Calc|Overheads'!O$27)</f>
        <v>236.41729844319124</v>
      </c>
      <c r="J295" s="43">
        <f>J90*(1+'Calc|Overheads'!P$27)</f>
        <v>235.28668766857572</v>
      </c>
      <c r="K295" s="43">
        <f>K90*(1+'Calc|Overheads'!Q$27)</f>
        <v>235.64398212864285</v>
      </c>
      <c r="L295" s="43">
        <f>L90*(1+'Calc|Overheads'!R$27)</f>
        <v>235.79617821206531</v>
      </c>
      <c r="M295" s="43">
        <f>M90*(1+'Calc|Overheads'!S$27)</f>
        <v>236.79566203639826</v>
      </c>
      <c r="N295" s="7"/>
      <c r="O295" s="7"/>
    </row>
    <row r="296" spans="1:15" x14ac:dyDescent="0.3">
      <c r="A296" s="7"/>
      <c r="B296" s="7"/>
      <c r="C296" s="158">
        <v>0</v>
      </c>
      <c r="D296" s="7"/>
      <c r="E296" s="38" t="s">
        <v>158</v>
      </c>
      <c r="F296" s="38" t="s">
        <v>339</v>
      </c>
      <c r="G296" s="38" t="str">
        <f>VLOOKUP(E296,Mapping!$E$11:$G$204,3,0)</f>
        <v>Replacement</v>
      </c>
      <c r="H296" s="38" t="str">
        <f>VLOOKUP(E296,Mapping!$E$11:$K$204,7,0)</f>
        <v>SCS</v>
      </c>
      <c r="I296" s="43">
        <f>I91*(1+'Calc|Overheads'!O$27)</f>
        <v>91.678255094562402</v>
      </c>
      <c r="J296" s="43">
        <f>J91*(1+'Calc|Overheads'!P$27)</f>
        <v>91.23982515017839</v>
      </c>
      <c r="K296" s="43">
        <f>K91*(1+'Calc|Overheads'!Q$27)</f>
        <v>91.37837733256778</v>
      </c>
      <c r="L296" s="43">
        <f>L91*(1+'Calc|Overheads'!R$27)</f>
        <v>91.437396158399395</v>
      </c>
      <c r="M296" s="43">
        <f>M91*(1+'Calc|Overheads'!S$27)</f>
        <v>91.824977497047101</v>
      </c>
      <c r="N296" s="7"/>
      <c r="O296" s="7"/>
    </row>
    <row r="297" spans="1:15" x14ac:dyDescent="0.3">
      <c r="A297" s="7"/>
      <c r="B297" s="7"/>
      <c r="C297" s="158">
        <v>0</v>
      </c>
      <c r="D297" s="7"/>
      <c r="E297" s="38" t="s">
        <v>159</v>
      </c>
      <c r="F297" s="38" t="s">
        <v>340</v>
      </c>
      <c r="G297" s="38" t="str">
        <f>VLOOKUP(E297,Mapping!$E$11:$G$204,3,0)</f>
        <v>Replacement</v>
      </c>
      <c r="H297" s="38" t="str">
        <f>VLOOKUP(E297,Mapping!$E$11:$K$204,7,0)</f>
        <v>SCS</v>
      </c>
      <c r="I297" s="43">
        <f>I92*(1+'Calc|Overheads'!O$27)</f>
        <v>0</v>
      </c>
      <c r="J297" s="43">
        <f>J92*(1+'Calc|Overheads'!P$27)</f>
        <v>0</v>
      </c>
      <c r="K297" s="43">
        <f>K92*(1+'Calc|Overheads'!Q$27)</f>
        <v>0</v>
      </c>
      <c r="L297" s="43">
        <f>L92*(1+'Calc|Overheads'!R$27)</f>
        <v>0</v>
      </c>
      <c r="M297" s="43">
        <f>M92*(1+'Calc|Overheads'!S$27)</f>
        <v>0</v>
      </c>
      <c r="N297" s="7"/>
      <c r="O297" s="7"/>
    </row>
    <row r="298" spans="1:15" x14ac:dyDescent="0.3">
      <c r="A298" s="7"/>
      <c r="B298" s="7"/>
      <c r="C298" s="158">
        <v>0</v>
      </c>
      <c r="D298" s="7"/>
      <c r="E298" s="38" t="s">
        <v>160</v>
      </c>
      <c r="F298" s="38" t="s">
        <v>341</v>
      </c>
      <c r="G298" s="38" t="str">
        <f>VLOOKUP(E298,Mapping!$E$11:$G$204,3,0)</f>
        <v>Augmentation</v>
      </c>
      <c r="H298" s="38" t="str">
        <f>VLOOKUP(E298,Mapping!$E$11:$K$204,7,0)</f>
        <v>SCS</v>
      </c>
      <c r="I298" s="43">
        <f>I93*(1+'Calc|Overheads'!O$27)</f>
        <v>2653.3021406128669</v>
      </c>
      <c r="J298" s="43">
        <f>J93*(1+'Calc|Overheads'!P$27)</f>
        <v>3370.9957718269889</v>
      </c>
      <c r="K298" s="43">
        <f>K93*(1+'Calc|Overheads'!Q$27)</f>
        <v>3066.6394477261842</v>
      </c>
      <c r="L298" s="43">
        <f>L93*(1+'Calc|Overheads'!R$27)</f>
        <v>3265.685507000635</v>
      </c>
      <c r="M298" s="43">
        <f>M93*(1+'Calc|Overheads'!S$27)</f>
        <v>2657.5485004959924</v>
      </c>
      <c r="N298" s="7"/>
      <c r="O298" s="7"/>
    </row>
    <row r="299" spans="1:15" x14ac:dyDescent="0.3">
      <c r="A299" s="7"/>
      <c r="B299" s="7"/>
      <c r="C299" s="158">
        <v>0</v>
      </c>
      <c r="D299" s="7"/>
      <c r="E299" s="38" t="s">
        <v>161</v>
      </c>
      <c r="F299" s="38" t="s">
        <v>342</v>
      </c>
      <c r="G299" s="38" t="str">
        <f>VLOOKUP(E299,Mapping!$E$11:$G$204,3,0)</f>
        <v>Augmentation</v>
      </c>
      <c r="H299" s="38" t="str">
        <f>VLOOKUP(E299,Mapping!$E$11:$K$204,7,0)</f>
        <v>SCS</v>
      </c>
      <c r="I299" s="43">
        <f>I94*(1+'Calc|Overheads'!O$27)</f>
        <v>484.85038032279874</v>
      </c>
      <c r="J299" s="43">
        <f>J94*(1+'Calc|Overheads'!P$27)</f>
        <v>413.51285895614433</v>
      </c>
      <c r="K299" s="43">
        <f>K94*(1+'Calc|Overheads'!Q$27)</f>
        <v>0</v>
      </c>
      <c r="L299" s="43">
        <f>L94*(1+'Calc|Overheads'!R$27)</f>
        <v>0</v>
      </c>
      <c r="M299" s="43">
        <f>M94*(1+'Calc|Overheads'!S$27)</f>
        <v>45.904977189621555</v>
      </c>
      <c r="N299" s="7"/>
      <c r="O299" s="7"/>
    </row>
    <row r="300" spans="1:15" x14ac:dyDescent="0.3">
      <c r="A300" s="7"/>
      <c r="B300" s="7"/>
      <c r="C300" s="158">
        <v>1</v>
      </c>
      <c r="D300" s="7"/>
      <c r="E300" s="38" t="s">
        <v>162</v>
      </c>
      <c r="F300" s="38" t="s">
        <v>343</v>
      </c>
      <c r="G300" s="38" t="str">
        <f>VLOOKUP(E300,Mapping!$E$11:$G$204,3,0)</f>
        <v>Replacement</v>
      </c>
      <c r="H300" s="38" t="str">
        <f>VLOOKUP(E300,Mapping!$E$11:$K$204,7,0)</f>
        <v>SCADA (10-year asset)</v>
      </c>
      <c r="I300" s="43">
        <f>I95*(1+'Calc|Overheads'!O$27)</f>
        <v>6412.3776528408907</v>
      </c>
      <c r="J300" s="43">
        <f>J95*(1+'Calc|Overheads'!P$27)</f>
        <v>5881.0286125326365</v>
      </c>
      <c r="K300" s="43">
        <f>K95*(1+'Calc|Overheads'!Q$27)</f>
        <v>4631.8666977295698</v>
      </c>
      <c r="L300" s="43">
        <f>L95*(1+'Calc|Overheads'!R$27)</f>
        <v>6993.2996857079643</v>
      </c>
      <c r="M300" s="43">
        <f>M95*(1+'Calc|Overheads'!S$27)</f>
        <v>5704.502768785338</v>
      </c>
      <c r="N300" s="7"/>
      <c r="O300" s="7"/>
    </row>
    <row r="301" spans="1:15" x14ac:dyDescent="0.3">
      <c r="A301" s="7"/>
      <c r="B301" s="7"/>
      <c r="C301" s="158">
        <v>1</v>
      </c>
      <c r="D301" s="7"/>
      <c r="E301" s="38" t="s">
        <v>163</v>
      </c>
      <c r="F301" s="38" t="s">
        <v>344</v>
      </c>
      <c r="G301" s="38" t="str">
        <f>VLOOKUP(E301,Mapping!$E$11:$G$204,3,0)</f>
        <v>Replacement</v>
      </c>
      <c r="H301" s="38" t="str">
        <f>VLOOKUP(E301,Mapping!$E$11:$K$204,7,0)</f>
        <v>SCS</v>
      </c>
      <c r="I301" s="43">
        <f>I96*(1+'Calc|Overheads'!O$27)</f>
        <v>790.15309949564607</v>
      </c>
      <c r="J301" s="43">
        <f>J96*(1+'Calc|Overheads'!P$27)</f>
        <v>786.37437596835593</v>
      </c>
      <c r="K301" s="43">
        <f>K96*(1+'Calc|Overheads'!Q$27)</f>
        <v>787.56852431077311</v>
      </c>
      <c r="L301" s="43">
        <f>L96*(1+'Calc|Overheads'!R$27)</f>
        <v>788.07719354876565</v>
      </c>
      <c r="M301" s="43">
        <f>M96*(1+'Calc|Overheads'!S$27)</f>
        <v>791.41766502396194</v>
      </c>
      <c r="N301" s="7"/>
      <c r="O301" s="7"/>
    </row>
    <row r="302" spans="1:15" x14ac:dyDescent="0.3">
      <c r="A302" s="7"/>
      <c r="B302" s="7"/>
      <c r="C302" s="158">
        <v>1</v>
      </c>
      <c r="D302" s="7"/>
      <c r="E302" s="38" t="s">
        <v>164</v>
      </c>
      <c r="F302" s="38" t="s">
        <v>345</v>
      </c>
      <c r="G302" s="38" t="str">
        <f>VLOOKUP(E302,Mapping!$E$11:$G$204,3,0)</f>
        <v>Replacement</v>
      </c>
      <c r="H302" s="38" t="str">
        <f>VLOOKUP(E302,Mapping!$E$11:$K$204,7,0)</f>
        <v>SCS</v>
      </c>
      <c r="I302" s="43">
        <f>I97*(1+'Calc|Overheads'!O$27)</f>
        <v>441.01577243738933</v>
      </c>
      <c r="J302" s="43">
        <f>J97*(1+'Calc|Overheads'!P$27)</f>
        <v>438.90671701980142</v>
      </c>
      <c r="K302" s="43">
        <f>K97*(1+'Calc|Overheads'!Q$27)</f>
        <v>439.57321855472179</v>
      </c>
      <c r="L302" s="43">
        <f>L97*(1+'Calc|Overheads'!R$27)</f>
        <v>439.85712702391794</v>
      </c>
      <c r="M302" s="43">
        <f>M97*(1+'Calc|Overheads'!S$27)</f>
        <v>441.7215765956264</v>
      </c>
      <c r="N302" s="7"/>
      <c r="O302" s="7"/>
    </row>
    <row r="303" spans="1:15" x14ac:dyDescent="0.3">
      <c r="A303" s="7"/>
      <c r="B303" s="7"/>
      <c r="C303" s="158">
        <v>1</v>
      </c>
      <c r="D303" s="7"/>
      <c r="E303" s="38" t="s">
        <v>165</v>
      </c>
      <c r="F303" s="38" t="s">
        <v>346</v>
      </c>
      <c r="G303" s="38" t="str">
        <f>VLOOKUP(E303,Mapping!$E$11:$G$204,3,0)</f>
        <v>Replacement</v>
      </c>
      <c r="H303" s="38" t="str">
        <f>VLOOKUP(E303,Mapping!$E$11:$K$204,7,0)</f>
        <v>SCS</v>
      </c>
      <c r="I303" s="43">
        <f>I98*(1+'Calc|Overheads'!O$27)</f>
        <v>621.06919747625614</v>
      </c>
      <c r="J303" s="43">
        <f>J98*(1+'Calc|Overheads'!P$27)</f>
        <v>618.09907840682945</v>
      </c>
      <c r="K303" s="43">
        <f>K98*(1+'Calc|Overheads'!Q$27)</f>
        <v>619.03769239589803</v>
      </c>
      <c r="L303" s="43">
        <f>L98*(1+'Calc|Overheads'!R$27)</f>
        <v>619.4375121214963</v>
      </c>
      <c r="M303" s="43">
        <f>M98*(1+'Calc|Overheads'!S$27)</f>
        <v>622.06316016314383</v>
      </c>
      <c r="N303" s="7"/>
      <c r="O303" s="7"/>
    </row>
    <row r="304" spans="1:15" x14ac:dyDescent="0.3">
      <c r="A304" s="7"/>
      <c r="B304" s="7"/>
      <c r="C304" s="158">
        <v>0</v>
      </c>
      <c r="D304" s="7"/>
      <c r="E304" s="38" t="s">
        <v>166</v>
      </c>
      <c r="F304" s="38" t="s">
        <v>347</v>
      </c>
      <c r="G304" s="38" t="str">
        <f>VLOOKUP(E304,Mapping!$E$11:$G$204,3,0)</f>
        <v>Replacement</v>
      </c>
      <c r="H304" s="38" t="str">
        <f>VLOOKUP(E304,Mapping!$E$11:$K$204,7,0)</f>
        <v>SCS</v>
      </c>
      <c r="I304" s="43">
        <f>I99*(1+'Calc|Overheads'!O$27)</f>
        <v>1906.340882144985</v>
      </c>
      <c r="J304" s="43">
        <f>J99*(1+'Calc|Overheads'!P$27)</f>
        <v>1897.2242500049679</v>
      </c>
      <c r="K304" s="43">
        <f>K99*(1+'Calc|Overheads'!Q$27)</f>
        <v>1900.1052787650253</v>
      </c>
      <c r="L304" s="43">
        <f>L99*(1+'Calc|Overheads'!R$27)</f>
        <v>1901.3325054436193</v>
      </c>
      <c r="M304" s="43">
        <f>M99*(1+'Calc|Overheads'!S$27)</f>
        <v>1909.3918009685885</v>
      </c>
      <c r="N304" s="7"/>
      <c r="O304" s="7"/>
    </row>
    <row r="305" spans="1:15" x14ac:dyDescent="0.3">
      <c r="A305" s="7"/>
      <c r="B305" s="7"/>
      <c r="C305" s="158">
        <v>1</v>
      </c>
      <c r="D305" s="7"/>
      <c r="E305" s="38" t="s">
        <v>167</v>
      </c>
      <c r="F305" s="38" t="s">
        <v>348</v>
      </c>
      <c r="G305" s="38" t="str">
        <f>VLOOKUP(E305,Mapping!$E$11:$G$204,3,0)</f>
        <v>Replacement</v>
      </c>
      <c r="H305" s="38" t="str">
        <f>VLOOKUP(E305,Mapping!$E$11:$K$204,7,0)</f>
        <v>SCS</v>
      </c>
      <c r="I305" s="43">
        <f>I100*(1+'Calc|Overheads'!O$27)</f>
        <v>419.60791424641354</v>
      </c>
      <c r="J305" s="43">
        <f>J100*(1+'Calc|Overheads'!P$27)</f>
        <v>417.60123693436844</v>
      </c>
      <c r="K305" s="43">
        <f>K100*(1+'Calc|Overheads'!Q$27)</f>
        <v>418.23538504513618</v>
      </c>
      <c r="L305" s="43">
        <f>L100*(1+'Calc|Overheads'!R$27)</f>
        <v>418.50551198399347</v>
      </c>
      <c r="M305" s="43">
        <f>M100*(1+'Calc|Overheads'!S$27)</f>
        <v>420.27945714626833</v>
      </c>
      <c r="N305" s="7"/>
      <c r="O305" s="7"/>
    </row>
    <row r="306" spans="1:15" x14ac:dyDescent="0.3">
      <c r="A306" s="7"/>
      <c r="B306" s="7"/>
      <c r="C306" s="158">
        <v>0</v>
      </c>
      <c r="D306" s="7"/>
      <c r="E306" s="38" t="s">
        <v>168</v>
      </c>
      <c r="F306" s="38" t="s">
        <v>349</v>
      </c>
      <c r="G306" s="38" t="str">
        <f>VLOOKUP(E306,Mapping!$E$11:$G$204,3,0)</f>
        <v>Replacement</v>
      </c>
      <c r="H306" s="38" t="str">
        <f>VLOOKUP(E306,Mapping!$E$11:$K$204,7,0)</f>
        <v>SCS</v>
      </c>
      <c r="I306" s="43">
        <f>I101*(1+'Calc|Overheads'!O$27)</f>
        <v>1679.6237610776197</v>
      </c>
      <c r="J306" s="43">
        <f>J101*(1+'Calc|Overheads'!P$27)</f>
        <v>1671.5913508687242</v>
      </c>
      <c r="K306" s="43">
        <f>K101*(1+'Calc|Overheads'!Q$27)</f>
        <v>1674.1297449235667</v>
      </c>
      <c r="L306" s="43">
        <f>L101*(1+'Calc|Overheads'!R$27)</f>
        <v>1675.2110201083467</v>
      </c>
      <c r="M306" s="43">
        <f>M101*(1+'Calc|Overheads'!S$27)</f>
        <v>1682.3118405272289</v>
      </c>
      <c r="N306" s="7"/>
      <c r="O306" s="7"/>
    </row>
    <row r="307" spans="1:15" x14ac:dyDescent="0.3">
      <c r="A307" s="7"/>
      <c r="B307" s="7"/>
      <c r="C307" s="158">
        <v>1</v>
      </c>
      <c r="D307" s="7"/>
      <c r="E307" s="38" t="s">
        <v>169</v>
      </c>
      <c r="F307" s="38" t="s">
        <v>350</v>
      </c>
      <c r="G307" s="38" t="str">
        <f>VLOOKUP(E307,Mapping!$E$11:$G$204,3,0)</f>
        <v>Replacement</v>
      </c>
      <c r="H307" s="38" t="str">
        <f>VLOOKUP(E307,Mapping!$E$11:$K$204,7,0)</f>
        <v>SCS</v>
      </c>
      <c r="I307" s="43">
        <f>I102*(1+'Calc|Overheads'!O$27)</f>
        <v>136.60027403952236</v>
      </c>
      <c r="J307" s="43">
        <f>J102*(1+'Calc|Overheads'!P$27)</f>
        <v>135.94701498165512</v>
      </c>
      <c r="K307" s="43">
        <f>K102*(1+'Calc|Overheads'!Q$27)</f>
        <v>136.15345724065801</v>
      </c>
      <c r="L307" s="43">
        <f>L102*(1+'Calc|Overheads'!R$27)</f>
        <v>136.24139508124816</v>
      </c>
      <c r="M307" s="43">
        <f>M102*(1+'Calc|Overheads'!S$27)</f>
        <v>136.81888989741009</v>
      </c>
      <c r="N307" s="7"/>
      <c r="O307" s="7"/>
    </row>
    <row r="308" spans="1:15" x14ac:dyDescent="0.3">
      <c r="A308" s="7"/>
      <c r="B308" s="7"/>
      <c r="C308" s="158">
        <v>1</v>
      </c>
      <c r="D308" s="7"/>
      <c r="E308" s="38" t="s">
        <v>170</v>
      </c>
      <c r="F308" s="38" t="s">
        <v>351</v>
      </c>
      <c r="G308" s="38" t="str">
        <f>VLOOKUP(E308,Mapping!$E$11:$G$204,3,0)</f>
        <v>Replacement</v>
      </c>
      <c r="H308" s="38" t="str">
        <f>VLOOKUP(E308,Mapping!$E$11:$K$204,7,0)</f>
        <v>SCS</v>
      </c>
      <c r="I308" s="43">
        <f>I103*(1+'Calc|Overheads'!O$27)</f>
        <v>0</v>
      </c>
      <c r="J308" s="43">
        <f>J103*(1+'Calc|Overheads'!P$27)</f>
        <v>0</v>
      </c>
      <c r="K308" s="43">
        <f>K103*(1+'Calc|Overheads'!Q$27)</f>
        <v>0</v>
      </c>
      <c r="L308" s="43">
        <f>L103*(1+'Calc|Overheads'!R$27)</f>
        <v>0</v>
      </c>
      <c r="M308" s="43">
        <f>M103*(1+'Calc|Overheads'!S$27)</f>
        <v>0</v>
      </c>
      <c r="N308" s="7"/>
      <c r="O308" s="7"/>
    </row>
    <row r="309" spans="1:15" x14ac:dyDescent="0.3">
      <c r="A309" s="7"/>
      <c r="B309" s="7"/>
      <c r="C309" s="158">
        <v>1</v>
      </c>
      <c r="D309" s="7"/>
      <c r="E309" s="38" t="s">
        <v>171</v>
      </c>
      <c r="F309" s="38" t="s">
        <v>352</v>
      </c>
      <c r="G309" s="38" t="str">
        <f>VLOOKUP(E309,Mapping!$E$11:$G$204,3,0)</f>
        <v>Replacement</v>
      </c>
      <c r="H309" s="38" t="str">
        <f>VLOOKUP(E309,Mapping!$E$11:$K$204,7,0)</f>
        <v>SCS</v>
      </c>
      <c r="I309" s="43">
        <f>I104*(1+'Calc|Overheads'!O$27)</f>
        <v>1408.6827851980088</v>
      </c>
      <c r="J309" s="43">
        <f>J104*(1+'Calc|Overheads'!P$27)</f>
        <v>1401.9460872260411</v>
      </c>
      <c r="K309" s="43">
        <f>K104*(1+'Calc|Overheads'!Q$27)</f>
        <v>1404.0750116256409</v>
      </c>
      <c r="L309" s="43">
        <f>L104*(1+'Calc|Overheads'!R$27)</f>
        <v>1404.9818657522364</v>
      </c>
      <c r="M309" s="43">
        <f>M104*(1+'Calc|Overheads'!S$27)</f>
        <v>1410.9372491640813</v>
      </c>
      <c r="N309" s="7"/>
      <c r="O309" s="7"/>
    </row>
    <row r="310" spans="1:15" x14ac:dyDescent="0.3">
      <c r="A310" s="7"/>
      <c r="B310" s="7"/>
      <c r="C310" s="158">
        <v>1</v>
      </c>
      <c r="D310" s="7"/>
      <c r="E310" s="38" t="s">
        <v>172</v>
      </c>
      <c r="F310" s="38" t="s">
        <v>353</v>
      </c>
      <c r="G310" s="38" t="str">
        <f>VLOOKUP(E310,Mapping!$E$11:$G$204,3,0)</f>
        <v>Replacement</v>
      </c>
      <c r="H310" s="38" t="str">
        <f>VLOOKUP(E310,Mapping!$E$11:$K$204,7,0)</f>
        <v>SCS</v>
      </c>
      <c r="I310" s="43">
        <f>I105*(1+'Calc|Overheads'!O$27)</f>
        <v>1433.1340715745509</v>
      </c>
      <c r="J310" s="43">
        <f>J105*(1+'Calc|Overheads'!P$27)</f>
        <v>1426.2804410091878</v>
      </c>
      <c r="K310" s="43">
        <f>K105*(1+'Calc|Overheads'!Q$27)</f>
        <v>1428.4463183272983</v>
      </c>
      <c r="L310" s="43">
        <f>L105*(1+'Calc|Overheads'!R$27)</f>
        <v>1429.3689132226348</v>
      </c>
      <c r="M310" s="43">
        <f>M105*(1+'Calc|Overheads'!S$27)</f>
        <v>1435.4276675188371</v>
      </c>
      <c r="N310" s="7"/>
      <c r="O310" s="7"/>
    </row>
    <row r="311" spans="1:15" x14ac:dyDescent="0.3">
      <c r="A311" s="7"/>
      <c r="B311" s="7"/>
      <c r="C311" s="158">
        <v>1</v>
      </c>
      <c r="D311" s="7"/>
      <c r="E311" s="38" t="s">
        <v>173</v>
      </c>
      <c r="F311" s="38" t="s">
        <v>354</v>
      </c>
      <c r="G311" s="38" t="str">
        <f>VLOOKUP(E311,Mapping!$E$11:$G$204,3,0)</f>
        <v>Replacement</v>
      </c>
      <c r="H311" s="38" t="str">
        <f>VLOOKUP(E311,Mapping!$E$11:$K$204,7,0)</f>
        <v>SCS</v>
      </c>
      <c r="I311" s="43">
        <f>I106*(1+'Calc|Overheads'!O$27)</f>
        <v>6.7541765201377881</v>
      </c>
      <c r="J311" s="43">
        <f>J106*(1+'Calc|Overheads'!P$27)</f>
        <v>6.7218762409382187</v>
      </c>
      <c r="K311" s="43">
        <f>K106*(1+'Calc|Overheads'!Q$27)</f>
        <v>6.7320837421187658</v>
      </c>
      <c r="L311" s="43">
        <f>L106*(1+'Calc|Overheads'!R$27)</f>
        <v>6.7364318131773482</v>
      </c>
      <c r="M311" s="43">
        <f>M106*(1+'Calc|Overheads'!S$27)</f>
        <v>6.7649859427737038</v>
      </c>
      <c r="N311" s="7"/>
      <c r="O311" s="7"/>
    </row>
    <row r="312" spans="1:15" x14ac:dyDescent="0.3">
      <c r="A312" s="7"/>
      <c r="B312" s="7"/>
      <c r="C312" s="158">
        <v>1</v>
      </c>
      <c r="D312" s="7"/>
      <c r="E312" s="38" t="s">
        <v>174</v>
      </c>
      <c r="F312" s="38" t="s">
        <v>355</v>
      </c>
      <c r="G312" s="38" t="str">
        <f>VLOOKUP(E312,Mapping!$E$11:$G$204,3,0)</f>
        <v>Replacement</v>
      </c>
      <c r="H312" s="38" t="str">
        <f>VLOOKUP(E312,Mapping!$E$11:$K$204,7,0)</f>
        <v>SCS</v>
      </c>
      <c r="I312" s="43">
        <f>I107*(1+'Calc|Overheads'!O$27)</f>
        <v>0</v>
      </c>
      <c r="J312" s="43">
        <f>J107*(1+'Calc|Overheads'!P$27)</f>
        <v>0</v>
      </c>
      <c r="K312" s="43">
        <f>K107*(1+'Calc|Overheads'!Q$27)</f>
        <v>0</v>
      </c>
      <c r="L312" s="43">
        <f>L107*(1+'Calc|Overheads'!R$27)</f>
        <v>0</v>
      </c>
      <c r="M312" s="43">
        <f>M107*(1+'Calc|Overheads'!S$27)</f>
        <v>0</v>
      </c>
      <c r="N312" s="7"/>
      <c r="O312" s="7"/>
    </row>
    <row r="313" spans="1:15" x14ac:dyDescent="0.3">
      <c r="A313" s="7"/>
      <c r="B313" s="7"/>
      <c r="C313" s="158">
        <v>1</v>
      </c>
      <c r="D313" s="7"/>
      <c r="E313" s="38" t="s">
        <v>175</v>
      </c>
      <c r="F313" s="38" t="s">
        <v>356</v>
      </c>
      <c r="G313" s="38" t="str">
        <f>VLOOKUP(E313,Mapping!$E$11:$G$204,3,0)</f>
        <v>Replacement</v>
      </c>
      <c r="H313" s="38" t="str">
        <f>VLOOKUP(E313,Mapping!$E$11:$K$204,7,0)</f>
        <v>SCS</v>
      </c>
      <c r="I313" s="43">
        <f>I108*(1+'Calc|Overheads'!O$27)</f>
        <v>0.32577561107043285</v>
      </c>
      <c r="J313" s="43">
        <f>J108*(1+'Calc|Overheads'!P$27)</f>
        <v>0.32421766493701276</v>
      </c>
      <c r="K313" s="43">
        <f>K108*(1+'Calc|Overheads'!Q$27)</f>
        <v>0.32471000547988732</v>
      </c>
      <c r="L313" s="43">
        <f>L108*(1+'Calc|Overheads'!R$27)</f>
        <v>0.32491972690216042</v>
      </c>
      <c r="M313" s="43">
        <f>M108*(1+'Calc|Overheads'!S$27)</f>
        <v>0.32629698421696446</v>
      </c>
      <c r="N313" s="7"/>
      <c r="O313" s="7"/>
    </row>
    <row r="314" spans="1:15" x14ac:dyDescent="0.3">
      <c r="A314" s="7"/>
      <c r="B314" s="7"/>
      <c r="C314" s="158">
        <v>0</v>
      </c>
      <c r="D314" s="7"/>
      <c r="E314" s="38" t="s">
        <v>176</v>
      </c>
      <c r="F314" s="38" t="s">
        <v>357</v>
      </c>
      <c r="G314" s="38" t="str">
        <f>VLOOKUP(E314,Mapping!$E$11:$G$204,3,0)</f>
        <v>Replacement</v>
      </c>
      <c r="H314" s="38" t="str">
        <f>VLOOKUP(E314,Mapping!$E$11:$K$204,7,0)</f>
        <v>SCS</v>
      </c>
      <c r="I314" s="43">
        <f>I109*(1+'Calc|Overheads'!O$27)</f>
        <v>0</v>
      </c>
      <c r="J314" s="43">
        <f>J109*(1+'Calc|Overheads'!P$27)</f>
        <v>0</v>
      </c>
      <c r="K314" s="43">
        <f>K109*(1+'Calc|Overheads'!Q$27)</f>
        <v>0</v>
      </c>
      <c r="L314" s="43">
        <f>L109*(1+'Calc|Overheads'!R$27)</f>
        <v>0</v>
      </c>
      <c r="M314" s="43">
        <f>M109*(1+'Calc|Overheads'!S$27)</f>
        <v>0</v>
      </c>
      <c r="N314" s="7"/>
      <c r="O314" s="7"/>
    </row>
    <row r="315" spans="1:15" x14ac:dyDescent="0.3">
      <c r="A315" s="7"/>
      <c r="B315" s="7"/>
      <c r="C315" s="158">
        <v>1</v>
      </c>
      <c r="D315" s="7"/>
      <c r="E315" s="38" t="s">
        <v>177</v>
      </c>
      <c r="F315" s="38" t="s">
        <v>358</v>
      </c>
      <c r="G315" s="38" t="str">
        <f>VLOOKUP(E315,Mapping!$E$11:$G$204,3,0)</f>
        <v>Replacement</v>
      </c>
      <c r="H315" s="38" t="str">
        <f>VLOOKUP(E315,Mapping!$E$11:$K$204,7,0)</f>
        <v>SCS</v>
      </c>
      <c r="I315" s="43">
        <f>I110*(1+'Calc|Overheads'!O$27)</f>
        <v>106.93927713005675</v>
      </c>
      <c r="J315" s="43">
        <f>J110*(1+'Calc|Overheads'!P$27)</f>
        <v>106.4278648952118</v>
      </c>
      <c r="K315" s="43">
        <f>K110*(1+'Calc|Overheads'!Q$27)</f>
        <v>106.58948086635164</v>
      </c>
      <c r="L315" s="43">
        <f>L110*(1+'Calc|Overheads'!R$27)</f>
        <v>106.65832413311088</v>
      </c>
      <c r="M315" s="43">
        <f>M110*(1+'Calc|Overheads'!S$27)</f>
        <v>107.11042335927235</v>
      </c>
      <c r="N315" s="7"/>
      <c r="O315" s="7"/>
    </row>
    <row r="316" spans="1:15" x14ac:dyDescent="0.3">
      <c r="A316" s="7"/>
      <c r="B316" s="7"/>
      <c r="C316" s="158">
        <v>1</v>
      </c>
      <c r="D316" s="7"/>
      <c r="E316" s="38" t="s">
        <v>178</v>
      </c>
      <c r="F316" s="38" t="s">
        <v>359</v>
      </c>
      <c r="G316" s="38" t="str">
        <f>VLOOKUP(E316,Mapping!$E$11:$G$204,3,0)</f>
        <v>Replacement</v>
      </c>
      <c r="H316" s="38" t="str">
        <f>VLOOKUP(E316,Mapping!$E$11:$K$204,7,0)</f>
        <v>SCS</v>
      </c>
      <c r="I316" s="43">
        <f>I111*(1+'Calc|Overheads'!O$27)</f>
        <v>79.679212930160247</v>
      </c>
      <c r="J316" s="43">
        <f>J111*(1+'Calc|Overheads'!P$27)</f>
        <v>79.298165615750747</v>
      </c>
      <c r="K316" s="43">
        <f>K111*(1+'Calc|Overheads'!Q$27)</f>
        <v>79.418583798133866</v>
      </c>
      <c r="L316" s="43">
        <f>L111*(1+'Calc|Overheads'!R$27)</f>
        <v>79.469878116350046</v>
      </c>
      <c r="M316" s="43">
        <f>M111*(1+'Calc|Overheads'!S$27)</f>
        <v>79.806731997109594</v>
      </c>
      <c r="N316" s="7"/>
      <c r="O316" s="7"/>
    </row>
    <row r="317" spans="1:15" x14ac:dyDescent="0.3">
      <c r="A317" s="7"/>
      <c r="B317" s="7"/>
      <c r="C317" s="158">
        <v>1</v>
      </c>
      <c r="D317" s="7"/>
      <c r="E317" s="38" t="s">
        <v>179</v>
      </c>
      <c r="F317" s="38" t="s">
        <v>360</v>
      </c>
      <c r="G317" s="38" t="str">
        <f>VLOOKUP(E317,Mapping!$E$11:$G$204,3,0)</f>
        <v>Replacement</v>
      </c>
      <c r="H317" s="38" t="str">
        <f>VLOOKUP(E317,Mapping!$E$11:$K$204,7,0)</f>
        <v>SCS</v>
      </c>
      <c r="I317" s="43">
        <f>I112*(1+'Calc|Overheads'!O$27)</f>
        <v>108.53073348186074</v>
      </c>
      <c r="J317" s="43">
        <f>J112*(1+'Calc|Overheads'!P$27)</f>
        <v>108.01171047694721</v>
      </c>
      <c r="K317" s="43">
        <f>K112*(1+'Calc|Overheads'!Q$27)</f>
        <v>108.17573159585621</v>
      </c>
      <c r="L317" s="43">
        <f>L112*(1+'Calc|Overheads'!R$27)</f>
        <v>108.24559937911773</v>
      </c>
      <c r="M317" s="43">
        <f>M112*(1+'Calc|Overheads'!S$27)</f>
        <v>108.70442668690113</v>
      </c>
      <c r="N317" s="7"/>
      <c r="O317" s="7"/>
    </row>
    <row r="318" spans="1:15" x14ac:dyDescent="0.3">
      <c r="A318" s="7"/>
      <c r="B318" s="7"/>
      <c r="C318" s="158">
        <v>1</v>
      </c>
      <c r="D318" s="7"/>
      <c r="E318" s="38" t="s">
        <v>180</v>
      </c>
      <c r="F318" s="38" t="s">
        <v>361</v>
      </c>
      <c r="G318" s="38" t="str">
        <f>VLOOKUP(E318,Mapping!$E$11:$G$204,3,0)</f>
        <v>Replacement</v>
      </c>
      <c r="H318" s="38" t="str">
        <f>VLOOKUP(E318,Mapping!$E$11:$K$204,7,0)</f>
        <v>SCS</v>
      </c>
      <c r="I318" s="43">
        <f>I113*(1+'Calc|Overheads'!O$27)</f>
        <v>525.86987854438667</v>
      </c>
      <c r="J318" s="43">
        <f>J113*(1+'Calc|Overheads'!P$27)</f>
        <v>523.35502808867477</v>
      </c>
      <c r="K318" s="43">
        <f>K113*(1+'Calc|Overheads'!Q$27)</f>
        <v>524.14976855630266</v>
      </c>
      <c r="L318" s="43">
        <f>L113*(1+'Calc|Overheads'!R$27)</f>
        <v>524.48830273477165</v>
      </c>
      <c r="M318" s="43">
        <f>M113*(1+'Calc|Overheads'!S$27)</f>
        <v>526.71148369813648</v>
      </c>
      <c r="N318" s="7"/>
      <c r="O318" s="7"/>
    </row>
    <row r="319" spans="1:15" x14ac:dyDescent="0.3">
      <c r="A319" s="7"/>
      <c r="B319" s="7"/>
      <c r="C319" s="158">
        <v>1</v>
      </c>
      <c r="D319" s="7"/>
      <c r="E319" s="38" t="s">
        <v>181</v>
      </c>
      <c r="F319" s="38" t="s">
        <v>362</v>
      </c>
      <c r="G319" s="38" t="str">
        <f>VLOOKUP(E319,Mapping!$E$11:$G$204,3,0)</f>
        <v>Replacement</v>
      </c>
      <c r="H319" s="38" t="str">
        <f>VLOOKUP(E319,Mapping!$E$11:$K$204,7,0)</f>
        <v>SCS</v>
      </c>
      <c r="I319" s="43">
        <f>I114*(1+'Calc|Overheads'!O$27)</f>
        <v>87.092818873612813</v>
      </c>
      <c r="J319" s="43">
        <f>J114*(1+'Calc|Overheads'!P$27)</f>
        <v>86.676317712071082</v>
      </c>
      <c r="K319" s="43">
        <f>K114*(1+'Calc|Overheads'!Q$27)</f>
        <v>86.807939982945854</v>
      </c>
      <c r="L319" s="43">
        <f>L114*(1+'Calc|Overheads'!R$27)</f>
        <v>86.864006886738736</v>
      </c>
      <c r="M319" s="43">
        <f>M114*(1+'Calc|Overheads'!S$27)</f>
        <v>87.232202717809244</v>
      </c>
      <c r="N319" s="7"/>
      <c r="O319" s="7"/>
    </row>
    <row r="320" spans="1:15" x14ac:dyDescent="0.3">
      <c r="A320" s="7"/>
      <c r="B320" s="7"/>
      <c r="C320" s="158">
        <v>1</v>
      </c>
      <c r="D320" s="7"/>
      <c r="E320" s="38" t="s">
        <v>182</v>
      </c>
      <c r="F320" s="38" t="s">
        <v>363</v>
      </c>
      <c r="G320" s="38" t="str">
        <f>VLOOKUP(E320,Mapping!$E$11:$G$204,3,0)</f>
        <v>Replacement</v>
      </c>
      <c r="H320" s="38" t="str">
        <f>VLOOKUP(E320,Mapping!$E$11:$K$204,7,0)</f>
        <v>SCS</v>
      </c>
      <c r="I320" s="43">
        <f>I115*(1+'Calc|Overheads'!O$27)</f>
        <v>13.448215780176323</v>
      </c>
      <c r="J320" s="43">
        <f>J115*(1+'Calc|Overheads'!P$27)</f>
        <v>13.383902814244705</v>
      </c>
      <c r="K320" s="43">
        <f>K115*(1+'Calc|Overheads'!Q$27)</f>
        <v>13.4042269319285</v>
      </c>
      <c r="L320" s="43">
        <f>L115*(1+'Calc|Overheads'!R$27)</f>
        <v>13.412884360061893</v>
      </c>
      <c r="M320" s="43">
        <f>M115*(1+'Calc|Overheads'!S$27)</f>
        <v>13.469738381434002</v>
      </c>
      <c r="N320" s="7"/>
      <c r="O320" s="7"/>
    </row>
    <row r="321" spans="1:15" x14ac:dyDescent="0.3">
      <c r="A321" s="7"/>
      <c r="B321" s="7"/>
      <c r="C321" s="158">
        <v>1</v>
      </c>
      <c r="D321" s="7"/>
      <c r="E321" s="38" t="s">
        <v>183</v>
      </c>
      <c r="F321" s="38" t="s">
        <v>364</v>
      </c>
      <c r="G321" s="38" t="str">
        <f>VLOOKUP(E321,Mapping!$E$11:$G$204,3,0)</f>
        <v>Public Lighting</v>
      </c>
      <c r="H321" s="38" t="str">
        <f>VLOOKUP(E321,Mapping!$E$11:$K$204,7,0)</f>
        <v>Public Lighting</v>
      </c>
      <c r="I321" s="43">
        <f>I116*(1+'Calc|Overheads'!O$27)</f>
        <v>0</v>
      </c>
      <c r="J321" s="43">
        <f>J116*(1+'Calc|Overheads'!P$27)</f>
        <v>0</v>
      </c>
      <c r="K321" s="43">
        <f>K116*(1+'Calc|Overheads'!Q$27)</f>
        <v>0</v>
      </c>
      <c r="L321" s="43">
        <f>L116*(1+'Calc|Overheads'!R$27)</f>
        <v>0</v>
      </c>
      <c r="M321" s="43">
        <f>M116*(1+'Calc|Overheads'!S$27)</f>
        <v>0</v>
      </c>
      <c r="N321" s="7"/>
      <c r="O321" s="7"/>
    </row>
    <row r="322" spans="1:15" x14ac:dyDescent="0.3">
      <c r="A322" s="7"/>
      <c r="B322" s="7"/>
      <c r="C322" s="158">
        <v>1</v>
      </c>
      <c r="D322" s="7"/>
      <c r="E322" s="38" t="s">
        <v>184</v>
      </c>
      <c r="F322" s="38" t="s">
        <v>365</v>
      </c>
      <c r="G322" s="38" t="str">
        <f>VLOOKUP(E322,Mapping!$E$11:$G$204,3,0)</f>
        <v>Public Lighting</v>
      </c>
      <c r="H322" s="38" t="str">
        <f>VLOOKUP(E322,Mapping!$E$11:$K$204,7,0)</f>
        <v>Public Lighting</v>
      </c>
      <c r="I322" s="43">
        <f>I117*(1+'Calc|Overheads'!O$27)</f>
        <v>0</v>
      </c>
      <c r="J322" s="43">
        <f>J117*(1+'Calc|Overheads'!P$27)</f>
        <v>0</v>
      </c>
      <c r="K322" s="43">
        <f>K117*(1+'Calc|Overheads'!Q$27)</f>
        <v>0</v>
      </c>
      <c r="L322" s="43">
        <f>L117*(1+'Calc|Overheads'!R$27)</f>
        <v>0</v>
      </c>
      <c r="M322" s="43">
        <f>M117*(1+'Calc|Overheads'!S$27)</f>
        <v>0</v>
      </c>
      <c r="N322" s="7"/>
      <c r="O322" s="7"/>
    </row>
    <row r="323" spans="1:15" x14ac:dyDescent="0.3">
      <c r="A323" s="7"/>
      <c r="B323" s="7"/>
      <c r="C323" s="158">
        <v>1</v>
      </c>
      <c r="D323" s="7"/>
      <c r="E323" s="38" t="s">
        <v>185</v>
      </c>
      <c r="F323" s="38" t="s">
        <v>366</v>
      </c>
      <c r="G323" s="38" t="str">
        <f>VLOOKUP(E323,Mapping!$E$11:$G$204,3,0)</f>
        <v>Public Lighting</v>
      </c>
      <c r="H323" s="38" t="str">
        <f>VLOOKUP(E323,Mapping!$E$11:$K$204,7,0)</f>
        <v>Public Lighting</v>
      </c>
      <c r="I323" s="43">
        <f>I118*(1+'Calc|Overheads'!O$27)</f>
        <v>0</v>
      </c>
      <c r="J323" s="43">
        <f>J118*(1+'Calc|Overheads'!P$27)</f>
        <v>0</v>
      </c>
      <c r="K323" s="43">
        <f>K118*(1+'Calc|Overheads'!Q$27)</f>
        <v>0</v>
      </c>
      <c r="L323" s="43">
        <f>L118*(1+'Calc|Overheads'!R$27)</f>
        <v>0</v>
      </c>
      <c r="M323" s="43">
        <f>M118*(1+'Calc|Overheads'!S$27)</f>
        <v>0</v>
      </c>
      <c r="N323" s="7"/>
      <c r="O323" s="7"/>
    </row>
    <row r="324" spans="1:15" x14ac:dyDescent="0.3">
      <c r="A324" s="7"/>
      <c r="B324" s="7"/>
      <c r="C324" s="158">
        <v>1</v>
      </c>
      <c r="D324" s="7"/>
      <c r="E324" s="38" t="s">
        <v>186</v>
      </c>
      <c r="F324" s="38" t="s">
        <v>367</v>
      </c>
      <c r="G324" s="38" t="str">
        <f>VLOOKUP(E324,Mapping!$E$11:$G$204,3,0)</f>
        <v>Replacement</v>
      </c>
      <c r="H324" s="38" t="str">
        <f>VLOOKUP(E324,Mapping!$E$11:$K$204,7,0)</f>
        <v>SCS</v>
      </c>
      <c r="I324" s="43">
        <f>I119*(1+'Calc|Overheads'!O$27)</f>
        <v>1508.8773013850914</v>
      </c>
      <c r="J324" s="43">
        <f>J119*(1+'Calc|Overheads'!P$27)</f>
        <v>1501.6614464296695</v>
      </c>
      <c r="K324" s="43">
        <f>K119*(1+'Calc|Overheads'!Q$27)</f>
        <v>1503.9417935288707</v>
      </c>
      <c r="L324" s="43">
        <f>L119*(1+'Calc|Overheads'!R$27)</f>
        <v>1504.9131489125421</v>
      </c>
      <c r="M324" s="43">
        <f>M119*(1+'Calc|Overheads'!S$27)</f>
        <v>1511.2921172264871</v>
      </c>
      <c r="N324" s="7"/>
      <c r="O324" s="7"/>
    </row>
    <row r="325" spans="1:15" x14ac:dyDescent="0.3">
      <c r="A325" s="7"/>
      <c r="B325" s="7"/>
      <c r="C325" s="158">
        <v>1</v>
      </c>
      <c r="D325" s="7"/>
      <c r="E325" s="38" t="s">
        <v>187</v>
      </c>
      <c r="F325" s="38" t="s">
        <v>368</v>
      </c>
      <c r="G325" s="38" t="str">
        <f>VLOOKUP(E325,Mapping!$E$11:$G$204,3,0)</f>
        <v>Replacement</v>
      </c>
      <c r="H325" s="38" t="str">
        <f>VLOOKUP(E325,Mapping!$E$11:$K$204,7,0)</f>
        <v>SCS</v>
      </c>
      <c r="I325" s="43">
        <f>I120*(1+'Calc|Overheads'!O$27)</f>
        <v>0</v>
      </c>
      <c r="J325" s="43">
        <f>J120*(1+'Calc|Overheads'!P$27)</f>
        <v>0</v>
      </c>
      <c r="K325" s="43">
        <f>K120*(1+'Calc|Overheads'!Q$27)</f>
        <v>0</v>
      </c>
      <c r="L325" s="43">
        <f>L120*(1+'Calc|Overheads'!R$27)</f>
        <v>0</v>
      </c>
      <c r="M325" s="43">
        <f>M120*(1+'Calc|Overheads'!S$27)</f>
        <v>0</v>
      </c>
      <c r="N325" s="7"/>
      <c r="O325" s="7"/>
    </row>
    <row r="326" spans="1:15" x14ac:dyDescent="0.3">
      <c r="A326" s="7"/>
      <c r="B326" s="7"/>
      <c r="C326" s="158">
        <v>1</v>
      </c>
      <c r="D326" s="7"/>
      <c r="E326" s="38" t="s">
        <v>188</v>
      </c>
      <c r="F326" s="38" t="s">
        <v>369</v>
      </c>
      <c r="G326" s="38" t="str">
        <f>VLOOKUP(E326,Mapping!$E$11:$G$204,3,0)</f>
        <v>Replacement</v>
      </c>
      <c r="H326" s="38" t="str">
        <f>VLOOKUP(E326,Mapping!$E$11:$K$204,7,0)</f>
        <v>SCS</v>
      </c>
      <c r="I326" s="43">
        <f>I121*(1+'Calc|Overheads'!O$27)</f>
        <v>0</v>
      </c>
      <c r="J326" s="43">
        <f>J121*(1+'Calc|Overheads'!P$27)</f>
        <v>0</v>
      </c>
      <c r="K326" s="43">
        <f>K121*(1+'Calc|Overheads'!Q$27)</f>
        <v>0</v>
      </c>
      <c r="L326" s="43">
        <f>L121*(1+'Calc|Overheads'!R$27)</f>
        <v>0</v>
      </c>
      <c r="M326" s="43">
        <f>M121*(1+'Calc|Overheads'!S$27)</f>
        <v>0</v>
      </c>
      <c r="N326" s="7"/>
      <c r="O326" s="7"/>
    </row>
    <row r="327" spans="1:15" x14ac:dyDescent="0.3">
      <c r="A327" s="7"/>
      <c r="B327" s="7"/>
      <c r="C327" s="158">
        <v>1</v>
      </c>
      <c r="D327" s="7"/>
      <c r="E327" s="38" t="s">
        <v>189</v>
      </c>
      <c r="F327" s="38" t="s">
        <v>370</v>
      </c>
      <c r="G327" s="38" t="str">
        <f>VLOOKUP(E327,Mapping!$E$11:$G$204,3,0)</f>
        <v>Replacement</v>
      </c>
      <c r="H327" s="38" t="str">
        <f>VLOOKUP(E327,Mapping!$E$11:$K$204,7,0)</f>
        <v>SCS</v>
      </c>
      <c r="I327" s="43">
        <f>I122*(1+'Calc|Overheads'!O$27)</f>
        <v>0</v>
      </c>
      <c r="J327" s="43">
        <f>J122*(1+'Calc|Overheads'!P$27)</f>
        <v>0</v>
      </c>
      <c r="K327" s="43">
        <f>K122*(1+'Calc|Overheads'!Q$27)</f>
        <v>0</v>
      </c>
      <c r="L327" s="43">
        <f>L122*(1+'Calc|Overheads'!R$27)</f>
        <v>0</v>
      </c>
      <c r="M327" s="43">
        <f>M122*(1+'Calc|Overheads'!S$27)</f>
        <v>0</v>
      </c>
      <c r="N327" s="7"/>
      <c r="O327" s="7"/>
    </row>
    <row r="328" spans="1:15" x14ac:dyDescent="0.3">
      <c r="A328" s="7"/>
      <c r="B328" s="7"/>
      <c r="C328" s="158">
        <v>1</v>
      </c>
      <c r="D328" s="7"/>
      <c r="E328" s="38" t="s">
        <v>190</v>
      </c>
      <c r="F328" s="38" t="s">
        <v>371</v>
      </c>
      <c r="G328" s="38" t="str">
        <f>VLOOKUP(E328,Mapping!$E$11:$G$204,3,0)</f>
        <v>Replacement</v>
      </c>
      <c r="H328" s="38" t="str">
        <f>VLOOKUP(E328,Mapping!$E$11:$K$204,7,0)</f>
        <v>SCS</v>
      </c>
      <c r="I328" s="43">
        <f>I123*(1+'Calc|Overheads'!O$27)</f>
        <v>2490.3965435656346</v>
      </c>
      <c r="J328" s="43">
        <f>J123*(1+'Calc|Overheads'!P$27)</f>
        <v>2478.4868009885822</v>
      </c>
      <c r="K328" s="43">
        <f>K123*(1+'Calc|Overheads'!Q$27)</f>
        <v>2482.2505056508285</v>
      </c>
      <c r="L328" s="43">
        <f>L123*(1+'Calc|Overheads'!R$27)</f>
        <v>2483.853724207996</v>
      </c>
      <c r="M328" s="43">
        <f>M123*(1+'Calc|Overheads'!S$27)</f>
        <v>2494.3821884018575</v>
      </c>
      <c r="N328" s="7"/>
      <c r="O328" s="7"/>
    </row>
    <row r="329" spans="1:15" x14ac:dyDescent="0.3">
      <c r="A329" s="7"/>
      <c r="B329" s="7"/>
      <c r="C329" s="158">
        <v>0</v>
      </c>
      <c r="D329" s="7"/>
      <c r="E329" s="38" t="s">
        <v>191</v>
      </c>
      <c r="F329" s="38" t="s">
        <v>372</v>
      </c>
      <c r="G329" s="38" t="str">
        <f>VLOOKUP(E329,Mapping!$E$11:$G$204,3,0)</f>
        <v>Replacement</v>
      </c>
      <c r="H329" s="38" t="str">
        <f>VLOOKUP(E329,Mapping!$E$11:$K$204,7,0)</f>
        <v>SCS</v>
      </c>
      <c r="I329" s="43">
        <f>I124*(1+'Calc|Overheads'!O$27)</f>
        <v>36.285787103732595</v>
      </c>
      <c r="J329" s="43">
        <f>J124*(1+'Calc|Overheads'!P$27)</f>
        <v>36.112258761538364</v>
      </c>
      <c r="K329" s="43">
        <f>K124*(1+'Calc|Overheads'!Q$27)</f>
        <v>36.167097010671199</v>
      </c>
      <c r="L329" s="43">
        <f>L124*(1+'Calc|Overheads'!R$27)</f>
        <v>36.190456361773911</v>
      </c>
      <c r="M329" s="43">
        <f>M124*(1+'Calc|Overheads'!S$27)</f>
        <v>36.343859084426562</v>
      </c>
      <c r="N329" s="7"/>
      <c r="O329" s="7"/>
    </row>
    <row r="330" spans="1:15" x14ac:dyDescent="0.3">
      <c r="A330" s="7"/>
      <c r="B330" s="7"/>
      <c r="C330" s="158">
        <v>1</v>
      </c>
      <c r="D330" s="7"/>
      <c r="E330" s="38" t="s">
        <v>192</v>
      </c>
      <c r="F330" s="38" t="s">
        <v>373</v>
      </c>
      <c r="G330" s="38" t="str">
        <f>VLOOKUP(E330,Mapping!$E$11:$G$204,3,0)</f>
        <v>VBRC</v>
      </c>
      <c r="H330" s="38" t="str">
        <f>VLOOKUP(E330,Mapping!$E$11:$K$204,7,0)</f>
        <v>SCS</v>
      </c>
      <c r="I330" s="43">
        <f>I125*(1+'Calc|Overheads'!O$27)</f>
        <v>674.10784200761555</v>
      </c>
      <c r="J330" s="43">
        <f>J125*(1+'Calc|Overheads'!P$27)</f>
        <v>670.88407794954776</v>
      </c>
      <c r="K330" s="43">
        <f>K125*(1+'Calc|Overheads'!Q$27)</f>
        <v>671.90284856837786</v>
      </c>
      <c r="L330" s="43">
        <f>L125*(1+'Calc|Overheads'!R$27)</f>
        <v>672.33681247048457</v>
      </c>
      <c r="M330" s="43">
        <f>M125*(1+'Calc|Overheads'!S$27)</f>
        <v>383.40148584162762</v>
      </c>
      <c r="N330" s="7"/>
      <c r="O330" s="7"/>
    </row>
    <row r="331" spans="1:15" x14ac:dyDescent="0.3">
      <c r="A331" s="7"/>
      <c r="B331" s="7"/>
      <c r="C331" s="158">
        <v>1</v>
      </c>
      <c r="D331" s="7"/>
      <c r="E331" s="38" t="s">
        <v>193</v>
      </c>
      <c r="F331" s="38" t="s">
        <v>374</v>
      </c>
      <c r="G331" s="134" t="s">
        <v>29</v>
      </c>
      <c r="H331" s="38" t="str">
        <f>VLOOKUP(E331,Mapping!$E$11:$K$204,7,0)</f>
        <v>SCS</v>
      </c>
      <c r="I331" s="43">
        <f>I126*(1+'Calc|Overheads'!O$27)</f>
        <v>0</v>
      </c>
      <c r="J331" s="43">
        <f>J126*(1+'Calc|Overheads'!P$27)</f>
        <v>0</v>
      </c>
      <c r="K331" s="43">
        <f>K126*(1+'Calc|Overheads'!Q$27)</f>
        <v>0</v>
      </c>
      <c r="L331" s="43">
        <f>L126*(1+'Calc|Overheads'!R$27)</f>
        <v>0</v>
      </c>
      <c r="M331" s="43">
        <f>M126*(1+'Calc|Overheads'!S$27)</f>
        <v>0</v>
      </c>
      <c r="N331" s="7"/>
      <c r="O331" s="7"/>
    </row>
    <row r="332" spans="1:15" x14ac:dyDescent="0.3">
      <c r="A332" s="7"/>
      <c r="B332" s="7"/>
      <c r="C332" s="158">
        <v>1</v>
      </c>
      <c r="D332" s="7"/>
      <c r="E332" s="38" t="s">
        <v>194</v>
      </c>
      <c r="F332" s="38" t="s">
        <v>375</v>
      </c>
      <c r="G332" s="38" t="str">
        <f>VLOOKUP(E332,Mapping!$E$11:$G$204,3,0)</f>
        <v>Replacement</v>
      </c>
      <c r="H332" s="38" t="str">
        <f>VLOOKUP(E332,Mapping!$E$11:$K$204,7,0)</f>
        <v>SCS</v>
      </c>
      <c r="I332" s="43">
        <f>I127*(1+'Calc|Overheads'!O$27)</f>
        <v>398.1816773562158</v>
      </c>
      <c r="J332" s="43">
        <f>J127*(1+'Calc|Overheads'!P$27)</f>
        <v>396.27746604157039</v>
      </c>
      <c r="K332" s="43">
        <f>K127*(1+'Calc|Overheads'!Q$27)</f>
        <v>396.87923295269087</v>
      </c>
      <c r="L332" s="43">
        <f>L127*(1+'Calc|Overheads'!R$27)</f>
        <v>397.13556652973142</v>
      </c>
      <c r="M332" s="43">
        <f>M127*(1+'Calc|Overheads'!S$27)</f>
        <v>432.58699350807427</v>
      </c>
      <c r="N332" s="7"/>
      <c r="O332" s="7"/>
    </row>
    <row r="333" spans="1:15" x14ac:dyDescent="0.3">
      <c r="A333" s="7"/>
      <c r="B333" s="7"/>
      <c r="C333" s="158">
        <v>0</v>
      </c>
      <c r="D333" s="7"/>
      <c r="E333" s="38" t="s">
        <v>195</v>
      </c>
      <c r="F333" s="38" t="s">
        <v>376</v>
      </c>
      <c r="G333" s="38" t="str">
        <f>VLOOKUP(E333,Mapping!$E$11:$G$204,3,0)</f>
        <v>VBRC</v>
      </c>
      <c r="H333" s="38" t="str">
        <f>VLOOKUP(E333,Mapping!$E$11:$K$204,7,0)</f>
        <v>SCS</v>
      </c>
      <c r="I333" s="43">
        <f>I128*(1+'Calc|Overheads'!O$27)</f>
        <v>168.68140284618988</v>
      </c>
      <c r="J333" s="43">
        <f>J128*(1+'Calc|Overheads'!P$27)</f>
        <v>167.8747232470615</v>
      </c>
      <c r="K333" s="43">
        <f>K128*(1+'Calc|Overheads'!Q$27)</f>
        <v>168.12964930852218</v>
      </c>
      <c r="L333" s="43">
        <f>L128*(1+'Calc|Overheads'!R$27)</f>
        <v>168.23823970790687</v>
      </c>
      <c r="M333" s="43">
        <f>M128*(1+'Calc|Overheads'!S$27)</f>
        <v>168.95136152564504</v>
      </c>
      <c r="N333" s="7"/>
      <c r="O333" s="7"/>
    </row>
    <row r="334" spans="1:15" x14ac:dyDescent="0.3">
      <c r="A334" s="7"/>
      <c r="B334" s="7"/>
      <c r="C334" s="158">
        <v>1</v>
      </c>
      <c r="D334" s="7"/>
      <c r="E334" s="38" t="s">
        <v>196</v>
      </c>
      <c r="F334" s="38" t="s">
        <v>377</v>
      </c>
      <c r="G334" s="38" t="str">
        <f>VLOOKUP(E334,Mapping!$E$11:$G$204,3,0)</f>
        <v>Replacement</v>
      </c>
      <c r="H334" s="38" t="str">
        <f>VLOOKUP(E334,Mapping!$E$11:$K$204,7,0)</f>
        <v>SCS</v>
      </c>
      <c r="I334" s="43">
        <f>I129*(1+'Calc|Overheads'!O$27)</f>
        <v>148.09952583504102</v>
      </c>
      <c r="J334" s="43">
        <f>J129*(1+'Calc|Overheads'!P$27)</f>
        <v>147.39127427846219</v>
      </c>
      <c r="K334" s="43">
        <f>K129*(1+'Calc|Overheads'!Q$27)</f>
        <v>147.61509521063542</v>
      </c>
      <c r="L334" s="43">
        <f>L129*(1+'Calc|Overheads'!R$27)</f>
        <v>147.71043581361684</v>
      </c>
      <c r="M334" s="43">
        <f>M129*(1+'Calc|Overheads'!S$27)</f>
        <v>148.33654516110639</v>
      </c>
      <c r="N334" s="7"/>
      <c r="O334" s="7"/>
    </row>
    <row r="335" spans="1:15" x14ac:dyDescent="0.3">
      <c r="A335" s="7"/>
      <c r="B335" s="7"/>
      <c r="C335" s="158">
        <v>0</v>
      </c>
      <c r="D335" s="7"/>
      <c r="E335" s="38" t="s">
        <v>197</v>
      </c>
      <c r="F335" s="38" t="s">
        <v>378</v>
      </c>
      <c r="G335" s="38" t="str">
        <f>VLOOKUP(E335,Mapping!$E$11:$G$204,3,0)</f>
        <v>Replacement</v>
      </c>
      <c r="H335" s="38" t="str">
        <f>VLOOKUP(E335,Mapping!$E$11:$K$204,7,0)</f>
        <v>SCS</v>
      </c>
      <c r="I335" s="43">
        <f>I130*(1+'Calc|Overheads'!O$27)</f>
        <v>1950.3404555396801</v>
      </c>
      <c r="J335" s="43">
        <f>J130*(1+'Calc|Overheads'!P$27)</f>
        <v>1941.0134056676015</v>
      </c>
      <c r="K335" s="43">
        <f>K130*(1+'Calc|Overheads'!Q$27)</f>
        <v>1943.9609304240296</v>
      </c>
      <c r="L335" s="43">
        <f>L130*(1+'Calc|Overheads'!R$27)</f>
        <v>1945.2164822835093</v>
      </c>
      <c r="M335" s="43">
        <f>M130*(1+'Calc|Overheads'!S$27)</f>
        <v>1953.4617915315655</v>
      </c>
      <c r="N335" s="7"/>
      <c r="O335" s="7"/>
    </row>
    <row r="336" spans="1:15" x14ac:dyDescent="0.3">
      <c r="A336" s="7"/>
      <c r="B336" s="7"/>
      <c r="C336" s="158">
        <v>0</v>
      </c>
      <c r="D336" s="7"/>
      <c r="E336" s="38" t="s">
        <v>198</v>
      </c>
      <c r="F336" s="38" t="s">
        <v>379</v>
      </c>
      <c r="G336" s="38" t="str">
        <f>VLOOKUP(E336,Mapping!$E$11:$G$204,3,0)</f>
        <v>Replacement</v>
      </c>
      <c r="H336" s="38" t="str">
        <f>VLOOKUP(E336,Mapping!$E$11:$K$204,7,0)</f>
        <v>SCS</v>
      </c>
      <c r="I336" s="43">
        <f>I131*(1+'Calc|Overheads'!O$27)</f>
        <v>5.9790320023238506</v>
      </c>
      <c r="J336" s="43">
        <f>J131*(1+'Calc|Overheads'!P$27)</f>
        <v>5.9504386715984223</v>
      </c>
      <c r="K336" s="43">
        <f>K131*(1+'Calc|Overheads'!Q$27)</f>
        <v>5.9594747067154028</v>
      </c>
      <c r="L336" s="43">
        <f>L131*(1+'Calc|Overheads'!R$27)</f>
        <v>5.963323770465828</v>
      </c>
      <c r="M336" s="43">
        <f>M131*(1+'Calc|Overheads'!S$27)</f>
        <v>5.988600879251198</v>
      </c>
      <c r="N336" s="7"/>
      <c r="O336" s="7"/>
    </row>
    <row r="337" spans="1:15" x14ac:dyDescent="0.3">
      <c r="A337" s="7"/>
      <c r="B337" s="7"/>
      <c r="C337" s="158">
        <v>1</v>
      </c>
      <c r="D337" s="7"/>
      <c r="E337" s="38" t="s">
        <v>199</v>
      </c>
      <c r="F337" s="38" t="s">
        <v>380</v>
      </c>
      <c r="G337" s="38" t="str">
        <f>VLOOKUP(E337,Mapping!$E$11:$G$204,3,0)</f>
        <v>Public Lighting</v>
      </c>
      <c r="H337" s="38" t="str">
        <f>VLOOKUP(E337,Mapping!$E$11:$K$204,7,0)</f>
        <v>Public Lighting</v>
      </c>
      <c r="I337" s="43">
        <f>I132*(1+'Calc|Overheads'!O$27)</f>
        <v>0</v>
      </c>
      <c r="J337" s="43">
        <f>J132*(1+'Calc|Overheads'!P$27)</f>
        <v>0</v>
      </c>
      <c r="K337" s="43">
        <f>K132*(1+'Calc|Overheads'!Q$27)</f>
        <v>0</v>
      </c>
      <c r="L337" s="43">
        <f>L132*(1+'Calc|Overheads'!R$27)</f>
        <v>0</v>
      </c>
      <c r="M337" s="43">
        <f>M132*(1+'Calc|Overheads'!S$27)</f>
        <v>0</v>
      </c>
      <c r="N337" s="7"/>
      <c r="O337" s="7"/>
    </row>
    <row r="338" spans="1:15" x14ac:dyDescent="0.3">
      <c r="A338" s="7"/>
      <c r="B338" s="7"/>
      <c r="C338" s="158">
        <v>1</v>
      </c>
      <c r="D338" s="7"/>
      <c r="E338" s="38" t="s">
        <v>200</v>
      </c>
      <c r="F338" s="38" t="s">
        <v>381</v>
      </c>
      <c r="G338" s="38" t="str">
        <f>VLOOKUP(E338,Mapping!$E$11:$G$204,3,0)</f>
        <v>Public Lighting</v>
      </c>
      <c r="H338" s="38" t="str">
        <f>VLOOKUP(E338,Mapping!$E$11:$K$204,7,0)</f>
        <v>Public Lighting</v>
      </c>
      <c r="I338" s="43">
        <f>I133*(1+'Calc|Overheads'!O$27)</f>
        <v>0</v>
      </c>
      <c r="J338" s="43">
        <f>J133*(1+'Calc|Overheads'!P$27)</f>
        <v>0</v>
      </c>
      <c r="K338" s="43">
        <f>K133*(1+'Calc|Overheads'!Q$27)</f>
        <v>0</v>
      </c>
      <c r="L338" s="43">
        <f>L133*(1+'Calc|Overheads'!R$27)</f>
        <v>0</v>
      </c>
      <c r="M338" s="43">
        <f>M133*(1+'Calc|Overheads'!S$27)</f>
        <v>0</v>
      </c>
      <c r="N338" s="7"/>
      <c r="O338" s="7"/>
    </row>
    <row r="339" spans="1:15" x14ac:dyDescent="0.3">
      <c r="A339" s="7"/>
      <c r="B339" s="7"/>
      <c r="C339" s="158">
        <v>1</v>
      </c>
      <c r="D339" s="7"/>
      <c r="E339" s="38" t="s">
        <v>201</v>
      </c>
      <c r="F339" s="38" t="s">
        <v>382</v>
      </c>
      <c r="G339" s="38" t="str">
        <f>VLOOKUP(E339,Mapping!$E$11:$G$204,3,0)</f>
        <v>Replacement</v>
      </c>
      <c r="H339" s="38" t="str">
        <f>VLOOKUP(E339,Mapping!$E$11:$K$204,7,0)</f>
        <v>SCS</v>
      </c>
      <c r="I339" s="43">
        <f>I134*(1+'Calc|Overheads'!O$27)</f>
        <v>6416.0712593862199</v>
      </c>
      <c r="J339" s="43">
        <f>J134*(1+'Calc|Overheads'!P$27)</f>
        <v>6385.3878900036443</v>
      </c>
      <c r="K339" s="43">
        <f>K134*(1+'Calc|Overheads'!Q$27)</f>
        <v>6395.0844169983702</v>
      </c>
      <c r="L339" s="43">
        <f>L134*(1+'Calc|Overheads'!R$27)</f>
        <v>6399.2148292950515</v>
      </c>
      <c r="M339" s="43">
        <f>M134*(1+'Calc|Overheads'!S$27)</f>
        <v>6426.339576433913</v>
      </c>
      <c r="N339" s="7"/>
      <c r="O339" s="7"/>
    </row>
    <row r="340" spans="1:15" x14ac:dyDescent="0.3">
      <c r="A340" s="7"/>
      <c r="B340" s="7"/>
      <c r="C340" s="158">
        <v>1</v>
      </c>
      <c r="D340" s="7"/>
      <c r="E340" s="38" t="s">
        <v>202</v>
      </c>
      <c r="F340" s="38" t="s">
        <v>383</v>
      </c>
      <c r="G340" s="38" t="str">
        <f>VLOOKUP(E340,Mapping!$E$11:$G$204,3,0)</f>
        <v>Replacement</v>
      </c>
      <c r="H340" s="38" t="str">
        <f>VLOOKUP(E340,Mapping!$E$11:$K$204,7,0)</f>
        <v>SCS</v>
      </c>
      <c r="I340" s="43">
        <f>I135*(1+'Calc|Overheads'!O$27)</f>
        <v>3866.8143239618998</v>
      </c>
      <c r="J340" s="43">
        <f>J135*(1+'Calc|Overheads'!P$27)</f>
        <v>3848.3221832983454</v>
      </c>
      <c r="K340" s="43">
        <f>K135*(1+'Calc|Overheads'!Q$27)</f>
        <v>3854.1660506682779</v>
      </c>
      <c r="L340" s="43">
        <f>L135*(1+'Calc|Overheads'!R$27)</f>
        <v>3856.6553524211708</v>
      </c>
      <c r="M340" s="43">
        <f>M135*(1+'Calc|Overheads'!S$27)</f>
        <v>3873.0027956664358</v>
      </c>
      <c r="N340" s="7"/>
      <c r="O340" s="7"/>
    </row>
    <row r="341" spans="1:15" x14ac:dyDescent="0.3">
      <c r="A341" s="7"/>
      <c r="B341" s="7"/>
      <c r="C341" s="158">
        <v>1</v>
      </c>
      <c r="D341" s="7"/>
      <c r="E341" s="38" t="s">
        <v>203</v>
      </c>
      <c r="F341" s="38" t="s">
        <v>384</v>
      </c>
      <c r="G341" s="38" t="str">
        <f>VLOOKUP(E341,Mapping!$E$11:$G$204,3,0)</f>
        <v>Replacement</v>
      </c>
      <c r="H341" s="38" t="str">
        <f>VLOOKUP(E341,Mapping!$E$11:$K$204,7,0)</f>
        <v>SCS</v>
      </c>
      <c r="I341" s="43">
        <f>I136*(1+'Calc|Overheads'!O$27)</f>
        <v>831.57774650776491</v>
      </c>
      <c r="J341" s="43">
        <f>J136*(1+'Calc|Overheads'!P$27)</f>
        <v>827.60091923529649</v>
      </c>
      <c r="K341" s="43">
        <f>K136*(1+'Calc|Overheads'!Q$27)</f>
        <v>828.85767212055009</v>
      </c>
      <c r="L341" s="43">
        <f>L136*(1+'Calc|Overheads'!R$27)</f>
        <v>829.39300890391235</v>
      </c>
      <c r="M341" s="43">
        <f>M136*(1+'Calc|Overheads'!S$27)</f>
        <v>832.90860827748986</v>
      </c>
      <c r="N341" s="7"/>
      <c r="O341" s="7"/>
    </row>
    <row r="342" spans="1:15" x14ac:dyDescent="0.3">
      <c r="A342" s="7"/>
      <c r="B342" s="7"/>
      <c r="C342" s="158">
        <v>1</v>
      </c>
      <c r="D342" s="7"/>
      <c r="E342" s="38" t="s">
        <v>204</v>
      </c>
      <c r="F342" s="38" t="s">
        <v>385</v>
      </c>
      <c r="G342" s="38" t="str">
        <f>VLOOKUP(E342,Mapping!$E$11:$G$204,3,0)</f>
        <v>Replacement</v>
      </c>
      <c r="H342" s="38" t="str">
        <f>VLOOKUP(E342,Mapping!$E$11:$K$204,7,0)</f>
        <v>SCS</v>
      </c>
      <c r="I342" s="43">
        <f>I137*(1+'Calc|Overheads'!O$27)</f>
        <v>0</v>
      </c>
      <c r="J342" s="43">
        <f>J137*(1+'Calc|Overheads'!P$27)</f>
        <v>0</v>
      </c>
      <c r="K342" s="43">
        <f>K137*(1+'Calc|Overheads'!Q$27)</f>
        <v>0</v>
      </c>
      <c r="L342" s="43">
        <f>L137*(1+'Calc|Overheads'!R$27)</f>
        <v>0</v>
      </c>
      <c r="M342" s="43">
        <f>M137*(1+'Calc|Overheads'!S$27)</f>
        <v>0</v>
      </c>
      <c r="N342" s="7"/>
      <c r="O342" s="7"/>
    </row>
    <row r="343" spans="1:15" x14ac:dyDescent="0.3">
      <c r="A343" s="7"/>
      <c r="B343" s="7"/>
      <c r="C343" s="158">
        <v>1</v>
      </c>
      <c r="D343" s="7"/>
      <c r="E343" s="38" t="s">
        <v>205</v>
      </c>
      <c r="F343" s="38" t="s">
        <v>386</v>
      </c>
      <c r="G343" s="38" t="str">
        <f>VLOOKUP(E343,Mapping!$E$11:$G$204,3,0)</f>
        <v>Replacement</v>
      </c>
      <c r="H343" s="38" t="str">
        <f>VLOOKUP(E343,Mapping!$E$11:$K$204,7,0)</f>
        <v>SCS</v>
      </c>
      <c r="I343" s="43">
        <f>I138*(1+'Calc|Overheads'!O$27)</f>
        <v>687.37494547432175</v>
      </c>
      <c r="J343" s="43">
        <f>J138*(1+'Calc|Overheads'!P$27)</f>
        <v>684.08773457786197</v>
      </c>
      <c r="K343" s="43">
        <f>K138*(1+'Calc|Overheads'!Q$27)</f>
        <v>685.12655560163716</v>
      </c>
      <c r="L343" s="43">
        <f>L138*(1+'Calc|Overheads'!R$27)</f>
        <v>685.56906033895052</v>
      </c>
      <c r="M343" s="43">
        <f>M138*(1+'Calc|Overheads'!S$27)</f>
        <v>688.47502425858477</v>
      </c>
      <c r="N343" s="7"/>
      <c r="O343" s="7"/>
    </row>
    <row r="344" spans="1:15" x14ac:dyDescent="0.3">
      <c r="A344" s="7"/>
      <c r="B344" s="7"/>
      <c r="C344" s="158">
        <v>1</v>
      </c>
      <c r="D344" s="7"/>
      <c r="E344" s="38" t="s">
        <v>206</v>
      </c>
      <c r="F344" s="38" t="s">
        <v>387</v>
      </c>
      <c r="G344" s="38" t="str">
        <f>VLOOKUP(E344,Mapping!$E$11:$G$204,3,0)</f>
        <v>Replacement</v>
      </c>
      <c r="H344" s="38" t="str">
        <f>VLOOKUP(E344,Mapping!$E$11:$K$204,7,0)</f>
        <v>SCS</v>
      </c>
      <c r="I344" s="43">
        <f>I139*(1+'Calc|Overheads'!O$27)</f>
        <v>1018.6638861787562</v>
      </c>
      <c r="J344" s="43">
        <f>J139*(1+'Calc|Overheads'!P$27)</f>
        <v>1013.7923629314749</v>
      </c>
      <c r="K344" s="43">
        <f>K139*(1+'Calc|Overheads'!Q$27)</f>
        <v>1015.3318567231679</v>
      </c>
      <c r="L344" s="43">
        <f>L139*(1+'Calc|Overheads'!R$27)</f>
        <v>1015.9876321457839</v>
      </c>
      <c r="M344" s="43">
        <f>M139*(1+'Calc|Overheads'!S$27)</f>
        <v>1020.294161673751</v>
      </c>
      <c r="N344" s="7"/>
      <c r="O344" s="7"/>
    </row>
    <row r="345" spans="1:15" x14ac:dyDescent="0.3">
      <c r="A345" s="7"/>
      <c r="B345" s="7"/>
      <c r="C345" s="158">
        <v>1</v>
      </c>
      <c r="D345" s="7"/>
      <c r="E345" s="38" t="s">
        <v>207</v>
      </c>
      <c r="F345" s="38" t="s">
        <v>388</v>
      </c>
      <c r="G345" s="38" t="str">
        <f>VLOOKUP(E345,Mapping!$E$11:$G$204,3,0)</f>
        <v>Replacement</v>
      </c>
      <c r="H345" s="38" t="str">
        <f>VLOOKUP(E345,Mapping!$E$11:$K$204,7,0)</f>
        <v>SCS</v>
      </c>
      <c r="I345" s="43">
        <f>I140*(1+'Calc|Overheads'!O$27)</f>
        <v>23.586914633589551</v>
      </c>
      <c r="J345" s="43">
        <f>J140*(1+'Calc|Overheads'!P$27)</f>
        <v>23.474115697131516</v>
      </c>
      <c r="K345" s="43">
        <f>K140*(1+'Calc|Overheads'!Q$27)</f>
        <v>23.509762301606539</v>
      </c>
      <c r="L345" s="43">
        <f>L140*(1+'Calc|Overheads'!R$27)</f>
        <v>23.524946622089395</v>
      </c>
      <c r="M345" s="43">
        <f>M140*(1+'Calc|Overheads'!S$27)</f>
        <v>23.624663266334277</v>
      </c>
      <c r="N345" s="7"/>
      <c r="O345" s="7"/>
    </row>
    <row r="346" spans="1:15" x14ac:dyDescent="0.3">
      <c r="A346" s="7"/>
      <c r="B346" s="7"/>
      <c r="C346" s="158">
        <v>1</v>
      </c>
      <c r="D346" s="7"/>
      <c r="E346" s="38" t="s">
        <v>208</v>
      </c>
      <c r="F346" s="38" t="s">
        <v>389</v>
      </c>
      <c r="G346" s="38" t="str">
        <f>VLOOKUP(E346,Mapping!$E$11:$G$204,3,0)</f>
        <v>Replacement</v>
      </c>
      <c r="H346" s="38" t="str">
        <f>VLOOKUP(E346,Mapping!$E$11:$K$204,7,0)</f>
        <v>SCS</v>
      </c>
      <c r="I346" s="43">
        <f>I141*(1+'Calc|Overheads'!O$27)</f>
        <v>0</v>
      </c>
      <c r="J346" s="43">
        <f>J141*(1+'Calc|Overheads'!P$27)</f>
        <v>0</v>
      </c>
      <c r="K346" s="43">
        <f>K141*(1+'Calc|Overheads'!Q$27)</f>
        <v>0</v>
      </c>
      <c r="L346" s="43">
        <f>L141*(1+'Calc|Overheads'!R$27)</f>
        <v>0</v>
      </c>
      <c r="M346" s="43">
        <f>M141*(1+'Calc|Overheads'!S$27)</f>
        <v>0</v>
      </c>
      <c r="N346" s="7"/>
      <c r="O346" s="7"/>
    </row>
    <row r="347" spans="1:15" x14ac:dyDescent="0.3">
      <c r="A347" s="7"/>
      <c r="B347" s="7"/>
      <c r="C347" s="158">
        <v>1</v>
      </c>
      <c r="D347" s="7"/>
      <c r="E347" s="38" t="s">
        <v>209</v>
      </c>
      <c r="F347" s="38" t="s">
        <v>390</v>
      </c>
      <c r="G347" s="38" t="str">
        <f>VLOOKUP(E347,Mapping!$E$11:$G$204,3,0)</f>
        <v>Replacement</v>
      </c>
      <c r="H347" s="38" t="str">
        <f>VLOOKUP(E347,Mapping!$E$11:$K$204,7,0)</f>
        <v>SCS</v>
      </c>
      <c r="I347" s="43">
        <f>I142*(1+'Calc|Overheads'!O$27)</f>
        <v>103.93585086115344</v>
      </c>
      <c r="J347" s="43">
        <f>J142*(1+'Calc|Overheads'!P$27)</f>
        <v>103.43880181429323</v>
      </c>
      <c r="K347" s="43">
        <f>K142*(1+'Calc|Overheads'!Q$27)</f>
        <v>103.59587874546362</v>
      </c>
      <c r="L347" s="43">
        <f>L142*(1+'Calc|Overheads'!R$27)</f>
        <v>103.66278852546878</v>
      </c>
      <c r="M347" s="43">
        <f>M142*(1+'Calc|Overheads'!S$27)</f>
        <v>104.1021903898335</v>
      </c>
      <c r="N347" s="7"/>
      <c r="O347" s="7"/>
    </row>
    <row r="348" spans="1:15" x14ac:dyDescent="0.3">
      <c r="A348" s="7"/>
      <c r="B348" s="7"/>
      <c r="C348" s="158">
        <v>1</v>
      </c>
      <c r="D348" s="7"/>
      <c r="E348" s="38" t="s">
        <v>210</v>
      </c>
      <c r="F348" s="38" t="s">
        <v>391</v>
      </c>
      <c r="G348" s="38" t="str">
        <f>VLOOKUP(E348,Mapping!$E$11:$G$204,3,0)</f>
        <v>Replacement</v>
      </c>
      <c r="H348" s="38" t="str">
        <f>VLOOKUP(E348,Mapping!$E$11:$K$204,7,0)</f>
        <v>SCS</v>
      </c>
      <c r="I348" s="43">
        <f>I143*(1+'Calc|Overheads'!O$27)</f>
        <v>12652.902063793636</v>
      </c>
      <c r="J348" s="43">
        <f>J143*(1+'Calc|Overheads'!P$27)</f>
        <v>14353.063056473029</v>
      </c>
      <c r="K348" s="43">
        <f>K143*(1+'Calc|Overheads'!Q$27)</f>
        <v>15086.106637071751</v>
      </c>
      <c r="L348" s="43">
        <f>L143*(1+'Calc|Overheads'!R$27)</f>
        <v>11798.296097744122</v>
      </c>
      <c r="M348" s="43">
        <f>M143*(1+'Calc|Overheads'!S$27)</f>
        <v>7628.989722316478</v>
      </c>
      <c r="N348" s="7"/>
      <c r="O348" s="7"/>
    </row>
    <row r="349" spans="1:15" x14ac:dyDescent="0.3">
      <c r="A349" s="7"/>
      <c r="B349" s="7"/>
      <c r="C349" s="158">
        <v>1</v>
      </c>
      <c r="D349" s="7"/>
      <c r="E349" s="38" t="s">
        <v>211</v>
      </c>
      <c r="F349" s="38" t="s">
        <v>392</v>
      </c>
      <c r="G349" s="38" t="str">
        <f>VLOOKUP(E349,Mapping!$E$11:$G$204,3,0)</f>
        <v>Replacement</v>
      </c>
      <c r="H349" s="38" t="str">
        <f>VLOOKUP(E349,Mapping!$E$11:$K$204,7,0)</f>
        <v>SCS</v>
      </c>
      <c r="I349" s="43">
        <f>I144*(1+'Calc|Overheads'!O$27)</f>
        <v>336.3193568156085</v>
      </c>
      <c r="J349" s="43">
        <f>J144*(1+'Calc|Overheads'!P$27)</f>
        <v>334.71098766905527</v>
      </c>
      <c r="K349" s="43">
        <f>K144*(1+'Calc|Overheads'!Q$27)</f>
        <v>335.21926284094349</v>
      </c>
      <c r="L349" s="43">
        <f>L144*(1+'Calc|Overheads'!R$27)</f>
        <v>335.43577190869598</v>
      </c>
      <c r="M349" s="43">
        <f>M144*(1+'Calc|Overheads'!S$27)</f>
        <v>336.85760423298353</v>
      </c>
      <c r="N349" s="7"/>
      <c r="O349" s="7"/>
    </row>
    <row r="350" spans="1:15" x14ac:dyDescent="0.3">
      <c r="A350" s="7"/>
      <c r="B350" s="7"/>
      <c r="C350" s="158">
        <v>1</v>
      </c>
      <c r="D350" s="7"/>
      <c r="E350" s="38" t="s">
        <v>212</v>
      </c>
      <c r="F350" s="38" t="s">
        <v>393</v>
      </c>
      <c r="G350" s="38" t="str">
        <f>VLOOKUP(E350,Mapping!$E$11:$G$204,3,0)</f>
        <v>Replacement</v>
      </c>
      <c r="H350" s="38" t="str">
        <f>VLOOKUP(E350,Mapping!$E$11:$K$204,7,0)</f>
        <v>SCS</v>
      </c>
      <c r="I350" s="43">
        <f>I145*(1+'Calc|Overheads'!O$27)</f>
        <v>265.54774646893935</v>
      </c>
      <c r="J350" s="43">
        <f>J145*(1+'Calc|Overheads'!P$27)</f>
        <v>264.27782609801187</v>
      </c>
      <c r="K350" s="43">
        <f>K145*(1+'Calc|Overheads'!Q$27)</f>
        <v>264.67914503415329</v>
      </c>
      <c r="L350" s="43">
        <f>L145*(1+'Calc|Overheads'!R$27)</f>
        <v>264.85009414507022</v>
      </c>
      <c r="M350" s="43">
        <f>M145*(1+'Calc|Overheads'!S$27)</f>
        <v>265.97273059735818</v>
      </c>
      <c r="N350" s="7"/>
      <c r="O350" s="7"/>
    </row>
    <row r="351" spans="1:15" x14ac:dyDescent="0.3">
      <c r="A351" s="7"/>
      <c r="B351" s="7"/>
      <c r="C351" s="158">
        <v>1</v>
      </c>
      <c r="D351" s="7"/>
      <c r="E351" s="38" t="s">
        <v>213</v>
      </c>
      <c r="F351" s="38" t="s">
        <v>394</v>
      </c>
      <c r="G351" s="38" t="str">
        <f>VLOOKUP(E351,Mapping!$E$11:$G$204,3,0)</f>
        <v>Replacement</v>
      </c>
      <c r="H351" s="38" t="str">
        <f>VLOOKUP(E351,Mapping!$E$11:$K$204,7,0)</f>
        <v>SCS</v>
      </c>
      <c r="I351" s="43">
        <f>I146*(1+'Calc|Overheads'!O$27)</f>
        <v>0</v>
      </c>
      <c r="J351" s="43">
        <f>J146*(1+'Calc|Overheads'!P$27)</f>
        <v>0</v>
      </c>
      <c r="K351" s="43">
        <f>K146*(1+'Calc|Overheads'!Q$27)</f>
        <v>0</v>
      </c>
      <c r="L351" s="43">
        <f>L146*(1+'Calc|Overheads'!R$27)</f>
        <v>0</v>
      </c>
      <c r="M351" s="43">
        <f>M146*(1+'Calc|Overheads'!S$27)</f>
        <v>0</v>
      </c>
      <c r="N351" s="7"/>
      <c r="O351" s="7"/>
    </row>
    <row r="352" spans="1:15" x14ac:dyDescent="0.3">
      <c r="A352" s="7"/>
      <c r="B352" s="7"/>
      <c r="C352" s="158">
        <v>1</v>
      </c>
      <c r="D352" s="7"/>
      <c r="E352" s="38" t="s">
        <v>214</v>
      </c>
      <c r="F352" s="38" t="s">
        <v>395</v>
      </c>
      <c r="G352" s="38" t="str">
        <f>VLOOKUP(E352,Mapping!$E$11:$G$204,3,0)</f>
        <v>Replacement</v>
      </c>
      <c r="H352" s="38" t="str">
        <f>VLOOKUP(E352,Mapping!$E$11:$K$204,7,0)</f>
        <v>SCS</v>
      </c>
      <c r="I352" s="43">
        <f>I147*(1+'Calc|Overheads'!O$27)</f>
        <v>0</v>
      </c>
      <c r="J352" s="43">
        <f>J147*(1+'Calc|Overheads'!P$27)</f>
        <v>0</v>
      </c>
      <c r="K352" s="43">
        <f>K147*(1+'Calc|Overheads'!Q$27)</f>
        <v>0</v>
      </c>
      <c r="L352" s="43">
        <f>L147*(1+'Calc|Overheads'!R$27)</f>
        <v>0</v>
      </c>
      <c r="M352" s="43">
        <f>M147*(1+'Calc|Overheads'!S$27)</f>
        <v>0</v>
      </c>
      <c r="N352" s="7"/>
      <c r="O352" s="7"/>
    </row>
    <row r="353" spans="1:15" x14ac:dyDescent="0.3">
      <c r="A353" s="7"/>
      <c r="B353" s="7"/>
      <c r="C353" s="158">
        <v>1</v>
      </c>
      <c r="D353" s="7"/>
      <c r="E353" s="38" t="s">
        <v>215</v>
      </c>
      <c r="F353" s="38" t="s">
        <v>396</v>
      </c>
      <c r="G353" s="38" t="str">
        <f>VLOOKUP(E353,Mapping!$E$11:$G$204,3,0)</f>
        <v>Replacement</v>
      </c>
      <c r="H353" s="38" t="str">
        <f>VLOOKUP(E353,Mapping!$E$11:$K$204,7,0)</f>
        <v>SCS</v>
      </c>
      <c r="I353" s="43">
        <f>I148*(1+'Calc|Overheads'!O$27)</f>
        <v>13.325690910817279</v>
      </c>
      <c r="J353" s="43">
        <f>J148*(1+'Calc|Overheads'!P$27)</f>
        <v>13.261963891592472</v>
      </c>
      <c r="K353" s="43">
        <f>K148*(1+'Calc|Overheads'!Q$27)</f>
        <v>13.282102838997567</v>
      </c>
      <c r="L353" s="43">
        <f>L148*(1+'Calc|Overheads'!R$27)</f>
        <v>13.29068139047785</v>
      </c>
      <c r="M353" s="43">
        <f>M148*(1+'Calc|Overheads'!S$27)</f>
        <v>13.347017422575025</v>
      </c>
      <c r="N353" s="7"/>
      <c r="O353" s="7"/>
    </row>
    <row r="354" spans="1:15" x14ac:dyDescent="0.3">
      <c r="A354" s="7"/>
      <c r="B354" s="7"/>
      <c r="C354" s="158">
        <v>1</v>
      </c>
      <c r="D354" s="7"/>
      <c r="E354" s="38" t="s">
        <v>216</v>
      </c>
      <c r="F354" s="38" t="s">
        <v>397</v>
      </c>
      <c r="G354" s="38" t="str">
        <f>VLOOKUP(E354,Mapping!$E$11:$G$204,3,0)</f>
        <v>Replacement</v>
      </c>
      <c r="H354" s="38" t="str">
        <f>VLOOKUP(E354,Mapping!$E$11:$K$204,7,0)</f>
        <v>SCS</v>
      </c>
      <c r="I354" s="43">
        <f>I149*(1+'Calc|Overheads'!O$27)</f>
        <v>737.41002157804132</v>
      </c>
      <c r="J354" s="43">
        <f>J149*(1+'Calc|Overheads'!P$27)</f>
        <v>733.88352956076642</v>
      </c>
      <c r="K354" s="43">
        <f>K149*(1+'Calc|Overheads'!Q$27)</f>
        <v>734.99796795949101</v>
      </c>
      <c r="L354" s="43">
        <f>L149*(1+'Calc|Overheads'!R$27)</f>
        <v>735.47268329504254</v>
      </c>
      <c r="M354" s="43">
        <f>M149*(1+'Calc|Overheads'!S$27)</f>
        <v>738.59017678355463</v>
      </c>
      <c r="N354" s="7"/>
      <c r="O354" s="7"/>
    </row>
    <row r="355" spans="1:15" x14ac:dyDescent="0.3">
      <c r="A355" s="7"/>
      <c r="B355" s="7"/>
      <c r="C355" s="158">
        <v>1</v>
      </c>
      <c r="D355" s="7"/>
      <c r="E355" s="38" t="s">
        <v>217</v>
      </c>
      <c r="F355" s="38" t="s">
        <v>398</v>
      </c>
      <c r="G355" s="38" t="str">
        <f>VLOOKUP(E355,Mapping!$E$11:$G$204,3,0)</f>
        <v>Replacement</v>
      </c>
      <c r="H355" s="38" t="str">
        <f>VLOOKUP(E355,Mapping!$E$11:$K$204,7,0)</f>
        <v>SCS</v>
      </c>
      <c r="I355" s="43">
        <f>I150*(1+'Calc|Overheads'!O$27)</f>
        <v>977.65722575109316</v>
      </c>
      <c r="J355" s="43">
        <f>J150*(1+'Calc|Overheads'!P$27)</f>
        <v>972.98180732531114</v>
      </c>
      <c r="K355" s="43">
        <f>K150*(1+'Calc|Overheads'!Q$27)</f>
        <v>974.45932827198328</v>
      </c>
      <c r="L355" s="43">
        <f>L150*(1+'Calc|Overheads'!R$27)</f>
        <v>975.08870523242058</v>
      </c>
      <c r="M355" s="43">
        <f>M150*(1+'Calc|Overheads'!S$27)</f>
        <v>979.22187395279354</v>
      </c>
      <c r="N355" s="7"/>
      <c r="O355" s="7"/>
    </row>
    <row r="356" spans="1:15" x14ac:dyDescent="0.3">
      <c r="A356" s="7"/>
      <c r="B356" s="7"/>
      <c r="C356" s="158">
        <v>1</v>
      </c>
      <c r="D356" s="7"/>
      <c r="E356" s="38" t="s">
        <v>218</v>
      </c>
      <c r="F356" s="38" t="s">
        <v>399</v>
      </c>
      <c r="G356" s="38" t="str">
        <f>VLOOKUP(E356,Mapping!$E$11:$G$204,3,0)</f>
        <v>Replacement</v>
      </c>
      <c r="H356" s="38" t="str">
        <f>VLOOKUP(E356,Mapping!$E$11:$K$204,7,0)</f>
        <v>SCS</v>
      </c>
      <c r="I356" s="43">
        <f>I151*(1+'Calc|Overheads'!O$27)</f>
        <v>259.94774001880057</v>
      </c>
      <c r="J356" s="43">
        <f>J151*(1+'Calc|Overheads'!P$27)</f>
        <v>258.70460037699962</v>
      </c>
      <c r="K356" s="43">
        <f>K151*(1+'Calc|Overheads'!Q$27)</f>
        <v>259.09745609452659</v>
      </c>
      <c r="L356" s="43">
        <f>L151*(1+'Calc|Overheads'!R$27)</f>
        <v>259.26480014331617</v>
      </c>
      <c r="M356" s="43">
        <f>M151*(1+'Calc|Overheads'!S$27)</f>
        <v>260.36376186494812</v>
      </c>
      <c r="N356" s="7"/>
      <c r="O356" s="7"/>
    </row>
    <row r="357" spans="1:15" x14ac:dyDescent="0.3">
      <c r="A357" s="7"/>
      <c r="B357" s="7"/>
      <c r="C357" s="158">
        <v>0</v>
      </c>
      <c r="D357" s="7"/>
      <c r="E357" s="38" t="s">
        <v>219</v>
      </c>
      <c r="F357" s="38" t="s">
        <v>400</v>
      </c>
      <c r="G357" s="38" t="str">
        <f>VLOOKUP(E357,Mapping!$E$11:$G$204,3,0)</f>
        <v>Replacement</v>
      </c>
      <c r="H357" s="38" t="str">
        <f>VLOOKUP(E357,Mapping!$E$11:$K$204,7,0)</f>
        <v>SCS</v>
      </c>
      <c r="I357" s="43">
        <f>I152*(1+'Calc|Overheads'!O$27)</f>
        <v>156.78544738757941</v>
      </c>
      <c r="J357" s="43">
        <f>J152*(1+'Calc|Overheads'!P$27)</f>
        <v>156.03565743021761</v>
      </c>
      <c r="K357" s="43">
        <f>K152*(1+'Calc|Overheads'!Q$27)</f>
        <v>156.27260528530101</v>
      </c>
      <c r="L357" s="43">
        <f>L152*(1+'Calc|Overheads'!R$27)</f>
        <v>156.37353754020435</v>
      </c>
      <c r="M357" s="43">
        <f>M152*(1+'Calc|Overheads'!S$27)</f>
        <v>157.03636771205132</v>
      </c>
      <c r="N357" s="7"/>
      <c r="O357" s="7"/>
    </row>
    <row r="358" spans="1:15" x14ac:dyDescent="0.3">
      <c r="A358" s="7"/>
      <c r="B358" s="7"/>
      <c r="C358" s="158">
        <v>0</v>
      </c>
      <c r="D358" s="7"/>
      <c r="E358" s="38" t="s">
        <v>220</v>
      </c>
      <c r="F358" s="38" t="s">
        <v>401</v>
      </c>
      <c r="G358" s="38" t="str">
        <f>VLOOKUP(E358,Mapping!$E$11:$G$204,3,0)</f>
        <v>Replacement</v>
      </c>
      <c r="H358" s="38" t="str">
        <f>VLOOKUP(E358,Mapping!$E$11:$K$204,7,0)</f>
        <v>SCS</v>
      </c>
      <c r="I358" s="43">
        <f>I153*(1+'Calc|Overheads'!O$27)</f>
        <v>194.56246102590993</v>
      </c>
      <c r="J358" s="43">
        <f>J153*(1+'Calc|Overheads'!P$27)</f>
        <v>193.63201128208769</v>
      </c>
      <c r="K358" s="43">
        <f>K153*(1+'Calc|Overheads'!Q$27)</f>
        <v>193.92605105802349</v>
      </c>
      <c r="L358" s="43">
        <f>L153*(1+'Calc|Overheads'!R$27)</f>
        <v>194.05130265654938</v>
      </c>
      <c r="M358" s="43">
        <f>M153*(1+'Calc|Overheads'!S$27)</f>
        <v>194.87383989852933</v>
      </c>
      <c r="N358" s="7"/>
      <c r="O358" s="7"/>
    </row>
    <row r="359" spans="1:15" x14ac:dyDescent="0.3">
      <c r="A359" s="7"/>
      <c r="B359" s="7"/>
      <c r="C359" s="158">
        <v>1</v>
      </c>
      <c r="D359" s="7"/>
      <c r="E359" s="38" t="s">
        <v>221</v>
      </c>
      <c r="F359" s="38" t="s">
        <v>402</v>
      </c>
      <c r="G359" s="38" t="str">
        <f>VLOOKUP(E359,Mapping!$E$11:$G$204,3,0)</f>
        <v>Replacement</v>
      </c>
      <c r="H359" s="38" t="str">
        <f>VLOOKUP(E359,Mapping!$E$11:$K$204,7,0)</f>
        <v>SCS</v>
      </c>
      <c r="I359" s="43">
        <f>I154*(1+'Calc|Overheads'!O$27)</f>
        <v>247.124837191475</v>
      </c>
      <c r="J359" s="43">
        <f>J154*(1+'Calc|Overheads'!P$27)</f>
        <v>245.94302010176261</v>
      </c>
      <c r="K359" s="43">
        <f>K154*(1+'Calc|Overheads'!Q$27)</f>
        <v>246.31649672912846</v>
      </c>
      <c r="L359" s="43">
        <f>L154*(1+'Calc|Overheads'!R$27)</f>
        <v>246.4755859014717</v>
      </c>
      <c r="M359" s="43">
        <f>M154*(1+'Calc|Overheads'!S$27)</f>
        <v>247.52033719078207</v>
      </c>
      <c r="N359" s="7"/>
      <c r="O359" s="7"/>
    </row>
    <row r="360" spans="1:15" x14ac:dyDescent="0.3">
      <c r="A360" s="7"/>
      <c r="B360" s="7"/>
      <c r="C360" s="158">
        <v>1</v>
      </c>
      <c r="D360" s="7"/>
      <c r="E360" s="38" t="s">
        <v>222</v>
      </c>
      <c r="F360" s="38" t="s">
        <v>403</v>
      </c>
      <c r="G360" s="38" t="str">
        <f>VLOOKUP(E360,Mapping!$E$11:$G$204,3,0)</f>
        <v>Replacement</v>
      </c>
      <c r="H360" s="38" t="str">
        <f>VLOOKUP(E360,Mapping!$E$11:$K$204,7,0)</f>
        <v>SCS</v>
      </c>
      <c r="I360" s="43">
        <f>I155*(1+'Calc|Overheads'!O$27)</f>
        <v>0</v>
      </c>
      <c r="J360" s="43">
        <f>J155*(1+'Calc|Overheads'!P$27)</f>
        <v>0</v>
      </c>
      <c r="K360" s="43">
        <f>K155*(1+'Calc|Overheads'!Q$27)</f>
        <v>0</v>
      </c>
      <c r="L360" s="43">
        <f>L155*(1+'Calc|Overheads'!R$27)</f>
        <v>0</v>
      </c>
      <c r="M360" s="43">
        <f>M155*(1+'Calc|Overheads'!S$27)</f>
        <v>0</v>
      </c>
      <c r="N360" s="7"/>
      <c r="O360" s="7"/>
    </row>
    <row r="361" spans="1:15" x14ac:dyDescent="0.3">
      <c r="A361" s="7"/>
      <c r="B361" s="7"/>
      <c r="C361" s="158">
        <v>1</v>
      </c>
      <c r="D361" s="7"/>
      <c r="E361" s="38" t="s">
        <v>223</v>
      </c>
      <c r="F361" s="38" t="s">
        <v>404</v>
      </c>
      <c r="G361" s="38" t="str">
        <f>VLOOKUP(E361,Mapping!$E$11:$G$204,3,0)</f>
        <v>Replacement</v>
      </c>
      <c r="H361" s="38" t="str">
        <f>VLOOKUP(E361,Mapping!$E$11:$K$204,7,0)</f>
        <v>SCS</v>
      </c>
      <c r="I361" s="43">
        <f>I156*(1+'Calc|Overheads'!O$27)</f>
        <v>0</v>
      </c>
      <c r="J361" s="43">
        <f>J156*(1+'Calc|Overheads'!P$27)</f>
        <v>0</v>
      </c>
      <c r="K361" s="43">
        <f>K156*(1+'Calc|Overheads'!Q$27)</f>
        <v>0</v>
      </c>
      <c r="L361" s="43">
        <f>L156*(1+'Calc|Overheads'!R$27)</f>
        <v>0</v>
      </c>
      <c r="M361" s="43">
        <f>M156*(1+'Calc|Overheads'!S$27)</f>
        <v>0</v>
      </c>
      <c r="N361" s="7"/>
      <c r="O361" s="7"/>
    </row>
    <row r="362" spans="1:15" x14ac:dyDescent="0.3">
      <c r="A362" s="7"/>
      <c r="B362" s="7"/>
      <c r="C362" s="158">
        <v>1</v>
      </c>
      <c r="D362" s="7"/>
      <c r="E362" s="38" t="s">
        <v>224</v>
      </c>
      <c r="F362" s="38" t="s">
        <v>405</v>
      </c>
      <c r="G362" s="38" t="str">
        <f>VLOOKUP(E362,Mapping!$E$11:$G$204,3,0)</f>
        <v>Replacement</v>
      </c>
      <c r="H362" s="38" t="str">
        <f>VLOOKUP(E362,Mapping!$E$11:$K$204,7,0)</f>
        <v>SCS</v>
      </c>
      <c r="I362" s="43">
        <f>I157*(1+'Calc|Overheads'!O$27)</f>
        <v>0</v>
      </c>
      <c r="J362" s="43">
        <f>J157*(1+'Calc|Overheads'!P$27)</f>
        <v>0</v>
      </c>
      <c r="K362" s="43">
        <f>K157*(1+'Calc|Overheads'!Q$27)</f>
        <v>0</v>
      </c>
      <c r="L362" s="43">
        <f>L157*(1+'Calc|Overheads'!R$27)</f>
        <v>0</v>
      </c>
      <c r="M362" s="43">
        <f>M157*(1+'Calc|Overheads'!S$27)</f>
        <v>0</v>
      </c>
      <c r="N362" s="7"/>
      <c r="O362" s="7"/>
    </row>
    <row r="363" spans="1:15" x14ac:dyDescent="0.3">
      <c r="A363" s="7"/>
      <c r="B363" s="7"/>
      <c r="C363" s="158">
        <v>1</v>
      </c>
      <c r="D363" s="7"/>
      <c r="E363" s="38" t="s">
        <v>225</v>
      </c>
      <c r="F363" s="38" t="s">
        <v>406</v>
      </c>
      <c r="G363" s="38" t="str">
        <f>VLOOKUP(E363,Mapping!$E$11:$G$204,3,0)</f>
        <v>Replacement</v>
      </c>
      <c r="H363" s="38" t="str">
        <f>VLOOKUP(E363,Mapping!$E$11:$K$204,7,0)</f>
        <v>SCS</v>
      </c>
      <c r="I363" s="43">
        <f>I158*(1+'Calc|Overheads'!O$27)</f>
        <v>91.09408732054456</v>
      </c>
      <c r="J363" s="43">
        <f>J158*(1+'Calc|Overheads'!P$27)</f>
        <v>90.658451022750029</v>
      </c>
      <c r="K363" s="43">
        <f>K158*(1+'Calc|Overheads'!Q$27)</f>
        <v>90.796120359802885</v>
      </c>
      <c r="L363" s="43">
        <f>L158*(1+'Calc|Overheads'!R$27)</f>
        <v>90.85476312158228</v>
      </c>
      <c r="M363" s="43">
        <f>M158*(1+'Calc|Overheads'!S$27)</f>
        <v>91.239874817591001</v>
      </c>
      <c r="N363" s="7"/>
      <c r="O363" s="7"/>
    </row>
    <row r="364" spans="1:15" x14ac:dyDescent="0.3">
      <c r="A364" s="7"/>
      <c r="B364" s="7"/>
      <c r="C364" s="158">
        <v>1</v>
      </c>
      <c r="D364" s="7"/>
      <c r="E364" s="38" t="s">
        <v>226</v>
      </c>
      <c r="F364" s="38" t="s">
        <v>407</v>
      </c>
      <c r="G364" s="38" t="str">
        <f>VLOOKUP(E364,Mapping!$E$11:$G$204,3,0)</f>
        <v>Replacement</v>
      </c>
      <c r="H364" s="38" t="str">
        <f>VLOOKUP(E364,Mapping!$E$11:$K$204,7,0)</f>
        <v>SCS</v>
      </c>
      <c r="I364" s="43">
        <f>I159*(1+'Calc|Overheads'!O$27)</f>
        <v>0</v>
      </c>
      <c r="J364" s="43">
        <f>J159*(1+'Calc|Overheads'!P$27)</f>
        <v>0</v>
      </c>
      <c r="K364" s="43">
        <f>K159*(1+'Calc|Overheads'!Q$27)</f>
        <v>541.4085479733335</v>
      </c>
      <c r="L364" s="43">
        <f>L159*(1+'Calc|Overheads'!R$27)</f>
        <v>541.75822913127627</v>
      </c>
      <c r="M364" s="43">
        <f>M159*(1+'Calc|Overheads'!S$27)</f>
        <v>0</v>
      </c>
      <c r="N364" s="7"/>
      <c r="O364" s="7"/>
    </row>
    <row r="365" spans="1:15" x14ac:dyDescent="0.3">
      <c r="A365" s="7"/>
      <c r="B365" s="7"/>
      <c r="C365" s="158">
        <v>1</v>
      </c>
      <c r="D365" s="7"/>
      <c r="E365" s="38" t="s">
        <v>227</v>
      </c>
      <c r="F365" s="38" t="s">
        <v>408</v>
      </c>
      <c r="G365" s="38" t="str">
        <f>VLOOKUP(E365,Mapping!$E$11:$G$204,3,0)</f>
        <v>Replacement</v>
      </c>
      <c r="H365" s="38" t="str">
        <f>VLOOKUP(E365,Mapping!$E$11:$K$204,7,0)</f>
        <v>SCS</v>
      </c>
      <c r="I365" s="43">
        <f>I160*(1+'Calc|Overheads'!O$27)</f>
        <v>1998.5459269891085</v>
      </c>
      <c r="J365" s="43">
        <f>J160*(1+'Calc|Overheads'!P$27)</f>
        <v>1988.9883456551825</v>
      </c>
      <c r="K365" s="43">
        <f>K160*(1+'Calc|Overheads'!Q$27)</f>
        <v>1992.0087227282861</v>
      </c>
      <c r="L365" s="43">
        <f>L160*(1+'Calc|Overheads'!R$27)</f>
        <v>1993.2953073590666</v>
      </c>
      <c r="M365" s="43">
        <f>M160*(1+'Calc|Overheads'!S$27)</f>
        <v>2001.7444112925173</v>
      </c>
      <c r="N365" s="7"/>
      <c r="O365" s="7"/>
    </row>
    <row r="366" spans="1:15" x14ac:dyDescent="0.3">
      <c r="A366" s="7"/>
      <c r="B366" s="7"/>
      <c r="C366" s="158">
        <v>1</v>
      </c>
      <c r="D366" s="7"/>
      <c r="E366" s="38" t="s">
        <v>228</v>
      </c>
      <c r="F366" s="38" t="s">
        <v>409</v>
      </c>
      <c r="G366" s="38" t="str">
        <f>VLOOKUP(E366,Mapping!$E$11:$G$204,3,0)</f>
        <v>Replacement</v>
      </c>
      <c r="H366" s="38" t="str">
        <f>VLOOKUP(E366,Mapping!$E$11:$K$204,7,0)</f>
        <v>SCS</v>
      </c>
      <c r="I366" s="43">
        <f>I161*(1+'Calc|Overheads'!O$27)</f>
        <v>1361.1468033719314</v>
      </c>
      <c r="J366" s="43">
        <f>J161*(1+'Calc|Overheads'!P$27)</f>
        <v>1354.6374351833103</v>
      </c>
      <c r="K366" s="43">
        <f>K161*(1+'Calc|Overheads'!Q$27)</f>
        <v>1356.6945190573981</v>
      </c>
      <c r="L366" s="43">
        <f>L161*(1+'Calc|Overheads'!R$27)</f>
        <v>1357.5707714035689</v>
      </c>
      <c r="M366" s="43">
        <f>M161*(1+'Calc|Overheads'!S$27)</f>
        <v>1363.3251904814929</v>
      </c>
      <c r="N366" s="7"/>
      <c r="O366" s="7"/>
    </row>
    <row r="367" spans="1:15" x14ac:dyDescent="0.3">
      <c r="A367" s="7"/>
      <c r="B367" s="7"/>
      <c r="C367" s="158">
        <v>1</v>
      </c>
      <c r="D367" s="7"/>
      <c r="E367" s="38" t="s">
        <v>229</v>
      </c>
      <c r="F367" s="38" t="s">
        <v>410</v>
      </c>
      <c r="G367" s="38" t="str">
        <f>VLOOKUP(E367,Mapping!$E$11:$G$204,3,0)</f>
        <v>Replacement</v>
      </c>
      <c r="H367" s="38" t="str">
        <f>VLOOKUP(E367,Mapping!$E$11:$K$204,7,0)</f>
        <v>SCS</v>
      </c>
      <c r="I367" s="43">
        <f>I162*(1+'Calc|Overheads'!O$27)</f>
        <v>48.662111430073999</v>
      </c>
      <c r="J367" s="43">
        <f>J162*(1+'Calc|Overheads'!P$27)</f>
        <v>48.429396193665006</v>
      </c>
      <c r="K367" s="43">
        <f>K162*(1+'Calc|Overheads'!Q$27)</f>
        <v>48.502938624543056</v>
      </c>
      <c r="L367" s="43">
        <f>L162*(1+'Calc|Overheads'!R$27)</f>
        <v>48.53426536255882</v>
      </c>
      <c r="M367" s="43">
        <f>M162*(1+'Calc|Overheads'!S$27)</f>
        <v>48.739990550827713</v>
      </c>
      <c r="N367" s="7"/>
      <c r="O367" s="7"/>
    </row>
    <row r="368" spans="1:15" x14ac:dyDescent="0.3">
      <c r="A368" s="7"/>
      <c r="B368" s="7"/>
      <c r="C368" s="158">
        <v>0</v>
      </c>
      <c r="D368" s="7"/>
      <c r="E368" s="38" t="s">
        <v>230</v>
      </c>
      <c r="F368" s="38" t="s">
        <v>411</v>
      </c>
      <c r="G368" s="38" t="str">
        <f>VLOOKUP(E368,Mapping!$E$11:$G$204,3,0)</f>
        <v>Replacement</v>
      </c>
      <c r="H368" s="38" t="str">
        <f>VLOOKUP(E368,Mapping!$E$11:$K$204,7,0)</f>
        <v>SCS</v>
      </c>
      <c r="I368" s="43">
        <f>I163*(1+'Calc|Overheads'!O$27)</f>
        <v>2181.5075625475529</v>
      </c>
      <c r="J368" s="43">
        <f>J163*(1+'Calc|Overheads'!P$27)</f>
        <v>2171.0750097209911</v>
      </c>
      <c r="K368" s="43">
        <f>K163*(1+'Calc|Overheads'!Q$27)</f>
        <v>2174.3718943898602</v>
      </c>
      <c r="L368" s="43">
        <f>L163*(1+'Calc|Overheads'!R$27)</f>
        <v>2175.7762624676725</v>
      </c>
      <c r="M368" s="43">
        <f>M163*(1+'Calc|Overheads'!S$27)</f>
        <v>2184.998859696319</v>
      </c>
      <c r="N368" s="7"/>
      <c r="O368" s="7"/>
    </row>
    <row r="369" spans="1:15" x14ac:dyDescent="0.3">
      <c r="A369" s="7"/>
      <c r="B369" s="7"/>
      <c r="C369" s="158">
        <v>1</v>
      </c>
      <c r="D369" s="7"/>
      <c r="E369" s="38" t="s">
        <v>231</v>
      </c>
      <c r="F369" s="38" t="s">
        <v>412</v>
      </c>
      <c r="G369" s="38" t="str">
        <f>VLOOKUP(E369,Mapping!$E$11:$G$204,3,0)</f>
        <v>Replacement</v>
      </c>
      <c r="H369" s="38" t="str">
        <f>VLOOKUP(E369,Mapping!$E$11:$K$204,7,0)</f>
        <v>SCS</v>
      </c>
      <c r="I369" s="43">
        <f>I164*(1+'Calc|Overheads'!O$27)</f>
        <v>449.11406879226524</v>
      </c>
      <c r="J369" s="43">
        <f>J164*(1+'Calc|Overheads'!P$27)</f>
        <v>446.96628515480876</v>
      </c>
      <c r="K369" s="43">
        <f>K164*(1+'Calc|Overheads'!Q$27)</f>
        <v>447.64502554214226</v>
      </c>
      <c r="L369" s="43">
        <f>L164*(1+'Calc|Overheads'!R$27)</f>
        <v>447.93414737345591</v>
      </c>
      <c r="M369" s="43">
        <f>M164*(1+'Calc|Overheads'!S$27)</f>
        <v>449.83283351019008</v>
      </c>
      <c r="N369" s="7"/>
      <c r="O369" s="7"/>
    </row>
    <row r="370" spans="1:15" x14ac:dyDescent="0.3">
      <c r="A370" s="7"/>
      <c r="B370" s="7"/>
      <c r="C370" s="158">
        <v>1</v>
      </c>
      <c r="D370" s="7"/>
      <c r="E370" s="38" t="s">
        <v>232</v>
      </c>
      <c r="F370" s="38" t="s">
        <v>413</v>
      </c>
      <c r="G370" s="38" t="str">
        <f>VLOOKUP(E370,Mapping!$E$11:$G$204,3,0)</f>
        <v>Replacement</v>
      </c>
      <c r="H370" s="38" t="str">
        <f>VLOOKUP(E370,Mapping!$E$11:$K$204,7,0)</f>
        <v>SCS</v>
      </c>
      <c r="I370" s="43">
        <f>I165*(1+'Calc|Overheads'!O$27)</f>
        <v>0</v>
      </c>
      <c r="J370" s="43">
        <f>J165*(1+'Calc|Overheads'!P$27)</f>
        <v>0</v>
      </c>
      <c r="K370" s="43">
        <f>K165*(1+'Calc|Overheads'!Q$27)</f>
        <v>0</v>
      </c>
      <c r="L370" s="43">
        <f>L165*(1+'Calc|Overheads'!R$27)</f>
        <v>0</v>
      </c>
      <c r="M370" s="43">
        <f>M165*(1+'Calc|Overheads'!S$27)</f>
        <v>0</v>
      </c>
      <c r="N370" s="7"/>
      <c r="O370" s="7"/>
    </row>
    <row r="371" spans="1:15" x14ac:dyDescent="0.3">
      <c r="A371" s="7"/>
      <c r="B371" s="7"/>
      <c r="C371" s="158">
        <v>1</v>
      </c>
      <c r="D371" s="7"/>
      <c r="E371" s="38" t="s">
        <v>233</v>
      </c>
      <c r="F371" s="38" t="s">
        <v>414</v>
      </c>
      <c r="G371" s="38" t="str">
        <f>VLOOKUP(E371,Mapping!$E$11:$G$204,3,0)</f>
        <v>Replacement</v>
      </c>
      <c r="H371" s="38" t="str">
        <f>VLOOKUP(E371,Mapping!$E$11:$K$204,7,0)</f>
        <v>SCS</v>
      </c>
      <c r="I371" s="43">
        <f>I166*(1+'Calc|Overheads'!O$27)</f>
        <v>0</v>
      </c>
      <c r="J371" s="43">
        <f>J166*(1+'Calc|Overheads'!P$27)</f>
        <v>0</v>
      </c>
      <c r="K371" s="43">
        <f>K166*(1+'Calc|Overheads'!Q$27)</f>
        <v>0</v>
      </c>
      <c r="L371" s="43">
        <f>L166*(1+'Calc|Overheads'!R$27)</f>
        <v>0</v>
      </c>
      <c r="M371" s="43">
        <f>M166*(1+'Calc|Overheads'!S$27)</f>
        <v>0</v>
      </c>
      <c r="N371" s="7"/>
      <c r="O371" s="7"/>
    </row>
    <row r="372" spans="1:15" x14ac:dyDescent="0.3">
      <c r="A372" s="7"/>
      <c r="B372" s="7"/>
      <c r="C372" s="158">
        <v>1</v>
      </c>
      <c r="D372" s="7"/>
      <c r="E372" s="38" t="s">
        <v>234</v>
      </c>
      <c r="F372" s="38" t="s">
        <v>415</v>
      </c>
      <c r="G372" s="38" t="str">
        <f>VLOOKUP(E372,Mapping!$E$11:$G$204,3,0)</f>
        <v>Replacement</v>
      </c>
      <c r="H372" s="38" t="str">
        <f>VLOOKUP(E372,Mapping!$E$11:$K$204,7,0)</f>
        <v>SCS</v>
      </c>
      <c r="I372" s="43">
        <f>I167*(1+'Calc|Overheads'!O$27)</f>
        <v>4983.5321973144873</v>
      </c>
      <c r="J372" s="43">
        <f>J167*(1+'Calc|Overheads'!P$27)</f>
        <v>4959.6996130026364</v>
      </c>
      <c r="K372" s="43">
        <f>K167*(1+'Calc|Overheads'!Q$27)</f>
        <v>4967.2311619095562</v>
      </c>
      <c r="L372" s="43">
        <f>L167*(1+'Calc|Overheads'!R$27)</f>
        <v>4970.4393623544283</v>
      </c>
      <c r="M372" s="43">
        <f>M167*(1+'Calc|Overheads'!S$27)</f>
        <v>4991.5078706744962</v>
      </c>
      <c r="N372" s="7"/>
      <c r="O372" s="7"/>
    </row>
    <row r="373" spans="1:15" x14ac:dyDescent="0.3">
      <c r="A373" s="7"/>
      <c r="B373" s="7"/>
      <c r="C373" s="158">
        <v>1</v>
      </c>
      <c r="D373" s="7"/>
      <c r="E373" s="38" t="s">
        <v>235</v>
      </c>
      <c r="F373" s="38" t="s">
        <v>416</v>
      </c>
      <c r="G373" s="38" t="str">
        <f>VLOOKUP(E373,Mapping!$E$11:$G$204,3,0)</f>
        <v>Replacement</v>
      </c>
      <c r="H373" s="38" t="str">
        <f>VLOOKUP(E373,Mapping!$E$11:$K$204,7,0)</f>
        <v>SCS</v>
      </c>
      <c r="I373" s="43">
        <f>I168*(1+'Calc|Overheads'!O$27)</f>
        <v>0</v>
      </c>
      <c r="J373" s="43">
        <f>J168*(1+'Calc|Overheads'!P$27)</f>
        <v>0</v>
      </c>
      <c r="K373" s="43">
        <f>K168*(1+'Calc|Overheads'!Q$27)</f>
        <v>0</v>
      </c>
      <c r="L373" s="43">
        <f>L168*(1+'Calc|Overheads'!R$27)</f>
        <v>0</v>
      </c>
      <c r="M373" s="43">
        <f>M168*(1+'Calc|Overheads'!S$27)</f>
        <v>0</v>
      </c>
      <c r="N373" s="7"/>
      <c r="O373" s="7"/>
    </row>
    <row r="374" spans="1:15" x14ac:dyDescent="0.3">
      <c r="A374" s="7"/>
      <c r="B374" s="7"/>
      <c r="C374" s="158">
        <v>0</v>
      </c>
      <c r="D374" s="7"/>
      <c r="E374" s="38" t="s">
        <v>236</v>
      </c>
      <c r="F374" s="38" t="s">
        <v>417</v>
      </c>
      <c r="G374" s="38" t="str">
        <f>VLOOKUP(E374,Mapping!$E$11:$G$204,3,0)</f>
        <v>Replacement</v>
      </c>
      <c r="H374" s="38" t="str">
        <f>VLOOKUP(E374,Mapping!$E$11:$K$204,7,0)</f>
        <v>SCS</v>
      </c>
      <c r="I374" s="43">
        <f>I169*(1+'Calc|Overheads'!O$27)</f>
        <v>874.89041303228532</v>
      </c>
      <c r="J374" s="43">
        <f>J169*(1+'Calc|Overheads'!P$27)</f>
        <v>870.70645300019044</v>
      </c>
      <c r="K374" s="43">
        <f>K169*(1+'Calc|Overheads'!Q$27)</f>
        <v>872.02866376818713</v>
      </c>
      <c r="L374" s="43">
        <f>L169*(1+'Calc|Overheads'!R$27)</f>
        <v>872.59188352902618</v>
      </c>
      <c r="M374" s="43">
        <f>M169*(1+'Calc|Overheads'!S$27)</f>
        <v>876.290592640618</v>
      </c>
      <c r="N374" s="7"/>
      <c r="O374" s="7"/>
    </row>
    <row r="375" spans="1:15" x14ac:dyDescent="0.3">
      <c r="A375" s="7"/>
      <c r="B375" s="7"/>
      <c r="C375" s="158">
        <v>1</v>
      </c>
      <c r="D375" s="7"/>
      <c r="E375" s="38" t="s">
        <v>544</v>
      </c>
      <c r="F375" s="38" t="s">
        <v>545</v>
      </c>
      <c r="G375" s="38" t="str">
        <f>VLOOKUP(E375,Mapping!$E$11:$G$204,3,0)</f>
        <v>Replacement</v>
      </c>
      <c r="H375" s="38" t="str">
        <f>VLOOKUP(E375,Mapping!$E$11:$K$204,7,0)</f>
        <v>SCS</v>
      </c>
      <c r="I375" s="43">
        <f>I170*(1+'Calc|Overheads'!O$27)</f>
        <v>4004.2854581836636</v>
      </c>
      <c r="J375" s="43">
        <f>J170*(1+'Calc|Overheads'!P$27)</f>
        <v>3985.1358937758519</v>
      </c>
      <c r="K375" s="43">
        <f>K170*(1+'Calc|Overheads'!Q$27)</f>
        <v>3991.1875195247185</v>
      </c>
      <c r="L375" s="43">
        <f>L170*(1+'Calc|Overheads'!R$27)</f>
        <v>3993.7653197434597</v>
      </c>
      <c r="M375" s="43">
        <f>M170*(1+'Calc|Overheads'!S$27)</f>
        <v>4010.6939394756914</v>
      </c>
      <c r="N375" s="7"/>
      <c r="O375" s="7"/>
    </row>
    <row r="376" spans="1:15" x14ac:dyDescent="0.3">
      <c r="A376" s="7"/>
      <c r="B376" s="7"/>
      <c r="C376" s="158">
        <v>1</v>
      </c>
      <c r="D376" s="7"/>
      <c r="E376" s="38" t="s">
        <v>237</v>
      </c>
      <c r="F376" s="38" t="s">
        <v>418</v>
      </c>
      <c r="G376" s="38" t="str">
        <f>VLOOKUP(E376,Mapping!$E$11:$G$204,3,0)</f>
        <v>Replacement</v>
      </c>
      <c r="H376" s="38" t="str">
        <f>VLOOKUP(E376,Mapping!$E$11:$K$204,7,0)</f>
        <v>SCS</v>
      </c>
      <c r="I376" s="43">
        <f>I171*(1+'Calc|Overheads'!O$27)</f>
        <v>0</v>
      </c>
      <c r="J376" s="43">
        <f>J171*(1+'Calc|Overheads'!P$27)</f>
        <v>0</v>
      </c>
      <c r="K376" s="43">
        <f>K171*(1+'Calc|Overheads'!Q$27)</f>
        <v>0</v>
      </c>
      <c r="L376" s="43">
        <f>L171*(1+'Calc|Overheads'!R$27)</f>
        <v>0</v>
      </c>
      <c r="M376" s="43">
        <f>M171*(1+'Calc|Overheads'!S$27)</f>
        <v>0</v>
      </c>
      <c r="N376" s="7"/>
      <c r="O376" s="7"/>
    </row>
    <row r="377" spans="1:15" x14ac:dyDescent="0.3">
      <c r="A377" s="7"/>
      <c r="B377" s="7"/>
      <c r="C377" s="158">
        <v>0</v>
      </c>
      <c r="D377" s="7"/>
      <c r="E377" s="38" t="s">
        <v>238</v>
      </c>
      <c r="F377" s="38" t="s">
        <v>419</v>
      </c>
      <c r="G377" s="38" t="str">
        <f>VLOOKUP(E377,Mapping!$E$11:$G$204,3,0)</f>
        <v>Replacement</v>
      </c>
      <c r="H377" s="38" t="str">
        <f>VLOOKUP(E377,Mapping!$E$11:$K$204,7,0)</f>
        <v>SCS</v>
      </c>
      <c r="I377" s="43">
        <f>I172*(1+'Calc|Overheads'!O$27)</f>
        <v>175.23654970834619</v>
      </c>
      <c r="J377" s="43">
        <f>J172*(1+'Calc|Overheads'!P$27)</f>
        <v>174.39852164309309</v>
      </c>
      <c r="K377" s="43">
        <f>K172*(1+'Calc|Overheads'!Q$27)</f>
        <v>174.66335441474038</v>
      </c>
      <c r="L377" s="43">
        <f>L172*(1+'Calc|Overheads'!R$27)</f>
        <v>174.77616475778083</v>
      </c>
      <c r="M377" s="43">
        <f>M172*(1+'Calc|Overheads'!S$27)</f>
        <v>175.51699928223715</v>
      </c>
      <c r="N377" s="7"/>
      <c r="O377" s="7"/>
    </row>
    <row r="378" spans="1:15" x14ac:dyDescent="0.3">
      <c r="A378" s="7"/>
      <c r="B378" s="7"/>
      <c r="C378" s="158">
        <v>1</v>
      </c>
      <c r="D378" s="7"/>
      <c r="E378" s="38" t="s">
        <v>239</v>
      </c>
      <c r="F378" s="38" t="s">
        <v>420</v>
      </c>
      <c r="G378" s="38" t="str">
        <f>VLOOKUP(E378,Mapping!$E$11:$G$204,3,0)</f>
        <v>Replacement</v>
      </c>
      <c r="H378" s="38" t="str">
        <f>VLOOKUP(E378,Mapping!$E$11:$K$204,7,0)</f>
        <v>SCS</v>
      </c>
      <c r="I378" s="43">
        <f>I173*(1+'Calc|Overheads'!O$27)</f>
        <v>0</v>
      </c>
      <c r="J378" s="43">
        <f>J173*(1+'Calc|Overheads'!P$27)</f>
        <v>0</v>
      </c>
      <c r="K378" s="43">
        <f>K173*(1+'Calc|Overheads'!Q$27)</f>
        <v>0</v>
      </c>
      <c r="L378" s="43">
        <f>L173*(1+'Calc|Overheads'!R$27)</f>
        <v>0</v>
      </c>
      <c r="M378" s="43">
        <f>M173*(1+'Calc|Overheads'!S$27)</f>
        <v>0</v>
      </c>
      <c r="N378" s="7"/>
      <c r="O378" s="7"/>
    </row>
    <row r="379" spans="1:15" x14ac:dyDescent="0.3">
      <c r="A379" s="7"/>
      <c r="B379" s="7"/>
      <c r="C379" s="158">
        <v>0</v>
      </c>
      <c r="D379" s="7"/>
      <c r="E379" s="38" t="s">
        <v>240</v>
      </c>
      <c r="F379" s="38" t="s">
        <v>421</v>
      </c>
      <c r="G379" s="38" t="str">
        <f>VLOOKUP(E379,Mapping!$E$11:$G$204,3,0)</f>
        <v>Replacement</v>
      </c>
      <c r="H379" s="38" t="str">
        <f>VLOOKUP(E379,Mapping!$E$11:$K$204,7,0)</f>
        <v>SCS</v>
      </c>
      <c r="I379" s="43">
        <f>I174*(1+'Calc|Overheads'!O$27)</f>
        <v>203.0216666400336</v>
      </c>
      <c r="J379" s="43">
        <f>J174*(1+'Calc|Overheads'!P$27)</f>
        <v>202.05076271170375</v>
      </c>
      <c r="K379" s="43">
        <f>K174*(1+'Calc|Overheads'!Q$27)</f>
        <v>202.35758677763187</v>
      </c>
      <c r="L379" s="43">
        <f>L174*(1+'Calc|Overheads'!R$27)</f>
        <v>202.48828407734717</v>
      </c>
      <c r="M379" s="43">
        <f>M174*(1+'Calc|Overheads'!S$27)</f>
        <v>203.34658367357824</v>
      </c>
      <c r="N379" s="7"/>
      <c r="O379" s="7"/>
    </row>
    <row r="380" spans="1:15" x14ac:dyDescent="0.3">
      <c r="A380" s="7"/>
      <c r="B380" s="7"/>
      <c r="C380" s="158">
        <v>1</v>
      </c>
      <c r="D380" s="7"/>
      <c r="E380" s="38" t="s">
        <v>241</v>
      </c>
      <c r="F380" s="38" t="s">
        <v>422</v>
      </c>
      <c r="G380" s="38" t="str">
        <f>VLOOKUP(E380,Mapping!$E$11:$G$204,3,0)</f>
        <v>Replacement</v>
      </c>
      <c r="H380" s="38" t="str">
        <f>VLOOKUP(E380,Mapping!$E$11:$K$204,7,0)</f>
        <v>SCS</v>
      </c>
      <c r="I380" s="43">
        <f>I175*(1+'Calc|Overheads'!O$27)</f>
        <v>121.25489406588275</v>
      </c>
      <c r="J380" s="43">
        <f>J175*(1+'Calc|Overheads'!P$27)</f>
        <v>120.67502072070663</v>
      </c>
      <c r="K380" s="43">
        <f>K175*(1+'Calc|Overheads'!Q$27)</f>
        <v>120.85827170187871</v>
      </c>
      <c r="L380" s="43">
        <f>L175*(1+'Calc|Overheads'!R$27)</f>
        <v>120.93633079524521</v>
      </c>
      <c r="M380" s="43">
        <f>M175*(1+'Calc|Overheads'!S$27)</f>
        <v>121.44895109011411</v>
      </c>
      <c r="N380" s="7"/>
      <c r="O380" s="7"/>
    </row>
    <row r="381" spans="1:15" x14ac:dyDescent="0.3">
      <c r="A381" s="7"/>
      <c r="B381" s="7"/>
      <c r="C381" s="158">
        <v>1</v>
      </c>
      <c r="D381" s="7"/>
      <c r="E381" s="38" t="s">
        <v>242</v>
      </c>
      <c r="F381" s="38" t="s">
        <v>423</v>
      </c>
      <c r="G381" s="38" t="str">
        <f>VLOOKUP(E381,Mapping!$E$11:$G$204,3,0)</f>
        <v>Replacement</v>
      </c>
      <c r="H381" s="38" t="str">
        <f>VLOOKUP(E381,Mapping!$E$11:$K$204,7,0)</f>
        <v>SCS</v>
      </c>
      <c r="I381" s="43">
        <f>I176*(1+'Calc|Overheads'!O$27)</f>
        <v>27.350551547157576</v>
      </c>
      <c r="J381" s="43">
        <f>J176*(1+'Calc|Overheads'!P$27)</f>
        <v>27.219753892017614</v>
      </c>
      <c r="K381" s="43">
        <f>K176*(1+'Calc|Overheads'!Q$27)</f>
        <v>27.261088433152842</v>
      </c>
      <c r="L381" s="43">
        <f>L176*(1+'Calc|Overheads'!R$27)</f>
        <v>27.278695633862487</v>
      </c>
      <c r="M381" s="43">
        <f>M176*(1+'Calc|Overheads'!S$27)</f>
        <v>27.394323525890606</v>
      </c>
      <c r="N381" s="7"/>
      <c r="O381" s="7"/>
    </row>
    <row r="382" spans="1:15" x14ac:dyDescent="0.3">
      <c r="A382" s="7"/>
      <c r="B382" s="7"/>
      <c r="C382" s="158">
        <v>1</v>
      </c>
      <c r="D382" s="7"/>
      <c r="E382" s="38" t="s">
        <v>243</v>
      </c>
      <c r="F382" s="38" t="s">
        <v>424</v>
      </c>
      <c r="G382" s="38" t="str">
        <f>VLOOKUP(E382,Mapping!$E$11:$G$204,3,0)</f>
        <v>Replacement</v>
      </c>
      <c r="H382" s="38" t="str">
        <f>VLOOKUP(E382,Mapping!$E$11:$K$204,7,0)</f>
        <v>SCS</v>
      </c>
      <c r="I382" s="43">
        <f>I177*(1+'Calc|Overheads'!O$27)</f>
        <v>0</v>
      </c>
      <c r="J382" s="43">
        <f>J177*(1+'Calc|Overheads'!P$27)</f>
        <v>0</v>
      </c>
      <c r="K382" s="43">
        <f>K177*(1+'Calc|Overheads'!Q$27)</f>
        <v>0</v>
      </c>
      <c r="L382" s="43">
        <f>L177*(1+'Calc|Overheads'!R$27)</f>
        <v>0</v>
      </c>
      <c r="M382" s="43">
        <f>M177*(1+'Calc|Overheads'!S$27)</f>
        <v>0</v>
      </c>
      <c r="N382" s="7"/>
      <c r="O382" s="7"/>
    </row>
    <row r="383" spans="1:15" x14ac:dyDescent="0.3">
      <c r="A383" s="7"/>
      <c r="B383" s="7"/>
      <c r="C383" s="158">
        <v>1</v>
      </c>
      <c r="D383" s="7"/>
      <c r="E383" s="38" t="s">
        <v>244</v>
      </c>
      <c r="F383" s="38" t="s">
        <v>425</v>
      </c>
      <c r="G383" s="38" t="str">
        <f>VLOOKUP(E383,Mapping!$E$11:$G$204,3,0)</f>
        <v>Replacement</v>
      </c>
      <c r="H383" s="38" t="str">
        <f>VLOOKUP(E383,Mapping!$E$11:$K$204,7,0)</f>
        <v>SCS</v>
      </c>
      <c r="I383" s="43">
        <f>I178*(1+'Calc|Overheads'!O$27)</f>
        <v>494.86917429618154</v>
      </c>
      <c r="J383" s="43">
        <f>J178*(1+'Calc|Overheads'!P$27)</f>
        <v>492.50257750242451</v>
      </c>
      <c r="K383" s="43">
        <f>K178*(1+'Calc|Overheads'!Q$27)</f>
        <v>493.25046699950587</v>
      </c>
      <c r="L383" s="43">
        <f>L178*(1+'Calc|Overheads'!R$27)</f>
        <v>493.56904415367501</v>
      </c>
      <c r="M383" s="43">
        <f>M178*(1+'Calc|Overheads'!S$27)</f>
        <v>495.66116574599113</v>
      </c>
      <c r="N383" s="7"/>
      <c r="O383" s="7"/>
    </row>
    <row r="384" spans="1:15" x14ac:dyDescent="0.3">
      <c r="A384" s="7"/>
      <c r="B384" s="7"/>
      <c r="C384" s="158">
        <v>0</v>
      </c>
      <c r="D384" s="7"/>
      <c r="E384" s="38" t="s">
        <v>245</v>
      </c>
      <c r="F384" s="38" t="s">
        <v>426</v>
      </c>
      <c r="G384" s="38" t="str">
        <f>VLOOKUP(E384,Mapping!$E$11:$G$204,3,0)</f>
        <v>ACS</v>
      </c>
      <c r="H384" s="38" t="str">
        <f>VLOOKUP(E384,Mapping!$E$11:$K$204,7,0)</f>
        <v>ACS</v>
      </c>
      <c r="I384" s="43">
        <f>I179*(1+'Calc|Overheads'!O$27)</f>
        <v>0</v>
      </c>
      <c r="J384" s="43">
        <f>J179*(1+'Calc|Overheads'!P$27)</f>
        <v>0</v>
      </c>
      <c r="K384" s="43">
        <f>K179*(1+'Calc|Overheads'!Q$27)</f>
        <v>0</v>
      </c>
      <c r="L384" s="43">
        <f>L179*(1+'Calc|Overheads'!R$27)</f>
        <v>0</v>
      </c>
      <c r="M384" s="43">
        <f>M179*(1+'Calc|Overheads'!S$27)</f>
        <v>0</v>
      </c>
      <c r="N384" s="7"/>
      <c r="O384" s="7"/>
    </row>
    <row r="385" spans="1:15" x14ac:dyDescent="0.3">
      <c r="A385" s="7"/>
      <c r="B385" s="7"/>
      <c r="C385" s="158">
        <v>0</v>
      </c>
      <c r="D385" s="7"/>
      <c r="E385" s="38" t="s">
        <v>246</v>
      </c>
      <c r="F385" s="38" t="s">
        <v>427</v>
      </c>
      <c r="G385" s="38" t="str">
        <f>VLOOKUP(E385,Mapping!$E$11:$G$204,3,0)</f>
        <v>ACS</v>
      </c>
      <c r="H385" s="38" t="str">
        <f>VLOOKUP(E385,Mapping!$E$11:$K$204,7,0)</f>
        <v>ACS</v>
      </c>
      <c r="I385" s="43">
        <f>I180*(1+'Calc|Overheads'!O$27)</f>
        <v>0</v>
      </c>
      <c r="J385" s="43">
        <f>J180*(1+'Calc|Overheads'!P$27)</f>
        <v>0</v>
      </c>
      <c r="K385" s="43">
        <f>K180*(1+'Calc|Overheads'!Q$27)</f>
        <v>0</v>
      </c>
      <c r="L385" s="43">
        <f>L180*(1+'Calc|Overheads'!R$27)</f>
        <v>0</v>
      </c>
      <c r="M385" s="43">
        <f>M180*(1+'Calc|Overheads'!S$27)</f>
        <v>0</v>
      </c>
      <c r="N385" s="7"/>
      <c r="O385" s="7"/>
    </row>
    <row r="386" spans="1:15" x14ac:dyDescent="0.3">
      <c r="A386" s="7"/>
      <c r="B386" s="7"/>
      <c r="C386" s="158">
        <v>0</v>
      </c>
      <c r="D386" s="7"/>
      <c r="E386" s="38" t="s">
        <v>247</v>
      </c>
      <c r="F386" s="38" t="s">
        <v>428</v>
      </c>
      <c r="G386" s="38" t="str">
        <f>VLOOKUP(E386,Mapping!$E$11:$G$204,3,0)</f>
        <v>ACS</v>
      </c>
      <c r="H386" s="38" t="str">
        <f>VLOOKUP(E386,Mapping!$E$11:$K$204,7,0)</f>
        <v>ACS</v>
      </c>
      <c r="I386" s="43">
        <f>I181*(1+'Calc|Overheads'!O$27)</f>
        <v>0</v>
      </c>
      <c r="J386" s="43">
        <f>J181*(1+'Calc|Overheads'!P$27)</f>
        <v>0</v>
      </c>
      <c r="K386" s="43">
        <f>K181*(1+'Calc|Overheads'!Q$27)</f>
        <v>0</v>
      </c>
      <c r="L386" s="43">
        <f>L181*(1+'Calc|Overheads'!R$27)</f>
        <v>0</v>
      </c>
      <c r="M386" s="43">
        <f>M181*(1+'Calc|Overheads'!S$27)</f>
        <v>0</v>
      </c>
      <c r="N386" s="7"/>
      <c r="O386" s="7"/>
    </row>
    <row r="387" spans="1:15" x14ac:dyDescent="0.3">
      <c r="A387" s="7"/>
      <c r="B387" s="7"/>
      <c r="C387" s="158">
        <v>0</v>
      </c>
      <c r="D387" s="7"/>
      <c r="E387" s="38" t="s">
        <v>248</v>
      </c>
      <c r="F387" s="38" t="s">
        <v>429</v>
      </c>
      <c r="G387" s="38" t="str">
        <f>VLOOKUP(E387,Mapping!$E$11:$G$204,3,0)</f>
        <v>ACS</v>
      </c>
      <c r="H387" s="38" t="str">
        <f>VLOOKUP(E387,Mapping!$E$11:$K$204,7,0)</f>
        <v>ACS</v>
      </c>
      <c r="I387" s="43">
        <f>I182*(1+'Calc|Overheads'!O$27)</f>
        <v>0</v>
      </c>
      <c r="J387" s="43">
        <f>J182*(1+'Calc|Overheads'!P$27)</f>
        <v>0</v>
      </c>
      <c r="K387" s="43">
        <f>K182*(1+'Calc|Overheads'!Q$27)</f>
        <v>0</v>
      </c>
      <c r="L387" s="43">
        <f>L182*(1+'Calc|Overheads'!R$27)</f>
        <v>0</v>
      </c>
      <c r="M387" s="43">
        <f>M182*(1+'Calc|Overheads'!S$27)</f>
        <v>0</v>
      </c>
      <c r="N387" s="7"/>
      <c r="O387" s="7"/>
    </row>
    <row r="388" spans="1:15" x14ac:dyDescent="0.3">
      <c r="A388" s="7"/>
      <c r="B388" s="7"/>
      <c r="C388" s="158">
        <v>0</v>
      </c>
      <c r="D388" s="7"/>
      <c r="E388" s="38" t="s">
        <v>249</v>
      </c>
      <c r="F388" s="38" t="s">
        <v>430</v>
      </c>
      <c r="G388" s="38" t="str">
        <f>VLOOKUP(E388,Mapping!$E$11:$G$204,3,0)</f>
        <v>ACS</v>
      </c>
      <c r="H388" s="38" t="str">
        <f>VLOOKUP(E388,Mapping!$E$11:$K$204,7,0)</f>
        <v>ACS</v>
      </c>
      <c r="I388" s="43">
        <f>I183*(1+'Calc|Overheads'!O$27)</f>
        <v>0</v>
      </c>
      <c r="J388" s="43">
        <f>J183*(1+'Calc|Overheads'!P$27)</f>
        <v>0</v>
      </c>
      <c r="K388" s="123">
        <f>K183*(1+'Calc|Overheads'!Q$27)</f>
        <v>0</v>
      </c>
      <c r="L388" s="43">
        <f>L183*(1+'Calc|Overheads'!R$27)</f>
        <v>0</v>
      </c>
      <c r="M388" s="43">
        <f>M183*(1+'Calc|Overheads'!S$27)</f>
        <v>0</v>
      </c>
      <c r="N388" s="7"/>
      <c r="O388" s="7"/>
    </row>
    <row r="389" spans="1:15" x14ac:dyDescent="0.3">
      <c r="A389" s="7"/>
      <c r="B389" s="7"/>
      <c r="C389" s="158">
        <v>0</v>
      </c>
      <c r="D389" s="7"/>
      <c r="E389" s="38" t="s">
        <v>250</v>
      </c>
      <c r="F389" s="38" t="s">
        <v>431</v>
      </c>
      <c r="G389" s="38" t="str">
        <f>VLOOKUP(E389,Mapping!$E$11:$G$204,3,0)</f>
        <v>Augmentation</v>
      </c>
      <c r="H389" s="38" t="str">
        <f>VLOOKUP(E389,Mapping!$E$11:$K$204,7,0)</f>
        <v>SCADA (10-year asset)</v>
      </c>
      <c r="I389" s="43">
        <f>I184*(1+'Calc|Overheads'!O$27)</f>
        <v>1307.9446206548471</v>
      </c>
      <c r="J389" s="43">
        <f>J184*(1+'Calc|Overheads'!P$27)</f>
        <v>1062.1021656599291</v>
      </c>
      <c r="K389" s="43">
        <f>K184*(1+'Calc|Overheads'!Q$27)</f>
        <v>1056.2966271818461</v>
      </c>
      <c r="L389" s="43">
        <f>L184*(1+'Calc|Overheads'!R$27)</f>
        <v>1105.2846220857182</v>
      </c>
      <c r="M389" s="43">
        <f>M184*(1+'Calc|Overheads'!S$27)</f>
        <v>1300.9521901208659</v>
      </c>
      <c r="N389" s="7"/>
      <c r="O389" s="7"/>
    </row>
    <row r="390" spans="1:15" x14ac:dyDescent="0.3">
      <c r="A390" s="7"/>
      <c r="B390" s="7"/>
      <c r="C390" s="158">
        <v>0</v>
      </c>
      <c r="D390" s="7"/>
      <c r="E390" s="38" t="s">
        <v>251</v>
      </c>
      <c r="F390" s="38" t="s">
        <v>432</v>
      </c>
      <c r="G390" s="38" t="str">
        <f>VLOOKUP(E390,Mapping!$E$11:$G$204,3,0)</f>
        <v>ACS</v>
      </c>
      <c r="H390" s="38" t="str">
        <f>VLOOKUP(E390,Mapping!$E$11:$K$204,7,0)</f>
        <v>ACS</v>
      </c>
      <c r="I390" s="43">
        <f>I185*(1+'Calc|Overheads'!O$27)</f>
        <v>0</v>
      </c>
      <c r="J390" s="43">
        <f>J185*(1+'Calc|Overheads'!P$27)</f>
        <v>0</v>
      </c>
      <c r="K390" s="43">
        <f>K185*(1+'Calc|Overheads'!Q$27)</f>
        <v>0</v>
      </c>
      <c r="L390" s="43">
        <f>L185*(1+'Calc|Overheads'!R$27)</f>
        <v>0</v>
      </c>
      <c r="M390" s="43">
        <f>M185*(1+'Calc|Overheads'!S$27)</f>
        <v>0</v>
      </c>
      <c r="N390" s="7"/>
      <c r="O390" s="7"/>
    </row>
    <row r="391" spans="1:15" x14ac:dyDescent="0.3">
      <c r="A391" s="7"/>
      <c r="B391" s="7"/>
      <c r="C391" s="158">
        <v>0</v>
      </c>
      <c r="D391" s="7"/>
      <c r="E391" s="38" t="s">
        <v>252</v>
      </c>
      <c r="F391" s="38" t="s">
        <v>433</v>
      </c>
      <c r="G391" s="38" t="str">
        <f>VLOOKUP(E391,Mapping!$E$11:$G$204,3,0)</f>
        <v>ACS</v>
      </c>
      <c r="H391" s="38" t="str">
        <f>VLOOKUP(E391,Mapping!$E$11:$K$204,7,0)</f>
        <v>ACS</v>
      </c>
      <c r="I391" s="43">
        <f>I186*(1+'Calc|Overheads'!O$27)</f>
        <v>0</v>
      </c>
      <c r="J391" s="43">
        <f>J186*(1+'Calc|Overheads'!P$27)</f>
        <v>0</v>
      </c>
      <c r="K391" s="43">
        <f>K186*(1+'Calc|Overheads'!Q$27)</f>
        <v>0</v>
      </c>
      <c r="L391" s="43">
        <f>L186*(1+'Calc|Overheads'!R$27)</f>
        <v>0</v>
      </c>
      <c r="M391" s="43">
        <f>M186*(1+'Calc|Overheads'!S$27)</f>
        <v>0</v>
      </c>
      <c r="N391" s="7"/>
      <c r="O391" s="7"/>
    </row>
    <row r="392" spans="1:15" x14ac:dyDescent="0.3">
      <c r="A392" s="7"/>
      <c r="B392" s="7"/>
      <c r="C392" s="158">
        <v>0</v>
      </c>
      <c r="D392" s="7"/>
      <c r="E392" s="38" t="s">
        <v>253</v>
      </c>
      <c r="F392" s="38" t="s">
        <v>434</v>
      </c>
      <c r="G392" s="38" t="str">
        <f>VLOOKUP(E392,Mapping!$E$11:$G$204,3,0)</f>
        <v>ACS</v>
      </c>
      <c r="H392" s="38" t="str">
        <f>VLOOKUP(E392,Mapping!$E$11:$K$204,7,0)</f>
        <v>ACS</v>
      </c>
      <c r="I392" s="43">
        <f>I187*(1+'Calc|Overheads'!O$27)</f>
        <v>0</v>
      </c>
      <c r="J392" s="43">
        <f>J187*(1+'Calc|Overheads'!P$27)</f>
        <v>0</v>
      </c>
      <c r="K392" s="43">
        <f>K187*(1+'Calc|Overheads'!Q$27)</f>
        <v>0</v>
      </c>
      <c r="L392" s="43">
        <f>L187*(1+'Calc|Overheads'!R$27)</f>
        <v>0</v>
      </c>
      <c r="M392" s="43">
        <f>M187*(1+'Calc|Overheads'!S$27)</f>
        <v>0</v>
      </c>
      <c r="N392" s="7"/>
      <c r="O392" s="7"/>
    </row>
    <row r="393" spans="1:15" x14ac:dyDescent="0.3">
      <c r="A393" s="7"/>
      <c r="B393" s="7"/>
      <c r="C393" s="158">
        <v>0</v>
      </c>
      <c r="D393" s="7"/>
      <c r="E393" s="38" t="s">
        <v>254</v>
      </c>
      <c r="F393" s="38" t="s">
        <v>435</v>
      </c>
      <c r="G393" s="38" t="str">
        <f>VLOOKUP(E393,Mapping!$E$11:$G$204,3,0)</f>
        <v>ACS</v>
      </c>
      <c r="H393" s="38" t="str">
        <f>VLOOKUP(E393,Mapping!$E$11:$K$204,7,0)</f>
        <v>ACS</v>
      </c>
      <c r="I393" s="43">
        <f>I188*(1+'Calc|Overheads'!O$27)</f>
        <v>0</v>
      </c>
      <c r="J393" s="43">
        <f>J188*(1+'Calc|Overheads'!P$27)</f>
        <v>0</v>
      </c>
      <c r="K393" s="43">
        <f>K188*(1+'Calc|Overheads'!Q$27)</f>
        <v>0</v>
      </c>
      <c r="L393" s="43">
        <f>L188*(1+'Calc|Overheads'!R$27)</f>
        <v>0</v>
      </c>
      <c r="M393" s="43">
        <f>M188*(1+'Calc|Overheads'!S$27)</f>
        <v>0</v>
      </c>
      <c r="N393" s="7"/>
      <c r="O393" s="7"/>
    </row>
    <row r="394" spans="1:15" x14ac:dyDescent="0.3">
      <c r="A394" s="7"/>
      <c r="B394" s="7"/>
      <c r="C394" s="158">
        <v>0</v>
      </c>
      <c r="D394" s="7"/>
      <c r="E394" s="38" t="s">
        <v>255</v>
      </c>
      <c r="F394" s="38" t="s">
        <v>436</v>
      </c>
      <c r="G394" s="38" t="str">
        <f>VLOOKUP(E394,Mapping!$E$11:$G$204,3,0)</f>
        <v>ACS</v>
      </c>
      <c r="H394" s="38" t="str">
        <f>VLOOKUP(E394,Mapping!$E$11:$K$204,7,0)</f>
        <v>ACS</v>
      </c>
      <c r="I394" s="43">
        <f>I189*(1+'Calc|Overheads'!O$27)</f>
        <v>0</v>
      </c>
      <c r="J394" s="43">
        <f>J189*(1+'Calc|Overheads'!P$27)</f>
        <v>0</v>
      </c>
      <c r="K394" s="43">
        <f>K189*(1+'Calc|Overheads'!Q$27)</f>
        <v>0</v>
      </c>
      <c r="L394" s="43">
        <f>L189*(1+'Calc|Overheads'!R$27)</f>
        <v>0</v>
      </c>
      <c r="M394" s="43">
        <f>M189*(1+'Calc|Overheads'!S$27)</f>
        <v>0</v>
      </c>
      <c r="N394" s="7"/>
      <c r="O394" s="7"/>
    </row>
    <row r="395" spans="1:15" x14ac:dyDescent="0.3">
      <c r="A395" s="7"/>
      <c r="B395" s="7"/>
      <c r="C395" s="158">
        <v>0</v>
      </c>
      <c r="D395" s="7"/>
      <c r="E395" s="38" t="s">
        <v>256</v>
      </c>
      <c r="F395" s="38" t="s">
        <v>437</v>
      </c>
      <c r="G395" s="38" t="str">
        <f>VLOOKUP(E395,Mapping!$E$11:$G$204,3,0)</f>
        <v>ACS</v>
      </c>
      <c r="H395" s="38" t="str">
        <f>VLOOKUP(E395,Mapping!$E$11:$K$204,7,0)</f>
        <v>ACS</v>
      </c>
      <c r="I395" s="43">
        <f>I190*(1+'Calc|Overheads'!O$27)</f>
        <v>0</v>
      </c>
      <c r="J395" s="43">
        <f>J190*(1+'Calc|Overheads'!P$27)</f>
        <v>0</v>
      </c>
      <c r="K395" s="43">
        <f>K190*(1+'Calc|Overheads'!Q$27)</f>
        <v>0</v>
      </c>
      <c r="L395" s="43">
        <f>L190*(1+'Calc|Overheads'!R$27)</f>
        <v>0</v>
      </c>
      <c r="M395" s="43">
        <f>M190*(1+'Calc|Overheads'!S$27)</f>
        <v>0</v>
      </c>
      <c r="N395" s="7"/>
      <c r="O395" s="7"/>
    </row>
    <row r="396" spans="1:15" x14ac:dyDescent="0.3">
      <c r="A396" s="7"/>
      <c r="B396" s="7"/>
      <c r="C396" s="158">
        <v>0</v>
      </c>
      <c r="D396" s="7"/>
      <c r="E396" s="38" t="s">
        <v>257</v>
      </c>
      <c r="F396" s="38" t="s">
        <v>438</v>
      </c>
      <c r="G396" s="38" t="str">
        <f>VLOOKUP(E396,Mapping!$E$11:$G$204,3,0)</f>
        <v>ACS</v>
      </c>
      <c r="H396" s="38" t="str">
        <f>VLOOKUP(E396,Mapping!$E$11:$K$204,7,0)</f>
        <v>ACS</v>
      </c>
      <c r="I396" s="43">
        <f>I191*(1+'Calc|Overheads'!O$27)</f>
        <v>0</v>
      </c>
      <c r="J396" s="43">
        <f>J191*(1+'Calc|Overheads'!P$27)</f>
        <v>0</v>
      </c>
      <c r="K396" s="43">
        <f>K191*(1+'Calc|Overheads'!Q$27)</f>
        <v>0</v>
      </c>
      <c r="L396" s="43">
        <f>L191*(1+'Calc|Overheads'!R$27)</f>
        <v>0</v>
      </c>
      <c r="M396" s="43">
        <f>M191*(1+'Calc|Overheads'!S$27)</f>
        <v>0</v>
      </c>
      <c r="N396" s="7"/>
      <c r="O396" s="7"/>
    </row>
    <row r="397" spans="1:15" x14ac:dyDescent="0.3">
      <c r="A397" s="7"/>
      <c r="B397" s="7"/>
      <c r="C397" s="158">
        <v>0</v>
      </c>
      <c r="D397" s="7"/>
      <c r="E397" s="38" t="s">
        <v>258</v>
      </c>
      <c r="F397" s="38" t="s">
        <v>439</v>
      </c>
      <c r="G397" s="38" t="str">
        <f>VLOOKUP(E397,Mapping!$E$11:$G$204,3,0)</f>
        <v>ACS</v>
      </c>
      <c r="H397" s="38" t="str">
        <f>VLOOKUP(E397,Mapping!$E$11:$K$204,7,0)</f>
        <v>ACS</v>
      </c>
      <c r="I397" s="43">
        <f>I192*(1+'Calc|Overheads'!O$27)</f>
        <v>0</v>
      </c>
      <c r="J397" s="43">
        <f>J192*(1+'Calc|Overheads'!P$27)</f>
        <v>0</v>
      </c>
      <c r="K397" s="43">
        <f>K192*(1+'Calc|Overheads'!Q$27)</f>
        <v>0</v>
      </c>
      <c r="L397" s="43">
        <f>L192*(1+'Calc|Overheads'!R$27)</f>
        <v>0</v>
      </c>
      <c r="M397" s="43">
        <f>M192*(1+'Calc|Overheads'!S$27)</f>
        <v>0</v>
      </c>
      <c r="N397" s="7"/>
      <c r="O397" s="7"/>
    </row>
    <row r="398" spans="1:15" x14ac:dyDescent="0.3">
      <c r="A398" s="7"/>
      <c r="B398" s="7"/>
      <c r="C398" s="158">
        <v>0</v>
      </c>
      <c r="D398" s="7"/>
      <c r="E398" s="38" t="s">
        <v>259</v>
      </c>
      <c r="F398" s="38" t="s">
        <v>440</v>
      </c>
      <c r="G398" s="38" t="str">
        <f>VLOOKUP(E398,Mapping!$E$11:$G$204,3,0)</f>
        <v>ACS</v>
      </c>
      <c r="H398" s="38" t="str">
        <f>VLOOKUP(E398,Mapping!$E$11:$K$204,7,0)</f>
        <v>ACS</v>
      </c>
      <c r="I398" s="43">
        <f>I193*(1+'Calc|Overheads'!O$27)</f>
        <v>0</v>
      </c>
      <c r="J398" s="43">
        <f>J193*(1+'Calc|Overheads'!P$27)</f>
        <v>0</v>
      </c>
      <c r="K398" s="43">
        <f>K193*(1+'Calc|Overheads'!Q$27)</f>
        <v>0</v>
      </c>
      <c r="L398" s="43">
        <f>L193*(1+'Calc|Overheads'!R$27)</f>
        <v>0</v>
      </c>
      <c r="M398" s="43">
        <f>M193*(1+'Calc|Overheads'!S$27)</f>
        <v>0</v>
      </c>
      <c r="N398" s="7"/>
      <c r="O398" s="7"/>
    </row>
    <row r="399" spans="1:15" x14ac:dyDescent="0.3">
      <c r="A399" s="7"/>
      <c r="B399" s="7"/>
      <c r="C399" s="158">
        <v>0</v>
      </c>
      <c r="D399" s="7"/>
      <c r="E399" s="38" t="s">
        <v>260</v>
      </c>
      <c r="F399" s="38" t="s">
        <v>441</v>
      </c>
      <c r="G399" s="38" t="str">
        <f>VLOOKUP(E399,Mapping!$E$11:$G$204,3,0)</f>
        <v>Replacement</v>
      </c>
      <c r="H399" s="38" t="str">
        <f>VLOOKUP(E399,Mapping!$E$11:$K$204,7,0)</f>
        <v>SCS</v>
      </c>
      <c r="I399" s="43">
        <f>I194*(1+'Calc|Overheads'!O$27)</f>
        <v>395.2126658083809</v>
      </c>
      <c r="J399" s="43">
        <f>J194*(1+'Calc|Overheads'!P$27)</f>
        <v>393.3226531013164</v>
      </c>
      <c r="K399" s="43">
        <f>K194*(1+'Calc|Overheads'!Q$27)</f>
        <v>393.91993298299832</v>
      </c>
      <c r="L399" s="43">
        <f>L194*(1+'Calc|Overheads'!R$27)</f>
        <v>394.17435522811775</v>
      </c>
      <c r="M399" s="43">
        <f>M194*(1+'Calc|Overheads'!S$27)</f>
        <v>395.84516641345874</v>
      </c>
      <c r="N399" s="7"/>
      <c r="O399" s="7"/>
    </row>
    <row r="400" spans="1:15" x14ac:dyDescent="0.3">
      <c r="A400" s="7"/>
      <c r="B400" s="7"/>
      <c r="C400" s="158">
        <v>0</v>
      </c>
      <c r="D400" s="7"/>
      <c r="E400" s="38" t="s">
        <v>261</v>
      </c>
      <c r="F400" s="38" t="s">
        <v>442</v>
      </c>
      <c r="G400" s="38" t="str">
        <f>VLOOKUP(E400,Mapping!$E$11:$G$204,3,0)</f>
        <v>ACS</v>
      </c>
      <c r="H400" s="38" t="str">
        <f>VLOOKUP(E400,Mapping!$E$11:$K$204,7,0)</f>
        <v>ACS</v>
      </c>
      <c r="I400" s="43">
        <f>I195*(1+'Calc|Overheads'!O$27)</f>
        <v>0</v>
      </c>
      <c r="J400" s="43">
        <f>J195*(1+'Calc|Overheads'!P$27)</f>
        <v>0</v>
      </c>
      <c r="K400" s="43">
        <f>K195*(1+'Calc|Overheads'!Q$27)</f>
        <v>0</v>
      </c>
      <c r="L400" s="43">
        <f>L195*(1+'Calc|Overheads'!R$27)</f>
        <v>0</v>
      </c>
      <c r="M400" s="43">
        <f>M195*(1+'Calc|Overheads'!S$27)</f>
        <v>0</v>
      </c>
      <c r="N400" s="7"/>
      <c r="O400" s="7"/>
    </row>
    <row r="401" spans="1:15" x14ac:dyDescent="0.3">
      <c r="A401" s="7"/>
      <c r="B401" s="7"/>
      <c r="C401" s="158">
        <v>0</v>
      </c>
      <c r="D401" s="7"/>
      <c r="E401" s="38" t="s">
        <v>262</v>
      </c>
      <c r="F401" s="38" t="s">
        <v>443</v>
      </c>
      <c r="G401" s="38" t="str">
        <f>VLOOKUP(E401,Mapping!$E$11:$G$204,3,0)</f>
        <v>ACS</v>
      </c>
      <c r="H401" s="38" t="str">
        <f>VLOOKUP(E401,Mapping!$E$11:$K$204,7,0)</f>
        <v>ACS</v>
      </c>
      <c r="I401" s="43">
        <f>I196*(1+'Calc|Overheads'!O$27)</f>
        <v>0</v>
      </c>
      <c r="J401" s="43">
        <f>J196*(1+'Calc|Overheads'!P$27)</f>
        <v>0</v>
      </c>
      <c r="K401" s="43">
        <f>K196*(1+'Calc|Overheads'!Q$27)</f>
        <v>0</v>
      </c>
      <c r="L401" s="43">
        <f>L196*(1+'Calc|Overheads'!R$27)</f>
        <v>0</v>
      </c>
      <c r="M401" s="43">
        <f>M196*(1+'Calc|Overheads'!S$27)</f>
        <v>0</v>
      </c>
      <c r="N401" s="7"/>
      <c r="O401" s="7"/>
    </row>
    <row r="402" spans="1:15" x14ac:dyDescent="0.3">
      <c r="A402" s="7"/>
      <c r="B402" s="7"/>
      <c r="C402" s="158">
        <v>0</v>
      </c>
      <c r="D402" s="7"/>
      <c r="E402" s="38" t="s">
        <v>263</v>
      </c>
      <c r="F402" s="38" t="s">
        <v>444</v>
      </c>
      <c r="G402" s="38" t="str">
        <f>VLOOKUP(E402,Mapping!$E$11:$G$204,3,0)</f>
        <v>ACS</v>
      </c>
      <c r="H402" s="38" t="str">
        <f>VLOOKUP(E402,Mapping!$E$11:$K$204,7,0)</f>
        <v>ACS</v>
      </c>
      <c r="I402" s="43">
        <f>I197*(1+'Calc|Overheads'!O$27)</f>
        <v>0</v>
      </c>
      <c r="J402" s="43">
        <f>J197*(1+'Calc|Overheads'!P$27)</f>
        <v>0</v>
      </c>
      <c r="K402" s="43">
        <f>K197*(1+'Calc|Overheads'!Q$27)</f>
        <v>0</v>
      </c>
      <c r="L402" s="43">
        <f>L197*(1+'Calc|Overheads'!R$27)</f>
        <v>0</v>
      </c>
      <c r="M402" s="43">
        <f>M197*(1+'Calc|Overheads'!S$27)</f>
        <v>0</v>
      </c>
      <c r="N402" s="7"/>
      <c r="O402" s="7"/>
    </row>
    <row r="403" spans="1:15" x14ac:dyDescent="0.3">
      <c r="A403" s="7"/>
      <c r="B403" s="7"/>
      <c r="C403" s="158">
        <v>0</v>
      </c>
      <c r="D403" s="7"/>
      <c r="E403" s="38" t="s">
        <v>264</v>
      </c>
      <c r="F403" s="38" t="s">
        <v>445</v>
      </c>
      <c r="G403" s="38" t="str">
        <f>VLOOKUP(E403,Mapping!$E$11:$G$204,3,0)</f>
        <v>ACS</v>
      </c>
      <c r="H403" s="38" t="str">
        <f>VLOOKUP(E403,Mapping!$E$11:$K$204,7,0)</f>
        <v>ACS</v>
      </c>
      <c r="I403" s="43">
        <f>I198*(1+'Calc|Overheads'!O$27)</f>
        <v>0</v>
      </c>
      <c r="J403" s="43">
        <f>J198*(1+'Calc|Overheads'!P$27)</f>
        <v>0</v>
      </c>
      <c r="K403" s="43">
        <f>K198*(1+'Calc|Overheads'!Q$27)</f>
        <v>0</v>
      </c>
      <c r="L403" s="43">
        <f>L198*(1+'Calc|Overheads'!R$27)</f>
        <v>0</v>
      </c>
      <c r="M403" s="43">
        <f>M198*(1+'Calc|Overheads'!S$27)</f>
        <v>0</v>
      </c>
      <c r="N403" s="7"/>
      <c r="O403" s="7"/>
    </row>
    <row r="404" spans="1:15" x14ac:dyDescent="0.3">
      <c r="A404" s="7"/>
      <c r="B404" s="7"/>
      <c r="C404" s="158">
        <v>0</v>
      </c>
      <c r="D404" s="7"/>
      <c r="E404" s="38" t="s">
        <v>265</v>
      </c>
      <c r="F404" s="38" t="s">
        <v>446</v>
      </c>
      <c r="G404" s="38" t="str">
        <f>VLOOKUP(E404,Mapping!$E$11:$G$204,3,0)</f>
        <v>Non-network general assets - IT</v>
      </c>
      <c r="H404" s="38" t="str">
        <f>VLOOKUP(E404,Mapping!$E$11:$K$204,7,0)</f>
        <v>Non-network general assets - IT</v>
      </c>
      <c r="I404" s="117">
        <f t="shared" ref="I404:M404" si="5">I199</f>
        <v>54188.162104146933</v>
      </c>
      <c r="J404" s="117">
        <f t="shared" si="5"/>
        <v>36909.970576053776</v>
      </c>
      <c r="K404" s="117">
        <f t="shared" si="5"/>
        <v>35775.946192681062</v>
      </c>
      <c r="L404" s="117">
        <f t="shared" si="5"/>
        <v>32531.833152301377</v>
      </c>
      <c r="M404" s="117">
        <f t="shared" si="5"/>
        <v>22438.273572123271</v>
      </c>
      <c r="N404" s="7"/>
      <c r="O404" s="7"/>
    </row>
    <row r="405" spans="1:15" x14ac:dyDescent="0.3">
      <c r="A405" s="7"/>
      <c r="B405" s="7"/>
      <c r="C405" s="158">
        <v>0</v>
      </c>
      <c r="D405" s="7"/>
      <c r="E405" s="38" t="s">
        <v>266</v>
      </c>
      <c r="F405" s="38" t="s">
        <v>447</v>
      </c>
      <c r="G405" s="38" t="str">
        <f>VLOOKUP(E405,Mapping!$E$11:$G$204,3,0)</f>
        <v>ACS</v>
      </c>
      <c r="H405" s="38" t="str">
        <f>VLOOKUP(E405,Mapping!$E$11:$K$204,7,0)</f>
        <v>ACS</v>
      </c>
      <c r="I405" s="43">
        <f>I200*(1+'Calc|Overheads'!O$27)</f>
        <v>0</v>
      </c>
      <c r="J405" s="43">
        <f>J200*(1+'Calc|Overheads'!P$27)</f>
        <v>0</v>
      </c>
      <c r="K405" s="43">
        <f>K200*(1+'Calc|Overheads'!Q$27)</f>
        <v>0</v>
      </c>
      <c r="L405" s="43">
        <f>L200*(1+'Calc|Overheads'!R$27)</f>
        <v>0</v>
      </c>
      <c r="M405" s="43">
        <f>M200*(1+'Calc|Overheads'!S$27)</f>
        <v>0</v>
      </c>
      <c r="N405" s="7"/>
      <c r="O405" s="7"/>
    </row>
    <row r="406" spans="1:15" x14ac:dyDescent="0.3">
      <c r="A406" s="7"/>
      <c r="B406" s="7"/>
      <c r="C406" s="158">
        <v>0</v>
      </c>
      <c r="D406" s="7"/>
      <c r="E406" s="38" t="s">
        <v>267</v>
      </c>
      <c r="F406" s="38" t="s">
        <v>448</v>
      </c>
      <c r="G406" s="38" t="str">
        <f>VLOOKUP(E406,Mapping!$E$11:$G$204,3,0)</f>
        <v>Replacement</v>
      </c>
      <c r="H406" s="38" t="str">
        <f>VLOOKUP(E406,Mapping!$E$11:$K$204,7,0)</f>
        <v>SCS</v>
      </c>
      <c r="I406" s="43">
        <f>I201*(1+'Calc|Overheads'!O$27)</f>
        <v>0</v>
      </c>
      <c r="J406" s="43">
        <f>J201*(1+'Calc|Overheads'!P$27)</f>
        <v>0</v>
      </c>
      <c r="K406" s="43">
        <f>K201*(1+'Calc|Overheads'!Q$27)</f>
        <v>0</v>
      </c>
      <c r="L406" s="43">
        <f>L201*(1+'Calc|Overheads'!R$27)</f>
        <v>0</v>
      </c>
      <c r="M406" s="43">
        <f>M201*(1+'Calc|Overheads'!S$27)</f>
        <v>0</v>
      </c>
      <c r="N406" s="7"/>
      <c r="O406" s="7"/>
    </row>
    <row r="407" spans="1:15" x14ac:dyDescent="0.3">
      <c r="A407" s="7"/>
      <c r="B407" s="7"/>
      <c r="C407" s="158">
        <v>0</v>
      </c>
      <c r="D407" s="7"/>
      <c r="E407" s="38" t="s">
        <v>268</v>
      </c>
      <c r="F407" s="38" t="s">
        <v>449</v>
      </c>
      <c r="G407" s="38" t="str">
        <f>VLOOKUP(E407,Mapping!$E$11:$G$204,3,0)</f>
        <v>Replacement</v>
      </c>
      <c r="H407" s="38" t="str">
        <f>VLOOKUP(E407,Mapping!$E$11:$K$204,7,0)</f>
        <v>SCS</v>
      </c>
      <c r="I407" s="43">
        <f>I202*(1+'Calc|Overheads'!O$27)</f>
        <v>0</v>
      </c>
      <c r="J407" s="43">
        <f>J202*(1+'Calc|Overheads'!P$27)</f>
        <v>0</v>
      </c>
      <c r="K407" s="43">
        <f>K202*(1+'Calc|Overheads'!Q$27)</f>
        <v>0</v>
      </c>
      <c r="L407" s="43">
        <f>L202*(1+'Calc|Overheads'!R$27)</f>
        <v>0</v>
      </c>
      <c r="M407" s="43">
        <f>M202*(1+'Calc|Overheads'!S$27)</f>
        <v>9.9841367358678479</v>
      </c>
      <c r="N407" s="7"/>
      <c r="O407" s="7"/>
    </row>
    <row r="408" spans="1:15" x14ac:dyDescent="0.3">
      <c r="A408" s="7"/>
      <c r="B408" s="7"/>
      <c r="C408" s="158">
        <v>0</v>
      </c>
      <c r="D408" s="7"/>
      <c r="E408" s="38" t="s">
        <v>268</v>
      </c>
      <c r="F408" s="38" t="s">
        <v>449</v>
      </c>
      <c r="G408" s="134" t="s">
        <v>59</v>
      </c>
      <c r="H408" s="38" t="str">
        <f>VLOOKUP(E408,Mapping!$E$11:$K$204,7,0)</f>
        <v>SCS</v>
      </c>
      <c r="I408" s="43">
        <f>I203*(1+'Calc|Overheads'!O$27)</f>
        <v>2419.9357982580436</v>
      </c>
      <c r="J408" s="43">
        <f>J203*(1+'Calc|Overheads'!P$27)</f>
        <v>2408.3630178168282</v>
      </c>
      <c r="K408" s="43">
        <f>K203*(1+'Calc|Overheads'!Q$27)</f>
        <v>0</v>
      </c>
      <c r="L408" s="43">
        <f>L203*(1+'Calc|Overheads'!R$27)</f>
        <v>0</v>
      </c>
      <c r="M408" s="43">
        <f>M203*(1+'Calc|Overheads'!S$27)</f>
        <v>0</v>
      </c>
      <c r="N408" s="7"/>
      <c r="O408" s="7"/>
    </row>
    <row r="409" spans="1:15" x14ac:dyDescent="0.3">
      <c r="A409" s="7"/>
      <c r="B409" s="7"/>
      <c r="C409" s="158">
        <v>0</v>
      </c>
      <c r="D409" s="7"/>
      <c r="E409" s="111" t="s">
        <v>8</v>
      </c>
      <c r="F409" s="111" t="s">
        <v>8</v>
      </c>
      <c r="G409" s="163"/>
      <c r="H409" s="163" t="s">
        <v>6</v>
      </c>
      <c r="I409" s="51">
        <f>I204*(1+'Calc|Overheads'!O$27)</f>
        <v>0</v>
      </c>
      <c r="J409" s="51">
        <f>J204*(1+'Calc|Overheads'!P$27)</f>
        <v>0</v>
      </c>
      <c r="K409" s="51">
        <f>K204*(1+'Calc|Overheads'!Q$27)</f>
        <v>0</v>
      </c>
      <c r="L409" s="51">
        <f>L204*(1+'Calc|Overheads'!R$27)</f>
        <v>0</v>
      </c>
      <c r="M409" s="51">
        <f>M204*(1+'Calc|Overheads'!S$27)</f>
        <v>0</v>
      </c>
      <c r="N409" s="7"/>
      <c r="O409" s="7"/>
    </row>
    <row r="410" spans="1:15" x14ac:dyDescent="0.3">
      <c r="A410" s="7"/>
      <c r="B410" s="7"/>
      <c r="C410" s="158">
        <v>0</v>
      </c>
      <c r="D410" s="7"/>
      <c r="E410" s="111"/>
      <c r="F410" s="111"/>
      <c r="G410" s="163" t="s">
        <v>59</v>
      </c>
      <c r="H410" s="163" t="s">
        <v>6</v>
      </c>
      <c r="I410" s="51"/>
      <c r="J410" s="51"/>
      <c r="K410" s="51"/>
      <c r="L410" s="51"/>
      <c r="M410" s="51"/>
      <c r="N410" s="7"/>
      <c r="O410" s="7"/>
    </row>
    <row r="411" spans="1:15" x14ac:dyDescent="0.3">
      <c r="A411" s="7"/>
      <c r="B411" s="7"/>
      <c r="C411" s="158">
        <v>0</v>
      </c>
      <c r="D411" s="7"/>
      <c r="E411" s="111"/>
      <c r="F411" s="111"/>
      <c r="G411" s="163" t="s">
        <v>28</v>
      </c>
      <c r="H411" s="163" t="s">
        <v>6</v>
      </c>
      <c r="I411" s="51"/>
      <c r="J411" s="51"/>
      <c r="K411" s="51"/>
      <c r="L411" s="51"/>
      <c r="M411" s="51"/>
      <c r="N411" s="7"/>
      <c r="O411" s="7"/>
    </row>
    <row r="412" spans="1:15" x14ac:dyDescent="0.3">
      <c r="A412" s="7"/>
      <c r="B412" s="7"/>
      <c r="C412" s="158">
        <v>0</v>
      </c>
      <c r="D412" s="7"/>
      <c r="E412" s="111"/>
      <c r="F412" s="111"/>
      <c r="G412" s="163" t="s">
        <v>29</v>
      </c>
      <c r="H412" s="163" t="s">
        <v>6</v>
      </c>
      <c r="I412" s="51"/>
      <c r="J412" s="51"/>
      <c r="K412" s="51"/>
      <c r="L412" s="51"/>
      <c r="M412" s="51"/>
      <c r="N412" s="7"/>
      <c r="O412" s="7"/>
    </row>
    <row r="413" spans="1:15" x14ac:dyDescent="0.3">
      <c r="A413" s="7"/>
      <c r="B413" s="7"/>
      <c r="C413" s="158">
        <v>0</v>
      </c>
      <c r="D413" s="7"/>
      <c r="E413" s="111"/>
      <c r="F413" s="111"/>
      <c r="G413" s="163" t="s">
        <v>28</v>
      </c>
      <c r="H413" s="163" t="s">
        <v>6</v>
      </c>
      <c r="I413" s="51"/>
      <c r="J413" s="51"/>
      <c r="K413" s="51"/>
      <c r="L413" s="51"/>
      <c r="M413" s="51"/>
      <c r="N413" s="7"/>
      <c r="O413" s="7"/>
    </row>
    <row r="414" spans="1:15" x14ac:dyDescent="0.3">
      <c r="A414" s="7"/>
      <c r="B414" s="7"/>
      <c r="C414" s="158">
        <v>0</v>
      </c>
      <c r="D414" s="7"/>
      <c r="E414" s="111"/>
      <c r="F414" s="111"/>
      <c r="G414" s="163" t="s">
        <v>29</v>
      </c>
      <c r="H414" s="163" t="s">
        <v>6</v>
      </c>
      <c r="I414" s="51"/>
      <c r="J414" s="51"/>
      <c r="K414" s="51"/>
      <c r="L414" s="51"/>
      <c r="M414" s="51"/>
      <c r="N414" s="7"/>
      <c r="O414" s="7"/>
    </row>
    <row r="415" spans="1:15" x14ac:dyDescent="0.3">
      <c r="A415" s="7"/>
      <c r="B415" s="7"/>
      <c r="C415" s="56"/>
      <c r="D415" s="7"/>
      <c r="E415" s="56" t="s">
        <v>55</v>
      </c>
      <c r="F415" s="56"/>
      <c r="G415" s="56"/>
      <c r="H415" s="56"/>
      <c r="I415" s="57">
        <f t="shared" ref="I415:M415" si="6">SUM(I214:I414)</f>
        <v>254886.53340140759</v>
      </c>
      <c r="J415" s="57">
        <f t="shared" si="6"/>
        <v>217050.5517318403</v>
      </c>
      <c r="K415" s="57">
        <f t="shared" si="6"/>
        <v>201374.80545380194</v>
      </c>
      <c r="L415" s="57">
        <f t="shared" si="6"/>
        <v>202120.9104878435</v>
      </c>
      <c r="M415" s="57">
        <f t="shared" si="6"/>
        <v>188490.75635231895</v>
      </c>
      <c r="N415" s="7"/>
      <c r="O415" s="7"/>
    </row>
    <row r="416" spans="1:15" x14ac:dyDescent="0.3">
      <c r="A416" s="7"/>
      <c r="B416" s="7"/>
      <c r="C416" s="7"/>
      <c r="D416" s="7"/>
      <c r="E416" s="7"/>
      <c r="F416" s="7"/>
      <c r="G416" s="7"/>
      <c r="H416" s="7"/>
      <c r="I416" s="93"/>
      <c r="J416" s="93"/>
      <c r="K416" s="93"/>
      <c r="L416" s="93"/>
      <c r="M416" s="93"/>
      <c r="N416" s="7"/>
      <c r="O416" s="7"/>
    </row>
    <row r="417" spans="1:15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1:15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1:15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1:15" s="20" customFormat="1" x14ac:dyDescent="0.3">
      <c r="A420" s="21" t="s">
        <v>4</v>
      </c>
      <c r="B420" s="21"/>
      <c r="C420" s="24"/>
      <c r="D420" s="23"/>
      <c r="E420" s="24"/>
      <c r="F420" s="24"/>
      <c r="G420" s="24"/>
      <c r="H420" s="25"/>
    </row>
    <row r="421" spans="1:15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1:15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1:15" x14ac:dyDescent="0.3">
      <c r="C423" s="64"/>
    </row>
    <row r="424" spans="1:15" x14ac:dyDescent="0.3">
      <c r="C424" s="7"/>
    </row>
    <row r="425" spans="1:15" x14ac:dyDescent="0.3">
      <c r="C425" s="7"/>
    </row>
    <row r="426" spans="1:15" x14ac:dyDescent="0.3">
      <c r="C426"/>
    </row>
    <row r="427" spans="1:15" x14ac:dyDescent="0.3">
      <c r="C427"/>
    </row>
    <row r="428" spans="1:15" x14ac:dyDescent="0.3">
      <c r="C428"/>
    </row>
    <row r="429" spans="1:15" x14ac:dyDescent="0.3">
      <c r="C429"/>
    </row>
    <row r="430" spans="1:15" x14ac:dyDescent="0.3">
      <c r="C430"/>
    </row>
    <row r="431" spans="1:15" x14ac:dyDescent="0.3">
      <c r="C431"/>
    </row>
    <row r="432" spans="1:15" x14ac:dyDescent="0.3">
      <c r="C432"/>
    </row>
    <row r="433" spans="3:3" x14ac:dyDescent="0.3">
      <c r="C433"/>
    </row>
    <row r="434" spans="3:3" x14ac:dyDescent="0.3">
      <c r="C434"/>
    </row>
    <row r="435" spans="3:3" x14ac:dyDescent="0.3">
      <c r="C435"/>
    </row>
    <row r="436" spans="3:3" x14ac:dyDescent="0.3">
      <c r="C436"/>
    </row>
    <row r="437" spans="3:3" x14ac:dyDescent="0.3">
      <c r="C437"/>
    </row>
    <row r="438" spans="3:3" x14ac:dyDescent="0.3">
      <c r="C438"/>
    </row>
    <row r="439" spans="3:3" x14ac:dyDescent="0.3">
      <c r="C439"/>
    </row>
    <row r="440" spans="3:3" x14ac:dyDescent="0.3">
      <c r="C440"/>
    </row>
    <row r="441" spans="3:3" x14ac:dyDescent="0.3">
      <c r="C441"/>
    </row>
    <row r="442" spans="3:3" x14ac:dyDescent="0.3">
      <c r="C442"/>
    </row>
    <row r="443" spans="3:3" x14ac:dyDescent="0.3">
      <c r="C443"/>
    </row>
    <row r="444" spans="3:3" x14ac:dyDescent="0.3">
      <c r="C444"/>
    </row>
    <row r="445" spans="3:3" x14ac:dyDescent="0.3">
      <c r="C445"/>
    </row>
    <row r="446" spans="3:3" x14ac:dyDescent="0.3">
      <c r="C446"/>
    </row>
    <row r="447" spans="3:3" x14ac:dyDescent="0.3">
      <c r="C447"/>
    </row>
    <row r="448" spans="3:3" x14ac:dyDescent="0.3">
      <c r="C448"/>
    </row>
    <row r="449" spans="3:3" x14ac:dyDescent="0.3">
      <c r="C449"/>
    </row>
    <row r="450" spans="3:3" x14ac:dyDescent="0.3">
      <c r="C450"/>
    </row>
    <row r="451" spans="3:3" x14ac:dyDescent="0.3">
      <c r="C451"/>
    </row>
    <row r="452" spans="3:3" x14ac:dyDescent="0.3">
      <c r="C452"/>
    </row>
    <row r="453" spans="3:3" x14ac:dyDescent="0.3">
      <c r="C453"/>
    </row>
    <row r="454" spans="3:3" x14ac:dyDescent="0.3">
      <c r="C454"/>
    </row>
    <row r="455" spans="3:3" x14ac:dyDescent="0.3">
      <c r="C455"/>
    </row>
    <row r="456" spans="3:3" x14ac:dyDescent="0.3">
      <c r="C456"/>
    </row>
    <row r="457" spans="3:3" x14ac:dyDescent="0.3">
      <c r="C457"/>
    </row>
    <row r="458" spans="3:3" x14ac:dyDescent="0.3">
      <c r="C458"/>
    </row>
    <row r="459" spans="3:3" x14ac:dyDescent="0.3">
      <c r="C459"/>
    </row>
    <row r="460" spans="3:3" x14ac:dyDescent="0.3">
      <c r="C460"/>
    </row>
    <row r="461" spans="3:3" x14ac:dyDescent="0.3">
      <c r="C461"/>
    </row>
    <row r="462" spans="3:3" x14ac:dyDescent="0.3">
      <c r="C462"/>
    </row>
    <row r="463" spans="3:3" x14ac:dyDescent="0.3">
      <c r="C463"/>
    </row>
    <row r="464" spans="3:3" x14ac:dyDescent="0.3">
      <c r="C464"/>
    </row>
    <row r="465" spans="3:3" x14ac:dyDescent="0.3">
      <c r="C465"/>
    </row>
    <row r="466" spans="3:3" x14ac:dyDescent="0.3">
      <c r="C466"/>
    </row>
    <row r="467" spans="3:3" x14ac:dyDescent="0.3">
      <c r="C467"/>
    </row>
    <row r="468" spans="3:3" x14ac:dyDescent="0.3">
      <c r="C468"/>
    </row>
    <row r="469" spans="3:3" x14ac:dyDescent="0.3">
      <c r="C469"/>
    </row>
    <row r="470" spans="3:3" x14ac:dyDescent="0.3">
      <c r="C470"/>
    </row>
    <row r="471" spans="3:3" x14ac:dyDescent="0.3">
      <c r="C471"/>
    </row>
    <row r="472" spans="3:3" x14ac:dyDescent="0.3">
      <c r="C472"/>
    </row>
    <row r="473" spans="3:3" x14ac:dyDescent="0.3">
      <c r="C473"/>
    </row>
    <row r="474" spans="3:3" x14ac:dyDescent="0.3">
      <c r="C474"/>
    </row>
    <row r="475" spans="3:3" x14ac:dyDescent="0.3">
      <c r="C475"/>
    </row>
    <row r="476" spans="3:3" x14ac:dyDescent="0.3">
      <c r="C476"/>
    </row>
    <row r="477" spans="3:3" x14ac:dyDescent="0.3">
      <c r="C477"/>
    </row>
    <row r="478" spans="3:3" x14ac:dyDescent="0.3">
      <c r="C478"/>
    </row>
    <row r="479" spans="3:3" x14ac:dyDescent="0.3">
      <c r="C479"/>
    </row>
    <row r="480" spans="3:3" x14ac:dyDescent="0.3">
      <c r="C480"/>
    </row>
    <row r="481" spans="3:3" x14ac:dyDescent="0.3">
      <c r="C481"/>
    </row>
    <row r="482" spans="3:3" x14ac:dyDescent="0.3">
      <c r="C482"/>
    </row>
    <row r="483" spans="3:3" x14ac:dyDescent="0.3">
      <c r="C483"/>
    </row>
    <row r="484" spans="3:3" x14ac:dyDescent="0.3">
      <c r="C484"/>
    </row>
    <row r="485" spans="3:3" x14ac:dyDescent="0.3">
      <c r="C485"/>
    </row>
    <row r="486" spans="3:3" x14ac:dyDescent="0.3">
      <c r="C486"/>
    </row>
    <row r="487" spans="3:3" x14ac:dyDescent="0.3">
      <c r="C487"/>
    </row>
    <row r="488" spans="3:3" x14ac:dyDescent="0.3">
      <c r="C488"/>
    </row>
    <row r="489" spans="3:3" x14ac:dyDescent="0.3">
      <c r="C489"/>
    </row>
    <row r="490" spans="3:3" x14ac:dyDescent="0.3">
      <c r="C490"/>
    </row>
    <row r="491" spans="3:3" x14ac:dyDescent="0.3">
      <c r="C491"/>
    </row>
    <row r="492" spans="3:3" x14ac:dyDescent="0.3">
      <c r="C492"/>
    </row>
    <row r="493" spans="3:3" x14ac:dyDescent="0.3">
      <c r="C493"/>
    </row>
    <row r="494" spans="3:3" x14ac:dyDescent="0.3">
      <c r="C494"/>
    </row>
    <row r="495" spans="3:3" x14ac:dyDescent="0.3">
      <c r="C495"/>
    </row>
    <row r="496" spans="3:3" x14ac:dyDescent="0.3">
      <c r="C496"/>
    </row>
    <row r="497" spans="3:3" x14ac:dyDescent="0.3">
      <c r="C497"/>
    </row>
    <row r="498" spans="3:3" x14ac:dyDescent="0.3">
      <c r="C498"/>
    </row>
    <row r="499" spans="3:3" x14ac:dyDescent="0.3">
      <c r="C499"/>
    </row>
    <row r="500" spans="3:3" x14ac:dyDescent="0.3">
      <c r="C500"/>
    </row>
    <row r="501" spans="3:3" x14ac:dyDescent="0.3">
      <c r="C501"/>
    </row>
    <row r="502" spans="3:3" x14ac:dyDescent="0.3">
      <c r="C502"/>
    </row>
    <row r="503" spans="3:3" x14ac:dyDescent="0.3">
      <c r="C503"/>
    </row>
    <row r="504" spans="3:3" x14ac:dyDescent="0.3">
      <c r="C504"/>
    </row>
    <row r="505" spans="3:3" x14ac:dyDescent="0.3">
      <c r="C505"/>
    </row>
    <row r="506" spans="3:3" x14ac:dyDescent="0.3">
      <c r="C506"/>
    </row>
    <row r="507" spans="3:3" x14ac:dyDescent="0.3">
      <c r="C507"/>
    </row>
    <row r="508" spans="3:3" x14ac:dyDescent="0.3">
      <c r="C508"/>
    </row>
    <row r="509" spans="3:3" x14ac:dyDescent="0.3">
      <c r="C509"/>
    </row>
    <row r="510" spans="3:3" x14ac:dyDescent="0.3">
      <c r="C510"/>
    </row>
    <row r="511" spans="3:3" x14ac:dyDescent="0.3">
      <c r="C511"/>
    </row>
    <row r="512" spans="3:3" x14ac:dyDescent="0.3">
      <c r="C512"/>
    </row>
    <row r="513" spans="3:3" x14ac:dyDescent="0.3">
      <c r="C513"/>
    </row>
    <row r="514" spans="3:3" x14ac:dyDescent="0.3">
      <c r="C514"/>
    </row>
    <row r="515" spans="3:3" x14ac:dyDescent="0.3">
      <c r="C515"/>
    </row>
    <row r="516" spans="3:3" x14ac:dyDescent="0.3">
      <c r="C516"/>
    </row>
    <row r="517" spans="3:3" x14ac:dyDescent="0.3">
      <c r="C517"/>
    </row>
    <row r="518" spans="3:3" x14ac:dyDescent="0.3">
      <c r="C518"/>
    </row>
    <row r="519" spans="3:3" x14ac:dyDescent="0.3">
      <c r="C519"/>
    </row>
    <row r="520" spans="3:3" x14ac:dyDescent="0.3">
      <c r="C520"/>
    </row>
    <row r="521" spans="3:3" x14ac:dyDescent="0.3">
      <c r="C521"/>
    </row>
    <row r="522" spans="3:3" x14ac:dyDescent="0.3">
      <c r="C522"/>
    </row>
    <row r="523" spans="3:3" x14ac:dyDescent="0.3">
      <c r="C523"/>
    </row>
    <row r="524" spans="3:3" x14ac:dyDescent="0.3">
      <c r="C524"/>
    </row>
    <row r="525" spans="3:3" x14ac:dyDescent="0.3">
      <c r="C525"/>
    </row>
    <row r="526" spans="3:3" x14ac:dyDescent="0.3">
      <c r="C526"/>
    </row>
    <row r="527" spans="3:3" x14ac:dyDescent="0.3">
      <c r="C527"/>
    </row>
    <row r="528" spans="3:3" x14ac:dyDescent="0.3">
      <c r="C528"/>
    </row>
    <row r="529" spans="3:3" x14ac:dyDescent="0.3">
      <c r="C529"/>
    </row>
    <row r="530" spans="3:3" x14ac:dyDescent="0.3">
      <c r="C530"/>
    </row>
    <row r="531" spans="3:3" x14ac:dyDescent="0.3">
      <c r="C531"/>
    </row>
    <row r="532" spans="3:3" x14ac:dyDescent="0.3">
      <c r="C532"/>
    </row>
    <row r="533" spans="3:3" x14ac:dyDescent="0.3">
      <c r="C533"/>
    </row>
    <row r="534" spans="3:3" x14ac:dyDescent="0.3">
      <c r="C534"/>
    </row>
    <row r="535" spans="3:3" x14ac:dyDescent="0.3">
      <c r="C535"/>
    </row>
    <row r="536" spans="3:3" x14ac:dyDescent="0.3">
      <c r="C536"/>
    </row>
    <row r="537" spans="3:3" x14ac:dyDescent="0.3">
      <c r="C537"/>
    </row>
    <row r="538" spans="3:3" x14ac:dyDescent="0.3">
      <c r="C538"/>
    </row>
    <row r="539" spans="3:3" x14ac:dyDescent="0.3">
      <c r="C539"/>
    </row>
    <row r="540" spans="3:3" x14ac:dyDescent="0.3">
      <c r="C540"/>
    </row>
    <row r="541" spans="3:3" x14ac:dyDescent="0.3">
      <c r="C541"/>
    </row>
    <row r="542" spans="3:3" x14ac:dyDescent="0.3">
      <c r="C542"/>
    </row>
    <row r="543" spans="3:3" x14ac:dyDescent="0.3">
      <c r="C543"/>
    </row>
    <row r="544" spans="3:3" x14ac:dyDescent="0.3">
      <c r="C544"/>
    </row>
    <row r="545" spans="3:3" x14ac:dyDescent="0.3">
      <c r="C545"/>
    </row>
    <row r="546" spans="3:3" x14ac:dyDescent="0.3">
      <c r="C546"/>
    </row>
    <row r="547" spans="3:3" x14ac:dyDescent="0.3">
      <c r="C547"/>
    </row>
    <row r="548" spans="3:3" x14ac:dyDescent="0.3">
      <c r="C548"/>
    </row>
    <row r="549" spans="3:3" x14ac:dyDescent="0.3">
      <c r="C549"/>
    </row>
    <row r="550" spans="3:3" x14ac:dyDescent="0.3">
      <c r="C550"/>
    </row>
    <row r="551" spans="3:3" x14ac:dyDescent="0.3">
      <c r="C551"/>
    </row>
    <row r="552" spans="3:3" x14ac:dyDescent="0.3">
      <c r="C552"/>
    </row>
    <row r="553" spans="3:3" x14ac:dyDescent="0.3">
      <c r="C553"/>
    </row>
    <row r="554" spans="3:3" x14ac:dyDescent="0.3">
      <c r="C554"/>
    </row>
    <row r="555" spans="3:3" x14ac:dyDescent="0.3">
      <c r="C555"/>
    </row>
    <row r="556" spans="3:3" x14ac:dyDescent="0.3">
      <c r="C556"/>
    </row>
    <row r="557" spans="3:3" x14ac:dyDescent="0.3">
      <c r="C557"/>
    </row>
    <row r="558" spans="3:3" x14ac:dyDescent="0.3">
      <c r="C558"/>
    </row>
    <row r="559" spans="3:3" x14ac:dyDescent="0.3">
      <c r="C559"/>
    </row>
    <row r="560" spans="3:3" x14ac:dyDescent="0.3">
      <c r="C560"/>
    </row>
    <row r="561" spans="3:3" x14ac:dyDescent="0.3">
      <c r="C561"/>
    </row>
    <row r="562" spans="3:3" x14ac:dyDescent="0.3">
      <c r="C562"/>
    </row>
    <row r="563" spans="3:3" x14ac:dyDescent="0.3">
      <c r="C563"/>
    </row>
    <row r="564" spans="3:3" x14ac:dyDescent="0.3">
      <c r="C564"/>
    </row>
    <row r="565" spans="3:3" x14ac:dyDescent="0.3">
      <c r="C565"/>
    </row>
    <row r="566" spans="3:3" x14ac:dyDescent="0.3">
      <c r="C566"/>
    </row>
    <row r="567" spans="3:3" x14ac:dyDescent="0.3">
      <c r="C567"/>
    </row>
    <row r="568" spans="3:3" x14ac:dyDescent="0.3">
      <c r="C568"/>
    </row>
    <row r="569" spans="3:3" x14ac:dyDescent="0.3">
      <c r="C569"/>
    </row>
    <row r="570" spans="3:3" x14ac:dyDescent="0.3">
      <c r="C570"/>
    </row>
    <row r="571" spans="3:3" x14ac:dyDescent="0.3">
      <c r="C571"/>
    </row>
    <row r="572" spans="3:3" x14ac:dyDescent="0.3">
      <c r="C572"/>
    </row>
    <row r="573" spans="3:3" x14ac:dyDescent="0.3">
      <c r="C573"/>
    </row>
    <row r="574" spans="3:3" x14ac:dyDescent="0.3">
      <c r="C574"/>
    </row>
    <row r="575" spans="3:3" x14ac:dyDescent="0.3">
      <c r="C575"/>
    </row>
    <row r="576" spans="3:3" x14ac:dyDescent="0.3">
      <c r="C576"/>
    </row>
    <row r="577" spans="3:3" x14ac:dyDescent="0.3">
      <c r="C577"/>
    </row>
    <row r="578" spans="3:3" x14ac:dyDescent="0.3">
      <c r="C578"/>
    </row>
    <row r="579" spans="3:3" x14ac:dyDescent="0.3">
      <c r="C579"/>
    </row>
    <row r="580" spans="3:3" x14ac:dyDescent="0.3">
      <c r="C580"/>
    </row>
    <row r="581" spans="3:3" x14ac:dyDescent="0.3">
      <c r="C581"/>
    </row>
    <row r="582" spans="3:3" x14ac:dyDescent="0.3">
      <c r="C582"/>
    </row>
    <row r="583" spans="3:3" x14ac:dyDescent="0.3">
      <c r="C583"/>
    </row>
    <row r="584" spans="3:3" x14ac:dyDescent="0.3">
      <c r="C584"/>
    </row>
    <row r="585" spans="3:3" x14ac:dyDescent="0.3">
      <c r="C585"/>
    </row>
    <row r="586" spans="3:3" x14ac:dyDescent="0.3">
      <c r="C586"/>
    </row>
    <row r="587" spans="3:3" x14ac:dyDescent="0.3">
      <c r="C587"/>
    </row>
    <row r="588" spans="3:3" x14ac:dyDescent="0.3">
      <c r="C588"/>
    </row>
    <row r="589" spans="3:3" x14ac:dyDescent="0.3">
      <c r="C589"/>
    </row>
    <row r="590" spans="3:3" x14ac:dyDescent="0.3">
      <c r="C590"/>
    </row>
    <row r="591" spans="3:3" x14ac:dyDescent="0.3">
      <c r="C591"/>
    </row>
    <row r="592" spans="3:3" x14ac:dyDescent="0.3">
      <c r="C592"/>
    </row>
    <row r="593" spans="3:3" x14ac:dyDescent="0.3">
      <c r="C593"/>
    </row>
    <row r="594" spans="3:3" x14ac:dyDescent="0.3">
      <c r="C594"/>
    </row>
    <row r="595" spans="3:3" x14ac:dyDescent="0.3">
      <c r="C595"/>
    </row>
    <row r="596" spans="3:3" x14ac:dyDescent="0.3">
      <c r="C596"/>
    </row>
    <row r="597" spans="3:3" x14ac:dyDescent="0.3">
      <c r="C597"/>
    </row>
    <row r="598" spans="3:3" x14ac:dyDescent="0.3">
      <c r="C598"/>
    </row>
    <row r="599" spans="3:3" x14ac:dyDescent="0.3">
      <c r="C599"/>
    </row>
    <row r="600" spans="3:3" x14ac:dyDescent="0.3">
      <c r="C600"/>
    </row>
    <row r="601" spans="3:3" x14ac:dyDescent="0.3">
      <c r="C601"/>
    </row>
    <row r="602" spans="3:3" x14ac:dyDescent="0.3">
      <c r="C602"/>
    </row>
    <row r="603" spans="3:3" x14ac:dyDescent="0.3">
      <c r="C603"/>
    </row>
    <row r="604" spans="3:3" x14ac:dyDescent="0.3">
      <c r="C604"/>
    </row>
    <row r="605" spans="3:3" x14ac:dyDescent="0.3">
      <c r="C605"/>
    </row>
    <row r="606" spans="3:3" x14ac:dyDescent="0.3">
      <c r="C606"/>
    </row>
    <row r="607" spans="3:3" x14ac:dyDescent="0.3">
      <c r="C607"/>
    </row>
    <row r="608" spans="3:3" x14ac:dyDescent="0.3">
      <c r="C608"/>
    </row>
    <row r="609" spans="3:3" x14ac:dyDescent="0.3">
      <c r="C609"/>
    </row>
    <row r="610" spans="3:3" x14ac:dyDescent="0.3">
      <c r="C610"/>
    </row>
    <row r="611" spans="3:3" x14ac:dyDescent="0.3">
      <c r="C611"/>
    </row>
    <row r="612" spans="3:3" x14ac:dyDescent="0.3">
      <c r="C612"/>
    </row>
    <row r="613" spans="3:3" x14ac:dyDescent="0.3">
      <c r="C613"/>
    </row>
    <row r="614" spans="3:3" x14ac:dyDescent="0.3">
      <c r="C614"/>
    </row>
    <row r="615" spans="3:3" x14ac:dyDescent="0.3">
      <c r="C615"/>
    </row>
    <row r="616" spans="3:3" x14ac:dyDescent="0.3">
      <c r="C616"/>
    </row>
    <row r="617" spans="3:3" x14ac:dyDescent="0.3">
      <c r="C617"/>
    </row>
    <row r="618" spans="3:3" x14ac:dyDescent="0.3">
      <c r="C618"/>
    </row>
    <row r="619" spans="3:3" x14ac:dyDescent="0.3">
      <c r="C619"/>
    </row>
    <row r="620" spans="3:3" x14ac:dyDescent="0.3">
      <c r="C620"/>
    </row>
    <row r="621" spans="3:3" x14ac:dyDescent="0.3">
      <c r="C621"/>
    </row>
    <row r="622" spans="3:3" x14ac:dyDescent="0.3">
      <c r="C622"/>
    </row>
    <row r="623" spans="3:3" x14ac:dyDescent="0.3">
      <c r="C623"/>
    </row>
    <row r="624" spans="3:3" x14ac:dyDescent="0.3">
      <c r="C624"/>
    </row>
    <row r="625" spans="3:3" x14ac:dyDescent="0.3">
      <c r="C625"/>
    </row>
    <row r="626" spans="3:3" x14ac:dyDescent="0.3">
      <c r="C626"/>
    </row>
    <row r="627" spans="3:3" x14ac:dyDescent="0.3">
      <c r="C627"/>
    </row>
    <row r="628" spans="3:3" x14ac:dyDescent="0.3">
      <c r="C628"/>
    </row>
    <row r="629" spans="3:3" x14ac:dyDescent="0.3">
      <c r="C629"/>
    </row>
    <row r="630" spans="3:3" x14ac:dyDescent="0.3">
      <c r="C630"/>
    </row>
    <row r="631" spans="3:3" x14ac:dyDescent="0.3">
      <c r="C631"/>
    </row>
    <row r="632" spans="3:3" x14ac:dyDescent="0.3">
      <c r="C632"/>
    </row>
    <row r="633" spans="3:3" x14ac:dyDescent="0.3">
      <c r="C633"/>
    </row>
    <row r="634" spans="3:3" x14ac:dyDescent="0.3">
      <c r="C634"/>
    </row>
    <row r="635" spans="3:3" x14ac:dyDescent="0.3">
      <c r="C635"/>
    </row>
    <row r="636" spans="3:3" x14ac:dyDescent="0.3">
      <c r="C636"/>
    </row>
    <row r="637" spans="3:3" x14ac:dyDescent="0.3">
      <c r="C637"/>
    </row>
    <row r="638" spans="3:3" x14ac:dyDescent="0.3">
      <c r="C638"/>
    </row>
    <row r="639" spans="3:3" x14ac:dyDescent="0.3">
      <c r="C639"/>
    </row>
    <row r="640" spans="3:3" x14ac:dyDescent="0.3">
      <c r="C640"/>
    </row>
    <row r="641" spans="3:3" x14ac:dyDescent="0.3">
      <c r="C641"/>
    </row>
    <row r="642" spans="3:3" x14ac:dyDescent="0.3">
      <c r="C642"/>
    </row>
    <row r="643" spans="3:3" x14ac:dyDescent="0.3">
      <c r="C643"/>
    </row>
    <row r="644" spans="3:3" x14ac:dyDescent="0.3">
      <c r="C644"/>
    </row>
    <row r="645" spans="3:3" x14ac:dyDescent="0.3">
      <c r="C645"/>
    </row>
    <row r="646" spans="3:3" x14ac:dyDescent="0.3">
      <c r="C646"/>
    </row>
    <row r="647" spans="3:3" x14ac:dyDescent="0.3">
      <c r="C647"/>
    </row>
    <row r="648" spans="3:3" x14ac:dyDescent="0.3">
      <c r="C648"/>
    </row>
    <row r="649" spans="3:3" x14ac:dyDescent="0.3">
      <c r="C649"/>
    </row>
    <row r="650" spans="3:3" x14ac:dyDescent="0.3">
      <c r="C650"/>
    </row>
    <row r="651" spans="3:3" x14ac:dyDescent="0.3">
      <c r="C651"/>
    </row>
    <row r="652" spans="3:3" x14ac:dyDescent="0.3">
      <c r="C652"/>
    </row>
    <row r="653" spans="3:3" x14ac:dyDescent="0.3">
      <c r="C653"/>
    </row>
    <row r="654" spans="3:3" x14ac:dyDescent="0.3">
      <c r="C654"/>
    </row>
    <row r="655" spans="3:3" x14ac:dyDescent="0.3">
      <c r="C655"/>
    </row>
    <row r="656" spans="3:3" x14ac:dyDescent="0.3">
      <c r="C656"/>
    </row>
    <row r="657" spans="3:3" x14ac:dyDescent="0.3">
      <c r="C657"/>
    </row>
    <row r="658" spans="3:3" x14ac:dyDescent="0.3">
      <c r="C658"/>
    </row>
    <row r="659" spans="3:3" x14ac:dyDescent="0.3">
      <c r="C659"/>
    </row>
    <row r="660" spans="3:3" x14ac:dyDescent="0.3">
      <c r="C660"/>
    </row>
    <row r="661" spans="3:3" x14ac:dyDescent="0.3">
      <c r="C661"/>
    </row>
    <row r="662" spans="3:3" x14ac:dyDescent="0.3">
      <c r="C662"/>
    </row>
    <row r="663" spans="3:3" x14ac:dyDescent="0.3">
      <c r="C663"/>
    </row>
    <row r="664" spans="3:3" x14ac:dyDescent="0.3">
      <c r="C664"/>
    </row>
    <row r="665" spans="3:3" x14ac:dyDescent="0.3">
      <c r="C665"/>
    </row>
    <row r="666" spans="3:3" x14ac:dyDescent="0.3">
      <c r="C666"/>
    </row>
    <row r="667" spans="3:3" x14ac:dyDescent="0.3">
      <c r="C667"/>
    </row>
    <row r="668" spans="3:3" x14ac:dyDescent="0.3">
      <c r="C668"/>
    </row>
    <row r="669" spans="3:3" x14ac:dyDescent="0.3">
      <c r="C669"/>
    </row>
    <row r="670" spans="3:3" x14ac:dyDescent="0.3">
      <c r="C670"/>
    </row>
    <row r="671" spans="3:3" x14ac:dyDescent="0.3">
      <c r="C671"/>
    </row>
    <row r="672" spans="3:3" x14ac:dyDescent="0.3">
      <c r="C672"/>
    </row>
    <row r="673" spans="3:3" x14ac:dyDescent="0.3">
      <c r="C673"/>
    </row>
    <row r="674" spans="3:3" x14ac:dyDescent="0.3">
      <c r="C674"/>
    </row>
    <row r="675" spans="3:3" x14ac:dyDescent="0.3">
      <c r="C675"/>
    </row>
    <row r="676" spans="3:3" x14ac:dyDescent="0.3">
      <c r="C676"/>
    </row>
  </sheetData>
  <autoFilter ref="E7:M210"/>
  <mergeCells count="1">
    <mergeCell ref="E5:F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95"/>
  <sheetViews>
    <sheetView zoomScale="80" zoomScaleNormal="80" workbookViewId="0">
      <selection activeCell="F2" sqref="F2"/>
    </sheetView>
  </sheetViews>
  <sheetFormatPr defaultColWidth="7.23046875" defaultRowHeight="14.5" x14ac:dyDescent="0.35"/>
  <cols>
    <col min="1" max="1" width="8.15234375" style="208" bestFit="1" customWidth="1"/>
    <col min="2" max="2" width="34.3828125" style="183" bestFit="1" customWidth="1"/>
    <col min="3" max="3" width="20.4609375" style="208" bestFit="1" customWidth="1"/>
    <col min="4" max="16384" width="7.23046875" style="183"/>
  </cols>
  <sheetData>
    <row r="1" spans="1:3" x14ac:dyDescent="0.35">
      <c r="A1" s="180" t="s">
        <v>629</v>
      </c>
      <c r="B1" s="181" t="s">
        <v>630</v>
      </c>
      <c r="C1" s="182" t="s">
        <v>631</v>
      </c>
    </row>
    <row r="2" spans="1:3" x14ac:dyDescent="0.35">
      <c r="A2" s="184" t="s">
        <v>632</v>
      </c>
      <c r="B2" s="185" t="s">
        <v>633</v>
      </c>
      <c r="C2" s="186" t="s">
        <v>634</v>
      </c>
    </row>
    <row r="3" spans="1:3" x14ac:dyDescent="0.35">
      <c r="A3" s="184" t="s">
        <v>635</v>
      </c>
      <c r="B3" s="185" t="s">
        <v>636</v>
      </c>
      <c r="C3" s="186" t="s">
        <v>634</v>
      </c>
    </row>
    <row r="4" spans="1:3" x14ac:dyDescent="0.35">
      <c r="A4" s="184" t="s">
        <v>637</v>
      </c>
      <c r="B4" s="185" t="s">
        <v>638</v>
      </c>
      <c r="C4" s="186" t="s">
        <v>634</v>
      </c>
    </row>
    <row r="5" spans="1:3" x14ac:dyDescent="0.35">
      <c r="A5" s="184" t="s">
        <v>639</v>
      </c>
      <c r="B5" s="185" t="s">
        <v>640</v>
      </c>
      <c r="C5" s="186" t="s">
        <v>634</v>
      </c>
    </row>
    <row r="6" spans="1:3" x14ac:dyDescent="0.35">
      <c r="A6" s="184" t="s">
        <v>641</v>
      </c>
      <c r="B6" s="185" t="s">
        <v>642</v>
      </c>
      <c r="C6" s="186" t="s">
        <v>634</v>
      </c>
    </row>
    <row r="7" spans="1:3" x14ac:dyDescent="0.35">
      <c r="A7" s="184" t="s">
        <v>643</v>
      </c>
      <c r="B7" s="185" t="s">
        <v>644</v>
      </c>
      <c r="C7" s="186" t="s">
        <v>634</v>
      </c>
    </row>
    <row r="8" spans="1:3" x14ac:dyDescent="0.35">
      <c r="A8" s="184" t="s">
        <v>645</v>
      </c>
      <c r="B8" s="185" t="s">
        <v>646</v>
      </c>
      <c r="C8" s="186" t="s">
        <v>634</v>
      </c>
    </row>
    <row r="9" spans="1:3" x14ac:dyDescent="0.35">
      <c r="A9" s="184" t="s">
        <v>97</v>
      </c>
      <c r="B9" s="185" t="s">
        <v>647</v>
      </c>
      <c r="C9" s="186" t="s">
        <v>634</v>
      </c>
    </row>
    <row r="10" spans="1:3" x14ac:dyDescent="0.35">
      <c r="A10" s="184" t="s">
        <v>98</v>
      </c>
      <c r="B10" s="185" t="s">
        <v>648</v>
      </c>
      <c r="C10" s="186" t="s">
        <v>634</v>
      </c>
    </row>
    <row r="11" spans="1:3" x14ac:dyDescent="0.35">
      <c r="A11" s="184" t="s">
        <v>99</v>
      </c>
      <c r="B11" s="185" t="s">
        <v>649</v>
      </c>
      <c r="C11" s="186" t="s">
        <v>634</v>
      </c>
    </row>
    <row r="12" spans="1:3" x14ac:dyDescent="0.35">
      <c r="A12" s="184" t="s">
        <v>622</v>
      </c>
      <c r="B12" s="185" t="s">
        <v>650</v>
      </c>
      <c r="C12" s="186" t="s">
        <v>634</v>
      </c>
    </row>
    <row r="13" spans="1:3" x14ac:dyDescent="0.35">
      <c r="A13" s="184" t="s">
        <v>651</v>
      </c>
      <c r="B13" s="185" t="s">
        <v>652</v>
      </c>
      <c r="C13" s="186" t="s">
        <v>634</v>
      </c>
    </row>
    <row r="14" spans="1:3" x14ac:dyDescent="0.35">
      <c r="A14" s="184" t="s">
        <v>101</v>
      </c>
      <c r="B14" s="185" t="s">
        <v>653</v>
      </c>
      <c r="C14" s="186" t="s">
        <v>634</v>
      </c>
    </row>
    <row r="15" spans="1:3" x14ac:dyDescent="0.35">
      <c r="A15" s="184" t="s">
        <v>103</v>
      </c>
      <c r="B15" s="185" t="s">
        <v>654</v>
      </c>
      <c r="C15" s="186" t="s">
        <v>634</v>
      </c>
    </row>
    <row r="16" spans="1:3" x14ac:dyDescent="0.35">
      <c r="A16" s="184" t="s">
        <v>104</v>
      </c>
      <c r="B16" s="185" t="s">
        <v>655</v>
      </c>
      <c r="C16" s="186" t="s">
        <v>634</v>
      </c>
    </row>
    <row r="17" spans="1:3" x14ac:dyDescent="0.35">
      <c r="A17" s="184" t="s">
        <v>105</v>
      </c>
      <c r="B17" s="185" t="s">
        <v>656</v>
      </c>
      <c r="C17" s="186" t="s">
        <v>634</v>
      </c>
    </row>
    <row r="18" spans="1:3" x14ac:dyDescent="0.35">
      <c r="A18" s="184" t="s">
        <v>106</v>
      </c>
      <c r="B18" s="185" t="s">
        <v>657</v>
      </c>
      <c r="C18" s="186" t="s">
        <v>634</v>
      </c>
    </row>
    <row r="19" spans="1:3" x14ac:dyDescent="0.35">
      <c r="A19" s="184" t="s">
        <v>107</v>
      </c>
      <c r="B19" s="185" t="s">
        <v>658</v>
      </c>
      <c r="C19" s="186" t="s">
        <v>634</v>
      </c>
    </row>
    <row r="20" spans="1:3" x14ac:dyDescent="0.35">
      <c r="A20" s="184" t="s">
        <v>108</v>
      </c>
      <c r="B20" s="185" t="s">
        <v>659</v>
      </c>
      <c r="C20" s="186" t="s">
        <v>634</v>
      </c>
    </row>
    <row r="21" spans="1:3" x14ac:dyDescent="0.35">
      <c r="A21" s="184" t="s">
        <v>109</v>
      </c>
      <c r="B21" s="185" t="s">
        <v>660</v>
      </c>
      <c r="C21" s="186" t="s">
        <v>634</v>
      </c>
    </row>
    <row r="22" spans="1:3" x14ac:dyDescent="0.35">
      <c r="A22" s="184" t="s">
        <v>661</v>
      </c>
      <c r="B22" s="185" t="s">
        <v>662</v>
      </c>
      <c r="C22" s="186" t="s">
        <v>634</v>
      </c>
    </row>
    <row r="23" spans="1:3" x14ac:dyDescent="0.35">
      <c r="A23" s="184" t="s">
        <v>110</v>
      </c>
      <c r="B23" s="185" t="s">
        <v>663</v>
      </c>
      <c r="C23" s="186" t="s">
        <v>634</v>
      </c>
    </row>
    <row r="24" spans="1:3" x14ac:dyDescent="0.35">
      <c r="A24" s="184" t="s">
        <v>111</v>
      </c>
      <c r="B24" s="185" t="s">
        <v>664</v>
      </c>
      <c r="C24" s="186" t="s">
        <v>634</v>
      </c>
    </row>
    <row r="25" spans="1:3" x14ac:dyDescent="0.35">
      <c r="A25" s="184" t="s">
        <v>112</v>
      </c>
      <c r="B25" s="185" t="s">
        <v>665</v>
      </c>
      <c r="C25" s="186" t="s">
        <v>634</v>
      </c>
    </row>
    <row r="26" spans="1:3" x14ac:dyDescent="0.35">
      <c r="A26" s="184" t="s">
        <v>620</v>
      </c>
      <c r="B26" s="185" t="s">
        <v>666</v>
      </c>
      <c r="C26" s="186" t="s">
        <v>634</v>
      </c>
    </row>
    <row r="27" spans="1:3" x14ac:dyDescent="0.35">
      <c r="A27" s="184" t="s">
        <v>113</v>
      </c>
      <c r="B27" s="185" t="s">
        <v>667</v>
      </c>
      <c r="C27" s="186" t="s">
        <v>634</v>
      </c>
    </row>
    <row r="28" spans="1:3" x14ac:dyDescent="0.35">
      <c r="A28" s="184" t="s">
        <v>114</v>
      </c>
      <c r="B28" s="185" t="s">
        <v>668</v>
      </c>
      <c r="C28" s="186" t="s">
        <v>634</v>
      </c>
    </row>
    <row r="29" spans="1:3" x14ac:dyDescent="0.35">
      <c r="A29" s="184" t="s">
        <v>115</v>
      </c>
      <c r="B29" s="185" t="s">
        <v>669</v>
      </c>
      <c r="C29" s="186" t="s">
        <v>634</v>
      </c>
    </row>
    <row r="30" spans="1:3" x14ac:dyDescent="0.35">
      <c r="A30" s="184" t="s">
        <v>116</v>
      </c>
      <c r="B30" s="185" t="s">
        <v>670</v>
      </c>
      <c r="C30" s="186" t="s">
        <v>634</v>
      </c>
    </row>
    <row r="31" spans="1:3" x14ac:dyDescent="0.35">
      <c r="A31" s="184" t="s">
        <v>118</v>
      </c>
      <c r="B31" s="185" t="s">
        <v>671</v>
      </c>
      <c r="C31" s="186" t="s">
        <v>634</v>
      </c>
    </row>
    <row r="32" spans="1:3" x14ac:dyDescent="0.35">
      <c r="A32" s="184" t="s">
        <v>119</v>
      </c>
      <c r="B32" s="185" t="s">
        <v>672</v>
      </c>
      <c r="C32" s="186" t="s">
        <v>634</v>
      </c>
    </row>
    <row r="33" spans="1:3" x14ac:dyDescent="0.35">
      <c r="A33" s="187" t="s">
        <v>120</v>
      </c>
      <c r="B33" s="188" t="s">
        <v>673</v>
      </c>
      <c r="C33" s="189" t="s">
        <v>634</v>
      </c>
    </row>
    <row r="34" spans="1:3" x14ac:dyDescent="0.35">
      <c r="A34" s="187" t="s">
        <v>121</v>
      </c>
      <c r="B34" s="188" t="s">
        <v>674</v>
      </c>
      <c r="C34" s="189" t="s">
        <v>634</v>
      </c>
    </row>
    <row r="35" spans="1:3" x14ac:dyDescent="0.35">
      <c r="A35" s="187" t="s">
        <v>122</v>
      </c>
      <c r="B35" s="188" t="s">
        <v>675</v>
      </c>
      <c r="C35" s="189" t="s">
        <v>634</v>
      </c>
    </row>
    <row r="36" spans="1:3" x14ac:dyDescent="0.35">
      <c r="A36" s="187" t="s">
        <v>123</v>
      </c>
      <c r="B36" s="188" t="s">
        <v>676</v>
      </c>
      <c r="C36" s="189" t="s">
        <v>634</v>
      </c>
    </row>
    <row r="37" spans="1:3" x14ac:dyDescent="0.35">
      <c r="A37" s="187" t="s">
        <v>124</v>
      </c>
      <c r="B37" s="188" t="s">
        <v>677</v>
      </c>
      <c r="C37" s="189" t="s">
        <v>634</v>
      </c>
    </row>
    <row r="38" spans="1:3" x14ac:dyDescent="0.35">
      <c r="A38" s="187" t="s">
        <v>125</v>
      </c>
      <c r="B38" s="188" t="s">
        <v>678</v>
      </c>
      <c r="C38" s="189" t="s">
        <v>634</v>
      </c>
    </row>
    <row r="39" spans="1:3" x14ac:dyDescent="0.35">
      <c r="A39" s="187" t="s">
        <v>126</v>
      </c>
      <c r="B39" s="188" t="s">
        <v>679</v>
      </c>
      <c r="C39" s="189" t="s">
        <v>634</v>
      </c>
    </row>
    <row r="40" spans="1:3" x14ac:dyDescent="0.35">
      <c r="A40" s="190" t="s">
        <v>127</v>
      </c>
      <c r="B40" s="191" t="s">
        <v>680</v>
      </c>
      <c r="C40" s="192" t="s">
        <v>634</v>
      </c>
    </row>
    <row r="41" spans="1:3" x14ac:dyDescent="0.35">
      <c r="A41" s="190" t="s">
        <v>261</v>
      </c>
      <c r="B41" s="191" t="s">
        <v>442</v>
      </c>
      <c r="C41" s="192" t="s">
        <v>634</v>
      </c>
    </row>
    <row r="42" spans="1:3" x14ac:dyDescent="0.35">
      <c r="A42" s="190" t="s">
        <v>267</v>
      </c>
      <c r="B42" s="191" t="s">
        <v>448</v>
      </c>
      <c r="C42" s="192" t="s">
        <v>634</v>
      </c>
    </row>
    <row r="43" spans="1:3" x14ac:dyDescent="0.35">
      <c r="A43" s="190" t="s">
        <v>266</v>
      </c>
      <c r="B43" s="191" t="s">
        <v>447</v>
      </c>
      <c r="C43" s="192" t="s">
        <v>634</v>
      </c>
    </row>
    <row r="44" spans="1:3" x14ac:dyDescent="0.35">
      <c r="A44" s="190" t="s">
        <v>681</v>
      </c>
      <c r="B44" s="191" t="s">
        <v>682</v>
      </c>
      <c r="C44" s="192" t="s">
        <v>634</v>
      </c>
    </row>
    <row r="45" spans="1:3" x14ac:dyDescent="0.35">
      <c r="A45" s="190" t="s">
        <v>683</v>
      </c>
      <c r="B45" s="191" t="s">
        <v>684</v>
      </c>
      <c r="C45" s="192" t="s">
        <v>634</v>
      </c>
    </row>
    <row r="46" spans="1:3" x14ac:dyDescent="0.35">
      <c r="A46" s="190" t="s">
        <v>685</v>
      </c>
      <c r="B46" s="191" t="s">
        <v>686</v>
      </c>
      <c r="C46" s="192" t="s">
        <v>634</v>
      </c>
    </row>
    <row r="47" spans="1:3" x14ac:dyDescent="0.35">
      <c r="A47" s="190" t="s">
        <v>265</v>
      </c>
      <c r="B47" s="191" t="s">
        <v>446</v>
      </c>
      <c r="C47" s="192" t="s">
        <v>634</v>
      </c>
    </row>
    <row r="48" spans="1:3" x14ac:dyDescent="0.35">
      <c r="A48" s="190" t="s">
        <v>128</v>
      </c>
      <c r="B48" s="191" t="s">
        <v>687</v>
      </c>
      <c r="C48" s="192" t="s">
        <v>634</v>
      </c>
    </row>
    <row r="49" spans="1:3" x14ac:dyDescent="0.35">
      <c r="A49" s="190" t="s">
        <v>129</v>
      </c>
      <c r="B49" s="191" t="s">
        <v>688</v>
      </c>
      <c r="C49" s="192" t="s">
        <v>634</v>
      </c>
    </row>
    <row r="50" spans="1:3" x14ac:dyDescent="0.35">
      <c r="A50" s="190" t="s">
        <v>130</v>
      </c>
      <c r="B50" s="191" t="s">
        <v>689</v>
      </c>
      <c r="C50" s="192" t="s">
        <v>634</v>
      </c>
    </row>
    <row r="51" spans="1:3" x14ac:dyDescent="0.35">
      <c r="A51" s="190" t="s">
        <v>131</v>
      </c>
      <c r="B51" s="191" t="s">
        <v>690</v>
      </c>
      <c r="C51" s="192" t="s">
        <v>634</v>
      </c>
    </row>
    <row r="52" spans="1:3" x14ac:dyDescent="0.35">
      <c r="A52" s="193" t="s">
        <v>691</v>
      </c>
      <c r="B52" s="194" t="s">
        <v>692</v>
      </c>
      <c r="C52" s="195" t="s">
        <v>634</v>
      </c>
    </row>
    <row r="53" spans="1:3" x14ac:dyDescent="0.35">
      <c r="A53" s="193" t="s">
        <v>693</v>
      </c>
      <c r="B53" s="194" t="s">
        <v>694</v>
      </c>
      <c r="C53" s="195" t="s">
        <v>634</v>
      </c>
    </row>
    <row r="54" spans="1:3" x14ac:dyDescent="0.35">
      <c r="A54" s="193" t="s">
        <v>695</v>
      </c>
      <c r="B54" s="194" t="s">
        <v>694</v>
      </c>
      <c r="C54" s="195" t="s">
        <v>634</v>
      </c>
    </row>
    <row r="55" spans="1:3" x14ac:dyDescent="0.35">
      <c r="A55" s="193" t="s">
        <v>696</v>
      </c>
      <c r="B55" s="194" t="s">
        <v>697</v>
      </c>
      <c r="C55" s="195" t="s">
        <v>634</v>
      </c>
    </row>
    <row r="56" spans="1:3" x14ac:dyDescent="0.35">
      <c r="A56" s="193" t="s">
        <v>698</v>
      </c>
      <c r="B56" s="194" t="s">
        <v>697</v>
      </c>
      <c r="C56" s="195" t="s">
        <v>634</v>
      </c>
    </row>
    <row r="57" spans="1:3" x14ac:dyDescent="0.35">
      <c r="A57" s="193" t="s">
        <v>699</v>
      </c>
      <c r="B57" s="194" t="s">
        <v>700</v>
      </c>
      <c r="C57" s="195" t="s">
        <v>634</v>
      </c>
    </row>
    <row r="58" spans="1:3" x14ac:dyDescent="0.35">
      <c r="A58" s="193" t="s">
        <v>701</v>
      </c>
      <c r="B58" s="194" t="s">
        <v>702</v>
      </c>
      <c r="C58" s="195" t="s">
        <v>634</v>
      </c>
    </row>
    <row r="59" spans="1:3" x14ac:dyDescent="0.35">
      <c r="A59" s="193" t="s">
        <v>703</v>
      </c>
      <c r="B59" s="194" t="s">
        <v>704</v>
      </c>
      <c r="C59" s="195" t="s">
        <v>634</v>
      </c>
    </row>
    <row r="60" spans="1:3" x14ac:dyDescent="0.35">
      <c r="A60" s="193" t="s">
        <v>705</v>
      </c>
      <c r="B60" s="194" t="s">
        <v>706</v>
      </c>
      <c r="C60" s="195" t="s">
        <v>634</v>
      </c>
    </row>
    <row r="61" spans="1:3" x14ac:dyDescent="0.35">
      <c r="A61" s="193" t="s">
        <v>707</v>
      </c>
      <c r="B61" s="194" t="s">
        <v>708</v>
      </c>
      <c r="C61" s="195" t="s">
        <v>634</v>
      </c>
    </row>
    <row r="62" spans="1:3" x14ac:dyDescent="0.35">
      <c r="A62" s="193" t="s">
        <v>709</v>
      </c>
      <c r="B62" s="194" t="s">
        <v>710</v>
      </c>
      <c r="C62" s="195" t="s">
        <v>634</v>
      </c>
    </row>
    <row r="63" spans="1:3" x14ac:dyDescent="0.35">
      <c r="A63" s="193" t="s">
        <v>711</v>
      </c>
      <c r="B63" s="194" t="s">
        <v>712</v>
      </c>
      <c r="C63" s="195" t="s">
        <v>634</v>
      </c>
    </row>
    <row r="64" spans="1:3" x14ac:dyDescent="0.35">
      <c r="A64" s="193" t="s">
        <v>713</v>
      </c>
      <c r="B64" s="194" t="s">
        <v>714</v>
      </c>
      <c r="C64" s="195" t="s">
        <v>634</v>
      </c>
    </row>
    <row r="65" spans="1:3" x14ac:dyDescent="0.35">
      <c r="A65" s="193" t="s">
        <v>715</v>
      </c>
      <c r="B65" s="194" t="s">
        <v>716</v>
      </c>
      <c r="C65" s="195" t="s">
        <v>634</v>
      </c>
    </row>
    <row r="66" spans="1:3" x14ac:dyDescent="0.35">
      <c r="A66" s="193" t="s">
        <v>717</v>
      </c>
      <c r="B66" s="194" t="s">
        <v>718</v>
      </c>
      <c r="C66" s="195" t="s">
        <v>634</v>
      </c>
    </row>
    <row r="67" spans="1:3" x14ac:dyDescent="0.35">
      <c r="A67" s="193" t="s">
        <v>719</v>
      </c>
      <c r="B67" s="194" t="s">
        <v>720</v>
      </c>
      <c r="C67" s="195" t="s">
        <v>634</v>
      </c>
    </row>
    <row r="68" spans="1:3" x14ac:dyDescent="0.35">
      <c r="A68" s="193" t="s">
        <v>721</v>
      </c>
      <c r="B68" s="194" t="s">
        <v>722</v>
      </c>
      <c r="C68" s="195" t="s">
        <v>634</v>
      </c>
    </row>
    <row r="69" spans="1:3" x14ac:dyDescent="0.35">
      <c r="A69" s="193" t="s">
        <v>723</v>
      </c>
      <c r="B69" s="194" t="s">
        <v>724</v>
      </c>
      <c r="C69" s="195" t="s">
        <v>634</v>
      </c>
    </row>
    <row r="70" spans="1:3" x14ac:dyDescent="0.35">
      <c r="A70" s="193" t="s">
        <v>725</v>
      </c>
      <c r="B70" s="194" t="s">
        <v>726</v>
      </c>
      <c r="C70" s="195" t="s">
        <v>634</v>
      </c>
    </row>
    <row r="71" spans="1:3" x14ac:dyDescent="0.35">
      <c r="A71" s="193" t="s">
        <v>727</v>
      </c>
      <c r="B71" s="194" t="s">
        <v>728</v>
      </c>
      <c r="C71" s="195" t="s">
        <v>634</v>
      </c>
    </row>
    <row r="72" spans="1:3" x14ac:dyDescent="0.35">
      <c r="A72" s="193" t="s">
        <v>729</v>
      </c>
      <c r="B72" s="194" t="s">
        <v>730</v>
      </c>
      <c r="C72" s="195" t="s">
        <v>634</v>
      </c>
    </row>
    <row r="73" spans="1:3" x14ac:dyDescent="0.35">
      <c r="A73" s="193" t="s">
        <v>731</v>
      </c>
      <c r="B73" s="194" t="s">
        <v>732</v>
      </c>
      <c r="C73" s="195" t="s">
        <v>634</v>
      </c>
    </row>
    <row r="74" spans="1:3" x14ac:dyDescent="0.35">
      <c r="A74" s="193" t="s">
        <v>733</v>
      </c>
      <c r="B74" s="194" t="s">
        <v>734</v>
      </c>
      <c r="C74" s="195" t="s">
        <v>634</v>
      </c>
    </row>
    <row r="75" spans="1:3" x14ac:dyDescent="0.35">
      <c r="A75" s="193" t="s">
        <v>735</v>
      </c>
      <c r="B75" s="194" t="s">
        <v>736</v>
      </c>
      <c r="C75" s="195" t="s">
        <v>634</v>
      </c>
    </row>
    <row r="76" spans="1:3" x14ac:dyDescent="0.35">
      <c r="A76" s="193" t="s">
        <v>737</v>
      </c>
      <c r="B76" s="194" t="s">
        <v>738</v>
      </c>
      <c r="C76" s="195" t="s">
        <v>634</v>
      </c>
    </row>
    <row r="77" spans="1:3" x14ac:dyDescent="0.35">
      <c r="A77" s="193" t="s">
        <v>739</v>
      </c>
      <c r="B77" s="194" t="s">
        <v>740</v>
      </c>
      <c r="C77" s="195" t="s">
        <v>634</v>
      </c>
    </row>
    <row r="78" spans="1:3" x14ac:dyDescent="0.35">
      <c r="A78" s="193" t="s">
        <v>741</v>
      </c>
      <c r="B78" s="194" t="s">
        <v>742</v>
      </c>
      <c r="C78" s="195" t="s">
        <v>634</v>
      </c>
    </row>
    <row r="79" spans="1:3" x14ac:dyDescent="0.35">
      <c r="A79" s="193" t="s">
        <v>743</v>
      </c>
      <c r="B79" s="194" t="s">
        <v>744</v>
      </c>
      <c r="C79" s="195" t="s">
        <v>634</v>
      </c>
    </row>
    <row r="80" spans="1:3" x14ac:dyDescent="0.35">
      <c r="A80" s="193" t="s">
        <v>745</v>
      </c>
      <c r="B80" s="194" t="s">
        <v>746</v>
      </c>
      <c r="C80" s="195" t="s">
        <v>634</v>
      </c>
    </row>
    <row r="81" spans="1:3" x14ac:dyDescent="0.35">
      <c r="A81" s="193" t="s">
        <v>747</v>
      </c>
      <c r="B81" s="194" t="s">
        <v>748</v>
      </c>
      <c r="C81" s="195" t="s">
        <v>634</v>
      </c>
    </row>
    <row r="82" spans="1:3" x14ac:dyDescent="0.35">
      <c r="A82" s="193" t="s">
        <v>749</v>
      </c>
      <c r="B82" s="194" t="s">
        <v>750</v>
      </c>
      <c r="C82" s="195" t="s">
        <v>634</v>
      </c>
    </row>
    <row r="83" spans="1:3" x14ac:dyDescent="0.35">
      <c r="A83" s="193" t="s">
        <v>751</v>
      </c>
      <c r="B83" s="194" t="s">
        <v>752</v>
      </c>
      <c r="C83" s="195" t="s">
        <v>634</v>
      </c>
    </row>
    <row r="84" spans="1:3" x14ac:dyDescent="0.35">
      <c r="A84" s="193" t="s">
        <v>753</v>
      </c>
      <c r="B84" s="194" t="s">
        <v>754</v>
      </c>
      <c r="C84" s="195" t="s">
        <v>634</v>
      </c>
    </row>
    <row r="85" spans="1:3" x14ac:dyDescent="0.35">
      <c r="A85" s="193" t="s">
        <v>755</v>
      </c>
      <c r="B85" s="194" t="s">
        <v>756</v>
      </c>
      <c r="C85" s="195" t="s">
        <v>634</v>
      </c>
    </row>
    <row r="86" spans="1:3" x14ac:dyDescent="0.35">
      <c r="A86" s="193" t="s">
        <v>757</v>
      </c>
      <c r="B86" s="194" t="s">
        <v>758</v>
      </c>
      <c r="C86" s="195" t="s">
        <v>634</v>
      </c>
    </row>
    <row r="87" spans="1:3" x14ac:dyDescent="0.35">
      <c r="A87" s="193" t="s">
        <v>759</v>
      </c>
      <c r="B87" s="194" t="s">
        <v>760</v>
      </c>
      <c r="C87" s="195" t="s">
        <v>634</v>
      </c>
    </row>
    <row r="88" spans="1:3" x14ac:dyDescent="0.35">
      <c r="A88" s="193" t="s">
        <v>761</v>
      </c>
      <c r="B88" s="194" t="s">
        <v>762</v>
      </c>
      <c r="C88" s="195" t="s">
        <v>634</v>
      </c>
    </row>
    <row r="89" spans="1:3" x14ac:dyDescent="0.35">
      <c r="A89" s="193" t="s">
        <v>763</v>
      </c>
      <c r="B89" s="194" t="s">
        <v>764</v>
      </c>
      <c r="C89" s="195" t="s">
        <v>634</v>
      </c>
    </row>
    <row r="90" spans="1:3" x14ac:dyDescent="0.35">
      <c r="A90" s="193" t="s">
        <v>765</v>
      </c>
      <c r="B90" s="194" t="s">
        <v>766</v>
      </c>
      <c r="C90" s="195" t="s">
        <v>634</v>
      </c>
    </row>
    <row r="91" spans="1:3" x14ac:dyDescent="0.35">
      <c r="A91" s="193" t="s">
        <v>767</v>
      </c>
      <c r="B91" s="194" t="s">
        <v>768</v>
      </c>
      <c r="C91" s="195" t="s">
        <v>634</v>
      </c>
    </row>
    <row r="92" spans="1:3" x14ac:dyDescent="0.35">
      <c r="A92" s="193" t="s">
        <v>769</v>
      </c>
      <c r="B92" s="194" t="s">
        <v>770</v>
      </c>
      <c r="C92" s="195" t="s">
        <v>634</v>
      </c>
    </row>
    <row r="93" spans="1:3" x14ac:dyDescent="0.35">
      <c r="A93" s="193" t="s">
        <v>771</v>
      </c>
      <c r="B93" s="194" t="s">
        <v>772</v>
      </c>
      <c r="C93" s="195" t="s">
        <v>634</v>
      </c>
    </row>
    <row r="94" spans="1:3" x14ac:dyDescent="0.35">
      <c r="A94" s="193" t="s">
        <v>773</v>
      </c>
      <c r="B94" s="194" t="s">
        <v>774</v>
      </c>
      <c r="C94" s="195" t="s">
        <v>634</v>
      </c>
    </row>
    <row r="95" spans="1:3" x14ac:dyDescent="0.35">
      <c r="A95" s="193" t="s">
        <v>775</v>
      </c>
      <c r="B95" s="194" t="s">
        <v>776</v>
      </c>
      <c r="C95" s="195" t="s">
        <v>634</v>
      </c>
    </row>
    <row r="96" spans="1:3" x14ac:dyDescent="0.35">
      <c r="A96" s="193" t="s">
        <v>777</v>
      </c>
      <c r="B96" s="194" t="s">
        <v>778</v>
      </c>
      <c r="C96" s="195" t="s">
        <v>634</v>
      </c>
    </row>
    <row r="97" spans="1:3" x14ac:dyDescent="0.35">
      <c r="A97" s="193" t="s">
        <v>779</v>
      </c>
      <c r="B97" s="194" t="s">
        <v>780</v>
      </c>
      <c r="C97" s="195" t="s">
        <v>634</v>
      </c>
    </row>
    <row r="98" spans="1:3" x14ac:dyDescent="0.35">
      <c r="A98" s="193" t="s">
        <v>132</v>
      </c>
      <c r="B98" s="194" t="s">
        <v>314</v>
      </c>
      <c r="C98" s="195" t="s">
        <v>634</v>
      </c>
    </row>
    <row r="99" spans="1:3" x14ac:dyDescent="0.35">
      <c r="A99" s="193" t="s">
        <v>781</v>
      </c>
      <c r="B99" s="194" t="s">
        <v>782</v>
      </c>
      <c r="C99" s="195" t="s">
        <v>634</v>
      </c>
    </row>
    <row r="100" spans="1:3" x14ac:dyDescent="0.35">
      <c r="A100" s="193" t="s">
        <v>133</v>
      </c>
      <c r="B100" s="194" t="s">
        <v>783</v>
      </c>
      <c r="C100" s="195" t="s">
        <v>634</v>
      </c>
    </row>
    <row r="101" spans="1:3" x14ac:dyDescent="0.35">
      <c r="A101" s="193" t="s">
        <v>784</v>
      </c>
      <c r="B101" s="194" t="s">
        <v>785</v>
      </c>
      <c r="C101" s="195" t="s">
        <v>634</v>
      </c>
    </row>
    <row r="102" spans="1:3" x14ac:dyDescent="0.35">
      <c r="A102" s="193" t="s">
        <v>134</v>
      </c>
      <c r="B102" s="194" t="s">
        <v>786</v>
      </c>
      <c r="C102" s="195" t="s">
        <v>634</v>
      </c>
    </row>
    <row r="103" spans="1:3" x14ac:dyDescent="0.35">
      <c r="A103" s="193" t="s">
        <v>787</v>
      </c>
      <c r="B103" s="194" t="s">
        <v>788</v>
      </c>
      <c r="C103" s="195" t="s">
        <v>634</v>
      </c>
    </row>
    <row r="104" spans="1:3" x14ac:dyDescent="0.35">
      <c r="A104" s="193" t="s">
        <v>135</v>
      </c>
      <c r="B104" s="194" t="s">
        <v>789</v>
      </c>
      <c r="C104" s="195" t="s">
        <v>634</v>
      </c>
    </row>
    <row r="105" spans="1:3" x14ac:dyDescent="0.35">
      <c r="A105" s="193" t="s">
        <v>790</v>
      </c>
      <c r="B105" s="194" t="s">
        <v>791</v>
      </c>
      <c r="C105" s="195" t="s">
        <v>634</v>
      </c>
    </row>
    <row r="106" spans="1:3" x14ac:dyDescent="0.35">
      <c r="A106" s="193" t="s">
        <v>136</v>
      </c>
      <c r="B106" s="194" t="s">
        <v>792</v>
      </c>
      <c r="C106" s="195" t="s">
        <v>634</v>
      </c>
    </row>
    <row r="107" spans="1:3" x14ac:dyDescent="0.35">
      <c r="A107" s="193" t="s">
        <v>793</v>
      </c>
      <c r="B107" s="194" t="s">
        <v>794</v>
      </c>
      <c r="C107" s="195" t="s">
        <v>634</v>
      </c>
    </row>
    <row r="108" spans="1:3" x14ac:dyDescent="0.35">
      <c r="A108" s="193" t="s">
        <v>137</v>
      </c>
      <c r="B108" s="194" t="s">
        <v>795</v>
      </c>
      <c r="C108" s="195" t="s">
        <v>634</v>
      </c>
    </row>
    <row r="109" spans="1:3" x14ac:dyDescent="0.35">
      <c r="A109" s="193" t="s">
        <v>796</v>
      </c>
      <c r="B109" s="194" t="s">
        <v>797</v>
      </c>
      <c r="C109" s="195" t="s">
        <v>634</v>
      </c>
    </row>
    <row r="110" spans="1:3" x14ac:dyDescent="0.35">
      <c r="A110" s="193" t="s">
        <v>138</v>
      </c>
      <c r="B110" s="194" t="s">
        <v>798</v>
      </c>
      <c r="C110" s="195" t="s">
        <v>634</v>
      </c>
    </row>
    <row r="111" spans="1:3" x14ac:dyDescent="0.35">
      <c r="A111" s="193" t="s">
        <v>799</v>
      </c>
      <c r="B111" s="194" t="s">
        <v>800</v>
      </c>
      <c r="C111" s="195" t="s">
        <v>634</v>
      </c>
    </row>
    <row r="112" spans="1:3" x14ac:dyDescent="0.35">
      <c r="A112" s="193" t="s">
        <v>801</v>
      </c>
      <c r="B112" s="194" t="s">
        <v>802</v>
      </c>
      <c r="C112" s="195" t="s">
        <v>634</v>
      </c>
    </row>
    <row r="113" spans="1:3" x14ac:dyDescent="0.35">
      <c r="A113" s="193" t="s">
        <v>803</v>
      </c>
      <c r="B113" s="194" t="s">
        <v>804</v>
      </c>
      <c r="C113" s="195" t="s">
        <v>634</v>
      </c>
    </row>
    <row r="114" spans="1:3" x14ac:dyDescent="0.35">
      <c r="A114" s="193" t="s">
        <v>139</v>
      </c>
      <c r="B114" s="194" t="s">
        <v>805</v>
      </c>
      <c r="C114" s="195" t="s">
        <v>634</v>
      </c>
    </row>
    <row r="115" spans="1:3" x14ac:dyDescent="0.35">
      <c r="A115" s="193" t="s">
        <v>806</v>
      </c>
      <c r="B115" s="194" t="s">
        <v>807</v>
      </c>
      <c r="C115" s="195" t="s">
        <v>634</v>
      </c>
    </row>
    <row r="116" spans="1:3" x14ac:dyDescent="0.35">
      <c r="A116" s="193" t="s">
        <v>808</v>
      </c>
      <c r="B116" s="194" t="s">
        <v>809</v>
      </c>
      <c r="C116" s="195" t="s">
        <v>634</v>
      </c>
    </row>
    <row r="117" spans="1:3" x14ac:dyDescent="0.35">
      <c r="A117" s="193" t="s">
        <v>810</v>
      </c>
      <c r="B117" s="194" t="s">
        <v>811</v>
      </c>
      <c r="C117" s="195" t="s">
        <v>634</v>
      </c>
    </row>
    <row r="118" spans="1:3" x14ac:dyDescent="0.35">
      <c r="A118" s="193" t="s">
        <v>140</v>
      </c>
      <c r="B118" s="194" t="s">
        <v>812</v>
      </c>
      <c r="C118" s="195" t="s">
        <v>634</v>
      </c>
    </row>
    <row r="119" spans="1:3" x14ac:dyDescent="0.35">
      <c r="A119" s="193" t="s">
        <v>813</v>
      </c>
      <c r="B119" s="194" t="s">
        <v>814</v>
      </c>
      <c r="C119" s="195" t="s">
        <v>634</v>
      </c>
    </row>
    <row r="120" spans="1:3" x14ac:dyDescent="0.35">
      <c r="A120" s="193" t="s">
        <v>141</v>
      </c>
      <c r="B120" s="194" t="s">
        <v>815</v>
      </c>
      <c r="C120" s="195" t="s">
        <v>634</v>
      </c>
    </row>
    <row r="121" spans="1:3" x14ac:dyDescent="0.35">
      <c r="A121" s="193" t="s">
        <v>816</v>
      </c>
      <c r="B121" s="194" t="s">
        <v>817</v>
      </c>
      <c r="C121" s="195" t="s">
        <v>634</v>
      </c>
    </row>
    <row r="122" spans="1:3" x14ac:dyDescent="0.35">
      <c r="A122" s="193" t="s">
        <v>142</v>
      </c>
      <c r="B122" s="194" t="s">
        <v>818</v>
      </c>
      <c r="C122" s="195" t="s">
        <v>634</v>
      </c>
    </row>
    <row r="123" spans="1:3" x14ac:dyDescent="0.35">
      <c r="A123" s="193" t="s">
        <v>819</v>
      </c>
      <c r="B123" s="194" t="s">
        <v>820</v>
      </c>
      <c r="C123" s="195" t="s">
        <v>634</v>
      </c>
    </row>
    <row r="124" spans="1:3" x14ac:dyDescent="0.35">
      <c r="A124" s="193" t="s">
        <v>821</v>
      </c>
      <c r="B124" s="194" t="s">
        <v>822</v>
      </c>
      <c r="C124" s="195" t="s">
        <v>634</v>
      </c>
    </row>
    <row r="125" spans="1:3" x14ac:dyDescent="0.35">
      <c r="A125" s="193" t="s">
        <v>823</v>
      </c>
      <c r="B125" s="194" t="s">
        <v>824</v>
      </c>
      <c r="C125" s="195" t="s">
        <v>634</v>
      </c>
    </row>
    <row r="126" spans="1:3" x14ac:dyDescent="0.35">
      <c r="A126" s="193" t="s">
        <v>825</v>
      </c>
      <c r="B126" s="194" t="s">
        <v>826</v>
      </c>
      <c r="C126" s="195" t="s">
        <v>634</v>
      </c>
    </row>
    <row r="127" spans="1:3" x14ac:dyDescent="0.35">
      <c r="A127" s="193" t="s">
        <v>827</v>
      </c>
      <c r="B127" s="194" t="s">
        <v>828</v>
      </c>
      <c r="C127" s="195" t="s">
        <v>634</v>
      </c>
    </row>
    <row r="128" spans="1:3" x14ac:dyDescent="0.35">
      <c r="A128" s="193" t="s">
        <v>829</v>
      </c>
      <c r="B128" s="194" t="s">
        <v>830</v>
      </c>
      <c r="C128" s="195" t="s">
        <v>634</v>
      </c>
    </row>
    <row r="129" spans="1:3" x14ac:dyDescent="0.35">
      <c r="A129" s="193" t="s">
        <v>831</v>
      </c>
      <c r="B129" s="194" t="s">
        <v>832</v>
      </c>
      <c r="C129" s="195" t="s">
        <v>634</v>
      </c>
    </row>
    <row r="130" spans="1:3" x14ac:dyDescent="0.35">
      <c r="A130" s="193" t="s">
        <v>833</v>
      </c>
      <c r="B130" s="194" t="s">
        <v>834</v>
      </c>
      <c r="C130" s="195" t="s">
        <v>634</v>
      </c>
    </row>
    <row r="131" spans="1:3" x14ac:dyDescent="0.35">
      <c r="A131" s="193" t="s">
        <v>835</v>
      </c>
      <c r="B131" s="194" t="s">
        <v>836</v>
      </c>
      <c r="C131" s="195" t="s">
        <v>634</v>
      </c>
    </row>
    <row r="132" spans="1:3" x14ac:dyDescent="0.35">
      <c r="A132" s="193" t="s">
        <v>837</v>
      </c>
      <c r="B132" s="194" t="s">
        <v>836</v>
      </c>
      <c r="C132" s="195" t="s">
        <v>634</v>
      </c>
    </row>
    <row r="133" spans="1:3" x14ac:dyDescent="0.35">
      <c r="A133" s="193" t="s">
        <v>838</v>
      </c>
      <c r="B133" s="194" t="s">
        <v>839</v>
      </c>
      <c r="C133" s="195" t="s">
        <v>634</v>
      </c>
    </row>
    <row r="134" spans="1:3" x14ac:dyDescent="0.35">
      <c r="A134" s="193" t="s">
        <v>840</v>
      </c>
      <c r="B134" s="194" t="s">
        <v>839</v>
      </c>
      <c r="C134" s="195" t="s">
        <v>634</v>
      </c>
    </row>
    <row r="135" spans="1:3" x14ac:dyDescent="0.35">
      <c r="A135" s="193" t="s">
        <v>841</v>
      </c>
      <c r="B135" s="194" t="s">
        <v>842</v>
      </c>
      <c r="C135" s="195" t="s">
        <v>634</v>
      </c>
    </row>
    <row r="136" spans="1:3" x14ac:dyDescent="0.35">
      <c r="A136" s="193" t="s">
        <v>843</v>
      </c>
      <c r="B136" s="194" t="s">
        <v>842</v>
      </c>
      <c r="C136" s="195" t="s">
        <v>634</v>
      </c>
    </row>
    <row r="137" spans="1:3" x14ac:dyDescent="0.35">
      <c r="A137" s="193" t="s">
        <v>844</v>
      </c>
      <c r="B137" s="194" t="s">
        <v>845</v>
      </c>
      <c r="C137" s="195" t="s">
        <v>634</v>
      </c>
    </row>
    <row r="138" spans="1:3" x14ac:dyDescent="0.35">
      <c r="A138" s="193" t="s">
        <v>846</v>
      </c>
      <c r="B138" s="194" t="s">
        <v>847</v>
      </c>
      <c r="C138" s="195" t="s">
        <v>634</v>
      </c>
    </row>
    <row r="139" spans="1:3" x14ac:dyDescent="0.35">
      <c r="A139" s="193" t="s">
        <v>848</v>
      </c>
      <c r="B139" s="194" t="s">
        <v>849</v>
      </c>
      <c r="C139" s="195" t="s">
        <v>634</v>
      </c>
    </row>
    <row r="140" spans="1:3" x14ac:dyDescent="0.35">
      <c r="A140" s="193" t="s">
        <v>850</v>
      </c>
      <c r="B140" s="194" t="s">
        <v>851</v>
      </c>
      <c r="C140" s="195" t="s">
        <v>634</v>
      </c>
    </row>
    <row r="141" spans="1:3" x14ac:dyDescent="0.35">
      <c r="A141" s="193" t="s">
        <v>143</v>
      </c>
      <c r="B141" s="194" t="s">
        <v>325</v>
      </c>
      <c r="C141" s="195" t="s">
        <v>634</v>
      </c>
    </row>
    <row r="142" spans="1:3" x14ac:dyDescent="0.35">
      <c r="A142" s="193" t="s">
        <v>852</v>
      </c>
      <c r="B142" s="194" t="s">
        <v>853</v>
      </c>
      <c r="C142" s="195" t="s">
        <v>634</v>
      </c>
    </row>
    <row r="143" spans="1:3" x14ac:dyDescent="0.35">
      <c r="A143" s="193" t="s">
        <v>854</v>
      </c>
      <c r="B143" s="194" t="s">
        <v>855</v>
      </c>
      <c r="C143" s="195" t="s">
        <v>634</v>
      </c>
    </row>
    <row r="144" spans="1:3" x14ac:dyDescent="0.35">
      <c r="A144" s="193" t="s">
        <v>856</v>
      </c>
      <c r="B144" s="194" t="s">
        <v>857</v>
      </c>
      <c r="C144" s="195" t="s">
        <v>634</v>
      </c>
    </row>
    <row r="145" spans="1:3" x14ac:dyDescent="0.35">
      <c r="A145" s="196" t="s">
        <v>144</v>
      </c>
      <c r="B145" s="197" t="s">
        <v>858</v>
      </c>
      <c r="C145" s="198" t="s">
        <v>634</v>
      </c>
    </row>
    <row r="146" spans="1:3" x14ac:dyDescent="0.35">
      <c r="A146" s="199" t="s">
        <v>145</v>
      </c>
      <c r="B146" s="200" t="s">
        <v>859</v>
      </c>
      <c r="C146" s="201" t="s">
        <v>634</v>
      </c>
    </row>
    <row r="147" spans="1:3" x14ac:dyDescent="0.35">
      <c r="A147" s="199" t="s">
        <v>146</v>
      </c>
      <c r="B147" s="200" t="s">
        <v>860</v>
      </c>
      <c r="C147" s="201" t="s">
        <v>634</v>
      </c>
    </row>
    <row r="148" spans="1:3" x14ac:dyDescent="0.35">
      <c r="A148" s="199" t="s">
        <v>861</v>
      </c>
      <c r="B148" s="200" t="s">
        <v>862</v>
      </c>
      <c r="C148" s="201" t="s">
        <v>634</v>
      </c>
    </row>
    <row r="149" spans="1:3" x14ac:dyDescent="0.35">
      <c r="A149" s="199" t="s">
        <v>147</v>
      </c>
      <c r="B149" s="200" t="s">
        <v>863</v>
      </c>
      <c r="C149" s="201" t="s">
        <v>634</v>
      </c>
    </row>
    <row r="150" spans="1:3" x14ac:dyDescent="0.35">
      <c r="A150" s="199" t="s">
        <v>260</v>
      </c>
      <c r="B150" s="200" t="s">
        <v>864</v>
      </c>
      <c r="C150" s="201" t="s">
        <v>634</v>
      </c>
    </row>
    <row r="151" spans="1:3" x14ac:dyDescent="0.35">
      <c r="A151" s="199" t="s">
        <v>148</v>
      </c>
      <c r="B151" s="200" t="s">
        <v>865</v>
      </c>
      <c r="C151" s="201" t="s">
        <v>634</v>
      </c>
    </row>
    <row r="152" spans="1:3" x14ac:dyDescent="0.35">
      <c r="A152" s="199" t="s">
        <v>149</v>
      </c>
      <c r="B152" s="200" t="s">
        <v>866</v>
      </c>
      <c r="C152" s="201" t="s">
        <v>634</v>
      </c>
    </row>
    <row r="153" spans="1:3" x14ac:dyDescent="0.35">
      <c r="A153" s="199" t="s">
        <v>150</v>
      </c>
      <c r="B153" s="200" t="s">
        <v>867</v>
      </c>
      <c r="C153" s="201" t="s">
        <v>634</v>
      </c>
    </row>
    <row r="154" spans="1:3" x14ac:dyDescent="0.35">
      <c r="A154" s="199" t="s">
        <v>151</v>
      </c>
      <c r="B154" s="200" t="s">
        <v>868</v>
      </c>
      <c r="C154" s="201" t="s">
        <v>634</v>
      </c>
    </row>
    <row r="155" spans="1:3" x14ac:dyDescent="0.35">
      <c r="A155" s="199" t="s">
        <v>152</v>
      </c>
      <c r="B155" s="200" t="s">
        <v>869</v>
      </c>
      <c r="C155" s="201" t="s">
        <v>634</v>
      </c>
    </row>
    <row r="156" spans="1:3" x14ac:dyDescent="0.35">
      <c r="A156" s="199" t="s">
        <v>153</v>
      </c>
      <c r="B156" s="200" t="s">
        <v>870</v>
      </c>
      <c r="C156" s="201" t="s">
        <v>634</v>
      </c>
    </row>
    <row r="157" spans="1:3" x14ac:dyDescent="0.35">
      <c r="A157" s="199" t="s">
        <v>154</v>
      </c>
      <c r="B157" s="200" t="s">
        <v>871</v>
      </c>
      <c r="C157" s="201" t="s">
        <v>634</v>
      </c>
    </row>
    <row r="158" spans="1:3" x14ac:dyDescent="0.35">
      <c r="A158" s="199" t="s">
        <v>155</v>
      </c>
      <c r="B158" s="200" t="s">
        <v>872</v>
      </c>
      <c r="C158" s="201" t="s">
        <v>634</v>
      </c>
    </row>
    <row r="159" spans="1:3" x14ac:dyDescent="0.35">
      <c r="A159" s="199" t="s">
        <v>156</v>
      </c>
      <c r="B159" s="200" t="s">
        <v>873</v>
      </c>
      <c r="C159" s="201" t="s">
        <v>634</v>
      </c>
    </row>
    <row r="160" spans="1:3" x14ac:dyDescent="0.35">
      <c r="A160" s="199" t="s">
        <v>157</v>
      </c>
      <c r="B160" s="200" t="s">
        <v>874</v>
      </c>
      <c r="C160" s="201" t="s">
        <v>634</v>
      </c>
    </row>
    <row r="161" spans="1:3" x14ac:dyDescent="0.35">
      <c r="A161" s="199" t="s">
        <v>158</v>
      </c>
      <c r="B161" s="200" t="s">
        <v>875</v>
      </c>
      <c r="C161" s="201" t="s">
        <v>634</v>
      </c>
    </row>
    <row r="162" spans="1:3" x14ac:dyDescent="0.35">
      <c r="A162" s="199" t="s">
        <v>159</v>
      </c>
      <c r="B162" s="200" t="s">
        <v>876</v>
      </c>
      <c r="C162" s="201" t="s">
        <v>634</v>
      </c>
    </row>
    <row r="163" spans="1:3" x14ac:dyDescent="0.35">
      <c r="A163" s="199" t="s">
        <v>160</v>
      </c>
      <c r="B163" s="200" t="s">
        <v>877</v>
      </c>
      <c r="C163" s="201" t="s">
        <v>634</v>
      </c>
    </row>
    <row r="164" spans="1:3" x14ac:dyDescent="0.35">
      <c r="A164" s="199" t="s">
        <v>268</v>
      </c>
      <c r="B164" s="200" t="s">
        <v>878</v>
      </c>
      <c r="C164" s="201" t="s">
        <v>634</v>
      </c>
    </row>
    <row r="165" spans="1:3" x14ac:dyDescent="0.35">
      <c r="A165" s="199" t="s">
        <v>161</v>
      </c>
      <c r="B165" s="200" t="s">
        <v>879</v>
      </c>
      <c r="C165" s="201" t="s">
        <v>634</v>
      </c>
    </row>
    <row r="166" spans="1:3" x14ac:dyDescent="0.35">
      <c r="A166" s="202" t="s">
        <v>162</v>
      </c>
      <c r="B166" s="203" t="s">
        <v>880</v>
      </c>
      <c r="C166" s="204" t="s">
        <v>881</v>
      </c>
    </row>
    <row r="167" spans="1:3" x14ac:dyDescent="0.35">
      <c r="A167" s="202" t="s">
        <v>882</v>
      </c>
      <c r="B167" s="203" t="s">
        <v>883</v>
      </c>
      <c r="C167" s="204" t="s">
        <v>881</v>
      </c>
    </row>
    <row r="168" spans="1:3" x14ac:dyDescent="0.35">
      <c r="A168" s="202" t="s">
        <v>884</v>
      </c>
      <c r="B168" s="203" t="s">
        <v>885</v>
      </c>
      <c r="C168" s="204" t="s">
        <v>881</v>
      </c>
    </row>
    <row r="169" spans="1:3" x14ac:dyDescent="0.35">
      <c r="A169" s="202" t="s">
        <v>163</v>
      </c>
      <c r="B169" s="203" t="s">
        <v>886</v>
      </c>
      <c r="C169" s="204" t="s">
        <v>881</v>
      </c>
    </row>
    <row r="170" spans="1:3" x14ac:dyDescent="0.35">
      <c r="A170" s="202" t="s">
        <v>164</v>
      </c>
      <c r="B170" s="203" t="s">
        <v>887</v>
      </c>
      <c r="C170" s="204" t="s">
        <v>881</v>
      </c>
    </row>
    <row r="171" spans="1:3" x14ac:dyDescent="0.35">
      <c r="A171" s="202" t="s">
        <v>165</v>
      </c>
      <c r="B171" s="203" t="s">
        <v>888</v>
      </c>
      <c r="C171" s="204" t="s">
        <v>881</v>
      </c>
    </row>
    <row r="172" spans="1:3" x14ac:dyDescent="0.35">
      <c r="A172" s="202" t="s">
        <v>166</v>
      </c>
      <c r="B172" s="203" t="s">
        <v>889</v>
      </c>
      <c r="C172" s="204" t="s">
        <v>634</v>
      </c>
    </row>
    <row r="173" spans="1:3" x14ac:dyDescent="0.35">
      <c r="A173" s="202" t="s">
        <v>167</v>
      </c>
      <c r="B173" s="203" t="s">
        <v>890</v>
      </c>
      <c r="C173" s="204" t="s">
        <v>881</v>
      </c>
    </row>
    <row r="174" spans="1:3" x14ac:dyDescent="0.35">
      <c r="A174" s="202" t="s">
        <v>168</v>
      </c>
      <c r="B174" s="203" t="s">
        <v>891</v>
      </c>
      <c r="C174" s="204" t="s">
        <v>634</v>
      </c>
    </row>
    <row r="175" spans="1:3" x14ac:dyDescent="0.35">
      <c r="A175" s="202" t="s">
        <v>169</v>
      </c>
      <c r="B175" s="203" t="s">
        <v>892</v>
      </c>
      <c r="C175" s="204" t="s">
        <v>881</v>
      </c>
    </row>
    <row r="176" spans="1:3" x14ac:dyDescent="0.35">
      <c r="A176" s="202" t="s">
        <v>170</v>
      </c>
      <c r="B176" s="203" t="s">
        <v>893</v>
      </c>
      <c r="C176" s="204" t="s">
        <v>881</v>
      </c>
    </row>
    <row r="177" spans="1:3" x14ac:dyDescent="0.35">
      <c r="A177" s="202" t="s">
        <v>171</v>
      </c>
      <c r="B177" s="203" t="s">
        <v>894</v>
      </c>
      <c r="C177" s="204" t="s">
        <v>881</v>
      </c>
    </row>
    <row r="178" spans="1:3" x14ac:dyDescent="0.35">
      <c r="A178" s="202" t="s">
        <v>172</v>
      </c>
      <c r="B178" s="203" t="s">
        <v>895</v>
      </c>
      <c r="C178" s="204" t="s">
        <v>881</v>
      </c>
    </row>
    <row r="179" spans="1:3" x14ac:dyDescent="0.35">
      <c r="A179" s="202" t="s">
        <v>173</v>
      </c>
      <c r="B179" s="203" t="s">
        <v>896</v>
      </c>
      <c r="C179" s="204" t="s">
        <v>881</v>
      </c>
    </row>
    <row r="180" spans="1:3" x14ac:dyDescent="0.35">
      <c r="A180" s="202" t="s">
        <v>174</v>
      </c>
      <c r="B180" s="203" t="s">
        <v>897</v>
      </c>
      <c r="C180" s="204" t="s">
        <v>881</v>
      </c>
    </row>
    <row r="181" spans="1:3" x14ac:dyDescent="0.35">
      <c r="A181" s="202" t="s">
        <v>175</v>
      </c>
      <c r="B181" s="203" t="s">
        <v>898</v>
      </c>
      <c r="C181" s="204" t="s">
        <v>881</v>
      </c>
    </row>
    <row r="182" spans="1:3" x14ac:dyDescent="0.35">
      <c r="A182" s="202" t="s">
        <v>176</v>
      </c>
      <c r="B182" s="203" t="s">
        <v>899</v>
      </c>
      <c r="C182" s="204" t="s">
        <v>634</v>
      </c>
    </row>
    <row r="183" spans="1:3" x14ac:dyDescent="0.35">
      <c r="A183" s="202" t="s">
        <v>177</v>
      </c>
      <c r="B183" s="203" t="s">
        <v>900</v>
      </c>
      <c r="C183" s="204" t="s">
        <v>881</v>
      </c>
    </row>
    <row r="184" spans="1:3" x14ac:dyDescent="0.35">
      <c r="A184" s="202" t="s">
        <v>178</v>
      </c>
      <c r="B184" s="203" t="s">
        <v>901</v>
      </c>
      <c r="C184" s="204" t="s">
        <v>881</v>
      </c>
    </row>
    <row r="185" spans="1:3" x14ac:dyDescent="0.35">
      <c r="A185" s="202" t="s">
        <v>623</v>
      </c>
      <c r="B185" s="203" t="s">
        <v>902</v>
      </c>
      <c r="C185" s="204" t="s">
        <v>634</v>
      </c>
    </row>
    <row r="186" spans="1:3" x14ac:dyDescent="0.35">
      <c r="A186" s="202" t="s">
        <v>179</v>
      </c>
      <c r="B186" s="203" t="s">
        <v>903</v>
      </c>
      <c r="C186" s="204" t="s">
        <v>881</v>
      </c>
    </row>
    <row r="187" spans="1:3" x14ac:dyDescent="0.35">
      <c r="A187" s="202" t="s">
        <v>180</v>
      </c>
      <c r="B187" s="203" t="s">
        <v>904</v>
      </c>
      <c r="C187" s="204" t="s">
        <v>881</v>
      </c>
    </row>
    <row r="188" spans="1:3" x14ac:dyDescent="0.35">
      <c r="A188" s="202" t="s">
        <v>181</v>
      </c>
      <c r="B188" s="203" t="s">
        <v>905</v>
      </c>
      <c r="C188" s="204" t="s">
        <v>881</v>
      </c>
    </row>
    <row r="189" spans="1:3" x14ac:dyDescent="0.35">
      <c r="A189" s="202" t="s">
        <v>182</v>
      </c>
      <c r="B189" s="203" t="s">
        <v>906</v>
      </c>
      <c r="C189" s="204" t="s">
        <v>881</v>
      </c>
    </row>
    <row r="190" spans="1:3" x14ac:dyDescent="0.35">
      <c r="A190" s="202" t="s">
        <v>183</v>
      </c>
      <c r="B190" s="203" t="s">
        <v>907</v>
      </c>
      <c r="C190" s="204" t="s">
        <v>881</v>
      </c>
    </row>
    <row r="191" spans="1:3" x14ac:dyDescent="0.35">
      <c r="A191" s="202" t="s">
        <v>184</v>
      </c>
      <c r="B191" s="203" t="s">
        <v>908</v>
      </c>
      <c r="C191" s="204" t="s">
        <v>881</v>
      </c>
    </row>
    <row r="192" spans="1:3" x14ac:dyDescent="0.35">
      <c r="A192" s="202" t="s">
        <v>185</v>
      </c>
      <c r="B192" s="203" t="s">
        <v>909</v>
      </c>
      <c r="C192" s="204" t="s">
        <v>881</v>
      </c>
    </row>
    <row r="193" spans="1:3" x14ac:dyDescent="0.35">
      <c r="A193" s="202" t="s">
        <v>910</v>
      </c>
      <c r="B193" s="203" t="s">
        <v>911</v>
      </c>
      <c r="C193" s="204" t="s">
        <v>881</v>
      </c>
    </row>
    <row r="194" spans="1:3" x14ac:dyDescent="0.35">
      <c r="A194" s="202" t="s">
        <v>186</v>
      </c>
      <c r="B194" s="203" t="s">
        <v>912</v>
      </c>
      <c r="C194" s="204" t="s">
        <v>881</v>
      </c>
    </row>
    <row r="195" spans="1:3" x14ac:dyDescent="0.35">
      <c r="A195" s="202" t="s">
        <v>187</v>
      </c>
      <c r="B195" s="203" t="s">
        <v>913</v>
      </c>
      <c r="C195" s="204" t="s">
        <v>881</v>
      </c>
    </row>
    <row r="196" spans="1:3" x14ac:dyDescent="0.35">
      <c r="A196" s="202" t="s">
        <v>188</v>
      </c>
      <c r="B196" s="203" t="s">
        <v>914</v>
      </c>
      <c r="C196" s="204" t="s">
        <v>881</v>
      </c>
    </row>
    <row r="197" spans="1:3" x14ac:dyDescent="0.35">
      <c r="A197" s="202" t="s">
        <v>189</v>
      </c>
      <c r="B197" s="203" t="s">
        <v>915</v>
      </c>
      <c r="C197" s="204" t="s">
        <v>881</v>
      </c>
    </row>
    <row r="198" spans="1:3" x14ac:dyDescent="0.35">
      <c r="A198" s="202" t="s">
        <v>190</v>
      </c>
      <c r="B198" s="203" t="s">
        <v>916</v>
      </c>
      <c r="C198" s="204" t="s">
        <v>881</v>
      </c>
    </row>
    <row r="199" spans="1:3" x14ac:dyDescent="0.35">
      <c r="A199" s="202" t="s">
        <v>191</v>
      </c>
      <c r="B199" s="203" t="s">
        <v>917</v>
      </c>
      <c r="C199" s="204" t="s">
        <v>634</v>
      </c>
    </row>
    <row r="200" spans="1:3" x14ac:dyDescent="0.35">
      <c r="A200" s="202" t="s">
        <v>192</v>
      </c>
      <c r="B200" s="203" t="s">
        <v>918</v>
      </c>
      <c r="C200" s="204" t="s">
        <v>881</v>
      </c>
    </row>
    <row r="201" spans="1:3" x14ac:dyDescent="0.35">
      <c r="A201" s="202" t="s">
        <v>919</v>
      </c>
      <c r="B201" s="203" t="s">
        <v>920</v>
      </c>
      <c r="C201" s="204" t="s">
        <v>881</v>
      </c>
    </row>
    <row r="202" spans="1:3" x14ac:dyDescent="0.35">
      <c r="A202" s="202" t="s">
        <v>921</v>
      </c>
      <c r="B202" s="203" t="s">
        <v>922</v>
      </c>
      <c r="C202" s="204" t="s">
        <v>881</v>
      </c>
    </row>
    <row r="203" spans="1:3" x14ac:dyDescent="0.35">
      <c r="A203" s="202" t="s">
        <v>923</v>
      </c>
      <c r="B203" s="203" t="s">
        <v>924</v>
      </c>
      <c r="C203" s="204" t="s">
        <v>881</v>
      </c>
    </row>
    <row r="204" spans="1:3" x14ac:dyDescent="0.35">
      <c r="A204" s="202" t="s">
        <v>193</v>
      </c>
      <c r="B204" s="203" t="s">
        <v>925</v>
      </c>
      <c r="C204" s="204" t="s">
        <v>881</v>
      </c>
    </row>
    <row r="205" spans="1:3" x14ac:dyDescent="0.35">
      <c r="A205" s="202" t="s">
        <v>194</v>
      </c>
      <c r="B205" s="203" t="s">
        <v>926</v>
      </c>
      <c r="C205" s="204" t="s">
        <v>881</v>
      </c>
    </row>
    <row r="206" spans="1:3" x14ac:dyDescent="0.35">
      <c r="A206" s="202" t="s">
        <v>195</v>
      </c>
      <c r="B206" s="203" t="s">
        <v>927</v>
      </c>
      <c r="C206" s="204" t="s">
        <v>634</v>
      </c>
    </row>
    <row r="207" spans="1:3" x14ac:dyDescent="0.35">
      <c r="A207" s="202" t="s">
        <v>196</v>
      </c>
      <c r="B207" s="203" t="s">
        <v>928</v>
      </c>
      <c r="C207" s="204" t="s">
        <v>881</v>
      </c>
    </row>
    <row r="208" spans="1:3" x14ac:dyDescent="0.35">
      <c r="A208" s="202" t="s">
        <v>197</v>
      </c>
      <c r="B208" s="203" t="s">
        <v>929</v>
      </c>
      <c r="C208" s="204" t="s">
        <v>634</v>
      </c>
    </row>
    <row r="209" spans="1:3" x14ac:dyDescent="0.35">
      <c r="A209" s="202" t="s">
        <v>198</v>
      </c>
      <c r="B209" s="203" t="s">
        <v>930</v>
      </c>
      <c r="C209" s="204" t="s">
        <v>634</v>
      </c>
    </row>
    <row r="210" spans="1:3" x14ac:dyDescent="0.35">
      <c r="A210" s="202" t="s">
        <v>199</v>
      </c>
      <c r="B210" s="203" t="s">
        <v>931</v>
      </c>
      <c r="C210" s="204" t="s">
        <v>881</v>
      </c>
    </row>
    <row r="211" spans="1:3" x14ac:dyDescent="0.35">
      <c r="A211" s="202" t="s">
        <v>200</v>
      </c>
      <c r="B211" s="203" t="s">
        <v>932</v>
      </c>
      <c r="C211" s="204" t="s">
        <v>881</v>
      </c>
    </row>
    <row r="212" spans="1:3" x14ac:dyDescent="0.35">
      <c r="A212" s="202" t="s">
        <v>201</v>
      </c>
      <c r="B212" s="203" t="s">
        <v>933</v>
      </c>
      <c r="C212" s="204" t="s">
        <v>881</v>
      </c>
    </row>
    <row r="213" spans="1:3" x14ac:dyDescent="0.35">
      <c r="A213" s="202" t="s">
        <v>202</v>
      </c>
      <c r="B213" s="203" t="s">
        <v>934</v>
      </c>
      <c r="C213" s="204" t="s">
        <v>881</v>
      </c>
    </row>
    <row r="214" spans="1:3" x14ac:dyDescent="0.35">
      <c r="A214" s="202" t="s">
        <v>203</v>
      </c>
      <c r="B214" s="203" t="s">
        <v>935</v>
      </c>
      <c r="C214" s="204" t="s">
        <v>881</v>
      </c>
    </row>
    <row r="215" spans="1:3" x14ac:dyDescent="0.35">
      <c r="A215" s="202" t="s">
        <v>204</v>
      </c>
      <c r="B215" s="203" t="s">
        <v>385</v>
      </c>
      <c r="C215" s="204" t="s">
        <v>881</v>
      </c>
    </row>
    <row r="216" spans="1:3" x14ac:dyDescent="0.35">
      <c r="A216" s="202" t="s">
        <v>205</v>
      </c>
      <c r="B216" s="203" t="s">
        <v>936</v>
      </c>
      <c r="C216" s="204" t="s">
        <v>881</v>
      </c>
    </row>
    <row r="217" spans="1:3" x14ac:dyDescent="0.35">
      <c r="A217" s="202" t="s">
        <v>206</v>
      </c>
      <c r="B217" s="203" t="s">
        <v>937</v>
      </c>
      <c r="C217" s="204" t="s">
        <v>881</v>
      </c>
    </row>
    <row r="218" spans="1:3" x14ac:dyDescent="0.35">
      <c r="A218" s="202" t="s">
        <v>207</v>
      </c>
      <c r="B218" s="203" t="s">
        <v>938</v>
      </c>
      <c r="C218" s="204" t="s">
        <v>881</v>
      </c>
    </row>
    <row r="219" spans="1:3" x14ac:dyDescent="0.35">
      <c r="A219" s="202" t="s">
        <v>208</v>
      </c>
      <c r="B219" s="203" t="s">
        <v>389</v>
      </c>
      <c r="C219" s="204" t="s">
        <v>881</v>
      </c>
    </row>
    <row r="220" spans="1:3" x14ac:dyDescent="0.35">
      <c r="A220" s="202" t="s">
        <v>209</v>
      </c>
      <c r="B220" s="203" t="s">
        <v>939</v>
      </c>
      <c r="C220" s="204" t="s">
        <v>881</v>
      </c>
    </row>
    <row r="221" spans="1:3" x14ac:dyDescent="0.35">
      <c r="A221" s="202" t="s">
        <v>210</v>
      </c>
      <c r="B221" s="203" t="s">
        <v>940</v>
      </c>
      <c r="C221" s="204" t="s">
        <v>881</v>
      </c>
    </row>
    <row r="222" spans="1:3" x14ac:dyDescent="0.35">
      <c r="A222" s="202" t="s">
        <v>211</v>
      </c>
      <c r="B222" s="203" t="s">
        <v>941</v>
      </c>
      <c r="C222" s="204" t="s">
        <v>881</v>
      </c>
    </row>
    <row r="223" spans="1:3" x14ac:dyDescent="0.35">
      <c r="A223" s="202" t="s">
        <v>212</v>
      </c>
      <c r="B223" s="203" t="s">
        <v>942</v>
      </c>
      <c r="C223" s="204" t="s">
        <v>881</v>
      </c>
    </row>
    <row r="224" spans="1:3" x14ac:dyDescent="0.35">
      <c r="A224" s="202" t="s">
        <v>213</v>
      </c>
      <c r="B224" s="203" t="s">
        <v>943</v>
      </c>
      <c r="C224" s="204" t="s">
        <v>881</v>
      </c>
    </row>
    <row r="225" spans="1:3" x14ac:dyDescent="0.35">
      <c r="A225" s="202" t="s">
        <v>214</v>
      </c>
      <c r="B225" s="203" t="s">
        <v>944</v>
      </c>
      <c r="C225" s="204" t="s">
        <v>881</v>
      </c>
    </row>
    <row r="226" spans="1:3" x14ac:dyDescent="0.35">
      <c r="A226" s="202" t="s">
        <v>215</v>
      </c>
      <c r="B226" s="203" t="s">
        <v>945</v>
      </c>
      <c r="C226" s="204" t="s">
        <v>881</v>
      </c>
    </row>
    <row r="227" spans="1:3" x14ac:dyDescent="0.35">
      <c r="A227" s="202" t="s">
        <v>216</v>
      </c>
      <c r="B227" s="203" t="s">
        <v>946</v>
      </c>
      <c r="C227" s="204" t="s">
        <v>881</v>
      </c>
    </row>
    <row r="228" spans="1:3" x14ac:dyDescent="0.35">
      <c r="A228" s="202" t="s">
        <v>217</v>
      </c>
      <c r="B228" s="203" t="s">
        <v>947</v>
      </c>
      <c r="C228" s="204" t="s">
        <v>881</v>
      </c>
    </row>
    <row r="229" spans="1:3" x14ac:dyDescent="0.35">
      <c r="A229" s="202" t="s">
        <v>218</v>
      </c>
      <c r="B229" s="203" t="s">
        <v>948</v>
      </c>
      <c r="C229" s="204" t="s">
        <v>881</v>
      </c>
    </row>
    <row r="230" spans="1:3" x14ac:dyDescent="0.35">
      <c r="A230" s="202" t="s">
        <v>219</v>
      </c>
      <c r="B230" s="203" t="s">
        <v>949</v>
      </c>
      <c r="C230" s="204" t="s">
        <v>634</v>
      </c>
    </row>
    <row r="231" spans="1:3" x14ac:dyDescent="0.35">
      <c r="A231" s="202" t="s">
        <v>220</v>
      </c>
      <c r="B231" s="203" t="s">
        <v>950</v>
      </c>
      <c r="C231" s="204" t="s">
        <v>634</v>
      </c>
    </row>
    <row r="232" spans="1:3" x14ac:dyDescent="0.35">
      <c r="A232" s="202" t="s">
        <v>221</v>
      </c>
      <c r="B232" s="203" t="s">
        <v>951</v>
      </c>
      <c r="C232" s="204" t="s">
        <v>881</v>
      </c>
    </row>
    <row r="233" spans="1:3" x14ac:dyDescent="0.35">
      <c r="A233" s="202" t="s">
        <v>222</v>
      </c>
      <c r="B233" s="203" t="s">
        <v>952</v>
      </c>
      <c r="C233" s="204" t="s">
        <v>881</v>
      </c>
    </row>
    <row r="234" spans="1:3" x14ac:dyDescent="0.35">
      <c r="A234" s="202" t="s">
        <v>223</v>
      </c>
      <c r="B234" s="203" t="s">
        <v>953</v>
      </c>
      <c r="C234" s="204" t="s">
        <v>881</v>
      </c>
    </row>
    <row r="235" spans="1:3" x14ac:dyDescent="0.35">
      <c r="A235" s="202" t="s">
        <v>224</v>
      </c>
      <c r="B235" s="203" t="s">
        <v>954</v>
      </c>
      <c r="C235" s="204" t="s">
        <v>881</v>
      </c>
    </row>
    <row r="236" spans="1:3" x14ac:dyDescent="0.35">
      <c r="A236" s="202" t="s">
        <v>225</v>
      </c>
      <c r="B236" s="203" t="s">
        <v>955</v>
      </c>
      <c r="C236" s="204" t="s">
        <v>881</v>
      </c>
    </row>
    <row r="237" spans="1:3" x14ac:dyDescent="0.35">
      <c r="A237" s="202" t="s">
        <v>226</v>
      </c>
      <c r="B237" s="203" t="s">
        <v>956</v>
      </c>
      <c r="C237" s="204" t="s">
        <v>881</v>
      </c>
    </row>
    <row r="238" spans="1:3" x14ac:dyDescent="0.35">
      <c r="A238" s="202" t="s">
        <v>957</v>
      </c>
      <c r="B238" s="203" t="s">
        <v>958</v>
      </c>
      <c r="C238" s="204" t="s">
        <v>881</v>
      </c>
    </row>
    <row r="239" spans="1:3" x14ac:dyDescent="0.35">
      <c r="A239" s="202" t="s">
        <v>959</v>
      </c>
      <c r="B239" s="203" t="s">
        <v>960</v>
      </c>
      <c r="C239" s="204" t="s">
        <v>881</v>
      </c>
    </row>
    <row r="240" spans="1:3" x14ac:dyDescent="0.35">
      <c r="A240" s="202" t="s">
        <v>227</v>
      </c>
      <c r="B240" s="203" t="s">
        <v>961</v>
      </c>
      <c r="C240" s="204" t="s">
        <v>881</v>
      </c>
    </row>
    <row r="241" spans="1:3" x14ac:dyDescent="0.35">
      <c r="A241" s="202" t="s">
        <v>962</v>
      </c>
      <c r="B241" s="203" t="s">
        <v>963</v>
      </c>
      <c r="C241" s="204" t="s">
        <v>881</v>
      </c>
    </row>
    <row r="242" spans="1:3" x14ac:dyDescent="0.35">
      <c r="A242" s="202" t="s">
        <v>228</v>
      </c>
      <c r="B242" s="203" t="s">
        <v>964</v>
      </c>
      <c r="C242" s="204" t="s">
        <v>881</v>
      </c>
    </row>
    <row r="243" spans="1:3" x14ac:dyDescent="0.35">
      <c r="A243" s="202" t="s">
        <v>229</v>
      </c>
      <c r="B243" s="203" t="s">
        <v>965</v>
      </c>
      <c r="C243" s="204" t="s">
        <v>881</v>
      </c>
    </row>
    <row r="244" spans="1:3" x14ac:dyDescent="0.35">
      <c r="A244" s="202" t="s">
        <v>230</v>
      </c>
      <c r="B244" s="203" t="s">
        <v>966</v>
      </c>
      <c r="C244" s="204" t="s">
        <v>634</v>
      </c>
    </row>
    <row r="245" spans="1:3" x14ac:dyDescent="0.35">
      <c r="A245" s="202" t="s">
        <v>231</v>
      </c>
      <c r="B245" s="203" t="s">
        <v>967</v>
      </c>
      <c r="C245" s="204" t="s">
        <v>881</v>
      </c>
    </row>
    <row r="246" spans="1:3" x14ac:dyDescent="0.35">
      <c r="A246" s="202" t="s">
        <v>232</v>
      </c>
      <c r="B246" s="203" t="s">
        <v>968</v>
      </c>
      <c r="C246" s="204" t="s">
        <v>881</v>
      </c>
    </row>
    <row r="247" spans="1:3" x14ac:dyDescent="0.35">
      <c r="A247" s="202" t="s">
        <v>233</v>
      </c>
      <c r="B247" s="203" t="s">
        <v>969</v>
      </c>
      <c r="C247" s="204" t="s">
        <v>881</v>
      </c>
    </row>
    <row r="248" spans="1:3" x14ac:dyDescent="0.35">
      <c r="A248" s="202" t="s">
        <v>234</v>
      </c>
      <c r="B248" s="203" t="s">
        <v>970</v>
      </c>
      <c r="C248" s="204" t="s">
        <v>881</v>
      </c>
    </row>
    <row r="249" spans="1:3" x14ac:dyDescent="0.35">
      <c r="A249" s="202" t="s">
        <v>235</v>
      </c>
      <c r="B249" s="203" t="s">
        <v>971</v>
      </c>
      <c r="C249" s="204" t="s">
        <v>881</v>
      </c>
    </row>
    <row r="250" spans="1:3" x14ac:dyDescent="0.35">
      <c r="A250" s="202" t="s">
        <v>236</v>
      </c>
      <c r="B250" s="203" t="s">
        <v>972</v>
      </c>
      <c r="C250" s="204" t="s">
        <v>634</v>
      </c>
    </row>
    <row r="251" spans="1:3" x14ac:dyDescent="0.35">
      <c r="A251" s="202" t="s">
        <v>544</v>
      </c>
      <c r="B251" s="203" t="s">
        <v>545</v>
      </c>
      <c r="C251" s="204" t="s">
        <v>881</v>
      </c>
    </row>
    <row r="252" spans="1:3" x14ac:dyDescent="0.35">
      <c r="A252" s="202" t="s">
        <v>237</v>
      </c>
      <c r="B252" s="203" t="s">
        <v>973</v>
      </c>
      <c r="C252" s="204" t="s">
        <v>881</v>
      </c>
    </row>
    <row r="253" spans="1:3" x14ac:dyDescent="0.35">
      <c r="A253" s="202" t="s">
        <v>238</v>
      </c>
      <c r="B253" s="203" t="s">
        <v>974</v>
      </c>
      <c r="C253" s="204" t="s">
        <v>634</v>
      </c>
    </row>
    <row r="254" spans="1:3" x14ac:dyDescent="0.35">
      <c r="A254" s="202" t="s">
        <v>239</v>
      </c>
      <c r="B254" s="203" t="s">
        <v>975</v>
      </c>
      <c r="C254" s="204" t="s">
        <v>881</v>
      </c>
    </row>
    <row r="255" spans="1:3" x14ac:dyDescent="0.35">
      <c r="A255" s="202" t="s">
        <v>240</v>
      </c>
      <c r="B255" s="203" t="s">
        <v>976</v>
      </c>
      <c r="C255" s="204" t="s">
        <v>634</v>
      </c>
    </row>
    <row r="256" spans="1:3" x14ac:dyDescent="0.35">
      <c r="A256" s="202" t="s">
        <v>241</v>
      </c>
      <c r="B256" s="203" t="s">
        <v>977</v>
      </c>
      <c r="C256" s="204" t="s">
        <v>881</v>
      </c>
    </row>
    <row r="257" spans="1:3" x14ac:dyDescent="0.35">
      <c r="A257" s="202" t="s">
        <v>242</v>
      </c>
      <c r="B257" s="203" t="s">
        <v>978</v>
      </c>
      <c r="C257" s="204" t="s">
        <v>881</v>
      </c>
    </row>
    <row r="258" spans="1:3" x14ac:dyDescent="0.35">
      <c r="A258" s="202" t="s">
        <v>243</v>
      </c>
      <c r="B258" s="203" t="s">
        <v>979</v>
      </c>
      <c r="C258" s="204" t="s">
        <v>881</v>
      </c>
    </row>
    <row r="259" spans="1:3" x14ac:dyDescent="0.35">
      <c r="A259" s="202" t="s">
        <v>244</v>
      </c>
      <c r="B259" s="203" t="s">
        <v>980</v>
      </c>
      <c r="C259" s="204" t="s">
        <v>881</v>
      </c>
    </row>
    <row r="260" spans="1:3" x14ac:dyDescent="0.35">
      <c r="A260" s="205" t="s">
        <v>981</v>
      </c>
      <c r="B260" s="206" t="s">
        <v>982</v>
      </c>
      <c r="C260" s="207" t="s">
        <v>634</v>
      </c>
    </row>
    <row r="261" spans="1:3" x14ac:dyDescent="0.35">
      <c r="A261" s="205" t="s">
        <v>983</v>
      </c>
      <c r="B261" s="206" t="s">
        <v>984</v>
      </c>
      <c r="C261" s="207" t="s">
        <v>634</v>
      </c>
    </row>
    <row r="262" spans="1:3" x14ac:dyDescent="0.35">
      <c r="A262" s="205" t="s">
        <v>985</v>
      </c>
      <c r="B262" s="206" t="s">
        <v>986</v>
      </c>
      <c r="C262" s="207" t="s">
        <v>634</v>
      </c>
    </row>
    <row r="263" spans="1:3" x14ac:dyDescent="0.35">
      <c r="A263" s="205" t="s">
        <v>245</v>
      </c>
      <c r="B263" s="206" t="s">
        <v>987</v>
      </c>
      <c r="C263" s="207" t="s">
        <v>634</v>
      </c>
    </row>
    <row r="264" spans="1:3" x14ac:dyDescent="0.35">
      <c r="A264" s="205" t="s">
        <v>246</v>
      </c>
      <c r="B264" s="206" t="s">
        <v>988</v>
      </c>
      <c r="C264" s="207" t="s">
        <v>634</v>
      </c>
    </row>
    <row r="265" spans="1:3" x14ac:dyDescent="0.35">
      <c r="A265" s="205" t="s">
        <v>247</v>
      </c>
      <c r="B265" s="206" t="s">
        <v>989</v>
      </c>
      <c r="C265" s="207" t="s">
        <v>634</v>
      </c>
    </row>
    <row r="266" spans="1:3" x14ac:dyDescent="0.35">
      <c r="A266" s="205" t="s">
        <v>990</v>
      </c>
      <c r="B266" s="206" t="s">
        <v>991</v>
      </c>
      <c r="C266" s="207" t="s">
        <v>634</v>
      </c>
    </row>
    <row r="267" spans="1:3" x14ac:dyDescent="0.35">
      <c r="A267" s="205" t="s">
        <v>992</v>
      </c>
      <c r="B267" s="206" t="s">
        <v>993</v>
      </c>
      <c r="C267" s="207" t="s">
        <v>634</v>
      </c>
    </row>
    <row r="268" spans="1:3" x14ac:dyDescent="0.35">
      <c r="A268" s="205" t="s">
        <v>994</v>
      </c>
      <c r="B268" s="206" t="s">
        <v>995</v>
      </c>
      <c r="C268" s="207" t="s">
        <v>634</v>
      </c>
    </row>
    <row r="269" spans="1:3" x14ac:dyDescent="0.35">
      <c r="A269" s="205" t="s">
        <v>996</v>
      </c>
      <c r="B269" s="206" t="s">
        <v>997</v>
      </c>
      <c r="C269" s="207" t="s">
        <v>634</v>
      </c>
    </row>
    <row r="270" spans="1:3" x14ac:dyDescent="0.35">
      <c r="A270" s="205" t="s">
        <v>998</v>
      </c>
      <c r="B270" s="206" t="s">
        <v>999</v>
      </c>
      <c r="C270" s="207" t="s">
        <v>634</v>
      </c>
    </row>
    <row r="271" spans="1:3" x14ac:dyDescent="0.35">
      <c r="A271" s="205" t="s">
        <v>248</v>
      </c>
      <c r="B271" s="206" t="s">
        <v>1000</v>
      </c>
      <c r="C271" s="207" t="s">
        <v>634</v>
      </c>
    </row>
    <row r="272" spans="1:3" x14ac:dyDescent="0.35">
      <c r="A272" s="205" t="s">
        <v>1001</v>
      </c>
      <c r="B272" s="206" t="s">
        <v>1002</v>
      </c>
      <c r="C272" s="207" t="s">
        <v>634</v>
      </c>
    </row>
    <row r="273" spans="1:3" x14ac:dyDescent="0.35">
      <c r="A273" s="205" t="s">
        <v>1003</v>
      </c>
      <c r="B273" s="206" t="s">
        <v>1004</v>
      </c>
      <c r="C273" s="207" t="s">
        <v>634</v>
      </c>
    </row>
    <row r="274" spans="1:3" x14ac:dyDescent="0.35">
      <c r="A274" s="205" t="s">
        <v>1005</v>
      </c>
      <c r="B274" s="206" t="s">
        <v>1006</v>
      </c>
      <c r="C274" s="207" t="s">
        <v>634</v>
      </c>
    </row>
    <row r="275" spans="1:3" x14ac:dyDescent="0.35">
      <c r="A275" s="205" t="s">
        <v>1007</v>
      </c>
      <c r="B275" s="206" t="s">
        <v>1008</v>
      </c>
      <c r="C275" s="207" t="s">
        <v>634</v>
      </c>
    </row>
    <row r="276" spans="1:3" x14ac:dyDescent="0.35">
      <c r="A276" s="205" t="s">
        <v>249</v>
      </c>
      <c r="B276" s="206" t="s">
        <v>1009</v>
      </c>
      <c r="C276" s="207" t="s">
        <v>634</v>
      </c>
    </row>
    <row r="277" spans="1:3" x14ac:dyDescent="0.35">
      <c r="A277" s="205" t="s">
        <v>250</v>
      </c>
      <c r="B277" s="206" t="s">
        <v>1010</v>
      </c>
      <c r="C277" s="207" t="s">
        <v>634</v>
      </c>
    </row>
    <row r="278" spans="1:3" x14ac:dyDescent="0.35">
      <c r="A278" s="205" t="s">
        <v>251</v>
      </c>
      <c r="B278" s="206" t="s">
        <v>1011</v>
      </c>
      <c r="C278" s="207" t="s">
        <v>634</v>
      </c>
    </row>
    <row r="279" spans="1:3" x14ac:dyDescent="0.35">
      <c r="A279" s="205" t="s">
        <v>252</v>
      </c>
      <c r="B279" s="206" t="s">
        <v>1012</v>
      </c>
      <c r="C279" s="207" t="s">
        <v>634</v>
      </c>
    </row>
    <row r="280" spans="1:3" x14ac:dyDescent="0.35">
      <c r="A280" s="205" t="s">
        <v>253</v>
      </c>
      <c r="B280" s="206" t="s">
        <v>1013</v>
      </c>
      <c r="C280" s="207" t="s">
        <v>634</v>
      </c>
    </row>
    <row r="281" spans="1:3" x14ac:dyDescent="0.35">
      <c r="A281" s="205" t="s">
        <v>254</v>
      </c>
      <c r="B281" s="206" t="s">
        <v>1014</v>
      </c>
      <c r="C281" s="207" t="s">
        <v>634</v>
      </c>
    </row>
    <row r="282" spans="1:3" x14ac:dyDescent="0.35">
      <c r="A282" s="205" t="s">
        <v>255</v>
      </c>
      <c r="B282" s="206" t="s">
        <v>1015</v>
      </c>
      <c r="C282" s="207" t="s">
        <v>634</v>
      </c>
    </row>
    <row r="283" spans="1:3" x14ac:dyDescent="0.35">
      <c r="A283" s="205" t="s">
        <v>256</v>
      </c>
      <c r="B283" s="206" t="s">
        <v>1016</v>
      </c>
      <c r="C283" s="207" t="s">
        <v>634</v>
      </c>
    </row>
    <row r="284" spans="1:3" x14ac:dyDescent="0.35">
      <c r="A284" s="205" t="s">
        <v>257</v>
      </c>
      <c r="B284" s="206" t="s">
        <v>1017</v>
      </c>
      <c r="C284" s="207" t="s">
        <v>634</v>
      </c>
    </row>
    <row r="285" spans="1:3" x14ac:dyDescent="0.35">
      <c r="A285" s="205" t="s">
        <v>1018</v>
      </c>
      <c r="B285" s="206" t="s">
        <v>1019</v>
      </c>
      <c r="C285" s="207" t="s">
        <v>634</v>
      </c>
    </row>
    <row r="286" spans="1:3" x14ac:dyDescent="0.35">
      <c r="A286" s="205" t="s">
        <v>258</v>
      </c>
      <c r="B286" s="206" t="s">
        <v>1020</v>
      </c>
      <c r="C286" s="207" t="s">
        <v>634</v>
      </c>
    </row>
    <row r="287" spans="1:3" x14ac:dyDescent="0.35">
      <c r="A287" s="205" t="s">
        <v>259</v>
      </c>
      <c r="B287" s="206" t="s">
        <v>1021</v>
      </c>
      <c r="C287" s="207" t="s">
        <v>634</v>
      </c>
    </row>
    <row r="288" spans="1:3" x14ac:dyDescent="0.35">
      <c r="A288" s="205" t="s">
        <v>264</v>
      </c>
      <c r="B288" s="206" t="s">
        <v>445</v>
      </c>
      <c r="C288" s="207" t="s">
        <v>634</v>
      </c>
    </row>
    <row r="289" spans="1:3" x14ac:dyDescent="0.35">
      <c r="A289" s="205" t="s">
        <v>1022</v>
      </c>
      <c r="B289" s="206" t="s">
        <v>1023</v>
      </c>
      <c r="C289" s="207" t="s">
        <v>634</v>
      </c>
    </row>
    <row r="290" spans="1:3" x14ac:dyDescent="0.35">
      <c r="A290" s="205" t="s">
        <v>1024</v>
      </c>
      <c r="B290" s="206" t="s">
        <v>1025</v>
      </c>
      <c r="C290" s="207" t="s">
        <v>634</v>
      </c>
    </row>
    <row r="291" spans="1:3" x14ac:dyDescent="0.35">
      <c r="A291" s="205" t="s">
        <v>1026</v>
      </c>
      <c r="B291" s="206" t="s">
        <v>1027</v>
      </c>
      <c r="C291" s="207" t="s">
        <v>634</v>
      </c>
    </row>
    <row r="292" spans="1:3" x14ac:dyDescent="0.35">
      <c r="A292" s="205" t="s">
        <v>1028</v>
      </c>
      <c r="B292" s="206" t="s">
        <v>1029</v>
      </c>
      <c r="C292" s="207" t="s">
        <v>634</v>
      </c>
    </row>
    <row r="293" spans="1:3" x14ac:dyDescent="0.35">
      <c r="A293" s="205" t="s">
        <v>1030</v>
      </c>
      <c r="B293" s="206" t="s">
        <v>1031</v>
      </c>
      <c r="C293" s="207" t="s">
        <v>634</v>
      </c>
    </row>
    <row r="294" spans="1:3" x14ac:dyDescent="0.35">
      <c r="A294" s="205" t="s">
        <v>1032</v>
      </c>
      <c r="B294" s="206" t="s">
        <v>1033</v>
      </c>
      <c r="C294" s="207" t="s">
        <v>634</v>
      </c>
    </row>
    <row r="295" spans="1:3" x14ac:dyDescent="0.35">
      <c r="A295" s="205" t="s">
        <v>1034</v>
      </c>
      <c r="B295" s="206" t="s">
        <v>1035</v>
      </c>
      <c r="C295" s="207" t="s">
        <v>634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V505"/>
  <sheetViews>
    <sheetView zoomScale="80" zoomScaleNormal="80" workbookViewId="0">
      <selection activeCell="K38" sqref="K38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10.765625" bestFit="1" customWidth="1"/>
    <col min="6" max="6" width="31.765625" bestFit="1" customWidth="1"/>
    <col min="7" max="17" width="11.61328125" bestFit="1" customWidth="1"/>
    <col min="18" max="18" width="9" customWidth="1"/>
    <col min="19" max="22" width="0" hidden="1" customWidth="1"/>
    <col min="23" max="16384" width="9" hidden="1"/>
  </cols>
  <sheetData>
    <row r="1" spans="1:18" x14ac:dyDescent="0.3">
      <c r="A1" s="13" t="str">
        <f>Control!$G$9</f>
        <v>UE Consolidated Capex</v>
      </c>
      <c r="B1" s="13"/>
      <c r="C1" s="14"/>
      <c r="D1" s="15"/>
      <c r="E1" s="16"/>
      <c r="F1" s="16"/>
      <c r="G1" s="16"/>
      <c r="H1" s="17"/>
      <c r="I1" s="18"/>
      <c r="J1" s="19"/>
      <c r="K1" s="19"/>
      <c r="L1" s="16"/>
      <c r="M1" s="16"/>
      <c r="N1" s="16"/>
      <c r="O1" s="16"/>
      <c r="P1" s="16"/>
      <c r="Q1" s="16"/>
      <c r="R1" s="16"/>
    </row>
    <row r="2" spans="1:18" x14ac:dyDescent="0.3">
      <c r="A2" s="21" t="str">
        <f ca="1" xml:space="preserve"> "Sheet: " &amp; RIGHT(CELL("filename", $A$1), LEN(CELL("filename", $A$1)) - SEARCH("]", CELL("filename", $A$1)))</f>
        <v>Sheet: Immediate deductions</v>
      </c>
      <c r="B2" s="21"/>
      <c r="C2" s="14"/>
      <c r="D2" s="15"/>
      <c r="E2" s="16"/>
      <c r="F2" s="16"/>
      <c r="G2" s="16"/>
      <c r="H2" s="16"/>
      <c r="I2" s="22"/>
      <c r="J2" s="19"/>
      <c r="K2" s="19"/>
      <c r="L2" s="16"/>
      <c r="M2" s="16"/>
      <c r="N2" s="16"/>
      <c r="O2" s="16"/>
      <c r="P2" s="16"/>
      <c r="Q2" s="16"/>
      <c r="R2" s="16"/>
    </row>
    <row r="3" spans="1:18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5"/>
      <c r="K3" s="19"/>
      <c r="L3" s="16"/>
      <c r="M3" s="16"/>
      <c r="N3" s="16"/>
      <c r="O3" s="16"/>
      <c r="P3" s="16"/>
      <c r="Q3" s="16"/>
      <c r="R3" s="16"/>
    </row>
    <row r="4" spans="1:18" x14ac:dyDescent="0.3">
      <c r="A4" s="21"/>
      <c r="B4" s="21"/>
      <c r="C4" s="14"/>
      <c r="D4" s="15"/>
      <c r="E4" s="16"/>
      <c r="F4" s="16"/>
      <c r="G4" s="16"/>
      <c r="H4" s="16"/>
      <c r="I4" s="22"/>
      <c r="J4" s="19"/>
      <c r="K4" s="19"/>
      <c r="L4" s="16"/>
      <c r="M4" s="16"/>
      <c r="N4" s="16"/>
      <c r="O4" s="16"/>
      <c r="P4" s="16"/>
      <c r="Q4" s="16"/>
      <c r="R4" s="16"/>
    </row>
    <row r="5" spans="1:18" x14ac:dyDescent="0.3">
      <c r="A5" s="21"/>
      <c r="B5" s="21"/>
      <c r="C5" s="21"/>
      <c r="D5" s="21"/>
      <c r="E5" s="321" t="s">
        <v>14</v>
      </c>
      <c r="F5" s="322"/>
      <c r="G5" s="172"/>
      <c r="H5" s="108">
        <v>2016</v>
      </c>
      <c r="I5" s="108">
        <v>2017</v>
      </c>
      <c r="J5" s="108">
        <v>2018</v>
      </c>
      <c r="K5" s="108">
        <v>2019</v>
      </c>
      <c r="L5" s="108">
        <v>2020</v>
      </c>
      <c r="M5" s="108" t="s">
        <v>603</v>
      </c>
      <c r="N5" s="108" t="s">
        <v>604</v>
      </c>
      <c r="O5" s="108" t="s">
        <v>605</v>
      </c>
      <c r="P5" s="108" t="s">
        <v>606</v>
      </c>
      <c r="Q5" s="108" t="s">
        <v>607</v>
      </c>
      <c r="R5" s="16"/>
    </row>
    <row r="6" spans="1:18" x14ac:dyDescent="0.3">
      <c r="A6" s="1"/>
      <c r="B6" s="1"/>
      <c r="C6" s="2"/>
      <c r="D6" s="3"/>
      <c r="E6" s="173"/>
      <c r="F6" s="173"/>
      <c r="G6" s="173"/>
      <c r="H6" s="174" t="s">
        <v>624</v>
      </c>
      <c r="I6" s="174" t="s">
        <v>624</v>
      </c>
      <c r="J6" s="174" t="s">
        <v>624</v>
      </c>
      <c r="K6" s="175"/>
      <c r="L6" s="8"/>
      <c r="M6" s="174" t="s">
        <v>625</v>
      </c>
      <c r="N6" s="174" t="s">
        <v>625</v>
      </c>
      <c r="O6" s="174" t="s">
        <v>625</v>
      </c>
      <c r="P6" s="174" t="s">
        <v>625</v>
      </c>
      <c r="Q6" s="174" t="s">
        <v>625</v>
      </c>
      <c r="R6" s="173"/>
    </row>
    <row r="7" spans="1:18" x14ac:dyDescent="0.3">
      <c r="A7" s="1"/>
      <c r="B7" s="1"/>
      <c r="C7" s="2"/>
      <c r="D7" s="3"/>
      <c r="E7" s="173"/>
      <c r="F7" s="173"/>
      <c r="G7" s="173"/>
      <c r="H7" s="176"/>
      <c r="I7" s="176"/>
      <c r="J7" s="176"/>
      <c r="K7" s="6"/>
      <c r="L7" s="173"/>
      <c r="M7" s="173"/>
      <c r="N7" s="173"/>
      <c r="O7" s="173"/>
      <c r="P7" s="173"/>
      <c r="Q7" s="173"/>
      <c r="R7" s="173"/>
    </row>
    <row r="8" spans="1:18" x14ac:dyDescent="0.3">
      <c r="A8" s="21" t="s">
        <v>626</v>
      </c>
      <c r="B8" s="21"/>
      <c r="C8" s="14"/>
      <c r="D8" s="23"/>
      <c r="E8" s="177"/>
      <c r="F8" s="177"/>
      <c r="G8" s="177"/>
      <c r="H8" s="34" t="s">
        <v>81</v>
      </c>
      <c r="I8" s="34" t="s">
        <v>81</v>
      </c>
      <c r="J8" s="34" t="s">
        <v>81</v>
      </c>
      <c r="K8" s="7"/>
      <c r="L8" s="7"/>
      <c r="M8" s="34" t="s">
        <v>602</v>
      </c>
      <c r="N8" s="34" t="s">
        <v>602</v>
      </c>
      <c r="O8" s="34" t="s">
        <v>602</v>
      </c>
      <c r="P8" s="34" t="s">
        <v>602</v>
      </c>
      <c r="Q8" s="34" t="s">
        <v>602</v>
      </c>
    </row>
    <row r="9" spans="1:18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3">
      <c r="A10" s="7"/>
      <c r="B10" s="7"/>
      <c r="C10" s="7"/>
      <c r="D10" s="7"/>
      <c r="E10" s="178" t="s">
        <v>36</v>
      </c>
      <c r="F10" s="7"/>
      <c r="G10" s="7"/>
      <c r="H10" s="154">
        <v>2271.8767941478341</v>
      </c>
      <c r="I10" s="154">
        <v>2363.1658784917058</v>
      </c>
      <c r="J10" s="154">
        <v>3583.0442193316157</v>
      </c>
      <c r="K10" s="7"/>
      <c r="L10" s="7"/>
      <c r="M10" s="154">
        <f>M$31*'Output|PTRM'!G11/SUM('Output|PTRM'!G$11:G$12)</f>
        <v>6264.8302771085846</v>
      </c>
      <c r="N10" s="154">
        <f>N$31*'Output|PTRM'!H11/SUM('Output|PTRM'!H$11:H$12)</f>
        <v>6366.6899410747319</v>
      </c>
      <c r="O10" s="154">
        <f>O$31*'Output|PTRM'!I11/SUM('Output|PTRM'!I$11:I$12)</f>
        <v>6375.5607449717372</v>
      </c>
      <c r="P10" s="154">
        <f>P$31*'Output|PTRM'!J11/SUM('Output|PTRM'!J$11:J$12)</f>
        <v>6281.2238914236732</v>
      </c>
      <c r="Q10" s="154">
        <f>Q$31*'Output|PTRM'!K11/SUM('Output|PTRM'!K$11:K$12)</f>
        <v>5643.8255958386662</v>
      </c>
      <c r="R10" s="7"/>
    </row>
    <row r="11" spans="1:18" x14ac:dyDescent="0.3">
      <c r="A11" s="7"/>
      <c r="B11" s="7"/>
      <c r="C11" s="7"/>
      <c r="D11" s="7"/>
      <c r="E11" s="178" t="s">
        <v>39</v>
      </c>
      <c r="F11" s="7"/>
      <c r="G11" s="7"/>
      <c r="H11" s="154">
        <v>22890.645015852162</v>
      </c>
      <c r="I11" s="154">
        <v>16734.190501508292</v>
      </c>
      <c r="J11" s="154">
        <v>52780.355450668118</v>
      </c>
      <c r="K11" s="7"/>
      <c r="L11" s="7"/>
      <c r="M11" s="154">
        <f>M$31*'Output|PTRM'!G12/SUM('Output|PTRM'!G$11:G$12)</f>
        <v>53564.228352064565</v>
      </c>
      <c r="N11" s="154">
        <f>N$31*'Output|PTRM'!H12/SUM('Output|PTRM'!H$11:H$12)</f>
        <v>54436.237343358669</v>
      </c>
      <c r="O11" s="154">
        <f>O$31*'Output|PTRM'!I12/SUM('Output|PTRM'!I$11:I$12)</f>
        <v>54514.26253450285</v>
      </c>
      <c r="P11" s="154">
        <f>P$31*'Output|PTRM'!J12/SUM('Output|PTRM'!J$11:J$12)</f>
        <v>53708.81362254839</v>
      </c>
      <c r="Q11" s="154">
        <f>Q$31*'Output|PTRM'!K12/SUM('Output|PTRM'!K$11:K$12)</f>
        <v>48260.667253855412</v>
      </c>
      <c r="R11" s="7"/>
    </row>
    <row r="12" spans="1:18" x14ac:dyDescent="0.3">
      <c r="A12" s="7"/>
      <c r="B12" s="7"/>
      <c r="C12" s="7"/>
      <c r="D12" s="7"/>
      <c r="E12" s="178" t="s">
        <v>40</v>
      </c>
      <c r="F12" s="7"/>
      <c r="G12" s="7"/>
      <c r="H12" s="153"/>
      <c r="I12" s="153"/>
      <c r="J12" s="153"/>
      <c r="K12" s="7"/>
      <c r="L12" s="7"/>
      <c r="M12" s="153"/>
      <c r="N12" s="153"/>
      <c r="O12" s="153"/>
      <c r="P12" s="153"/>
      <c r="Q12" s="153"/>
      <c r="R12" s="7"/>
    </row>
    <row r="13" spans="1:18" x14ac:dyDescent="0.3">
      <c r="A13" s="7"/>
      <c r="B13" s="7"/>
      <c r="C13" s="7"/>
      <c r="D13" s="7"/>
      <c r="E13" s="178" t="s">
        <v>41</v>
      </c>
      <c r="F13" s="7"/>
      <c r="G13" s="7"/>
      <c r="H13" s="153"/>
      <c r="I13" s="153"/>
      <c r="J13" s="153"/>
      <c r="K13" s="7"/>
      <c r="L13" s="7"/>
      <c r="M13" s="153"/>
      <c r="N13" s="153"/>
      <c r="O13" s="153"/>
      <c r="P13" s="153"/>
      <c r="Q13" s="153"/>
      <c r="R13" s="7"/>
    </row>
    <row r="14" spans="1:18" x14ac:dyDescent="0.3">
      <c r="A14" s="7"/>
      <c r="B14" s="7"/>
      <c r="C14" s="7"/>
      <c r="D14" s="7"/>
      <c r="E14" s="239" t="s">
        <v>579</v>
      </c>
      <c r="F14" s="240"/>
      <c r="G14" s="7"/>
      <c r="H14" s="153"/>
      <c r="I14" s="153"/>
      <c r="J14" s="153"/>
      <c r="K14" s="7"/>
      <c r="L14" s="7"/>
      <c r="M14" s="153"/>
      <c r="N14" s="153"/>
      <c r="O14" s="153"/>
      <c r="P14" s="153"/>
      <c r="Q14" s="153"/>
      <c r="R14" s="7"/>
    </row>
    <row r="15" spans="1:18" x14ac:dyDescent="0.3">
      <c r="A15" s="7"/>
      <c r="B15" s="7"/>
      <c r="C15" s="7"/>
      <c r="D15" s="7"/>
      <c r="E15" s="178" t="s">
        <v>30</v>
      </c>
      <c r="F15" s="7"/>
      <c r="G15" s="7"/>
      <c r="H15" s="153"/>
      <c r="I15" s="153"/>
      <c r="J15" s="153"/>
      <c r="K15" s="7"/>
      <c r="L15" s="7"/>
      <c r="M15" s="153"/>
      <c r="N15" s="153"/>
      <c r="O15" s="153"/>
      <c r="P15" s="153"/>
      <c r="Q15" s="153"/>
      <c r="R15" s="7"/>
    </row>
    <row r="16" spans="1:18" x14ac:dyDescent="0.3">
      <c r="A16" s="7"/>
      <c r="B16" s="7"/>
      <c r="C16" s="7"/>
      <c r="D16" s="7"/>
      <c r="E16" s="178" t="s">
        <v>31</v>
      </c>
      <c r="F16" s="7"/>
      <c r="G16" s="7"/>
      <c r="H16" s="153"/>
      <c r="I16" s="153"/>
      <c r="J16" s="153"/>
      <c r="K16" s="7"/>
      <c r="L16" s="7"/>
      <c r="M16" s="153"/>
      <c r="N16" s="154"/>
      <c r="O16" s="153"/>
      <c r="P16" s="153"/>
      <c r="Q16" s="153"/>
      <c r="R16" s="7"/>
    </row>
    <row r="17" spans="1:18" x14ac:dyDescent="0.3">
      <c r="A17" s="7"/>
      <c r="B17" s="7"/>
      <c r="C17" s="7"/>
      <c r="D17" s="7"/>
      <c r="E17" s="178" t="s">
        <v>611</v>
      </c>
      <c r="F17" s="7"/>
      <c r="G17" s="7"/>
      <c r="H17" s="153"/>
      <c r="I17" s="153"/>
      <c r="J17" s="153"/>
      <c r="K17" s="7"/>
      <c r="L17" s="7"/>
      <c r="M17" s="153"/>
      <c r="N17" s="153"/>
      <c r="O17" s="153"/>
      <c r="P17" s="153"/>
      <c r="Q17" s="153"/>
      <c r="R17" s="7"/>
    </row>
    <row r="18" spans="1:18" x14ac:dyDescent="0.3">
      <c r="A18" s="7"/>
      <c r="B18" s="7"/>
      <c r="C18" s="7"/>
      <c r="D18" s="7"/>
      <c r="E18" s="178" t="s">
        <v>612</v>
      </c>
      <c r="F18" s="7"/>
      <c r="G18" s="7"/>
      <c r="H18" s="153"/>
      <c r="I18" s="153"/>
      <c r="J18" s="153"/>
      <c r="K18" s="7"/>
      <c r="L18" s="7"/>
      <c r="M18" s="153"/>
      <c r="N18" s="153"/>
      <c r="O18" s="153"/>
      <c r="P18" s="153"/>
      <c r="Q18" s="153"/>
      <c r="R18" s="7"/>
    </row>
    <row r="19" spans="1:18" x14ac:dyDescent="0.3">
      <c r="A19" s="7"/>
      <c r="B19" s="7"/>
      <c r="C19" s="7"/>
      <c r="D19" s="7"/>
      <c r="E19" s="178" t="s">
        <v>44</v>
      </c>
      <c r="F19" s="7"/>
      <c r="G19" s="7"/>
      <c r="H19" s="153"/>
      <c r="I19" s="153"/>
      <c r="J19" s="153"/>
      <c r="K19" s="7"/>
      <c r="L19" s="7"/>
      <c r="M19" s="153"/>
      <c r="N19" s="153"/>
      <c r="O19" s="153"/>
      <c r="P19" s="153"/>
      <c r="Q19" s="153"/>
      <c r="R19" s="7"/>
    </row>
    <row r="20" spans="1:18" x14ac:dyDescent="0.3">
      <c r="A20" s="7"/>
      <c r="B20" s="7"/>
      <c r="C20" s="7"/>
      <c r="D20" s="7"/>
      <c r="E20" s="178" t="s">
        <v>610</v>
      </c>
      <c r="F20" s="7"/>
      <c r="G20" s="7"/>
      <c r="H20" s="153"/>
      <c r="I20" s="153"/>
      <c r="J20" s="153"/>
      <c r="K20" s="7"/>
      <c r="L20" s="7"/>
      <c r="M20" s="153"/>
      <c r="N20" s="154"/>
      <c r="O20" s="153"/>
      <c r="P20" s="153"/>
      <c r="Q20" s="153"/>
      <c r="R20" s="7"/>
    </row>
    <row r="21" spans="1:18" x14ac:dyDescent="0.3">
      <c r="A21" s="7"/>
      <c r="B21" s="7"/>
      <c r="C21" s="7"/>
      <c r="D21" s="7"/>
      <c r="F21" s="7"/>
      <c r="G21" s="7"/>
      <c r="H21" s="153"/>
      <c r="I21" s="153"/>
      <c r="J21" s="153"/>
      <c r="K21" s="7"/>
      <c r="L21" s="7"/>
      <c r="M21" s="153"/>
      <c r="N21" s="153"/>
      <c r="O21" s="153"/>
      <c r="P21" s="153"/>
      <c r="Q21" s="153"/>
      <c r="R21" s="7"/>
    </row>
    <row r="22" spans="1:18" x14ac:dyDescent="0.3">
      <c r="A22" s="7"/>
      <c r="B22" s="7"/>
      <c r="C22" s="7"/>
      <c r="D22" s="7"/>
      <c r="E22" s="178"/>
      <c r="F22" s="7"/>
      <c r="G22" s="7"/>
      <c r="H22" s="153"/>
      <c r="I22" s="153"/>
      <c r="J22" s="153"/>
      <c r="K22" s="7"/>
      <c r="L22" s="7"/>
      <c r="M22" s="153"/>
      <c r="N22" s="153"/>
      <c r="O22" s="153"/>
      <c r="P22" s="153"/>
      <c r="Q22" s="153"/>
      <c r="R22" s="7"/>
    </row>
    <row r="23" spans="1:18" x14ac:dyDescent="0.3">
      <c r="A23" s="7"/>
      <c r="B23" s="7"/>
      <c r="C23" s="7"/>
      <c r="D23" s="7"/>
      <c r="E23" s="178"/>
      <c r="F23" s="7"/>
      <c r="G23" s="7"/>
      <c r="H23" s="153"/>
      <c r="I23" s="153"/>
      <c r="J23" s="153"/>
      <c r="K23" s="7"/>
      <c r="L23" s="7"/>
      <c r="M23" s="153"/>
      <c r="N23" s="153"/>
      <c r="O23" s="153"/>
      <c r="P23" s="153"/>
      <c r="Q23" s="153"/>
      <c r="R23" s="7"/>
    </row>
    <row r="24" spans="1:18" x14ac:dyDescent="0.3">
      <c r="A24" s="7"/>
      <c r="B24" s="7"/>
      <c r="C24" s="7"/>
      <c r="D24" s="7"/>
      <c r="E24" s="178"/>
      <c r="F24" s="7"/>
      <c r="G24" s="7"/>
      <c r="H24" s="153"/>
      <c r="I24" s="153"/>
      <c r="J24" s="153"/>
      <c r="K24" s="7"/>
      <c r="L24" s="7"/>
      <c r="M24" s="153"/>
      <c r="N24" s="153"/>
      <c r="O24" s="153"/>
      <c r="P24" s="153"/>
      <c r="Q24" s="153"/>
      <c r="R24" s="7"/>
    </row>
    <row r="25" spans="1:18" x14ac:dyDescent="0.3">
      <c r="A25" s="7"/>
      <c r="B25" s="7"/>
      <c r="C25" s="7"/>
      <c r="D25" s="7"/>
      <c r="E25" s="7"/>
      <c r="F25" s="7"/>
      <c r="G25" s="7"/>
      <c r="H25" s="153"/>
      <c r="I25" s="153"/>
      <c r="J25" s="153"/>
      <c r="K25" s="7"/>
      <c r="L25" s="7"/>
      <c r="M25" s="153"/>
      <c r="N25" s="153"/>
      <c r="O25" s="153"/>
      <c r="P25" s="153"/>
      <c r="Q25" s="153"/>
      <c r="R25" s="7"/>
    </row>
    <row r="26" spans="1:18" x14ac:dyDescent="0.3">
      <c r="A26" s="7"/>
      <c r="B26" s="7"/>
      <c r="C26" s="7"/>
      <c r="D26" s="7"/>
      <c r="E26" s="9" t="s">
        <v>20</v>
      </c>
      <c r="F26" s="7"/>
      <c r="G26" s="7"/>
      <c r="H26" s="125">
        <f t="shared" ref="H26:J26" si="0">SUM(H10:H24)</f>
        <v>25162.521809999995</v>
      </c>
      <c r="I26" s="125">
        <f t="shared" si="0"/>
        <v>19097.356379999997</v>
      </c>
      <c r="J26" s="125">
        <f t="shared" si="0"/>
        <v>56363.399669999737</v>
      </c>
      <c r="K26" s="7"/>
      <c r="L26" s="7"/>
      <c r="M26" s="125">
        <f t="shared" ref="M26:Q26" si="1">SUM(M10:M24)</f>
        <v>59829.058629173152</v>
      </c>
      <c r="N26" s="57">
        <f t="shared" si="1"/>
        <v>60802.927284433405</v>
      </c>
      <c r="O26" s="57">
        <f t="shared" si="1"/>
        <v>60889.823279474585</v>
      </c>
      <c r="P26" s="57">
        <f t="shared" si="1"/>
        <v>59990.037513972064</v>
      </c>
      <c r="Q26" s="57">
        <f t="shared" si="1"/>
        <v>53904.492849694077</v>
      </c>
      <c r="R26" s="7"/>
    </row>
    <row r="27" spans="1:18" x14ac:dyDescent="0.3">
      <c r="A27" s="7"/>
      <c r="B27" s="7"/>
      <c r="C27" s="7"/>
      <c r="D27" s="7"/>
      <c r="E27" s="7"/>
      <c r="F27" s="7"/>
      <c r="G27" s="7"/>
      <c r="H27" s="127">
        <f>H26-H31</f>
        <v>0</v>
      </c>
      <c r="I27" s="127">
        <f t="shared" ref="I27:J27" si="2">I26-I31</f>
        <v>0</v>
      </c>
      <c r="J27" s="127">
        <f t="shared" si="2"/>
        <v>0</v>
      </c>
      <c r="K27" s="127"/>
      <c r="L27" s="127"/>
      <c r="M27" s="127">
        <f t="shared" ref="M27:Q27" si="3">M26-M31</f>
        <v>0</v>
      </c>
      <c r="N27" s="127">
        <f t="shared" si="3"/>
        <v>0</v>
      </c>
      <c r="O27" s="127">
        <f t="shared" si="3"/>
        <v>0</v>
      </c>
      <c r="P27" s="127">
        <f t="shared" si="3"/>
        <v>0</v>
      </c>
      <c r="Q27" s="127">
        <f t="shared" si="3"/>
        <v>0</v>
      </c>
      <c r="R27" s="7"/>
    </row>
    <row r="28" spans="1:18" x14ac:dyDescent="0.3">
      <c r="A28" s="7"/>
      <c r="B28" s="7"/>
      <c r="C28" s="7"/>
      <c r="D28" s="7"/>
      <c r="E28" s="7"/>
      <c r="F28" s="7"/>
      <c r="G28" s="7"/>
      <c r="H28" s="153"/>
      <c r="I28" s="153"/>
      <c r="J28" s="153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21" t="s">
        <v>627</v>
      </c>
      <c r="B29" s="21"/>
      <c r="C29" s="14"/>
      <c r="D29" s="23"/>
      <c r="E29" s="177"/>
      <c r="F29" s="177"/>
      <c r="G29" s="177"/>
      <c r="H29" s="34" t="s">
        <v>81</v>
      </c>
      <c r="I29" s="34" t="s">
        <v>81</v>
      </c>
      <c r="J29" s="34" t="s">
        <v>81</v>
      </c>
      <c r="K29" s="7"/>
      <c r="L29" s="7"/>
      <c r="M29" s="34" t="s">
        <v>602</v>
      </c>
      <c r="N29" s="34" t="s">
        <v>602</v>
      </c>
      <c r="O29" s="34" t="s">
        <v>602</v>
      </c>
      <c r="P29" s="34" t="s">
        <v>602</v>
      </c>
      <c r="Q29" s="34" t="s">
        <v>602</v>
      </c>
    </row>
    <row r="30" spans="1:18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133" customFormat="1" x14ac:dyDescent="0.3">
      <c r="A31" s="89"/>
      <c r="B31" s="89"/>
      <c r="C31" s="89"/>
      <c r="D31" s="89"/>
      <c r="E31" s="179" t="s">
        <v>626</v>
      </c>
      <c r="F31" s="89"/>
      <c r="G31" s="89"/>
      <c r="H31" s="90">
        <v>25162.521809999995</v>
      </c>
      <c r="I31" s="90">
        <v>19097.356379999997</v>
      </c>
      <c r="J31" s="90">
        <v>56363.399669999737</v>
      </c>
      <c r="K31" s="90"/>
      <c r="L31" s="90"/>
      <c r="M31" s="90">
        <f>SUMPRODUCT('Calc|Consolidated Capex'!I214:I414,'Calc|Consolidated Capex'!$C$214:$C$414)</f>
        <v>59829.058629173152</v>
      </c>
      <c r="N31" s="90">
        <f>SUMPRODUCT('Calc|Consolidated Capex'!J214:J414,'Calc|Consolidated Capex'!$C$214:$C$414)</f>
        <v>60802.927284433397</v>
      </c>
      <c r="O31" s="90">
        <f>SUMPRODUCT('Calc|Consolidated Capex'!K214:K414,'Calc|Consolidated Capex'!$C$214:$C$414)</f>
        <v>60889.823279474585</v>
      </c>
      <c r="P31" s="90">
        <f>SUMPRODUCT('Calc|Consolidated Capex'!L214:L414,'Calc|Consolidated Capex'!$C$214:$C$414)</f>
        <v>59990.037513972064</v>
      </c>
      <c r="Q31" s="90">
        <f>SUMPRODUCT('Calc|Consolidated Capex'!M214:M414,'Calc|Consolidated Capex'!$C$214:$C$414)</f>
        <v>53904.492849694077</v>
      </c>
      <c r="R31" s="89"/>
    </row>
    <row r="32" spans="1:18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3">
      <c r="A34" s="21" t="s">
        <v>628</v>
      </c>
      <c r="B34" s="21"/>
      <c r="C34" s="14"/>
      <c r="D34" s="23"/>
      <c r="E34" s="177"/>
      <c r="F34" s="177"/>
      <c r="G34" s="177"/>
      <c r="H34" s="34" t="s">
        <v>81</v>
      </c>
      <c r="I34" s="34" t="s">
        <v>81</v>
      </c>
      <c r="J34" s="34" t="s">
        <v>81</v>
      </c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3">
      <c r="A36" s="7"/>
      <c r="B36" s="7"/>
      <c r="C36" s="7"/>
      <c r="D36" s="7"/>
      <c r="E36" s="179" t="s">
        <v>626</v>
      </c>
      <c r="F36" s="7"/>
      <c r="G36" s="7"/>
      <c r="H36" s="153">
        <v>25162.521809999995</v>
      </c>
      <c r="I36" s="153">
        <v>19097.356379999997</v>
      </c>
      <c r="J36" s="153">
        <v>56363.399669999737</v>
      </c>
      <c r="K36" s="7"/>
      <c r="L36" s="7"/>
      <c r="M36" s="7"/>
      <c r="N36" s="7"/>
      <c r="O36" s="7"/>
      <c r="P36" s="7"/>
      <c r="Q36" s="7"/>
      <c r="R36" s="7"/>
    </row>
    <row r="37" spans="1:18" x14ac:dyDescent="0.3">
      <c r="A37" s="7"/>
      <c r="B37" s="7"/>
      <c r="C37" s="7"/>
      <c r="D37" s="7"/>
      <c r="E37" s="7"/>
      <c r="F37" s="7"/>
      <c r="G37" s="7"/>
      <c r="H37" s="127">
        <f>H31-H36</f>
        <v>0</v>
      </c>
      <c r="I37" s="127">
        <f t="shared" ref="I37:J37" si="4">I31-I36</f>
        <v>0</v>
      </c>
      <c r="J37" s="127">
        <f t="shared" si="4"/>
        <v>0</v>
      </c>
      <c r="K37" s="7"/>
      <c r="L37" s="7"/>
      <c r="M37" s="7"/>
      <c r="N37" s="7"/>
      <c r="O37" s="7"/>
      <c r="P37" s="7"/>
      <c r="Q37" s="7"/>
      <c r="R37" s="7"/>
    </row>
    <row r="38" spans="1:18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1:18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s="20" customFormat="1" x14ac:dyDescent="0.3">
      <c r="A98" s="21" t="s">
        <v>4</v>
      </c>
      <c r="B98" s="21"/>
      <c r="C98" s="14"/>
      <c r="D98" s="23"/>
      <c r="E98" s="177"/>
      <c r="F98" s="177"/>
      <c r="G98" s="177"/>
      <c r="H98" s="19"/>
      <c r="I98" s="19"/>
      <c r="J98" s="177"/>
      <c r="K98" s="177"/>
    </row>
    <row r="99" spans="1:18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hidden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hidden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hidden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hidden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hidden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hidden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hidden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 hidden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hidden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hidden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hidden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hidden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hidden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hidden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hidden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hidden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hidden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hidden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hidden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hidden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hidden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hidden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hidden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hidden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hidden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hidden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hidden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hidden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hidden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hidden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hidden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hidden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hidden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hidden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hidden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hidden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hidden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hidden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hidden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hidden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hidden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hidden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hidden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hidden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hidden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hidden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hidden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hidden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hidden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hidden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hidden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hidden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hidden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hidden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hidden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hidden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hidden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hidden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hidden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hidden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hidden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hidden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hidden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hidden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hidden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hidden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hidden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hidden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hidden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hidden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hidden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hidden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hidden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hidden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hidden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hidden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hidden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hidden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 hidden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hidden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hidden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1:18" hidden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1:18" hidden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1:18" hidden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1:18" hidden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1:18" hidden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1:18" hidden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1:18" hidden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hidden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hidden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18" hidden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1:18" hidden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1:18" hidden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1:18" hidden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1:18" hidden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1:18" hidden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1:18" hidden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1:18" hidden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1:18" hidden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1:18" hidden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1:18" hidden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1:18" hidden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1:18" hidden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1:18" hidden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1:18" hidden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1:18" hidden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1:18" hidden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1:18" hidden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1:18" hidden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idden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1:18" hidden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1:18" hidden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1:18" hidden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1:18" hidden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1:18" hidden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1:18" hidden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1:18" hidden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1:18" hidden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1:18" hidden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1:18" hidden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1:18" hidden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1:18" hidden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18" hidden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1:18" hidden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1:18" hidden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1:18" hidden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1:18" hidden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1:18" hidden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18" hidden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18" hidden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18" hidden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18" hidden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18" hidden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1:18" hidden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1:18" hidden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1:18" hidden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1:18" hidden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1:18" hidden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1:18" hidden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1:18" hidden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hidden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hidden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hidden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1:18" hidden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1:18" hidden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1:18" hidden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1:18" hidden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1:18" hidden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1:18" hidden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1:18" hidden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1:18" hidden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1:18" hidden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1:18" hidden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1:18" hidden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1:18" hidden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1:18" hidden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1:18" hidden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1:18" hidden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1:18" hidden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1:18" hidden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1:18" hidden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1:18" hidden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1:18" hidden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1:18" hidden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1:18" hidden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1:18" hidden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1:18" hidden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1:18" hidden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1:18" hidden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1:18" hidden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1:18" hidden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1:18" hidden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1:18" hidden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1:18" hidden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1:18" hidden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1:18" hidden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1:18" hidden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1:18" hidden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1:18" hidden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1:18" hidden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1:18" hidden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1:18" hidden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1:18" hidden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1:18" hidden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1:18" hidden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1:18" hidden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1:18" hidden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1:18" hidden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1:18" hidden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1:18" hidden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1:18" hidden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1:18" hidden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1:18" hidden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1:18" hidden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1:18" hidden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1:18" hidden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1:18" hidden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1:18" hidden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1:18" hidden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1:18" hidden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1:18" hidden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1:18" hidden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1:18" hidden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1:18" hidden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1:18" hidden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1:18" hidden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1:18" hidden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1:18" hidden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1:18" hidden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1:18" hidden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1:18" hidden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1:18" x14ac:dyDescent="0.3"/>
    <row r="315" spans="1:18" x14ac:dyDescent="0.3"/>
    <row r="316" spans="1:18" x14ac:dyDescent="0.3"/>
    <row r="317" spans="1:18" x14ac:dyDescent="0.3"/>
    <row r="318" spans="1:18" x14ac:dyDescent="0.3"/>
    <row r="319" spans="1:18" x14ac:dyDescent="0.3"/>
    <row r="320" spans="1:18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</sheetData>
  <mergeCells count="1">
    <mergeCell ref="E5:F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-0.499984740745262"/>
  </sheetPr>
  <dimension ref="A1:V390"/>
  <sheetViews>
    <sheetView zoomScale="80" zoomScaleNormal="80" workbookViewId="0">
      <pane xSplit="5" ySplit="5" topLeftCell="F105" activePane="bottomRight" state="frozen"/>
      <selection activeCell="R66" sqref="R66"/>
      <selection pane="topRight" activeCell="R66" sqref="R66"/>
      <selection pane="bottomLeft" activeCell="R66" sqref="R66"/>
      <selection pane="bottomRight" activeCell="I22" sqref="I22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27.3828125" bestFit="1" customWidth="1"/>
    <col min="6" max="6" width="10.23046875" customWidth="1"/>
    <col min="7" max="11" width="10.84375" bestFit="1" customWidth="1"/>
    <col min="12" max="12" width="10.23046875" customWidth="1"/>
    <col min="13" max="22" width="0" hidden="1" customWidth="1"/>
    <col min="23" max="16384" width="9" hidden="1"/>
  </cols>
  <sheetData>
    <row r="1" spans="1:12" x14ac:dyDescent="0.3">
      <c r="A1" s="13" t="str">
        <f>Control!$G$9</f>
        <v>UE Consolidated Capex</v>
      </c>
      <c r="B1" s="13"/>
      <c r="C1" s="14"/>
      <c r="D1" s="15"/>
      <c r="E1" s="16"/>
      <c r="F1" s="16"/>
      <c r="G1" s="16"/>
      <c r="H1" s="16"/>
      <c r="I1" s="16"/>
      <c r="J1" s="16"/>
      <c r="K1" s="16"/>
      <c r="L1" s="16"/>
    </row>
    <row r="2" spans="1:12" x14ac:dyDescent="0.3">
      <c r="A2" s="21" t="str">
        <f ca="1" xml:space="preserve"> "Sheet: " &amp; RIGHT(CELL("filename", $A$1), LEN(CELL("filename", $A$1)) - SEARCH("]", CELL("filename", $A$1)))</f>
        <v>Sheet: Output|Functional</v>
      </c>
      <c r="B2" s="21"/>
      <c r="C2" s="14"/>
      <c r="D2" s="15"/>
      <c r="E2" s="16"/>
      <c r="F2" s="16"/>
      <c r="G2" s="16"/>
      <c r="H2" s="16"/>
      <c r="I2" s="16"/>
      <c r="J2" s="16"/>
      <c r="K2" s="16"/>
      <c r="L2" s="16"/>
    </row>
    <row r="3" spans="1:12" x14ac:dyDescent="0.3">
      <c r="A3" s="21" t="s">
        <v>0</v>
      </c>
      <c r="B3" s="21"/>
      <c r="C3" s="14"/>
      <c r="D3" s="15"/>
      <c r="E3" s="15"/>
      <c r="F3" s="15"/>
      <c r="G3" s="16"/>
      <c r="H3" s="16"/>
      <c r="I3" s="16"/>
      <c r="J3" s="16"/>
      <c r="K3" s="16"/>
      <c r="L3" s="16"/>
    </row>
    <row r="4" spans="1:12" x14ac:dyDescent="0.3">
      <c r="A4" s="21"/>
      <c r="B4" s="21"/>
      <c r="C4" s="14"/>
      <c r="D4" s="15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21"/>
      <c r="B5" s="21"/>
      <c r="C5" s="21"/>
      <c r="D5" s="21"/>
      <c r="E5" s="21"/>
      <c r="F5" s="21"/>
      <c r="G5" s="30" t="s">
        <v>603</v>
      </c>
      <c r="H5" s="30" t="s">
        <v>604</v>
      </c>
      <c r="I5" s="30" t="s">
        <v>605</v>
      </c>
      <c r="J5" s="30" t="s">
        <v>606</v>
      </c>
      <c r="K5" s="30" t="s">
        <v>607</v>
      </c>
      <c r="L5" s="16"/>
    </row>
    <row r="6" spans="1:12" x14ac:dyDescent="0.3">
      <c r="A6" s="1"/>
      <c r="B6" s="1"/>
      <c r="C6" s="2"/>
      <c r="D6" s="3"/>
      <c r="E6" s="4"/>
      <c r="F6" s="4"/>
      <c r="G6" s="4"/>
      <c r="H6" s="4"/>
      <c r="I6" s="4"/>
      <c r="J6" s="4"/>
      <c r="K6" s="4"/>
      <c r="L6" s="4"/>
    </row>
    <row r="7" spans="1:12" x14ac:dyDescent="0.3">
      <c r="A7" s="21" t="s">
        <v>88</v>
      </c>
      <c r="B7" s="21"/>
      <c r="C7" s="14"/>
      <c r="D7" s="23"/>
      <c r="E7" s="24"/>
      <c r="F7" s="24"/>
      <c r="G7" s="34"/>
      <c r="H7" s="34"/>
      <c r="I7" s="34"/>
      <c r="J7" s="34"/>
      <c r="K7" s="34"/>
      <c r="L7" s="24"/>
    </row>
    <row r="8" spans="1:12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3">
      <c r="A9" s="55" t="s">
        <v>58</v>
      </c>
      <c r="B9" s="12"/>
      <c r="C9" s="12"/>
      <c r="D9" s="12"/>
      <c r="E9" s="12"/>
      <c r="F9" s="12"/>
      <c r="G9" s="59" t="s">
        <v>609</v>
      </c>
      <c r="H9" s="59" t="s">
        <v>609</v>
      </c>
      <c r="I9" s="59" t="s">
        <v>609</v>
      </c>
      <c r="J9" s="59" t="s">
        <v>609</v>
      </c>
      <c r="K9" s="59" t="s">
        <v>609</v>
      </c>
      <c r="L9" s="12"/>
    </row>
    <row r="10" spans="1:12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7"/>
      <c r="B11" s="7"/>
      <c r="C11" s="7"/>
      <c r="D11" s="7"/>
      <c r="E11" s="38" t="s">
        <v>59</v>
      </c>
      <c r="F11" s="7"/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7"/>
    </row>
    <row r="12" spans="1:12" x14ac:dyDescent="0.3">
      <c r="A12" s="7"/>
      <c r="B12" s="7"/>
      <c r="C12" s="7"/>
      <c r="D12" s="7"/>
      <c r="E12" s="38" t="s">
        <v>28</v>
      </c>
      <c r="F12" s="7"/>
      <c r="G12" s="43">
        <f>SUMPRODUCT(--('Input|Customer Contributions'!$H$78:$H$96="SCS"),'Input|Customer Contributions'!J$78:J$96)/1000</f>
        <v>30.454196225661349</v>
      </c>
      <c r="H12" s="43">
        <f>SUMPRODUCT(--('Input|Customer Contributions'!$H$78:$H$96="SCS"),'Input|Customer Contributions'!K$78:K$96)/1000</f>
        <v>34.683360165296698</v>
      </c>
      <c r="I12" s="43">
        <f>SUMPRODUCT(--('Input|Customer Contributions'!$H$78:$H$96="SCS"),'Input|Customer Contributions'!L$78:L$96)/1000</f>
        <v>35.249924820775981</v>
      </c>
      <c r="J12" s="43">
        <f>SUMPRODUCT(--('Input|Customer Contributions'!$H$78:$H$96="SCS"),'Input|Customer Contributions'!M$78:M$96)/1000</f>
        <v>34.699439907299798</v>
      </c>
      <c r="K12" s="43">
        <f>SUMPRODUCT(--('Input|Customer Contributions'!$H$78:$H$96="SCS"),'Input|Customer Contributions'!N$78:N$96)/1000</f>
        <v>34.064412933070237</v>
      </c>
      <c r="L12" s="7"/>
    </row>
    <row r="13" spans="1:12" x14ac:dyDescent="0.3">
      <c r="A13" s="7"/>
      <c r="B13" s="7"/>
      <c r="C13" s="7"/>
      <c r="D13" s="7"/>
      <c r="E13" s="38" t="s">
        <v>29</v>
      </c>
      <c r="F13" s="7"/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7"/>
    </row>
    <row r="14" spans="1:12" x14ac:dyDescent="0.3">
      <c r="A14" s="7"/>
      <c r="B14" s="7"/>
      <c r="C14" s="7"/>
      <c r="D14" s="7"/>
      <c r="E14" s="38" t="s">
        <v>38</v>
      </c>
      <c r="F14" s="7"/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7"/>
    </row>
    <row r="15" spans="1:12" x14ac:dyDescent="0.3">
      <c r="A15" s="7"/>
      <c r="B15" s="7"/>
      <c r="C15" s="7"/>
      <c r="D15" s="7"/>
      <c r="E15" s="38" t="s">
        <v>30</v>
      </c>
      <c r="F15" s="7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7"/>
    </row>
    <row r="16" spans="1:12" x14ac:dyDescent="0.3">
      <c r="A16" s="7"/>
      <c r="B16" s="7"/>
      <c r="C16" s="7"/>
      <c r="D16" s="7"/>
      <c r="E16" s="38" t="s">
        <v>31</v>
      </c>
      <c r="F16" s="7"/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7"/>
    </row>
    <row r="17" spans="1:12" x14ac:dyDescent="0.3">
      <c r="A17" s="7"/>
      <c r="B17" s="7"/>
      <c r="C17" s="7"/>
      <c r="D17" s="7"/>
      <c r="E17" s="38" t="s">
        <v>8</v>
      </c>
      <c r="F17" s="7"/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7"/>
    </row>
    <row r="18" spans="1:12" x14ac:dyDescent="0.3">
      <c r="A18" s="7"/>
      <c r="B18" s="7"/>
      <c r="C18" s="7"/>
      <c r="D18" s="7"/>
      <c r="E18" s="38" t="s">
        <v>514</v>
      </c>
      <c r="F18" s="7"/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7"/>
    </row>
    <row r="19" spans="1:12" x14ac:dyDescent="0.3">
      <c r="A19" s="7"/>
      <c r="B19" s="7"/>
      <c r="C19" s="7"/>
      <c r="D19" s="7"/>
      <c r="E19" s="38" t="s">
        <v>44</v>
      </c>
      <c r="F19" s="7"/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7"/>
    </row>
    <row r="20" spans="1:12" x14ac:dyDescent="0.3">
      <c r="A20" s="7"/>
      <c r="B20" s="7"/>
      <c r="C20" s="7"/>
      <c r="D20" s="7"/>
      <c r="E20" s="38"/>
      <c r="F20" s="7"/>
      <c r="G20" s="43"/>
      <c r="H20" s="43"/>
      <c r="I20" s="43"/>
      <c r="J20" s="43"/>
      <c r="K20" s="43"/>
      <c r="L20" s="7"/>
    </row>
    <row r="21" spans="1:12" x14ac:dyDescent="0.3">
      <c r="A21" s="7"/>
      <c r="B21" s="7"/>
      <c r="C21" s="7"/>
      <c r="D21" s="7"/>
      <c r="E21" s="7"/>
      <c r="F21" s="7"/>
      <c r="G21" s="43"/>
      <c r="H21" s="43"/>
      <c r="I21" s="43"/>
      <c r="J21" s="43"/>
      <c r="K21" s="43"/>
      <c r="L21" s="7"/>
    </row>
    <row r="22" spans="1:12" x14ac:dyDescent="0.3">
      <c r="A22" s="7"/>
      <c r="B22" s="7"/>
      <c r="C22" s="7"/>
      <c r="D22" s="7"/>
      <c r="E22" s="9" t="s">
        <v>20</v>
      </c>
      <c r="F22" s="7"/>
      <c r="G22" s="57">
        <f t="shared" ref="G22:K22" si="0">SUM(G11:G19)</f>
        <v>30.454196225661349</v>
      </c>
      <c r="H22" s="57">
        <f t="shared" si="0"/>
        <v>34.683360165296698</v>
      </c>
      <c r="I22" s="57">
        <f t="shared" si="0"/>
        <v>35.249924820775981</v>
      </c>
      <c r="J22" s="57">
        <f t="shared" si="0"/>
        <v>34.699439907299798</v>
      </c>
      <c r="K22" s="57">
        <f t="shared" si="0"/>
        <v>34.064412933070237</v>
      </c>
      <c r="L22" s="7"/>
    </row>
    <row r="23" spans="1:12" x14ac:dyDescent="0.3">
      <c r="A23" s="7"/>
      <c r="B23" s="7"/>
      <c r="C23" s="7"/>
      <c r="D23" s="7"/>
      <c r="E23" s="7"/>
      <c r="F23" s="7"/>
      <c r="G23" s="61">
        <f>G22-'Input|Customer Contributions'!J97/1000</f>
        <v>0</v>
      </c>
      <c r="H23" s="61">
        <f>H22-'Input|Customer Contributions'!K97/1000</f>
        <v>0</v>
      </c>
      <c r="I23" s="61">
        <f>I22-'Input|Customer Contributions'!L97/1000</f>
        <v>0</v>
      </c>
      <c r="J23" s="61">
        <f>J22-'Input|Customer Contributions'!M97/1000</f>
        <v>0</v>
      </c>
      <c r="K23" s="61">
        <f>K22-'Input|Customer Contributions'!N97/1000</f>
        <v>0</v>
      </c>
      <c r="L23" s="7"/>
    </row>
    <row r="24" spans="1:12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3">
      <c r="A25" s="55" t="s">
        <v>54</v>
      </c>
      <c r="B25" s="12"/>
      <c r="C25" s="12"/>
      <c r="D25" s="12"/>
      <c r="E25" s="12"/>
      <c r="F25" s="12"/>
      <c r="G25" s="59" t="s">
        <v>609</v>
      </c>
      <c r="H25" s="59" t="s">
        <v>609</v>
      </c>
      <c r="I25" s="59" t="s">
        <v>609</v>
      </c>
      <c r="J25" s="59" t="s">
        <v>609</v>
      </c>
      <c r="K25" s="59" t="s">
        <v>609</v>
      </c>
      <c r="L25" s="12"/>
    </row>
    <row r="26" spans="1:12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3">
      <c r="A27" s="7"/>
      <c r="B27" s="7"/>
      <c r="C27" s="7"/>
      <c r="D27" s="7"/>
      <c r="E27" s="38" t="s">
        <v>59</v>
      </c>
      <c r="F27" s="7"/>
      <c r="G27" s="101">
        <f>SUMPRODUCT(--('Calc|Consolidated Capex'!$G$9:$G$203=$E27),'Calc|Consolidated Capex'!I$9:I$203)/1000+SUMPRODUCT(--('Input|VBRC Calc'!$G$23:$G$30=$E27),'Input|VBRC Calc'!J$23:J$30)/1000</f>
        <v>23.288694937024228</v>
      </c>
      <c r="H27" s="214">
        <f>SUMPRODUCT(--('Calc|Consolidated Capex'!$G$9:$G$203=$E27),'Calc|Consolidated Capex'!J$9:J$203)/1000+SUMPRODUCT(--('Input|VBRC Calc'!$G$23:$G$30=$E27),'Input|VBRC Calc'!K$23:K$30)/1000</f>
        <v>23.661978241992365</v>
      </c>
      <c r="I27" s="101">
        <f>SUMPRODUCT(--('Calc|Consolidated Capex'!$G$9:$G$203=$E27),'Calc|Consolidated Capex'!K$9:K$203)/1000+SUMPRODUCT(--('Input|VBRC Calc'!$G$23:$G$30=$E27),'Input|VBRC Calc'!L$23:L$30)/1000</f>
        <v>20.780612365369212</v>
      </c>
      <c r="J27" s="101">
        <f>SUMPRODUCT(--('Calc|Consolidated Capex'!$G$9:$G$203=$E27),'Calc|Consolidated Capex'!L$9:L$203)/1000+SUMPRODUCT(--('Input|VBRC Calc'!$G$23:$G$30=$E27),'Input|VBRC Calc'!M$23:M$30)/1000</f>
        <v>20.89340866560212</v>
      </c>
      <c r="K27" s="101">
        <f>SUMPRODUCT(--('Calc|Consolidated Capex'!$G$9:$G$203=$E27),'Calc|Consolidated Capex'!M$9:M$203)/1000+SUMPRODUCT(--('Input|VBRC Calc'!$G$23:$G$30=$E27),'Input|VBRC Calc'!N$23:N$30)/1000</f>
        <v>20.554763650328884</v>
      </c>
      <c r="L27" s="7"/>
    </row>
    <row r="28" spans="1:12" x14ac:dyDescent="0.3">
      <c r="A28" s="7"/>
      <c r="B28" s="7"/>
      <c r="C28" s="7"/>
      <c r="D28" s="7"/>
      <c r="E28" s="38" t="s">
        <v>28</v>
      </c>
      <c r="F28" s="7"/>
      <c r="G28" s="101">
        <f>SUMPRODUCT(--('Calc|Consolidated Capex'!$G$9:$G$203=$E28),'Calc|Consolidated Capex'!I$9:I$203)/1000+SUMPRODUCT(--('Input|VBRC Calc'!$G$23:$G$30=$E28),'Input|VBRC Calc'!J$23:J$30)/1000</f>
        <v>51.966851453906635</v>
      </c>
      <c r="H28" s="43">
        <f>SUMPRODUCT(--('Calc|Consolidated Capex'!$G$9:$G$203=$E28),'Calc|Consolidated Capex'!J$9:J$203)/1000+SUMPRODUCT(--('Input|VBRC Calc'!$G$23:$G$30=$E28),'Input|VBRC Calc'!K$23:K$30)/1000</f>
        <v>57.958002988347474</v>
      </c>
      <c r="I28" s="43">
        <f>SUMPRODUCT(--('Calc|Consolidated Capex'!$G$9:$G$203=$E28),'Calc|Consolidated Capex'!K$9:K$203)/1000+SUMPRODUCT(--('Input|VBRC Calc'!$G$23:$G$30=$E28),'Input|VBRC Calc'!L$23:L$30)/1000</f>
        <v>58.321532119897483</v>
      </c>
      <c r="J28" s="43">
        <f>SUMPRODUCT(--('Calc|Consolidated Capex'!$G$9:$G$203=$E28),'Calc|Consolidated Capex'!L$9:L$203)/1000+SUMPRODUCT(--('Input|VBRC Calc'!$G$23:$G$30=$E28),'Input|VBRC Calc'!M$23:M$30)/1000</f>
        <v>57.957410664186952</v>
      </c>
      <c r="K28" s="43">
        <f>SUMPRODUCT(--('Calc|Consolidated Capex'!$G$9:$G$203=$E28),'Calc|Consolidated Capex'!M$9:M$203)/1000+SUMPRODUCT(--('Input|VBRC Calc'!$G$23:$G$30=$E28),'Input|VBRC Calc'!N$23:N$30)/1000</f>
        <v>57.417698688270534</v>
      </c>
      <c r="L28" s="7"/>
    </row>
    <row r="29" spans="1:12" x14ac:dyDescent="0.3">
      <c r="A29" s="7"/>
      <c r="B29" s="7"/>
      <c r="C29" s="7"/>
      <c r="D29" s="7"/>
      <c r="E29" s="38" t="s">
        <v>29</v>
      </c>
      <c r="F29" s="7"/>
      <c r="G29" s="101">
        <f>SUMPRODUCT(--('Calc|Consolidated Capex'!$G$9:$G$203=$E29),'Calc|Consolidated Capex'!I$9:I$203)/1000+SUMPRODUCT(--('Input|VBRC Calc'!$G$23:$G$30=$E29),'Input|VBRC Calc'!J$23:J$30)/1000</f>
        <v>63.047402043203356</v>
      </c>
      <c r="H29" s="101">
        <f>SUMPRODUCT(--('Calc|Consolidated Capex'!$G$9:$G$203=$E29),'Calc|Consolidated Capex'!J$9:J$203)/1000+SUMPRODUCT(--('Input|VBRC Calc'!$G$23:$G$30=$E29),'Input|VBRC Calc'!K$23:K$30)/1000</f>
        <v>64.217043326532917</v>
      </c>
      <c r="I29" s="101">
        <f>SUMPRODUCT(--('Calc|Consolidated Capex'!$G$9:$G$203=$E29),'Calc|Consolidated Capex'!K$9:K$203)/1000+SUMPRODUCT(--('Input|VBRC Calc'!$G$23:$G$30=$E29),'Input|VBRC Calc'!L$23:L$30)/1000</f>
        <v>64.266757706869484</v>
      </c>
      <c r="J29" s="101">
        <f>SUMPRODUCT(--('Calc|Consolidated Capex'!$G$9:$G$203=$E29),'Calc|Consolidated Capex'!L$9:L$203)/1000+SUMPRODUCT(--('Input|VBRC Calc'!$G$23:$G$30=$E29),'Input|VBRC Calc'!M$23:M$30)/1000</f>
        <v>63.491931465062351</v>
      </c>
      <c r="K29" s="101">
        <f>SUMPRODUCT(--('Calc|Consolidated Capex'!$G$9:$G$203=$E29),'Calc|Consolidated Capex'!M$9:M$203)/1000+SUMPRODUCT(--('Input|VBRC Calc'!$G$23:$G$30=$E29),'Input|VBRC Calc'!N$23:N$30)/1000</f>
        <v>57.980064791186976</v>
      </c>
      <c r="L29" s="93"/>
    </row>
    <row r="30" spans="1:12" x14ac:dyDescent="0.3">
      <c r="A30" s="7"/>
      <c r="B30" s="7"/>
      <c r="C30" s="7"/>
      <c r="D30" s="7"/>
      <c r="E30" s="38" t="s">
        <v>38</v>
      </c>
      <c r="F30" s="7"/>
      <c r="G30" s="101">
        <f>SUMPRODUCT(--('Calc|Consolidated Capex'!$G$9:$G$203=$E30),'Calc|Consolidated Capex'!I$9:I$203)/1000+SUMPRODUCT(--('Input|VBRC Calc'!$G$23:$G$30=$E30),'Input|VBRC Calc'!J$23:J$30)/1000</f>
        <v>0</v>
      </c>
      <c r="H30" s="43">
        <f>SUMPRODUCT(--('Calc|Consolidated Capex'!$G$9:$G$203=$E30),'Calc|Consolidated Capex'!J$9:J$203)/1000+SUMPRODUCT(--('Input|VBRC Calc'!$G$23:$G$30=$E30),'Input|VBRC Calc'!K$23:K$30)/1000</f>
        <v>0</v>
      </c>
      <c r="I30" s="43">
        <f>SUMPRODUCT(--('Calc|Consolidated Capex'!$G$9:$G$203=$E30),'Calc|Consolidated Capex'!K$9:K$203)/1000+SUMPRODUCT(--('Input|VBRC Calc'!$G$23:$G$30=$E30),'Input|VBRC Calc'!L$23:L$30)/1000</f>
        <v>0</v>
      </c>
      <c r="J30" s="43">
        <f>SUMPRODUCT(--('Calc|Consolidated Capex'!$G$9:$G$203=$E30),'Calc|Consolidated Capex'!L$9:L$203)/1000+SUMPRODUCT(--('Input|VBRC Calc'!$G$23:$G$30=$E30),'Input|VBRC Calc'!M$23:M$30)/1000</f>
        <v>0</v>
      </c>
      <c r="K30" s="43">
        <f>SUMPRODUCT(--('Calc|Consolidated Capex'!$G$9:$G$203=$E30),'Calc|Consolidated Capex'!M$9:M$203)/1000+SUMPRODUCT(--('Input|VBRC Calc'!$G$23:$G$30=$E30),'Input|VBRC Calc'!N$23:N$30)/1000</f>
        <v>0</v>
      </c>
      <c r="L30" s="7"/>
    </row>
    <row r="31" spans="1:12" x14ac:dyDescent="0.3">
      <c r="A31" s="7"/>
      <c r="B31" s="7"/>
      <c r="C31" s="7"/>
      <c r="D31" s="7"/>
      <c r="E31" s="38" t="s">
        <v>30</v>
      </c>
      <c r="F31" s="7"/>
      <c r="G31" s="101">
        <f>SUMPRODUCT(--('Calc|Consolidated Capex'!$G$9:$G$203=$E31),'Calc|Consolidated Capex'!I$9:I$203)/1000+SUMPRODUCT(--('Input|VBRC Calc'!$G$23:$G$30=$E31),'Input|VBRC Calc'!J$23:J$30)/1000</f>
        <v>54.188162104146933</v>
      </c>
      <c r="H31" s="43">
        <f>SUMPRODUCT(--('Calc|Consolidated Capex'!$G$9:$G$203=$E31),'Calc|Consolidated Capex'!J$9:J$203)/1000+SUMPRODUCT(--('Input|VBRC Calc'!$G$23:$G$30=$E31),'Input|VBRC Calc'!K$23:K$30)/1000</f>
        <v>36.909970576053773</v>
      </c>
      <c r="I31" s="43">
        <f>SUMPRODUCT(--('Calc|Consolidated Capex'!$G$9:$G$203=$E31),'Calc|Consolidated Capex'!K$9:K$203)/1000+SUMPRODUCT(--('Input|VBRC Calc'!$G$23:$G$30=$E31),'Input|VBRC Calc'!L$23:L$30)/1000</f>
        <v>35.775946192681062</v>
      </c>
      <c r="J31" s="43">
        <f>SUMPRODUCT(--('Calc|Consolidated Capex'!$G$9:$G$203=$E31),'Calc|Consolidated Capex'!L$9:L$203)/1000+SUMPRODUCT(--('Input|VBRC Calc'!$G$23:$G$30=$E31),'Input|VBRC Calc'!M$23:M$30)/1000</f>
        <v>32.531833152301374</v>
      </c>
      <c r="K31" s="43">
        <f>SUMPRODUCT(--('Calc|Consolidated Capex'!$G$9:$G$203=$E31),'Calc|Consolidated Capex'!M$9:M$203)/1000+SUMPRODUCT(--('Input|VBRC Calc'!$G$23:$G$30=$E31),'Input|VBRC Calc'!N$23:N$30)/1000</f>
        <v>22.438273572123272</v>
      </c>
      <c r="L31" s="7"/>
    </row>
    <row r="32" spans="1:12" x14ac:dyDescent="0.3">
      <c r="A32" s="7"/>
      <c r="B32" s="7"/>
      <c r="C32" s="7"/>
      <c r="D32" s="7"/>
      <c r="E32" s="38" t="s">
        <v>31</v>
      </c>
      <c r="F32" s="7"/>
      <c r="G32" s="101">
        <f>SUMPRODUCT(--('Calc|Consolidated Capex'!$G$9:$G$203=$E32),'Calc|Consolidated Capex'!I$9:I$203)/1000+SUMPRODUCT(--('Input|VBRC Calc'!$G$23:$G$30=$E32),'Input|VBRC Calc'!J$23:J$30)/1000</f>
        <v>43.677741928817298</v>
      </c>
      <c r="H32" s="43">
        <f>SUMPRODUCT(--('Calc|Consolidated Capex'!$G$9:$G$203=$E32),'Calc|Consolidated Capex'!J$9:J$203)/1000+SUMPRODUCT(--('Input|VBRC Calc'!$G$23:$G$30=$E32),'Input|VBRC Calc'!K$23:K$30)/1000</f>
        <v>15.358047743573522</v>
      </c>
      <c r="I32" s="43">
        <f>SUMPRODUCT(--('Calc|Consolidated Capex'!$G$9:$G$203=$E32),'Calc|Consolidated Capex'!K$9:K$203)/1000+SUMPRODUCT(--('Input|VBRC Calc'!$G$23:$G$30=$E32),'Input|VBRC Calc'!L$23:L$30)/1000</f>
        <v>3.3590834015622835</v>
      </c>
      <c r="J32" s="43">
        <f>SUMPRODUCT(--('Calc|Consolidated Capex'!$G$9:$G$203=$E32),'Calc|Consolidated Capex'!L$9:L$203)/1000+SUMPRODUCT(--('Input|VBRC Calc'!$G$23:$G$30=$E32),'Input|VBRC Calc'!M$23:M$30)/1000</f>
        <v>8.4064833454453822</v>
      </c>
      <c r="K32" s="43">
        <f>SUMPRODUCT(--('Calc|Consolidated Capex'!$G$9:$G$203=$E32),'Calc|Consolidated Capex'!M$9:M$203)/1000+SUMPRODUCT(--('Input|VBRC Calc'!$G$23:$G$30=$E32),'Input|VBRC Calc'!N$23:N$30)/1000</f>
        <v>11.45335066364758</v>
      </c>
      <c r="L32" s="7"/>
    </row>
    <row r="33" spans="1:12" x14ac:dyDescent="0.3">
      <c r="A33" s="7"/>
      <c r="B33" s="7"/>
      <c r="C33" s="7"/>
      <c r="D33" s="7"/>
      <c r="E33" s="38" t="s">
        <v>8</v>
      </c>
      <c r="F33" s="7"/>
      <c r="G33" s="101">
        <f>SUMPRODUCT(--('Calc|Consolidated Capex'!$G$9:$G$203=$E33),'Calc|Consolidated Capex'!I$9:I$203)/1000+SUMPRODUCT(--('Input|VBRC Calc'!$G$23:$G$30=$E33),'Input|VBRC Calc'!J$23:J$30)/1000</f>
        <v>0</v>
      </c>
      <c r="H33" s="43">
        <f>SUMPRODUCT(--('Calc|Consolidated Capex'!$G$9:$G$203=$E33),'Calc|Consolidated Capex'!J$9:J$203)/1000+SUMPRODUCT(--('Input|VBRC Calc'!$G$23:$G$30=$E33),'Input|VBRC Calc'!K$23:K$30)/1000</f>
        <v>0</v>
      </c>
      <c r="I33" s="43">
        <f>SUMPRODUCT(--('Calc|Consolidated Capex'!$G$9:$G$203=$E33),'Calc|Consolidated Capex'!K$9:K$203)/1000+SUMPRODUCT(--('Input|VBRC Calc'!$G$23:$G$30=$E33),'Input|VBRC Calc'!L$23:L$30)/1000</f>
        <v>0</v>
      </c>
      <c r="J33" s="43">
        <f>SUMPRODUCT(--('Calc|Consolidated Capex'!$G$9:$G$203=$E33),'Calc|Consolidated Capex'!L$9:L$203)/1000+SUMPRODUCT(--('Input|VBRC Calc'!$G$23:$G$30=$E33),'Input|VBRC Calc'!M$23:M$30)/1000</f>
        <v>0</v>
      </c>
      <c r="K33" s="43">
        <f>SUMPRODUCT(--('Calc|Consolidated Capex'!$G$9:$G$203=$E33),'Calc|Consolidated Capex'!M$9:M$203)/1000+SUMPRODUCT(--('Input|VBRC Calc'!$G$23:$G$30=$E33),'Input|VBRC Calc'!N$23:N$30)/1000</f>
        <v>0</v>
      </c>
      <c r="L33" s="7"/>
    </row>
    <row r="34" spans="1:12" x14ac:dyDescent="0.3">
      <c r="A34" s="7"/>
      <c r="B34" s="7"/>
      <c r="C34" s="7"/>
      <c r="D34" s="7"/>
      <c r="E34" s="38" t="s">
        <v>514</v>
      </c>
      <c r="F34" s="7"/>
      <c r="G34" s="101">
        <f>SUMPRODUCT(--('Calc|Consolidated Capex'!$G$9:$G$203=$E34),'Calc|Consolidated Capex'!I$9:I$203)/1000+SUMPRODUCT(--('Input|VBRC Calc'!$G$23:$G$30=$E34),'Input|VBRC Calc'!J$23:J$30)/1000</f>
        <v>0</v>
      </c>
      <c r="H34" s="43">
        <f>SUMPRODUCT(--('Calc|Consolidated Capex'!$G$9:$G$203=$E34),'Calc|Consolidated Capex'!J$9:J$203)/1000+SUMPRODUCT(--('Input|VBRC Calc'!$G$23:$G$30=$E34),'Input|VBRC Calc'!K$23:K$30)/1000</f>
        <v>0</v>
      </c>
      <c r="I34" s="43">
        <f>SUMPRODUCT(--('Calc|Consolidated Capex'!$G$9:$G$203=$E34),'Calc|Consolidated Capex'!K$9:K$203)/1000+SUMPRODUCT(--('Input|VBRC Calc'!$G$23:$G$30=$E34),'Input|VBRC Calc'!L$23:L$30)/1000</f>
        <v>0</v>
      </c>
      <c r="J34" s="43">
        <f>SUMPRODUCT(--('Calc|Consolidated Capex'!$G$9:$G$203=$E34),'Calc|Consolidated Capex'!L$9:L$203)/1000+SUMPRODUCT(--('Input|VBRC Calc'!$G$23:$G$30=$E34),'Input|VBRC Calc'!M$23:M$30)/1000</f>
        <v>0</v>
      </c>
      <c r="K34" s="43">
        <f>SUMPRODUCT(--('Calc|Consolidated Capex'!$G$9:$G$203=$E34),'Calc|Consolidated Capex'!M$9:M$203)/1000+SUMPRODUCT(--('Input|VBRC Calc'!$G$23:$G$30=$E34),'Input|VBRC Calc'!N$23:N$30)/1000</f>
        <v>0</v>
      </c>
      <c r="L34" s="7"/>
    </row>
    <row r="35" spans="1:12" x14ac:dyDescent="0.3">
      <c r="A35" s="7"/>
      <c r="B35" s="7"/>
      <c r="C35" s="7"/>
      <c r="D35" s="7"/>
      <c r="E35" s="38" t="s">
        <v>44</v>
      </c>
      <c r="F35" s="7"/>
      <c r="G35" s="43">
        <f>SUMPRODUCT(--('Calc|Consolidated Capex'!$G$9:$G$203=$E35),'Calc|Consolidated Capex'!I$9:I$203)/1000+SUMPRODUCT(--('Input|VBRC Calc'!$G$23:$G$30=$E35),'Input|VBRC Calc'!J$23:J$30)/1000</f>
        <v>0</v>
      </c>
      <c r="H35" s="43">
        <f>SUMPRODUCT(--('Calc|Consolidated Capex'!$G$9:$G$203=$E35),'Calc|Consolidated Capex'!J$9:J$203)/1000+SUMPRODUCT(--('Input|VBRC Calc'!$G$23:$G$30=$E35),'Input|VBRC Calc'!K$23:K$30)/1000</f>
        <v>0</v>
      </c>
      <c r="I35" s="43">
        <f>SUMPRODUCT(--('Calc|Consolidated Capex'!$G$9:$G$203=$E35),'Calc|Consolidated Capex'!K$9:K$203)/1000+SUMPRODUCT(--('Input|VBRC Calc'!$G$23:$G$30=$E35),'Input|VBRC Calc'!L$23:L$30)/1000</f>
        <v>0</v>
      </c>
      <c r="J35" s="43">
        <f>SUMPRODUCT(--('Calc|Consolidated Capex'!$G$9:$G$203=$E35),'Calc|Consolidated Capex'!L$9:L$203)/1000+SUMPRODUCT(--('Input|VBRC Calc'!$G$23:$G$30=$E35),'Input|VBRC Calc'!M$23:M$30)/1000</f>
        <v>0</v>
      </c>
      <c r="K35" s="43">
        <f>SUMPRODUCT(--('Calc|Consolidated Capex'!$G$9:$G$203=$E35),'Calc|Consolidated Capex'!M$9:M$203)/1000+SUMPRODUCT(--('Input|VBRC Calc'!$G$23:$G$30=$E35),'Input|VBRC Calc'!N$23:N$30)/1000</f>
        <v>0</v>
      </c>
      <c r="L35" s="7"/>
    </row>
    <row r="36" spans="1:12" x14ac:dyDescent="0.3">
      <c r="A36" s="7"/>
      <c r="B36" s="7"/>
      <c r="C36" s="7"/>
      <c r="D36" s="7"/>
      <c r="E36" s="38"/>
      <c r="F36" s="7"/>
      <c r="G36" s="43"/>
      <c r="H36" s="43"/>
      <c r="I36" s="43"/>
      <c r="J36" s="43"/>
      <c r="K36" s="43"/>
      <c r="L36" s="7"/>
    </row>
    <row r="37" spans="1:12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3">
      <c r="A38" s="7"/>
      <c r="B38" s="7"/>
      <c r="C38" s="7"/>
      <c r="D38" s="7"/>
      <c r="E38" s="9" t="s">
        <v>20</v>
      </c>
      <c r="F38" s="7"/>
      <c r="G38" s="57">
        <f t="shared" ref="G38:K38" si="1">SUM(G27:G35)</f>
        <v>236.16885246709842</v>
      </c>
      <c r="H38" s="57">
        <f t="shared" si="1"/>
        <v>198.10504287650008</v>
      </c>
      <c r="I38" s="57">
        <f t="shared" si="1"/>
        <v>182.50393178637952</v>
      </c>
      <c r="J38" s="57">
        <f t="shared" si="1"/>
        <v>183.28106729259821</v>
      </c>
      <c r="K38" s="57">
        <f t="shared" si="1"/>
        <v>169.84415136555725</v>
      </c>
      <c r="L38" s="7"/>
    </row>
    <row r="39" spans="1:12" x14ac:dyDescent="0.3">
      <c r="A39" s="7"/>
      <c r="B39" s="7"/>
      <c r="C39" s="7"/>
      <c r="D39" s="7"/>
      <c r="E39" s="7"/>
      <c r="F39" s="7"/>
      <c r="G39" s="61">
        <f>G38-'Calc|Consolidated Capex'!I210/1000</f>
        <v>0</v>
      </c>
      <c r="H39" s="61">
        <f>H38-'Calc|Consolidated Capex'!J210/1000</f>
        <v>0</v>
      </c>
      <c r="I39" s="61">
        <f>I38-'Calc|Consolidated Capex'!K210/1000</f>
        <v>0</v>
      </c>
      <c r="J39" s="61">
        <f>J38-'Calc|Consolidated Capex'!L210/1000</f>
        <v>0</v>
      </c>
      <c r="K39" s="61">
        <f>K38-'Calc|Consolidated Capex'!M210/1000</f>
        <v>0</v>
      </c>
      <c r="L39" s="7"/>
    </row>
    <row r="40" spans="1:12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3">
      <c r="A41" s="55" t="s">
        <v>56</v>
      </c>
      <c r="B41" s="12"/>
      <c r="C41" s="12"/>
      <c r="D41" s="12"/>
      <c r="E41" s="12"/>
      <c r="F41" s="12"/>
      <c r="G41" s="59" t="s">
        <v>609</v>
      </c>
      <c r="H41" s="59" t="s">
        <v>609</v>
      </c>
      <c r="I41" s="59" t="s">
        <v>609</v>
      </c>
      <c r="J41" s="59" t="s">
        <v>609</v>
      </c>
      <c r="K41" s="59" t="s">
        <v>609</v>
      </c>
      <c r="L41" s="12"/>
    </row>
    <row r="42" spans="1:12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3">
      <c r="A43" s="7"/>
      <c r="B43" s="7"/>
      <c r="C43" s="7"/>
      <c r="D43" s="7"/>
      <c r="E43" s="38" t="s">
        <v>59</v>
      </c>
      <c r="F43" s="7"/>
      <c r="G43" s="43">
        <f>G27*(1+'Calc|Overheads'!O$27)</f>
        <v>26.440546478463187</v>
      </c>
      <c r="H43" s="43">
        <f>H27*(1+'Calc|Overheads'!P$27)</f>
        <v>26.735876791970778</v>
      </c>
      <c r="I43" s="123">
        <f>I27*(1+'Calc|Overheads'!Q$27)</f>
        <v>23.515852049028222</v>
      </c>
      <c r="J43" s="43">
        <f>J27*(1+'Calc|Overheads'!R$27)</f>
        <v>23.658765811477657</v>
      </c>
      <c r="K43" s="43">
        <f>K27*(1+'Calc|Overheads'!S$27)</f>
        <v>23.373957721050633</v>
      </c>
      <c r="L43" s="7"/>
    </row>
    <row r="44" spans="1:12" x14ac:dyDescent="0.3">
      <c r="A44" s="7"/>
      <c r="B44" s="7"/>
      <c r="C44" s="7"/>
      <c r="D44" s="7"/>
      <c r="E44" s="38" t="s">
        <v>28</v>
      </c>
      <c r="F44" s="7"/>
      <c r="G44" s="101">
        <f>G28*(1+'Calc|Overheads'!O$27)</f>
        <v>58.999954910396582</v>
      </c>
      <c r="H44" s="101">
        <f>H28*(1+'Calc|Overheads'!P$27)</f>
        <v>65.487256017130775</v>
      </c>
      <c r="I44" s="101">
        <f>I28*(1+'Calc|Overheads'!Q$27)</f>
        <v>65.998080157143107</v>
      </c>
      <c r="J44" s="101">
        <f>J28*(1+'Calc|Overheads'!R$27)</f>
        <v>65.628391608551382</v>
      </c>
      <c r="K44" s="101">
        <f>K28*(1+'Calc|Overheads'!S$27)</f>
        <v>65.292838410145677</v>
      </c>
      <c r="L44" s="7"/>
    </row>
    <row r="45" spans="1:12" x14ac:dyDescent="0.3">
      <c r="A45" s="7"/>
      <c r="B45" s="7"/>
      <c r="C45" s="7"/>
      <c r="D45" s="7"/>
      <c r="E45" s="38" t="s">
        <v>29</v>
      </c>
      <c r="F45" s="7"/>
      <c r="G45" s="43">
        <f>G29*(1+'Calc|Overheads'!O$27)</f>
        <v>71.580127979583523</v>
      </c>
      <c r="H45" s="43">
        <f>H29*(1+'Calc|Overheads'!P$27)</f>
        <v>72.559400603111555</v>
      </c>
      <c r="I45" s="43">
        <f>I29*(1+'Calc|Overheads'!Q$27)</f>
        <v>72.725843653387244</v>
      </c>
      <c r="J45" s="43">
        <f>J29*(1+'Calc|Overheads'!R$27)</f>
        <v>71.895436570067687</v>
      </c>
      <c r="K45" s="43">
        <f>K29*(1+'Calc|Overheads'!S$27)</f>
        <v>65.932335985351827</v>
      </c>
      <c r="L45" s="7"/>
    </row>
    <row r="46" spans="1:12" x14ac:dyDescent="0.3">
      <c r="A46" s="7"/>
      <c r="B46" s="7"/>
      <c r="C46" s="7"/>
      <c r="D46" s="7"/>
      <c r="E46" s="38" t="s">
        <v>38</v>
      </c>
      <c r="F46" s="7"/>
      <c r="G46" s="43">
        <f>G30*(1+'Calc|Overheads'!O$27)</f>
        <v>0</v>
      </c>
      <c r="H46" s="43">
        <f>H30*(1+'Calc|Overheads'!P$27)</f>
        <v>0</v>
      </c>
      <c r="I46" s="43">
        <f>I30*(1+'Calc|Overheads'!Q$27)</f>
        <v>0</v>
      </c>
      <c r="J46" s="43">
        <f>J30*(1+'Calc|Overheads'!R$27)</f>
        <v>0</v>
      </c>
      <c r="K46" s="43">
        <f>K30*(1+'Calc|Overheads'!S$27)</f>
        <v>0</v>
      </c>
      <c r="L46" s="7"/>
    </row>
    <row r="47" spans="1:12" x14ac:dyDescent="0.3">
      <c r="A47" s="7"/>
      <c r="B47" s="7"/>
      <c r="C47" s="7"/>
      <c r="D47" s="7"/>
      <c r="E47" s="38" t="s">
        <v>30</v>
      </c>
      <c r="F47" s="7"/>
      <c r="G47" s="43">
        <f t="shared" ref="G47:K47" si="2">G31</f>
        <v>54.188162104146933</v>
      </c>
      <c r="H47" s="43">
        <f t="shared" si="2"/>
        <v>36.909970576053773</v>
      </c>
      <c r="I47" s="43">
        <f t="shared" si="2"/>
        <v>35.775946192681062</v>
      </c>
      <c r="J47" s="43">
        <f t="shared" si="2"/>
        <v>32.531833152301374</v>
      </c>
      <c r="K47" s="43">
        <f t="shared" si="2"/>
        <v>22.438273572123272</v>
      </c>
      <c r="L47" s="7"/>
    </row>
    <row r="48" spans="1:12" x14ac:dyDescent="0.3">
      <c r="A48" s="7"/>
      <c r="B48" s="7"/>
      <c r="C48" s="7"/>
      <c r="D48" s="7"/>
      <c r="E48" s="38" t="s">
        <v>31</v>
      </c>
      <c r="F48" s="7"/>
      <c r="G48" s="43">
        <f t="shared" ref="G48:K48" si="3">G32</f>
        <v>43.677741928817298</v>
      </c>
      <c r="H48" s="43">
        <f t="shared" si="3"/>
        <v>15.358047743573522</v>
      </c>
      <c r="I48" s="43">
        <f t="shared" si="3"/>
        <v>3.3590834015622835</v>
      </c>
      <c r="J48" s="43">
        <f t="shared" si="3"/>
        <v>8.4064833454453822</v>
      </c>
      <c r="K48" s="43">
        <f t="shared" si="3"/>
        <v>11.45335066364758</v>
      </c>
      <c r="L48" s="7"/>
    </row>
    <row r="49" spans="1:12" x14ac:dyDescent="0.3">
      <c r="A49" s="7"/>
      <c r="B49" s="7"/>
      <c r="C49" s="7"/>
      <c r="D49" s="7"/>
      <c r="E49" s="38" t="s">
        <v>8</v>
      </c>
      <c r="F49" s="7"/>
      <c r="G49" s="43">
        <f>G33*(1+'Calc|Overheads'!O$27)</f>
        <v>0</v>
      </c>
      <c r="H49" s="43">
        <f>H33*(1+'Calc|Overheads'!P$27)</f>
        <v>0</v>
      </c>
      <c r="I49" s="43">
        <f>I33*(1+'Calc|Overheads'!Q$27)</f>
        <v>0</v>
      </c>
      <c r="J49" s="43">
        <f>J33*(1+'Calc|Overheads'!R$27)</f>
        <v>0</v>
      </c>
      <c r="K49" s="43">
        <f>K33*(1+'Calc|Overheads'!S$27)</f>
        <v>0</v>
      </c>
      <c r="L49" s="7"/>
    </row>
    <row r="50" spans="1:12" x14ac:dyDescent="0.3">
      <c r="A50" s="7"/>
      <c r="B50" s="7"/>
      <c r="C50" s="7"/>
      <c r="D50" s="7"/>
      <c r="E50" s="38" t="s">
        <v>514</v>
      </c>
      <c r="F50" s="7"/>
      <c r="G50" s="43">
        <f>G34*(1+'Calc|Overheads'!O$27)</f>
        <v>0</v>
      </c>
      <c r="H50" s="43">
        <f>H34*(1+'Calc|Overheads'!P$27)</f>
        <v>0</v>
      </c>
      <c r="I50" s="43">
        <f>I34*(1+'Calc|Overheads'!Q$27)</f>
        <v>0</v>
      </c>
      <c r="J50" s="43">
        <f>J34*(1+'Calc|Overheads'!R$27)</f>
        <v>0</v>
      </c>
      <c r="K50" s="43">
        <f>K34*(1+'Calc|Overheads'!S$27)</f>
        <v>0</v>
      </c>
      <c r="L50" s="7"/>
    </row>
    <row r="51" spans="1:12" x14ac:dyDescent="0.3">
      <c r="A51" s="7"/>
      <c r="B51" s="7"/>
      <c r="C51" s="7"/>
      <c r="D51" s="7"/>
      <c r="E51" s="38" t="s">
        <v>44</v>
      </c>
      <c r="F51" s="7"/>
      <c r="G51" s="43">
        <f t="shared" ref="G51:K51" si="4">G35</f>
        <v>0</v>
      </c>
      <c r="H51" s="43">
        <f t="shared" si="4"/>
        <v>0</v>
      </c>
      <c r="I51" s="43">
        <f t="shared" si="4"/>
        <v>0</v>
      </c>
      <c r="J51" s="43">
        <f t="shared" si="4"/>
        <v>0</v>
      </c>
      <c r="K51" s="43">
        <f t="shared" si="4"/>
        <v>0</v>
      </c>
      <c r="L51" s="7"/>
    </row>
    <row r="52" spans="1:12" x14ac:dyDescent="0.3">
      <c r="A52" s="7"/>
      <c r="B52" s="7"/>
      <c r="C52" s="7"/>
      <c r="D52" s="7"/>
      <c r="E52" s="38"/>
      <c r="F52" s="7"/>
      <c r="G52" s="43"/>
      <c r="H52" s="43"/>
      <c r="I52" s="43"/>
      <c r="J52" s="43"/>
      <c r="K52" s="43"/>
      <c r="L52" s="7"/>
    </row>
    <row r="53" spans="1:12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3">
      <c r="A54" s="7"/>
      <c r="B54" s="7"/>
      <c r="C54" s="7"/>
      <c r="D54" s="7"/>
      <c r="E54" s="9" t="s">
        <v>20</v>
      </c>
      <c r="F54" s="7"/>
      <c r="G54" s="219">
        <f t="shared" ref="G54:K54" si="5">SUM(G43:G51)</f>
        <v>254.88653340140752</v>
      </c>
      <c r="H54" s="219">
        <f t="shared" si="5"/>
        <v>217.05055173184041</v>
      </c>
      <c r="I54" s="219">
        <f t="shared" si="5"/>
        <v>201.37480545380191</v>
      </c>
      <c r="J54" s="219">
        <f t="shared" si="5"/>
        <v>202.1209104878435</v>
      </c>
      <c r="K54" s="219">
        <f t="shared" si="5"/>
        <v>188.49075635231898</v>
      </c>
      <c r="L54" s="7"/>
    </row>
    <row r="55" spans="1:12" x14ac:dyDescent="0.3">
      <c r="A55" s="7"/>
      <c r="B55" s="7"/>
      <c r="C55" s="7"/>
      <c r="D55" s="7"/>
      <c r="E55" s="7"/>
      <c r="F55" s="7"/>
      <c r="G55" s="61">
        <f>G54-'Calc|Consolidated Capex'!I415/1000</f>
        <v>0</v>
      </c>
      <c r="H55" s="61">
        <f>H54-'Calc|Consolidated Capex'!J415/1000</f>
        <v>0</v>
      </c>
      <c r="I55" s="127">
        <f>I54-'Calc|Consolidated Capex'!K415/1000</f>
        <v>0</v>
      </c>
      <c r="J55" s="61">
        <f>J54-'Calc|Consolidated Capex'!L415/1000</f>
        <v>0</v>
      </c>
      <c r="K55" s="61">
        <f>K54-'Calc|Consolidated Capex'!M415/1000</f>
        <v>0</v>
      </c>
      <c r="L55" s="7"/>
    </row>
    <row r="56" spans="1:12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3">
      <c r="A57" s="55" t="s">
        <v>83</v>
      </c>
      <c r="B57" s="12"/>
      <c r="C57" s="12"/>
      <c r="D57" s="12"/>
      <c r="E57" s="12"/>
      <c r="F57" s="12"/>
      <c r="G57" s="59" t="s">
        <v>609</v>
      </c>
      <c r="H57" s="59" t="s">
        <v>609</v>
      </c>
      <c r="I57" s="59" t="s">
        <v>609</v>
      </c>
      <c r="J57" s="59" t="s">
        <v>609</v>
      </c>
      <c r="K57" s="59" t="s">
        <v>609</v>
      </c>
      <c r="L57" s="12"/>
    </row>
    <row r="58" spans="1:12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3">
      <c r="A59" s="7"/>
      <c r="B59" s="7"/>
      <c r="C59" s="7"/>
      <c r="D59" s="7"/>
      <c r="E59" s="38" t="s">
        <v>59</v>
      </c>
      <c r="F59" s="7"/>
      <c r="G59" s="43">
        <f t="shared" ref="G59:K59" si="6">G43-G11</f>
        <v>26.440546478463187</v>
      </c>
      <c r="H59" s="43">
        <f t="shared" si="6"/>
        <v>26.735876791970778</v>
      </c>
      <c r="I59" s="43">
        <f t="shared" si="6"/>
        <v>23.515852049028222</v>
      </c>
      <c r="J59" s="43">
        <f t="shared" si="6"/>
        <v>23.658765811477657</v>
      </c>
      <c r="K59" s="43">
        <f t="shared" si="6"/>
        <v>23.373957721050633</v>
      </c>
      <c r="L59" s="7"/>
    </row>
    <row r="60" spans="1:12" x14ac:dyDescent="0.3">
      <c r="A60" s="7"/>
      <c r="B60" s="7"/>
      <c r="C60" s="7"/>
      <c r="D60" s="7"/>
      <c r="E60" s="38" t="s">
        <v>28</v>
      </c>
      <c r="F60" s="7"/>
      <c r="G60" s="43">
        <f t="shared" ref="G60:K60" si="7">G44-G12</f>
        <v>28.545758684735233</v>
      </c>
      <c r="H60" s="43">
        <f t="shared" si="7"/>
        <v>30.803895851834078</v>
      </c>
      <c r="I60" s="43">
        <f t="shared" si="7"/>
        <v>30.748155336367127</v>
      </c>
      <c r="J60" s="43">
        <f t="shared" si="7"/>
        <v>30.928951701251584</v>
      </c>
      <c r="K60" s="43">
        <f t="shared" si="7"/>
        <v>31.22842547707544</v>
      </c>
      <c r="L60" s="7"/>
    </row>
    <row r="61" spans="1:12" x14ac:dyDescent="0.3">
      <c r="A61" s="7"/>
      <c r="B61" s="7"/>
      <c r="C61" s="7"/>
      <c r="D61" s="7"/>
      <c r="E61" s="38" t="s">
        <v>29</v>
      </c>
      <c r="F61" s="7"/>
      <c r="G61" s="43">
        <f t="shared" ref="G61:K61" si="8">G45-G13</f>
        <v>71.580127979583523</v>
      </c>
      <c r="H61" s="43">
        <f t="shared" si="8"/>
        <v>72.559400603111555</v>
      </c>
      <c r="I61" s="43">
        <f t="shared" si="8"/>
        <v>72.725843653387244</v>
      </c>
      <c r="J61" s="43">
        <f t="shared" si="8"/>
        <v>71.895436570067687</v>
      </c>
      <c r="K61" s="43">
        <f t="shared" si="8"/>
        <v>65.932335985351827</v>
      </c>
      <c r="L61" s="7"/>
    </row>
    <row r="62" spans="1:12" x14ac:dyDescent="0.3">
      <c r="A62" s="7"/>
      <c r="B62" s="7"/>
      <c r="C62" s="7"/>
      <c r="D62" s="7"/>
      <c r="E62" s="38" t="s">
        <v>38</v>
      </c>
      <c r="F62" s="7"/>
      <c r="G62" s="43">
        <f t="shared" ref="G62:K62" si="9">G46-G14</f>
        <v>0</v>
      </c>
      <c r="H62" s="43">
        <f t="shared" si="9"/>
        <v>0</v>
      </c>
      <c r="I62" s="43">
        <f t="shared" si="9"/>
        <v>0</v>
      </c>
      <c r="J62" s="43">
        <f t="shared" si="9"/>
        <v>0</v>
      </c>
      <c r="K62" s="43">
        <f t="shared" si="9"/>
        <v>0</v>
      </c>
      <c r="L62" s="7"/>
    </row>
    <row r="63" spans="1:12" x14ac:dyDescent="0.3">
      <c r="A63" s="7"/>
      <c r="B63" s="7"/>
      <c r="C63" s="7"/>
      <c r="D63" s="7"/>
      <c r="E63" s="38" t="s">
        <v>30</v>
      </c>
      <c r="F63" s="7"/>
      <c r="G63" s="43">
        <f t="shared" ref="G63:K63" si="10">G47-G15</f>
        <v>54.188162104146933</v>
      </c>
      <c r="H63" s="43">
        <f t="shared" si="10"/>
        <v>36.909970576053773</v>
      </c>
      <c r="I63" s="43">
        <f t="shared" si="10"/>
        <v>35.775946192681062</v>
      </c>
      <c r="J63" s="43">
        <f t="shared" si="10"/>
        <v>32.531833152301374</v>
      </c>
      <c r="K63" s="43">
        <f t="shared" si="10"/>
        <v>22.438273572123272</v>
      </c>
      <c r="L63" s="7"/>
    </row>
    <row r="64" spans="1:12" x14ac:dyDescent="0.3">
      <c r="A64" s="7"/>
      <c r="B64" s="7"/>
      <c r="C64" s="7"/>
      <c r="D64" s="7"/>
      <c r="E64" s="38" t="s">
        <v>31</v>
      </c>
      <c r="F64" s="7"/>
      <c r="G64" s="43">
        <f t="shared" ref="G64:K64" si="11">G48-G16</f>
        <v>43.677741928817298</v>
      </c>
      <c r="H64" s="43">
        <f t="shared" si="11"/>
        <v>15.358047743573522</v>
      </c>
      <c r="I64" s="43">
        <f t="shared" si="11"/>
        <v>3.3590834015622835</v>
      </c>
      <c r="J64" s="43">
        <f t="shared" si="11"/>
        <v>8.4064833454453822</v>
      </c>
      <c r="K64" s="43">
        <f t="shared" si="11"/>
        <v>11.45335066364758</v>
      </c>
      <c r="L64" s="7"/>
    </row>
    <row r="65" spans="1:12" x14ac:dyDescent="0.3">
      <c r="A65" s="7"/>
      <c r="B65" s="7"/>
      <c r="C65" s="7"/>
      <c r="D65" s="7"/>
      <c r="E65" s="38" t="s">
        <v>8</v>
      </c>
      <c r="F65" s="7"/>
      <c r="G65" s="43">
        <f t="shared" ref="G65:K65" si="12">G49-G17</f>
        <v>0</v>
      </c>
      <c r="H65" s="43">
        <f t="shared" si="12"/>
        <v>0</v>
      </c>
      <c r="I65" s="43">
        <f t="shared" si="12"/>
        <v>0</v>
      </c>
      <c r="J65" s="43">
        <f t="shared" si="12"/>
        <v>0</v>
      </c>
      <c r="K65" s="43">
        <f t="shared" si="12"/>
        <v>0</v>
      </c>
      <c r="L65" s="7"/>
    </row>
    <row r="66" spans="1:12" x14ac:dyDescent="0.3">
      <c r="A66" s="7"/>
      <c r="B66" s="7"/>
      <c r="C66" s="7"/>
      <c r="D66" s="7"/>
      <c r="E66" s="38" t="s">
        <v>514</v>
      </c>
      <c r="F66" s="7"/>
      <c r="G66" s="43">
        <f t="shared" ref="G66:K66" si="13">G50-G18</f>
        <v>0</v>
      </c>
      <c r="H66" s="43">
        <f t="shared" si="13"/>
        <v>0</v>
      </c>
      <c r="I66" s="43">
        <f t="shared" si="13"/>
        <v>0</v>
      </c>
      <c r="J66" s="43">
        <f t="shared" si="13"/>
        <v>0</v>
      </c>
      <c r="K66" s="43">
        <f t="shared" si="13"/>
        <v>0</v>
      </c>
      <c r="L66" s="7"/>
    </row>
    <row r="67" spans="1:12" x14ac:dyDescent="0.3">
      <c r="A67" s="7"/>
      <c r="B67" s="7"/>
      <c r="C67" s="7"/>
      <c r="D67" s="7"/>
      <c r="E67" s="38" t="s">
        <v>44</v>
      </c>
      <c r="F67" s="7"/>
      <c r="G67" s="43">
        <f t="shared" ref="G67:K67" si="14">G51-G19</f>
        <v>0</v>
      </c>
      <c r="H67" s="43">
        <f t="shared" si="14"/>
        <v>0</v>
      </c>
      <c r="I67" s="43">
        <f t="shared" si="14"/>
        <v>0</v>
      </c>
      <c r="J67" s="43">
        <f t="shared" si="14"/>
        <v>0</v>
      </c>
      <c r="K67" s="43">
        <f t="shared" si="14"/>
        <v>0</v>
      </c>
      <c r="L67" s="7"/>
    </row>
    <row r="68" spans="1:12" x14ac:dyDescent="0.3">
      <c r="A68" s="7"/>
      <c r="B68" s="7"/>
      <c r="C68" s="7"/>
      <c r="D68" s="7"/>
      <c r="E68" s="38"/>
      <c r="F68" s="7"/>
      <c r="G68" s="43"/>
      <c r="H68" s="43"/>
      <c r="I68" s="43"/>
      <c r="J68" s="43"/>
      <c r="K68" s="43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3">
      <c r="A70" s="7"/>
      <c r="B70" s="7"/>
      <c r="C70" s="7"/>
      <c r="D70" s="7"/>
      <c r="E70" s="9" t="s">
        <v>20</v>
      </c>
      <c r="F70" s="7"/>
      <c r="G70" s="57">
        <f t="shared" ref="G70:K70" si="15">SUM(G59:G67)</f>
        <v>224.43233717574617</v>
      </c>
      <c r="H70" s="57">
        <f t="shared" si="15"/>
        <v>182.36719156654368</v>
      </c>
      <c r="I70" s="57">
        <f t="shared" si="15"/>
        <v>166.12488063302592</v>
      </c>
      <c r="J70" s="57">
        <f t="shared" si="15"/>
        <v>167.42147058054371</v>
      </c>
      <c r="K70" s="57">
        <f t="shared" si="15"/>
        <v>154.42634341924875</v>
      </c>
      <c r="L70" s="7"/>
    </row>
    <row r="71" spans="1:12" s="7" customFormat="1" x14ac:dyDescent="0.3">
      <c r="G71" s="61">
        <f t="shared" ref="G71:K71" si="16">G54-G22-G70</f>
        <v>0</v>
      </c>
      <c r="H71" s="61">
        <f t="shared" si="16"/>
        <v>0</v>
      </c>
      <c r="I71" s="61">
        <f t="shared" si="16"/>
        <v>0</v>
      </c>
      <c r="J71" s="61">
        <f t="shared" si="16"/>
        <v>0</v>
      </c>
      <c r="K71" s="61">
        <f t="shared" si="16"/>
        <v>0</v>
      </c>
    </row>
    <row r="72" spans="1:12" s="7" customFormat="1" x14ac:dyDescent="0.3"/>
    <row r="73" spans="1:12" x14ac:dyDescent="0.3">
      <c r="A73" s="21" t="s">
        <v>90</v>
      </c>
      <c r="B73" s="21"/>
      <c r="C73" s="14"/>
      <c r="D73" s="23"/>
      <c r="E73" s="24"/>
      <c r="F73" s="24"/>
      <c r="G73" s="34"/>
      <c r="H73" s="34"/>
      <c r="I73" s="34"/>
      <c r="J73" s="34"/>
      <c r="K73" s="34"/>
      <c r="L73" s="24"/>
    </row>
    <row r="74" spans="1:12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3">
      <c r="A75" s="55" t="s">
        <v>58</v>
      </c>
      <c r="B75" s="12"/>
      <c r="C75" s="12"/>
      <c r="D75" s="12"/>
      <c r="E75" s="12"/>
      <c r="F75" s="12"/>
      <c r="G75" s="59" t="s">
        <v>609</v>
      </c>
      <c r="H75" s="59" t="s">
        <v>609</v>
      </c>
      <c r="I75" s="59" t="s">
        <v>609</v>
      </c>
      <c r="J75" s="59" t="s">
        <v>609</v>
      </c>
      <c r="K75" s="59" t="s">
        <v>609</v>
      </c>
      <c r="L75" s="12"/>
    </row>
    <row r="76" spans="1:12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3">
      <c r="A77" s="7"/>
      <c r="B77" s="7"/>
      <c r="C77" s="7"/>
      <c r="D77" s="7"/>
      <c r="E77" s="38" t="s">
        <v>59</v>
      </c>
      <c r="F77" s="7"/>
      <c r="G77" s="43">
        <f>G11*(1+Inflation!R85)</f>
        <v>0</v>
      </c>
      <c r="H77" s="43">
        <f>H11*(1+Inflation!S85)</f>
        <v>0</v>
      </c>
      <c r="I77" s="43">
        <f>I11*(1+Inflation!T85)</f>
        <v>0</v>
      </c>
      <c r="J77" s="43">
        <f>J11*(1+Inflation!U85)</f>
        <v>0</v>
      </c>
      <c r="K77" s="43">
        <f>K11*(1+Inflation!V85)</f>
        <v>0</v>
      </c>
      <c r="L77" s="7"/>
    </row>
    <row r="78" spans="1:12" x14ac:dyDescent="0.3">
      <c r="A78" s="7"/>
      <c r="B78" s="7"/>
      <c r="C78" s="7"/>
      <c r="D78" s="7"/>
      <c r="E78" s="38" t="s">
        <v>28</v>
      </c>
      <c r="F78" s="7"/>
      <c r="G78" s="43">
        <f>G12*(1+Inflation!R86)</f>
        <v>30.642286253735733</v>
      </c>
      <c r="H78" s="43">
        <f>H12*(1+Inflation!S86)</f>
        <v>35.040444966012231</v>
      </c>
      <c r="I78" s="43">
        <f>I12*(1+Inflation!T86)</f>
        <v>35.747199933457907</v>
      </c>
      <c r="J78" s="43">
        <f>J12*(1+Inflation!U86)</f>
        <v>35.349024488380067</v>
      </c>
      <c r="K78" s="43">
        <f>K12*(1+Inflation!V86)</f>
        <v>34.907537900201646</v>
      </c>
      <c r="L78" s="7"/>
    </row>
    <row r="79" spans="1:12" x14ac:dyDescent="0.3">
      <c r="A79" s="7"/>
      <c r="B79" s="7"/>
      <c r="C79" s="7"/>
      <c r="D79" s="7"/>
      <c r="E79" s="38" t="s">
        <v>29</v>
      </c>
      <c r="F79" s="7"/>
      <c r="G79" s="43">
        <f>G13*(1+Inflation!R87)</f>
        <v>0</v>
      </c>
      <c r="H79" s="43">
        <f>H13*(1+Inflation!S87)</f>
        <v>0</v>
      </c>
      <c r="I79" s="43">
        <f>I13*(1+Inflation!T87)</f>
        <v>0</v>
      </c>
      <c r="J79" s="43">
        <f>J13*(1+Inflation!U87)</f>
        <v>0</v>
      </c>
      <c r="K79" s="43">
        <f>K13*(1+Inflation!V87)</f>
        <v>0</v>
      </c>
      <c r="L79" s="7"/>
    </row>
    <row r="80" spans="1:12" x14ac:dyDescent="0.3">
      <c r="A80" s="7"/>
      <c r="B80" s="7"/>
      <c r="C80" s="7"/>
      <c r="D80" s="7"/>
      <c r="E80" s="38" t="s">
        <v>38</v>
      </c>
      <c r="F80" s="7"/>
      <c r="G80" s="43">
        <f>G14*(1+Inflation!R88)</f>
        <v>0</v>
      </c>
      <c r="H80" s="43">
        <f>H14*(1+Inflation!S88)</f>
        <v>0</v>
      </c>
      <c r="I80" s="43">
        <f>I14*(1+Inflation!T88)</f>
        <v>0</v>
      </c>
      <c r="J80" s="43">
        <f>J14*(1+Inflation!U88)</f>
        <v>0</v>
      </c>
      <c r="K80" s="43">
        <f>K14*(1+Inflation!V88)</f>
        <v>0</v>
      </c>
      <c r="L80" s="7"/>
    </row>
    <row r="81" spans="1:12" x14ac:dyDescent="0.3">
      <c r="A81" s="7"/>
      <c r="B81" s="7"/>
      <c r="C81" s="7"/>
      <c r="D81" s="7"/>
      <c r="E81" s="38" t="s">
        <v>30</v>
      </c>
      <c r="F81" s="7"/>
      <c r="G81" s="43">
        <f>G15*(1+Inflation!R89)</f>
        <v>0</v>
      </c>
      <c r="H81" s="43">
        <f>H15*(1+Inflation!S89)</f>
        <v>0</v>
      </c>
      <c r="I81" s="43">
        <f>I15*(1+Inflation!T89)</f>
        <v>0</v>
      </c>
      <c r="J81" s="43">
        <f>J15*(1+Inflation!U89)</f>
        <v>0</v>
      </c>
      <c r="K81" s="43">
        <f>K15*(1+Inflation!V89)</f>
        <v>0</v>
      </c>
      <c r="L81" s="7"/>
    </row>
    <row r="82" spans="1:12" x14ac:dyDescent="0.3">
      <c r="A82" s="7"/>
      <c r="B82" s="7"/>
      <c r="C82" s="7"/>
      <c r="D82" s="7"/>
      <c r="E82" s="38" t="s">
        <v>31</v>
      </c>
      <c r="F82" s="7"/>
      <c r="G82" s="43">
        <f>G16*(1+Inflation!R90)</f>
        <v>0</v>
      </c>
      <c r="H82" s="43">
        <f>H16*(1+Inflation!S90)</f>
        <v>0</v>
      </c>
      <c r="I82" s="43">
        <f>I16*(1+Inflation!T90)</f>
        <v>0</v>
      </c>
      <c r="J82" s="43">
        <f>J16*(1+Inflation!U90)</f>
        <v>0</v>
      </c>
      <c r="K82" s="43">
        <f>K16*(1+Inflation!V90)</f>
        <v>0</v>
      </c>
      <c r="L82" s="7"/>
    </row>
    <row r="83" spans="1:12" x14ac:dyDescent="0.3">
      <c r="A83" s="7"/>
      <c r="B83" s="7"/>
      <c r="C83" s="7"/>
      <c r="D83" s="7"/>
      <c r="E83" s="38" t="s">
        <v>8</v>
      </c>
      <c r="F83" s="7"/>
      <c r="G83" s="43">
        <f>G17*(1+Inflation!R91)</f>
        <v>0</v>
      </c>
      <c r="H83" s="43">
        <f>H17*(1+Inflation!S91)</f>
        <v>0</v>
      </c>
      <c r="I83" s="43">
        <f>I17*(1+Inflation!T91)</f>
        <v>0</v>
      </c>
      <c r="J83" s="43">
        <f>J17*(1+Inflation!U91)</f>
        <v>0</v>
      </c>
      <c r="K83" s="43">
        <f>K17*(1+Inflation!V91)</f>
        <v>0</v>
      </c>
      <c r="L83" s="7"/>
    </row>
    <row r="84" spans="1:12" x14ac:dyDescent="0.3">
      <c r="A84" s="7"/>
      <c r="B84" s="7"/>
      <c r="C84" s="7"/>
      <c r="D84" s="7"/>
      <c r="E84" s="38" t="s">
        <v>514</v>
      </c>
      <c r="F84" s="7"/>
      <c r="G84" s="43">
        <f>G18*(1+Inflation!R91)</f>
        <v>0</v>
      </c>
      <c r="H84" s="43">
        <f>H18*(1+Inflation!S91)</f>
        <v>0</v>
      </c>
      <c r="I84" s="43">
        <f>I18*(1+Inflation!T91)</f>
        <v>0</v>
      </c>
      <c r="J84" s="43">
        <f>J18*(1+Inflation!U91)</f>
        <v>0</v>
      </c>
      <c r="K84" s="43">
        <f>K18*(1+Inflation!V91)</f>
        <v>0</v>
      </c>
      <c r="L84" s="7"/>
    </row>
    <row r="85" spans="1:12" x14ac:dyDescent="0.3">
      <c r="A85" s="7"/>
      <c r="B85" s="7"/>
      <c r="C85" s="7"/>
      <c r="D85" s="7"/>
      <c r="E85" s="38" t="s">
        <v>44</v>
      </c>
      <c r="F85" s="7"/>
      <c r="G85" s="43">
        <f>G19*(1+Inflation!R92)</f>
        <v>0</v>
      </c>
      <c r="H85" s="43">
        <f>H19*(1+Inflation!S92)</f>
        <v>0</v>
      </c>
      <c r="I85" s="43">
        <f>I19*(1+Inflation!T92)</f>
        <v>0</v>
      </c>
      <c r="J85" s="43">
        <f>J19*(1+Inflation!U92)</f>
        <v>0</v>
      </c>
      <c r="K85" s="43">
        <f>K19*(1+Inflation!V92)</f>
        <v>0</v>
      </c>
      <c r="L85" s="7"/>
    </row>
    <row r="86" spans="1:12" x14ac:dyDescent="0.3">
      <c r="A86" s="7"/>
      <c r="B86" s="7"/>
      <c r="C86" s="7"/>
      <c r="D86" s="7"/>
      <c r="E86" s="38"/>
      <c r="F86" s="7"/>
      <c r="G86" s="43"/>
      <c r="H86" s="43"/>
      <c r="I86" s="43"/>
      <c r="J86" s="43"/>
      <c r="K86" s="43"/>
      <c r="L86" s="7"/>
    </row>
    <row r="87" spans="1:12" x14ac:dyDescent="0.3">
      <c r="A87" s="7"/>
      <c r="B87" s="7"/>
      <c r="C87" s="7"/>
      <c r="D87" s="7"/>
      <c r="E87" s="7"/>
      <c r="F87" s="7"/>
      <c r="G87" s="43"/>
      <c r="H87" s="43"/>
      <c r="I87" s="43"/>
      <c r="J87" s="43"/>
      <c r="K87" s="43"/>
      <c r="L87" s="7"/>
    </row>
    <row r="88" spans="1:12" x14ac:dyDescent="0.3">
      <c r="A88" s="7"/>
      <c r="B88" s="7"/>
      <c r="C88" s="7"/>
      <c r="D88" s="7"/>
      <c r="E88" s="9" t="s">
        <v>20</v>
      </c>
      <c r="F88" s="7"/>
      <c r="G88" s="57">
        <f t="shared" ref="G88:K88" si="17">SUM(G77:G85)</f>
        <v>30.642286253735733</v>
      </c>
      <c r="H88" s="57">
        <f t="shared" si="17"/>
        <v>35.040444966012231</v>
      </c>
      <c r="I88" s="57">
        <f t="shared" si="17"/>
        <v>35.747199933457907</v>
      </c>
      <c r="J88" s="57">
        <f t="shared" si="17"/>
        <v>35.349024488380067</v>
      </c>
      <c r="K88" s="57">
        <f t="shared" si="17"/>
        <v>34.907537900201646</v>
      </c>
      <c r="L88" s="7"/>
    </row>
    <row r="89" spans="1:12" x14ac:dyDescent="0.3">
      <c r="A89" s="7"/>
      <c r="B89" s="7"/>
      <c r="C89" s="7"/>
      <c r="D89" s="7"/>
      <c r="E89" s="7"/>
      <c r="F89" s="7"/>
      <c r="G89" s="61">
        <f>G88-G22*(1+Inflation!R86)</f>
        <v>0</v>
      </c>
      <c r="H89" s="61">
        <f>H88-H22*(1+Inflation!S86)</f>
        <v>0</v>
      </c>
      <c r="I89" s="61">
        <f>I88-I22*(1+Inflation!T86)</f>
        <v>0</v>
      </c>
      <c r="J89" s="61">
        <f>J88-J22*(1+Inflation!U86)</f>
        <v>0</v>
      </c>
      <c r="K89" s="61">
        <f>K88-K22*(1+Inflation!V86)</f>
        <v>0</v>
      </c>
      <c r="L89" s="7"/>
    </row>
    <row r="90" spans="1:12" s="7" customFormat="1" x14ac:dyDescent="0.3"/>
    <row r="91" spans="1:12" s="7" customFormat="1" x14ac:dyDescent="0.3">
      <c r="A91" s="55" t="s">
        <v>54</v>
      </c>
      <c r="B91" s="12"/>
      <c r="C91" s="12"/>
      <c r="D91" s="12"/>
      <c r="E91" s="12"/>
      <c r="F91" s="12"/>
      <c r="G91" s="59" t="s">
        <v>609</v>
      </c>
      <c r="H91" s="59" t="s">
        <v>609</v>
      </c>
      <c r="I91" s="59" t="s">
        <v>609</v>
      </c>
      <c r="J91" s="59" t="s">
        <v>609</v>
      </c>
      <c r="K91" s="59" t="s">
        <v>609</v>
      </c>
      <c r="L91" s="12"/>
    </row>
    <row r="92" spans="1:12" s="7" customFormat="1" x14ac:dyDescent="0.3"/>
    <row r="93" spans="1:12" s="7" customFormat="1" x14ac:dyDescent="0.3">
      <c r="E93" s="38" t="s">
        <v>59</v>
      </c>
      <c r="G93" s="210">
        <f>(G27-SUM('Calc|Consolidated Capex'!I87,'Calc|Consolidated Capex'!I184)/10^3)*(1+Inflation!R85)+SUM('Calc|Consolidated Capex'!I87,'Calc|Consolidated Capex'!I184)/10^3*(1+Inflation!R88)</f>
        <v>23.412729274197964</v>
      </c>
      <c r="H93" s="210">
        <f>(H27-SUM('Calc|Consolidated Capex'!J87,'Calc|Consolidated Capex'!J184)/10^3)*(1+Inflation!S85)+SUM('Calc|Consolidated Capex'!J87,'Calc|Consolidated Capex'!J184)/10^3*(1+Inflation!S88)</f>
        <v>23.871900578356389</v>
      </c>
      <c r="I93" s="210">
        <f>(I27-SUM('Calc|Consolidated Capex'!K87,'Calc|Consolidated Capex'!K184)/10^3)*(1+Inflation!T85)+SUM('Calc|Consolidated Capex'!K87,'Calc|Consolidated Capex'!K184)/10^3*(1+Inflation!T88)</f>
        <v>21.033324022189888</v>
      </c>
      <c r="J93" s="210">
        <f>(J27-SUM('Calc|Consolidated Capex'!L87,'Calc|Consolidated Capex'!L184)/10^3)*(1+Inflation!U85)+SUM('Calc|Consolidated Capex'!L87,'Calc|Consolidated Capex'!L184)/10^3*(1+Inflation!U88)</f>
        <v>21.230626226149326</v>
      </c>
      <c r="K93" s="210">
        <f>(K27-SUM('Calc|Consolidated Capex'!M87,'Calc|Consolidated Capex'!M184)/10^3)*(1+Inflation!V85)+SUM('Calc|Consolidated Capex'!M87,'Calc|Consolidated Capex'!M184)/10^3*(1+Inflation!V88)</f>
        <v>20.993683668640205</v>
      </c>
    </row>
    <row r="94" spans="1:12" s="7" customFormat="1" x14ac:dyDescent="0.3">
      <c r="E94" s="38" t="s">
        <v>28</v>
      </c>
      <c r="G94" s="43">
        <f>G28*(1+Inflation!R86)</f>
        <v>52.287807110607453</v>
      </c>
      <c r="H94" s="43">
        <f>H28*(1+Inflation!S86)</f>
        <v>58.554713394961198</v>
      </c>
      <c r="I94" s="43">
        <f>I28*(1+Inflation!T86)</f>
        <v>59.144281291822274</v>
      </c>
      <c r="J94" s="43">
        <f>J28*(1+Inflation!U86)</f>
        <v>59.042391875047159</v>
      </c>
      <c r="K94" s="43">
        <f>K28*(1+Inflation!V86)</f>
        <v>58.838838556860836</v>
      </c>
    </row>
    <row r="95" spans="1:12" s="7" customFormat="1" x14ac:dyDescent="0.3">
      <c r="E95" s="38" t="s">
        <v>29</v>
      </c>
      <c r="G95" s="314">
        <f>(G29-'Calc|Consolidated Capex'!I95/10^3)*(1+Inflation!R87)+'Calc|Consolidated Capex'!I95/10^3*(1+Inflation!R88)</f>
        <v>63.414405730410564</v>
      </c>
      <c r="H95" s="314">
        <f>(H29-'Calc|Consolidated Capex'!J95/10^3)*(1+Inflation!S87)+'Calc|Consolidated Capex'!J95/10^3*(1+Inflation!S88)</f>
        <v>64.840294401500657</v>
      </c>
      <c r="I95" s="314">
        <f>(I29-'Calc|Consolidated Capex'!K95/10^3)*(1+Inflation!T87)+'Calc|Consolidated Capex'!K95/10^3*(1+Inflation!T88)</f>
        <v>65.121718079340241</v>
      </c>
      <c r="J95" s="314">
        <f>(J29-'Calc|Consolidated Capex'!L95/10^3)*(1+Inflation!U87)+'Calc|Consolidated Capex'!L95/10^3*(1+Inflation!U88)</f>
        <v>64.612004028512672</v>
      </c>
      <c r="K95" s="314">
        <f>(K29-'Calc|Consolidated Capex'!M95/10^3)*(1+Inflation!V87)+'Calc|Consolidated Capex'!M95/10^3*(1+Inflation!V88)</f>
        <v>59.332705068333084</v>
      </c>
      <c r="L95" s="93"/>
    </row>
    <row r="96" spans="1:12" s="7" customFormat="1" x14ac:dyDescent="0.3">
      <c r="E96" s="38" t="s">
        <v>38</v>
      </c>
      <c r="G96" s="43">
        <f>G30*(1+Inflation!R88)</f>
        <v>0</v>
      </c>
      <c r="H96" s="43">
        <f>H30*(1+Inflation!S88)</f>
        <v>0</v>
      </c>
      <c r="I96" s="43">
        <f>I30*(1+Inflation!T88)</f>
        <v>0</v>
      </c>
      <c r="J96" s="43">
        <f>J30*(1+Inflation!U88)</f>
        <v>0</v>
      </c>
      <c r="K96" s="43">
        <f>K30*(1+Inflation!V88)</f>
        <v>0</v>
      </c>
    </row>
    <row r="97" spans="1:12" s="7" customFormat="1" x14ac:dyDescent="0.3">
      <c r="E97" s="38" t="s">
        <v>30</v>
      </c>
      <c r="G97" s="43">
        <f>G31*(1+Inflation!R89)</f>
        <v>54.492995477256571</v>
      </c>
      <c r="H97" s="43">
        <f>H31*(1+Inflation!S89)</f>
        <v>37.256095887006751</v>
      </c>
      <c r="I97" s="43">
        <f>I31*(1+Inflation!T89)</f>
        <v>36.235640492901794</v>
      </c>
      <c r="J97" s="43">
        <f>J31*(1+Inflation!U89)</f>
        <v>33.086537078730025</v>
      </c>
      <c r="K97" s="43">
        <f>K31*(1+Inflation!V89)</f>
        <v>22.944121460003487</v>
      </c>
    </row>
    <row r="98" spans="1:12" s="7" customFormat="1" x14ac:dyDescent="0.3">
      <c r="E98" s="137" t="s">
        <v>31</v>
      </c>
      <c r="G98" s="210">
        <f>(G32-'Calc|Consolidated Capex'!I63/10^3)*(1+Inflation!R90)+'Calc|Consolidated Capex'!I63/10^3</f>
        <v>43.680281464648743</v>
      </c>
      <c r="H98" s="210">
        <f>(H32-'Calc|Consolidated Capex'!J63/10^3)*(1+Inflation!S90)+'Calc|Consolidated Capex'!J63/10^3</f>
        <v>15.359536287824614</v>
      </c>
      <c r="I98" s="210">
        <f>(I32-'Calc|Consolidated Capex'!K63/10^3)*(1+Inflation!T90)+'Calc|Consolidated Capex'!K63/10^3</f>
        <v>3.3595295042642315</v>
      </c>
      <c r="J98" s="210">
        <f>(J32-'Calc|Consolidated Capex'!L63/10^3)*(1+Inflation!U90)+'Calc|Consolidated Capex'!L63/10^3</f>
        <v>8.4075915724454724</v>
      </c>
      <c r="K98" s="210">
        <f>(K32-'Calc|Consolidated Capex'!M63/10^3)*(1+Inflation!V90)+'Calc|Consolidated Capex'!M63/10^3</f>
        <v>11.45601935984206</v>
      </c>
    </row>
    <row r="99" spans="1:12" s="7" customFormat="1" x14ac:dyDescent="0.3">
      <c r="E99" s="38" t="s">
        <v>8</v>
      </c>
      <c r="G99" s="43">
        <f>G33*(1+Inflation!R91)</f>
        <v>0</v>
      </c>
      <c r="H99" s="43">
        <f>H33*(1+Inflation!S91)</f>
        <v>0</v>
      </c>
      <c r="I99" s="43">
        <f>I33*(1+Inflation!T91)</f>
        <v>0</v>
      </c>
      <c r="J99" s="43">
        <f>J33*(1+Inflation!U91)</f>
        <v>0</v>
      </c>
      <c r="K99" s="43">
        <f>K33*(1+Inflation!V91)</f>
        <v>0</v>
      </c>
    </row>
    <row r="100" spans="1:12" s="7" customFormat="1" x14ac:dyDescent="0.3">
      <c r="E100" s="38" t="s">
        <v>514</v>
      </c>
      <c r="G100" s="43">
        <f>G34*(1+Inflation!R91)</f>
        <v>0</v>
      </c>
      <c r="H100" s="43">
        <f>H34*(1+Inflation!S91)</f>
        <v>0</v>
      </c>
      <c r="I100" s="43">
        <f>I34*(1+Inflation!T91)</f>
        <v>0</v>
      </c>
      <c r="J100" s="43">
        <f>J34*(1+Inflation!U91)</f>
        <v>0</v>
      </c>
      <c r="K100" s="43">
        <f>K34*(1+Inflation!V91)</f>
        <v>0</v>
      </c>
    </row>
    <row r="101" spans="1:12" s="7" customFormat="1" x14ac:dyDescent="0.3">
      <c r="E101" s="38" t="s">
        <v>44</v>
      </c>
      <c r="G101" s="43">
        <f>G35*(1+Inflation!R92)</f>
        <v>0</v>
      </c>
      <c r="H101" s="43">
        <f>H35*(1+Inflation!S92)</f>
        <v>0</v>
      </c>
      <c r="I101" s="43">
        <f>I35*(1+Inflation!T92)</f>
        <v>0</v>
      </c>
      <c r="J101" s="43">
        <f>J35*(1+Inflation!U92)</f>
        <v>0</v>
      </c>
      <c r="K101" s="43">
        <f>K35*(1+Inflation!V92)</f>
        <v>0</v>
      </c>
    </row>
    <row r="102" spans="1:12" s="7" customFormat="1" x14ac:dyDescent="0.3">
      <c r="E102" s="38"/>
      <c r="G102" s="43"/>
      <c r="H102" s="43"/>
      <c r="I102" s="43"/>
      <c r="J102" s="43"/>
      <c r="K102" s="43"/>
    </row>
    <row r="103" spans="1:12" s="7" customFormat="1" x14ac:dyDescent="0.3"/>
    <row r="104" spans="1:12" s="7" customFormat="1" x14ac:dyDescent="0.3">
      <c r="E104" s="9" t="s">
        <v>20</v>
      </c>
      <c r="G104" s="57">
        <f t="shared" ref="G104:K104" si="18">SUM(G93:G101)</f>
        <v>237.28821905712127</v>
      </c>
      <c r="H104" s="57">
        <f t="shared" si="18"/>
        <v>199.8825405496496</v>
      </c>
      <c r="I104" s="57">
        <f t="shared" si="18"/>
        <v>184.89449339051845</v>
      </c>
      <c r="J104" s="57">
        <f t="shared" si="18"/>
        <v>186.37915078088469</v>
      </c>
      <c r="K104" s="57">
        <f t="shared" si="18"/>
        <v>173.56536811367965</v>
      </c>
    </row>
    <row r="105" spans="1:12" s="7" customFormat="1" x14ac:dyDescent="0.3">
      <c r="G105" s="61"/>
      <c r="H105" s="61"/>
      <c r="I105" s="61"/>
      <c r="J105" s="61"/>
      <c r="K105" s="61"/>
    </row>
    <row r="106" spans="1:12" s="7" customFormat="1" x14ac:dyDescent="0.3"/>
    <row r="107" spans="1:12" s="7" customFormat="1" x14ac:dyDescent="0.3">
      <c r="A107" s="55" t="s">
        <v>56</v>
      </c>
      <c r="B107" s="12"/>
      <c r="C107" s="12"/>
      <c r="D107" s="12"/>
      <c r="E107" s="12"/>
      <c r="F107" s="12"/>
      <c r="G107" s="59" t="s">
        <v>609</v>
      </c>
      <c r="H107" s="59" t="s">
        <v>609</v>
      </c>
      <c r="I107" s="59" t="s">
        <v>609</v>
      </c>
      <c r="J107" s="59" t="s">
        <v>609</v>
      </c>
      <c r="K107" s="59" t="s">
        <v>609</v>
      </c>
      <c r="L107" s="12"/>
    </row>
    <row r="108" spans="1:12" s="7" customFormat="1" x14ac:dyDescent="0.3"/>
    <row r="109" spans="1:12" s="7" customFormat="1" x14ac:dyDescent="0.3">
      <c r="E109" s="38" t="s">
        <v>59</v>
      </c>
      <c r="G109" s="43">
        <f>G93*(1+'Calc|Overheads'!O$32)</f>
        <v>26.601961807065063</v>
      </c>
      <c r="H109" s="43">
        <f>H93*(1+'Calc|Overheads'!P$32)</f>
        <v>27.003224955894368</v>
      </c>
      <c r="I109" s="43">
        <f>I93*(1+'Calc|Overheads'!Q$32)</f>
        <v>23.841831257415066</v>
      </c>
      <c r="J109" s="43">
        <f>J93*(1+'Calc|Overheads'!R$32)</f>
        <v>24.093980399037463</v>
      </c>
      <c r="K109" s="43">
        <f>K93*(1+'Calc|Overheads'!S$32)</f>
        <v>23.940058888805346</v>
      </c>
    </row>
    <row r="110" spans="1:12" s="7" customFormat="1" x14ac:dyDescent="0.3">
      <c r="E110" s="38" t="s">
        <v>28</v>
      </c>
      <c r="G110" s="43">
        <f>G94*(1+'Calc|Overheads'!O$32)</f>
        <v>59.41034176073066</v>
      </c>
      <c r="H110" s="43">
        <f>H94*(1+'Calc|Overheads'!P$32)</f>
        <v>66.23545087422292</v>
      </c>
      <c r="I110" s="43">
        <f>I94*(1+'Calc|Overheads'!Q$32)</f>
        <v>67.041613247296127</v>
      </c>
      <c r="J110" s="43">
        <f>J94*(1+'Calc|Overheads'!R$32)</f>
        <v>67.00538257310231</v>
      </c>
      <c r="K110" s="43">
        <f>K94*(1+'Calc|Overheads'!S$32)</f>
        <v>67.09662211898025</v>
      </c>
    </row>
    <row r="111" spans="1:12" s="7" customFormat="1" x14ac:dyDescent="0.3">
      <c r="E111" s="38" t="s">
        <v>29</v>
      </c>
      <c r="G111" s="43">
        <f>G95*(1+'Calc|Overheads'!O$32)</f>
        <v>72.052582144586324</v>
      </c>
      <c r="H111" s="43">
        <f>H95*(1+'Calc|Overheads'!P$32)</f>
        <v>73.345523963751859</v>
      </c>
      <c r="I111" s="43">
        <f>I95*(1+'Calc|Overheads'!Q$32)</f>
        <v>73.817196559259514</v>
      </c>
      <c r="J111" s="43">
        <f>J95*(1+'Calc|Overheads'!R$32)</f>
        <v>73.326162969610579</v>
      </c>
      <c r="K111" s="43">
        <f>K95*(1+'Calc|Overheads'!S$32)</f>
        <v>67.659800718528061</v>
      </c>
    </row>
    <row r="112" spans="1:12" s="7" customFormat="1" x14ac:dyDescent="0.3">
      <c r="E112" s="38" t="s">
        <v>38</v>
      </c>
      <c r="G112" s="43">
        <f>G96*(1+'Calc|Overheads'!O$32)</f>
        <v>0</v>
      </c>
      <c r="H112" s="43">
        <f>H96*(1+'Calc|Overheads'!P$32)</f>
        <v>0</v>
      </c>
      <c r="I112" s="43">
        <f>I96*(1+'Calc|Overheads'!Q$32)</f>
        <v>0</v>
      </c>
      <c r="J112" s="43">
        <f>J96*(1+'Calc|Overheads'!R$32)</f>
        <v>0</v>
      </c>
      <c r="K112" s="43">
        <f>K96*(1+'Calc|Overheads'!S$32)</f>
        <v>0</v>
      </c>
    </row>
    <row r="113" spans="1:12" s="7" customFormat="1" x14ac:dyDescent="0.3">
      <c r="E113" s="38" t="s">
        <v>30</v>
      </c>
      <c r="G113" s="43">
        <f t="shared" ref="G113:K113" si="19">G97</f>
        <v>54.492995477256571</v>
      </c>
      <c r="H113" s="43">
        <f t="shared" si="19"/>
        <v>37.256095887006751</v>
      </c>
      <c r="I113" s="43">
        <f t="shared" si="19"/>
        <v>36.235640492901794</v>
      </c>
      <c r="J113" s="43">
        <f t="shared" si="19"/>
        <v>33.086537078730025</v>
      </c>
      <c r="K113" s="43">
        <f t="shared" si="19"/>
        <v>22.944121460003487</v>
      </c>
    </row>
    <row r="114" spans="1:12" s="7" customFormat="1" x14ac:dyDescent="0.3">
      <c r="E114" s="38" t="s">
        <v>31</v>
      </c>
      <c r="G114" s="43">
        <f t="shared" ref="G114:K114" si="20">G98</f>
        <v>43.680281464648743</v>
      </c>
      <c r="H114" s="43">
        <f t="shared" si="20"/>
        <v>15.359536287824614</v>
      </c>
      <c r="I114" s="43">
        <f t="shared" si="20"/>
        <v>3.3595295042642315</v>
      </c>
      <c r="J114" s="43">
        <f t="shared" si="20"/>
        <v>8.4075915724454724</v>
      </c>
      <c r="K114" s="43">
        <f t="shared" si="20"/>
        <v>11.45601935984206</v>
      </c>
    </row>
    <row r="115" spans="1:12" s="7" customFormat="1" x14ac:dyDescent="0.3">
      <c r="E115" s="38" t="s">
        <v>8</v>
      </c>
      <c r="G115" s="43">
        <f>G99*(1+'Calc|Overheads'!O$32)</f>
        <v>0</v>
      </c>
      <c r="H115" s="43">
        <f>H99*(1+'Calc|Overheads'!P$32)</f>
        <v>0</v>
      </c>
      <c r="I115" s="43">
        <f>I99*(1+'Calc|Overheads'!Q$32)</f>
        <v>0</v>
      </c>
      <c r="J115" s="43">
        <f>J99*(1+'Calc|Overheads'!R$32)</f>
        <v>0</v>
      </c>
      <c r="K115" s="43">
        <f>K99*(1+'Calc|Overheads'!S$32)</f>
        <v>0</v>
      </c>
    </row>
    <row r="116" spans="1:12" s="7" customFormat="1" x14ac:dyDescent="0.3">
      <c r="E116" s="38" t="s">
        <v>514</v>
      </c>
      <c r="G116" s="43">
        <f>G100*(1+'Calc|Overheads'!O$32)</f>
        <v>0</v>
      </c>
      <c r="H116" s="43">
        <f>H100*(1+'Calc|Overheads'!P$32)</f>
        <v>0</v>
      </c>
      <c r="I116" s="43">
        <f>I100*(1+'Calc|Overheads'!Q$32)</f>
        <v>0</v>
      </c>
      <c r="J116" s="43">
        <f>J100*(1+'Calc|Overheads'!R$32)</f>
        <v>0</v>
      </c>
      <c r="K116" s="43">
        <f>K100*(1+'Calc|Overheads'!S$32)</f>
        <v>0</v>
      </c>
    </row>
    <row r="117" spans="1:12" s="7" customFormat="1" x14ac:dyDescent="0.3">
      <c r="E117" s="38" t="s">
        <v>44</v>
      </c>
      <c r="G117" s="43">
        <f t="shared" ref="G117:K117" si="21">G101</f>
        <v>0</v>
      </c>
      <c r="H117" s="43">
        <f t="shared" si="21"/>
        <v>0</v>
      </c>
      <c r="I117" s="43">
        <f t="shared" si="21"/>
        <v>0</v>
      </c>
      <c r="J117" s="43">
        <f t="shared" si="21"/>
        <v>0</v>
      </c>
      <c r="K117" s="43">
        <f t="shared" si="21"/>
        <v>0</v>
      </c>
    </row>
    <row r="118" spans="1:12" s="7" customFormat="1" x14ac:dyDescent="0.3">
      <c r="E118" s="38"/>
      <c r="G118" s="43"/>
      <c r="H118" s="43"/>
      <c r="I118" s="43"/>
      <c r="J118" s="43"/>
      <c r="K118" s="43"/>
    </row>
    <row r="119" spans="1:12" s="7" customFormat="1" x14ac:dyDescent="0.3"/>
    <row r="120" spans="1:12" s="7" customFormat="1" x14ac:dyDescent="0.3">
      <c r="E120" s="9" t="s">
        <v>20</v>
      </c>
      <c r="G120" s="57">
        <f t="shared" ref="G120:K120" si="22">SUM(G109:G117)</f>
        <v>256.23816265428741</v>
      </c>
      <c r="H120" s="57">
        <f t="shared" si="22"/>
        <v>219.19983196870052</v>
      </c>
      <c r="I120" s="57">
        <f t="shared" si="22"/>
        <v>204.2958110611367</v>
      </c>
      <c r="J120" s="57">
        <f t="shared" si="22"/>
        <v>205.91965459292587</v>
      </c>
      <c r="K120" s="57">
        <f t="shared" si="22"/>
        <v>193.09662254615921</v>
      </c>
    </row>
    <row r="121" spans="1:12" s="7" customFormat="1" x14ac:dyDescent="0.3">
      <c r="G121" s="238">
        <f>G120-'Output|PTRM'!G27</f>
        <v>0</v>
      </c>
      <c r="H121" s="238">
        <f>H120-'Output|PTRM'!H27</f>
        <v>0</v>
      </c>
      <c r="I121" s="238">
        <f>I120-'Output|PTRM'!I27</f>
        <v>0</v>
      </c>
      <c r="J121" s="238">
        <f>J120-'Output|PTRM'!J27</f>
        <v>0</v>
      </c>
      <c r="K121" s="238">
        <f>K120-'Output|PTRM'!K27</f>
        <v>0</v>
      </c>
    </row>
    <row r="122" spans="1:12" s="7" customFormat="1" x14ac:dyDescent="0.3">
      <c r="G122" s="43"/>
      <c r="H122" s="43"/>
      <c r="I122" s="43"/>
    </row>
    <row r="123" spans="1:12" s="7" customFormat="1" x14ac:dyDescent="0.3">
      <c r="A123" s="55" t="s">
        <v>83</v>
      </c>
      <c r="B123" s="12"/>
      <c r="C123" s="12"/>
      <c r="D123" s="12"/>
      <c r="E123" s="12"/>
      <c r="F123" s="12"/>
      <c r="G123" s="59" t="s">
        <v>609</v>
      </c>
      <c r="H123" s="59" t="s">
        <v>609</v>
      </c>
      <c r="I123" s="59" t="s">
        <v>609</v>
      </c>
      <c r="J123" s="59" t="s">
        <v>609</v>
      </c>
      <c r="K123" s="59" t="s">
        <v>609</v>
      </c>
      <c r="L123" s="12"/>
    </row>
    <row r="124" spans="1:12" s="7" customFormat="1" x14ac:dyDescent="0.3"/>
    <row r="125" spans="1:12" s="7" customFormat="1" x14ac:dyDescent="0.3">
      <c r="E125" s="38" t="s">
        <v>59</v>
      </c>
      <c r="G125" s="43">
        <f t="shared" ref="G125:K125" si="23">G109-G77</f>
        <v>26.601961807065063</v>
      </c>
      <c r="H125" s="43">
        <f t="shared" si="23"/>
        <v>27.003224955894368</v>
      </c>
      <c r="I125" s="43">
        <f t="shared" si="23"/>
        <v>23.841831257415066</v>
      </c>
      <c r="J125" s="43">
        <f t="shared" si="23"/>
        <v>24.093980399037463</v>
      </c>
      <c r="K125" s="43">
        <f t="shared" si="23"/>
        <v>23.940058888805346</v>
      </c>
    </row>
    <row r="126" spans="1:12" s="7" customFormat="1" x14ac:dyDescent="0.3">
      <c r="E126" s="38" t="s">
        <v>28</v>
      </c>
      <c r="G126" s="43">
        <f t="shared" ref="G126:K126" si="24">G110-G78</f>
        <v>28.768055506994926</v>
      </c>
      <c r="H126" s="43">
        <f t="shared" si="24"/>
        <v>31.195005908210689</v>
      </c>
      <c r="I126" s="43">
        <f t="shared" si="24"/>
        <v>31.29441331383822</v>
      </c>
      <c r="J126" s="43">
        <f t="shared" si="24"/>
        <v>31.656358084722243</v>
      </c>
      <c r="K126" s="43">
        <f t="shared" si="24"/>
        <v>32.189084218778603</v>
      </c>
    </row>
    <row r="127" spans="1:12" s="7" customFormat="1" x14ac:dyDescent="0.3">
      <c r="E127" s="38" t="s">
        <v>29</v>
      </c>
      <c r="G127" s="43">
        <f t="shared" ref="G127:K127" si="25">G111-G79</f>
        <v>72.052582144586324</v>
      </c>
      <c r="H127" s="43">
        <f t="shared" si="25"/>
        <v>73.345523963751859</v>
      </c>
      <c r="I127" s="43">
        <f t="shared" si="25"/>
        <v>73.817196559259514</v>
      </c>
      <c r="J127" s="43">
        <f t="shared" si="25"/>
        <v>73.326162969610579</v>
      </c>
      <c r="K127" s="43">
        <f t="shared" si="25"/>
        <v>67.659800718528061</v>
      </c>
    </row>
    <row r="128" spans="1:12" s="7" customFormat="1" x14ac:dyDescent="0.3">
      <c r="E128" s="38" t="s">
        <v>38</v>
      </c>
      <c r="G128" s="43">
        <f t="shared" ref="G128:K128" si="26">G112-G80</f>
        <v>0</v>
      </c>
      <c r="H128" s="43">
        <f t="shared" si="26"/>
        <v>0</v>
      </c>
      <c r="I128" s="43">
        <f t="shared" si="26"/>
        <v>0</v>
      </c>
      <c r="J128" s="43">
        <f t="shared" si="26"/>
        <v>0</v>
      </c>
      <c r="K128" s="43">
        <f t="shared" si="26"/>
        <v>0</v>
      </c>
    </row>
    <row r="129" spans="1:12" s="7" customFormat="1" x14ac:dyDescent="0.3">
      <c r="E129" s="38" t="s">
        <v>30</v>
      </c>
      <c r="G129" s="131">
        <f t="shared" ref="G129:K129" si="27">G113-G81</f>
        <v>54.492995477256571</v>
      </c>
      <c r="H129" s="43">
        <f t="shared" si="27"/>
        <v>37.256095887006751</v>
      </c>
      <c r="I129" s="43">
        <f t="shared" si="27"/>
        <v>36.235640492901794</v>
      </c>
      <c r="J129" s="43">
        <f t="shared" si="27"/>
        <v>33.086537078730025</v>
      </c>
      <c r="K129" s="43">
        <f t="shared" si="27"/>
        <v>22.944121460003487</v>
      </c>
    </row>
    <row r="130" spans="1:12" s="7" customFormat="1" x14ac:dyDescent="0.3">
      <c r="E130" s="38" t="s">
        <v>31</v>
      </c>
      <c r="G130" s="43">
        <f t="shared" ref="G130:K130" si="28">G114-G82</f>
        <v>43.680281464648743</v>
      </c>
      <c r="H130" s="43">
        <f t="shared" si="28"/>
        <v>15.359536287824614</v>
      </c>
      <c r="I130" s="43">
        <f t="shared" si="28"/>
        <v>3.3595295042642315</v>
      </c>
      <c r="J130" s="43">
        <f t="shared" si="28"/>
        <v>8.4075915724454724</v>
      </c>
      <c r="K130" s="43">
        <f t="shared" si="28"/>
        <v>11.45601935984206</v>
      </c>
    </row>
    <row r="131" spans="1:12" s="7" customFormat="1" x14ac:dyDescent="0.3">
      <c r="E131" s="38" t="s">
        <v>8</v>
      </c>
      <c r="G131" s="43">
        <f t="shared" ref="G131:K131" si="29">G115-G83</f>
        <v>0</v>
      </c>
      <c r="H131" s="43">
        <f t="shared" si="29"/>
        <v>0</v>
      </c>
      <c r="I131" s="43">
        <f t="shared" si="29"/>
        <v>0</v>
      </c>
      <c r="J131" s="43">
        <f t="shared" si="29"/>
        <v>0</v>
      </c>
      <c r="K131" s="43">
        <f t="shared" si="29"/>
        <v>0</v>
      </c>
    </row>
    <row r="132" spans="1:12" s="7" customFormat="1" x14ac:dyDescent="0.3">
      <c r="E132" s="38" t="s">
        <v>514</v>
      </c>
      <c r="G132" s="43">
        <f t="shared" ref="G132:K132" si="30">G116-G84</f>
        <v>0</v>
      </c>
      <c r="H132" s="43">
        <f t="shared" si="30"/>
        <v>0</v>
      </c>
      <c r="I132" s="43">
        <f t="shared" si="30"/>
        <v>0</v>
      </c>
      <c r="J132" s="43">
        <f t="shared" si="30"/>
        <v>0</v>
      </c>
      <c r="K132" s="43">
        <f t="shared" si="30"/>
        <v>0</v>
      </c>
    </row>
    <row r="133" spans="1:12" s="7" customFormat="1" x14ac:dyDescent="0.3">
      <c r="E133" s="38" t="s">
        <v>44</v>
      </c>
      <c r="G133" s="43">
        <f t="shared" ref="G133:K133" si="31">G117-G85</f>
        <v>0</v>
      </c>
      <c r="H133" s="43">
        <f t="shared" si="31"/>
        <v>0</v>
      </c>
      <c r="I133" s="43">
        <f t="shared" si="31"/>
        <v>0</v>
      </c>
      <c r="J133" s="43">
        <f t="shared" si="31"/>
        <v>0</v>
      </c>
      <c r="K133" s="43">
        <f t="shared" si="31"/>
        <v>0</v>
      </c>
    </row>
    <row r="134" spans="1:12" s="7" customFormat="1" x14ac:dyDescent="0.3">
      <c r="E134" s="38"/>
      <c r="G134" s="43"/>
      <c r="H134" s="43"/>
      <c r="I134" s="43"/>
      <c r="J134" s="43"/>
      <c r="K134" s="43"/>
    </row>
    <row r="135" spans="1:12" s="7" customFormat="1" x14ac:dyDescent="0.3"/>
    <row r="136" spans="1:12" s="7" customFormat="1" x14ac:dyDescent="0.3">
      <c r="E136" s="9" t="s">
        <v>20</v>
      </c>
      <c r="G136" s="57">
        <f t="shared" ref="G136:K136" si="32">SUM(G125:G133)</f>
        <v>225.59587640055165</v>
      </c>
      <c r="H136" s="57">
        <f t="shared" si="32"/>
        <v>184.15938700268828</v>
      </c>
      <c r="I136" s="57">
        <f t="shared" si="32"/>
        <v>168.54861112767884</v>
      </c>
      <c r="J136" s="57">
        <f t="shared" si="32"/>
        <v>170.57063010454578</v>
      </c>
      <c r="K136" s="57">
        <f t="shared" si="32"/>
        <v>158.18908464595756</v>
      </c>
    </row>
    <row r="137" spans="1:12" s="7" customFormat="1" x14ac:dyDescent="0.3">
      <c r="G137" s="61">
        <f t="shared" ref="G137:K137" si="33">G120-G88-G136</f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</row>
    <row r="138" spans="1:12" s="7" customFormat="1" x14ac:dyDescent="0.3">
      <c r="G138" s="93">
        <f>G136-'Output|PTRM'!G69</f>
        <v>224.71885477170767</v>
      </c>
      <c r="H138" s="93">
        <f>H136-'Output|PTRM'!H69</f>
        <v>183.2823653738443</v>
      </c>
      <c r="I138" s="93">
        <f>I136-'Output|PTRM'!I69</f>
        <v>167.67158949883486</v>
      </c>
      <c r="J138" s="93">
        <f>J136-'Output|PTRM'!J69</f>
        <v>169.69360847570181</v>
      </c>
      <c r="K138" s="93">
        <f>K136-'Output|PTRM'!K69</f>
        <v>157.31206301711359</v>
      </c>
    </row>
    <row r="139" spans="1:12" s="7" customFormat="1" x14ac:dyDescent="0.3"/>
    <row r="140" spans="1:12" s="7" customFormat="1" x14ac:dyDescent="0.3">
      <c r="A140" s="21" t="s">
        <v>4</v>
      </c>
      <c r="B140" s="21"/>
      <c r="C140" s="14"/>
      <c r="D140" s="23"/>
      <c r="E140" s="24"/>
      <c r="F140" s="24"/>
      <c r="G140" s="20"/>
      <c r="H140" s="20"/>
      <c r="I140" s="20"/>
      <c r="J140" s="20"/>
      <c r="K140" s="20"/>
      <c r="L140" s="20"/>
    </row>
    <row r="141" spans="1:12" s="7" customFormat="1" x14ac:dyDescent="0.3"/>
    <row r="142" spans="1:12" s="7" customFormat="1" x14ac:dyDescent="0.3"/>
    <row r="143" spans="1:12" s="7" customFormat="1" hidden="1" x14ac:dyDescent="0.3"/>
    <row r="144" spans="1:12" s="7" customFormat="1" hidden="1" x14ac:dyDescent="0.3"/>
    <row r="145" s="7" customFormat="1" hidden="1" x14ac:dyDescent="0.3"/>
    <row r="146" s="7" customFormat="1" hidden="1" x14ac:dyDescent="0.3"/>
    <row r="147" s="7" customFormat="1" hidden="1" x14ac:dyDescent="0.3"/>
    <row r="148" s="7" customFormat="1" hidden="1" x14ac:dyDescent="0.3"/>
    <row r="149" s="7" customFormat="1" hidden="1" x14ac:dyDescent="0.3"/>
    <row r="150" s="7" customFormat="1" hidden="1" x14ac:dyDescent="0.3"/>
    <row r="151" s="7" customFormat="1" hidden="1" x14ac:dyDescent="0.3"/>
    <row r="152" s="7" customFormat="1" hidden="1" x14ac:dyDescent="0.3"/>
    <row r="153" s="7" customFormat="1" hidden="1" x14ac:dyDescent="0.3"/>
    <row r="154" s="7" customFormat="1" hidden="1" x14ac:dyDescent="0.3"/>
    <row r="155" s="7" customFormat="1" hidden="1" x14ac:dyDescent="0.3"/>
    <row r="156" s="7" customFormat="1" hidden="1" x14ac:dyDescent="0.3"/>
    <row r="157" s="7" customFormat="1" hidden="1" x14ac:dyDescent="0.3"/>
    <row r="158" s="7" customFormat="1" hidden="1" x14ac:dyDescent="0.3"/>
    <row r="159" s="7" customFormat="1" hidden="1" x14ac:dyDescent="0.3"/>
    <row r="160" s="7" customFormat="1" hidden="1" x14ac:dyDescent="0.3"/>
    <row r="161" s="7" customFormat="1" hidden="1" x14ac:dyDescent="0.3"/>
    <row r="162" s="7" customFormat="1" hidden="1" x14ac:dyDescent="0.3"/>
    <row r="163" s="7" customFormat="1" hidden="1" x14ac:dyDescent="0.3"/>
    <row r="164" s="7" customFormat="1" hidden="1" x14ac:dyDescent="0.3"/>
    <row r="165" s="7" customFormat="1" hidden="1" x14ac:dyDescent="0.3"/>
    <row r="166" s="7" customFormat="1" hidden="1" x14ac:dyDescent="0.3"/>
    <row r="167" s="7" customFormat="1" hidden="1" x14ac:dyDescent="0.3"/>
    <row r="168" s="7" customFormat="1" hidden="1" x14ac:dyDescent="0.3"/>
    <row r="169" s="7" customFormat="1" hidden="1" x14ac:dyDescent="0.3"/>
    <row r="170" s="7" customFormat="1" hidden="1" x14ac:dyDescent="0.3"/>
    <row r="171" s="7" customFormat="1" hidden="1" x14ac:dyDescent="0.3"/>
    <row r="172" s="7" customFormat="1" hidden="1" x14ac:dyDescent="0.3"/>
    <row r="173" s="7" customFormat="1" hidden="1" x14ac:dyDescent="0.3"/>
    <row r="174" s="7" customFormat="1" hidden="1" x14ac:dyDescent="0.3"/>
    <row r="175" s="7" customFormat="1" hidden="1" x14ac:dyDescent="0.3"/>
    <row r="176" s="7" customFormat="1" hidden="1" x14ac:dyDescent="0.3"/>
    <row r="177" s="7" customFormat="1" hidden="1" x14ac:dyDescent="0.3"/>
    <row r="178" s="7" customFormat="1" hidden="1" x14ac:dyDescent="0.3"/>
    <row r="179" s="7" customFormat="1" hidden="1" x14ac:dyDescent="0.3"/>
    <row r="180" s="7" customFormat="1" hidden="1" x14ac:dyDescent="0.3"/>
    <row r="181" s="7" customFormat="1" hidden="1" x14ac:dyDescent="0.3"/>
    <row r="182" s="7" customFormat="1" hidden="1" x14ac:dyDescent="0.3"/>
    <row r="183" s="7" customFormat="1" hidden="1" x14ac:dyDescent="0.3"/>
    <row r="184" s="7" customFormat="1" hidden="1" x14ac:dyDescent="0.3"/>
    <row r="185" s="7" customFormat="1" hidden="1" x14ac:dyDescent="0.3"/>
    <row r="186" s="7" customFormat="1" hidden="1" x14ac:dyDescent="0.3"/>
    <row r="187" s="7" customFormat="1" hidden="1" x14ac:dyDescent="0.3"/>
    <row r="188" s="7" customFormat="1" hidden="1" x14ac:dyDescent="0.3"/>
    <row r="189" s="7" customFormat="1" hidden="1" x14ac:dyDescent="0.3"/>
    <row r="190" s="7" customFormat="1" hidden="1" x14ac:dyDescent="0.3"/>
    <row r="191" s="7" customFormat="1" hidden="1" x14ac:dyDescent="0.3"/>
    <row r="192" s="7" customFormat="1" hidden="1" x14ac:dyDescent="0.3"/>
    <row r="193" s="7" customFormat="1" hidden="1" x14ac:dyDescent="0.3"/>
    <row r="194" s="7" customFormat="1" hidden="1" x14ac:dyDescent="0.3"/>
    <row r="195" s="7" customFormat="1" hidden="1" x14ac:dyDescent="0.3"/>
    <row r="196" s="7" customFormat="1" hidden="1" x14ac:dyDescent="0.3"/>
    <row r="197" s="7" customFormat="1" hidden="1" x14ac:dyDescent="0.3"/>
    <row r="198" s="7" customFormat="1" hidden="1" x14ac:dyDescent="0.3"/>
    <row r="199" s="7" customFormat="1" hidden="1" x14ac:dyDescent="0.3"/>
    <row r="200" s="7" customFormat="1" hidden="1" x14ac:dyDescent="0.3"/>
    <row r="201" s="7" customFormat="1" hidden="1" x14ac:dyDescent="0.3"/>
    <row r="202" s="7" customFormat="1" hidden="1" x14ac:dyDescent="0.3"/>
    <row r="203" s="7" customFormat="1" hidden="1" x14ac:dyDescent="0.3"/>
    <row r="204" s="7" customFormat="1" hidden="1" x14ac:dyDescent="0.3"/>
    <row r="205" s="7" customFormat="1" hidden="1" x14ac:dyDescent="0.3"/>
    <row r="206" s="7" customFormat="1" hidden="1" x14ac:dyDescent="0.3"/>
    <row r="207" s="7" customFormat="1" hidden="1" x14ac:dyDescent="0.3"/>
    <row r="208" s="7" customFormat="1" hidden="1" x14ac:dyDescent="0.3"/>
    <row r="209" s="7" customFormat="1" hidden="1" x14ac:dyDescent="0.3"/>
    <row r="210" s="7" customFormat="1" hidden="1" x14ac:dyDescent="0.3"/>
    <row r="211" s="7" customFormat="1" hidden="1" x14ac:dyDescent="0.3"/>
    <row r="212" s="7" customFormat="1" hidden="1" x14ac:dyDescent="0.3"/>
    <row r="213" s="7" customFormat="1" hidden="1" x14ac:dyDescent="0.3"/>
    <row r="214" s="7" customFormat="1" hidden="1" x14ac:dyDescent="0.3"/>
    <row r="215" s="7" customFormat="1" hidden="1" x14ac:dyDescent="0.3"/>
    <row r="216" s="7" customFormat="1" hidden="1" x14ac:dyDescent="0.3"/>
    <row r="217" s="7" customFormat="1" hidden="1" x14ac:dyDescent="0.3"/>
    <row r="218" s="7" customFormat="1" hidden="1" x14ac:dyDescent="0.3"/>
    <row r="219" s="7" customFormat="1" hidden="1" x14ac:dyDescent="0.3"/>
    <row r="220" s="7" customFormat="1" hidden="1" x14ac:dyDescent="0.3"/>
    <row r="221" s="7" customFormat="1" hidden="1" x14ac:dyDescent="0.3"/>
    <row r="222" s="7" customFormat="1" hidden="1" x14ac:dyDescent="0.3"/>
    <row r="223" s="7" customFormat="1" hidden="1" x14ac:dyDescent="0.3"/>
    <row r="224" s="7" customFormat="1" hidden="1" x14ac:dyDescent="0.3"/>
    <row r="225" s="7" customFormat="1" hidden="1" x14ac:dyDescent="0.3"/>
    <row r="226" s="7" customFormat="1" hidden="1" x14ac:dyDescent="0.3"/>
    <row r="227" s="7" customFormat="1" hidden="1" x14ac:dyDescent="0.3"/>
    <row r="228" s="7" customFormat="1" hidden="1" x14ac:dyDescent="0.3"/>
    <row r="229" s="7" customFormat="1" hidden="1" x14ac:dyDescent="0.3"/>
    <row r="230" s="7" customFormat="1" hidden="1" x14ac:dyDescent="0.3"/>
    <row r="231" s="7" customFormat="1" hidden="1" x14ac:dyDescent="0.3"/>
    <row r="232" s="7" customFormat="1" hidden="1" x14ac:dyDescent="0.3"/>
    <row r="233" s="7" customFormat="1" hidden="1" x14ac:dyDescent="0.3"/>
    <row r="234" s="7" customFormat="1" hidden="1" x14ac:dyDescent="0.3"/>
    <row r="235" s="7" customFormat="1" hidden="1" x14ac:dyDescent="0.3"/>
    <row r="236" s="7" customFormat="1" hidden="1" x14ac:dyDescent="0.3"/>
    <row r="237" s="7" customFormat="1" hidden="1" x14ac:dyDescent="0.3"/>
    <row r="238" s="7" customFormat="1" hidden="1" x14ac:dyDescent="0.3"/>
    <row r="239" s="7" customFormat="1" hidden="1" x14ac:dyDescent="0.3"/>
    <row r="240" s="7" customFormat="1" hidden="1" x14ac:dyDescent="0.3"/>
    <row r="241" s="7" customFormat="1" hidden="1" x14ac:dyDescent="0.3"/>
    <row r="242" s="7" customFormat="1" hidden="1" x14ac:dyDescent="0.3"/>
    <row r="243" s="7" customFormat="1" hidden="1" x14ac:dyDescent="0.3"/>
    <row r="244" s="7" customFormat="1" hidden="1" x14ac:dyDescent="0.3"/>
    <row r="245" s="7" customFormat="1" hidden="1" x14ac:dyDescent="0.3"/>
    <row r="246" s="7" customFormat="1" hidden="1" x14ac:dyDescent="0.3"/>
    <row r="247" s="7" customFormat="1" hidden="1" x14ac:dyDescent="0.3"/>
    <row r="248" s="7" customFormat="1" hidden="1" x14ac:dyDescent="0.3"/>
    <row r="249" s="7" customFormat="1" hidden="1" x14ac:dyDescent="0.3"/>
    <row r="250" s="7" customFormat="1" hidden="1" x14ac:dyDescent="0.3"/>
    <row r="251" s="7" customFormat="1" hidden="1" x14ac:dyDescent="0.3"/>
    <row r="252" s="7" customFormat="1" hidden="1" x14ac:dyDescent="0.3"/>
    <row r="253" s="7" customFormat="1" hidden="1" x14ac:dyDescent="0.3"/>
    <row r="254" s="7" customFormat="1" hidden="1" x14ac:dyDescent="0.3"/>
    <row r="255" s="7" customFormat="1" hidden="1" x14ac:dyDescent="0.3"/>
    <row r="256" s="7" customFormat="1" hidden="1" x14ac:dyDescent="0.3"/>
    <row r="257" s="7" customFormat="1" hidden="1" x14ac:dyDescent="0.3"/>
    <row r="258" s="7" customFormat="1" hidden="1" x14ac:dyDescent="0.3"/>
    <row r="259" s="7" customFormat="1" hidden="1" x14ac:dyDescent="0.3"/>
    <row r="260" s="7" customFormat="1" hidden="1" x14ac:dyDescent="0.3"/>
    <row r="261" s="7" customFormat="1" hidden="1" x14ac:dyDescent="0.3"/>
    <row r="262" s="7" customFormat="1" hidden="1" x14ac:dyDescent="0.3"/>
    <row r="263" s="7" customFormat="1" hidden="1" x14ac:dyDescent="0.3"/>
    <row r="264" s="7" customFormat="1" hidden="1" x14ac:dyDescent="0.3"/>
    <row r="265" s="7" customFormat="1" hidden="1" x14ac:dyDescent="0.3"/>
    <row r="266" s="7" customFormat="1" hidden="1" x14ac:dyDescent="0.3"/>
    <row r="267" s="7" customFormat="1" hidden="1" x14ac:dyDescent="0.3"/>
    <row r="268" s="7" customFormat="1" hidden="1" x14ac:dyDescent="0.3"/>
    <row r="269" s="7" customFormat="1" hidden="1" x14ac:dyDescent="0.3"/>
    <row r="270" s="7" customFormat="1" hidden="1" x14ac:dyDescent="0.3"/>
    <row r="271" s="7" customFormat="1" hidden="1" x14ac:dyDescent="0.3"/>
    <row r="272" s="7" customFormat="1" hidden="1" x14ac:dyDescent="0.3"/>
    <row r="273" s="7" customFormat="1" hidden="1" x14ac:dyDescent="0.3"/>
    <row r="274" s="7" customFormat="1" hidden="1" x14ac:dyDescent="0.3"/>
    <row r="275" s="7" customFormat="1" hidden="1" x14ac:dyDescent="0.3"/>
    <row r="276" s="7" customFormat="1" hidden="1" x14ac:dyDescent="0.3"/>
    <row r="277" s="7" customFormat="1" hidden="1" x14ac:dyDescent="0.3"/>
    <row r="278" s="7" customFormat="1" hidden="1" x14ac:dyDescent="0.3"/>
    <row r="279" s="7" customFormat="1" hidden="1" x14ac:dyDescent="0.3"/>
    <row r="280" s="7" customFormat="1" hidden="1" x14ac:dyDescent="0.3"/>
    <row r="281" s="7" customFormat="1" hidden="1" x14ac:dyDescent="0.3"/>
    <row r="282" s="7" customFormat="1" hidden="1" x14ac:dyDescent="0.3"/>
    <row r="283" s="7" customFormat="1" hidden="1" x14ac:dyDescent="0.3"/>
    <row r="284" s="7" customFormat="1" hidden="1" x14ac:dyDescent="0.3"/>
    <row r="285" s="7" customFormat="1" hidden="1" x14ac:dyDescent="0.3"/>
    <row r="286" s="7" customFormat="1" hidden="1" x14ac:dyDescent="0.3"/>
    <row r="287" s="7" customFormat="1" hidden="1" x14ac:dyDescent="0.3"/>
    <row r="288" s="7" customFormat="1" hidden="1" x14ac:dyDescent="0.3"/>
    <row r="289" s="7" customFormat="1" hidden="1" x14ac:dyDescent="0.3"/>
    <row r="290" s="7" customFormat="1" hidden="1" x14ac:dyDescent="0.3"/>
    <row r="291" s="7" customFormat="1" hidden="1" x14ac:dyDescent="0.3"/>
    <row r="292" s="7" customFormat="1" hidden="1" x14ac:dyDescent="0.3"/>
    <row r="293" s="7" customFormat="1" hidden="1" x14ac:dyDescent="0.3"/>
    <row r="294" s="7" customFormat="1" hidden="1" x14ac:dyDescent="0.3"/>
    <row r="295" s="7" customFormat="1" hidden="1" x14ac:dyDescent="0.3"/>
    <row r="296" s="7" customFormat="1" hidden="1" x14ac:dyDescent="0.3"/>
    <row r="297" s="7" customFormat="1" hidden="1" x14ac:dyDescent="0.3"/>
    <row r="298" s="7" customFormat="1" hidden="1" x14ac:dyDescent="0.3"/>
    <row r="299" s="7" customFormat="1" hidden="1" x14ac:dyDescent="0.3"/>
    <row r="300" s="7" customFormat="1" hidden="1" x14ac:dyDescent="0.3"/>
    <row r="301" s="7" customFormat="1" hidden="1" x14ac:dyDescent="0.3"/>
    <row r="302" s="7" customFormat="1" hidden="1" x14ac:dyDescent="0.3"/>
    <row r="303" s="7" customFormat="1" hidden="1" x14ac:dyDescent="0.3"/>
    <row r="304" s="7" customFormat="1" hidden="1" x14ac:dyDescent="0.3"/>
    <row r="305" s="7" customFormat="1" hidden="1" x14ac:dyDescent="0.3"/>
    <row r="306" s="7" customFormat="1" hidden="1" x14ac:dyDescent="0.3"/>
    <row r="307" s="7" customFormat="1" hidden="1" x14ac:dyDescent="0.3"/>
    <row r="308" s="7" customFormat="1" hidden="1" x14ac:dyDescent="0.3"/>
    <row r="309" s="7" customFormat="1" hidden="1" x14ac:dyDescent="0.3"/>
    <row r="310" s="7" customFormat="1" hidden="1" x14ac:dyDescent="0.3"/>
    <row r="311" s="7" customFormat="1" hidden="1" x14ac:dyDescent="0.3"/>
    <row r="312" s="7" customFormat="1" hidden="1" x14ac:dyDescent="0.3"/>
    <row r="313" s="7" customFormat="1" hidden="1" x14ac:dyDescent="0.3"/>
    <row r="314" s="7" customFormat="1" hidden="1" x14ac:dyDescent="0.3"/>
    <row r="315" s="7" customFormat="1" hidden="1" x14ac:dyDescent="0.3"/>
    <row r="316" s="7" customFormat="1" hidden="1" x14ac:dyDescent="0.3"/>
    <row r="317" s="7" customFormat="1" hidden="1" x14ac:dyDescent="0.3"/>
    <row r="318" s="7" customFormat="1" hidden="1" x14ac:dyDescent="0.3"/>
    <row r="319" s="7" customFormat="1" hidden="1" x14ac:dyDescent="0.3"/>
    <row r="320" s="7" customFormat="1" hidden="1" x14ac:dyDescent="0.3"/>
    <row r="321" s="7" customFormat="1" hidden="1" x14ac:dyDescent="0.3"/>
    <row r="322" s="7" customFormat="1" hidden="1" x14ac:dyDescent="0.3"/>
    <row r="323" s="7" customFormat="1" hidden="1" x14ac:dyDescent="0.3"/>
    <row r="324" s="7" customFormat="1" hidden="1" x14ac:dyDescent="0.3"/>
    <row r="325" s="7" customFormat="1" hidden="1" x14ac:dyDescent="0.3"/>
    <row r="326" s="7" customFormat="1" hidden="1" x14ac:dyDescent="0.3"/>
    <row r="327" s="7" customFormat="1" hidden="1" x14ac:dyDescent="0.3"/>
    <row r="328" s="7" customFormat="1" hidden="1" x14ac:dyDescent="0.3"/>
    <row r="329" s="7" customFormat="1" hidden="1" x14ac:dyDescent="0.3"/>
    <row r="330" s="7" customFormat="1" hidden="1" x14ac:dyDescent="0.3"/>
    <row r="331" s="7" customFormat="1" hidden="1" x14ac:dyDescent="0.3"/>
    <row r="332" s="7" customFormat="1" hidden="1" x14ac:dyDescent="0.3"/>
    <row r="333" s="7" customFormat="1" hidden="1" x14ac:dyDescent="0.3"/>
    <row r="334" s="7" customFormat="1" hidden="1" x14ac:dyDescent="0.3"/>
    <row r="335" s="7" customFormat="1" hidden="1" x14ac:dyDescent="0.3"/>
    <row r="336" s="7" customFormat="1" hidden="1" x14ac:dyDescent="0.3"/>
    <row r="337" s="7" customFormat="1" hidden="1" x14ac:dyDescent="0.3"/>
    <row r="338" s="7" customFormat="1" hidden="1" x14ac:dyDescent="0.3"/>
    <row r="339" s="7" customFormat="1" hidden="1" x14ac:dyDescent="0.3"/>
    <row r="340" s="7" customFormat="1" hidden="1" x14ac:dyDescent="0.3"/>
    <row r="341" s="7" customFormat="1" hidden="1" x14ac:dyDescent="0.3"/>
    <row r="342" s="7" customFormat="1" hidden="1" x14ac:dyDescent="0.3"/>
    <row r="343" s="7" customFormat="1" hidden="1" x14ac:dyDescent="0.3"/>
    <row r="344" s="7" customFormat="1" hidden="1" x14ac:dyDescent="0.3"/>
    <row r="345" s="7" customFormat="1" hidden="1" x14ac:dyDescent="0.3"/>
    <row r="346" s="7" customFormat="1" hidden="1" x14ac:dyDescent="0.3"/>
    <row r="347" s="7" customFormat="1" hidden="1" x14ac:dyDescent="0.3"/>
    <row r="348" s="7" customFormat="1" hidden="1" x14ac:dyDescent="0.3"/>
    <row r="349" s="7" customFormat="1" hidden="1" x14ac:dyDescent="0.3"/>
    <row r="350" s="7" customFormat="1" hidden="1" x14ac:dyDescent="0.3"/>
    <row r="351" s="7" customFormat="1" hidden="1" x14ac:dyDescent="0.3"/>
    <row r="352" s="7" customFormat="1" hidden="1" x14ac:dyDescent="0.3"/>
    <row r="353" s="7" customFormat="1" hidden="1" x14ac:dyDescent="0.3"/>
    <row r="354" s="7" customFormat="1" hidden="1" x14ac:dyDescent="0.3"/>
    <row r="355" s="7" customFormat="1" hidden="1" x14ac:dyDescent="0.3"/>
    <row r="356" s="7" customFormat="1" hidden="1" x14ac:dyDescent="0.3"/>
    <row r="357" s="7" customFormat="1" hidden="1" x14ac:dyDescent="0.3"/>
    <row r="358" s="7" customFormat="1" hidden="1" x14ac:dyDescent="0.3"/>
    <row r="359" s="7" customFormat="1" hidden="1" x14ac:dyDescent="0.3"/>
    <row r="360" s="7" customFormat="1" hidden="1" x14ac:dyDescent="0.3"/>
    <row r="361" s="7" customFormat="1" hidden="1" x14ac:dyDescent="0.3"/>
    <row r="362" s="7" customFormat="1" hidden="1" x14ac:dyDescent="0.3"/>
    <row r="363" s="7" customFormat="1" hidden="1" x14ac:dyDescent="0.3"/>
    <row r="364" s="7" customFormat="1" hidden="1" x14ac:dyDescent="0.3"/>
    <row r="365" s="7" customFormat="1" hidden="1" x14ac:dyDescent="0.3"/>
    <row r="366" s="7" customFormat="1" hidden="1" x14ac:dyDescent="0.3"/>
    <row r="367" s="7" customFormat="1" hidden="1" x14ac:dyDescent="0.3"/>
    <row r="368" s="7" customFormat="1" hidden="1" x14ac:dyDescent="0.3"/>
    <row r="369" s="7" customFormat="1" hidden="1" x14ac:dyDescent="0.3"/>
    <row r="370" s="7" customFormat="1" hidden="1" x14ac:dyDescent="0.3"/>
    <row r="371" s="7" customFormat="1" hidden="1" x14ac:dyDescent="0.3"/>
    <row r="372" s="7" customFormat="1" hidden="1" x14ac:dyDescent="0.3"/>
    <row r="373" s="7" customFormat="1" hidden="1" x14ac:dyDescent="0.3"/>
    <row r="374" s="7" customFormat="1" hidden="1" x14ac:dyDescent="0.3"/>
    <row r="375" s="7" customFormat="1" hidden="1" x14ac:dyDescent="0.3"/>
    <row r="376" s="7" customFormat="1" hidden="1" x14ac:dyDescent="0.3"/>
    <row r="377" s="7" customFormat="1" hidden="1" x14ac:dyDescent="0.3"/>
    <row r="378" s="7" customFormat="1" hidden="1" x14ac:dyDescent="0.3"/>
    <row r="379" s="7" customFormat="1" hidden="1" x14ac:dyDescent="0.3"/>
    <row r="380" s="7" customFormat="1" hidden="1" x14ac:dyDescent="0.3"/>
    <row r="381" s="7" customFormat="1" hidden="1" x14ac:dyDescent="0.3"/>
    <row r="382" s="7" customFormat="1" hidden="1" x14ac:dyDescent="0.3"/>
    <row r="383" s="7" customFormat="1" hidden="1" x14ac:dyDescent="0.3"/>
    <row r="384" s="7" customFormat="1" hidden="1" x14ac:dyDescent="0.3"/>
    <row r="385" spans="1:12" s="7" customFormat="1" hidden="1" x14ac:dyDescent="0.3"/>
    <row r="386" spans="1:12" s="7" customFormat="1" hidden="1" x14ac:dyDescent="0.3"/>
    <row r="387" spans="1:12" s="7" customFormat="1" hidden="1" x14ac:dyDescent="0.3"/>
    <row r="388" spans="1:12" s="7" customFormat="1" hidden="1" x14ac:dyDescent="0.3"/>
    <row r="389" spans="1:12" s="7" customFormat="1" hidden="1" x14ac:dyDescent="0.3"/>
    <row r="390" spans="1:12" hidden="1" x14ac:dyDescent="0.3">
      <c r="A390" s="21"/>
      <c r="B390" s="21"/>
      <c r="C390" s="14"/>
      <c r="D390" s="23"/>
      <c r="E390" s="24"/>
      <c r="F390" s="24"/>
      <c r="G390" s="20"/>
      <c r="H390" s="20"/>
      <c r="I390" s="20"/>
      <c r="J390" s="20"/>
      <c r="K390" s="20"/>
      <c r="L390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8" tint="-0.499984740745262"/>
  </sheetPr>
  <dimension ref="A1:V116"/>
  <sheetViews>
    <sheetView zoomScale="80" zoomScaleNormal="80" workbookViewId="0">
      <pane xSplit="5" ySplit="5" topLeftCell="F6" activePane="bottomRight" state="frozen"/>
      <selection activeCell="R66" sqref="R66"/>
      <selection pane="topRight" activeCell="R66" sqref="R66"/>
      <selection pane="bottomLeft" activeCell="R66" sqref="R66"/>
      <selection pane="bottomRight" activeCell="J31" sqref="J31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27.3828125" bestFit="1" customWidth="1"/>
    <col min="6" max="12" width="10.23046875" customWidth="1"/>
    <col min="13" max="22" width="0" hidden="1" customWidth="1"/>
    <col min="23" max="16384" width="9" hidden="1"/>
  </cols>
  <sheetData>
    <row r="1" spans="1:12" x14ac:dyDescent="0.3">
      <c r="A1" s="13" t="str">
        <f>Control!$G$9</f>
        <v>UE Consolidated Capex</v>
      </c>
      <c r="B1" s="13"/>
      <c r="C1" s="14"/>
      <c r="D1" s="15"/>
      <c r="E1" s="16"/>
      <c r="F1" s="16"/>
      <c r="G1" s="18"/>
      <c r="H1" s="18"/>
      <c r="I1" s="19"/>
      <c r="J1" s="19"/>
      <c r="K1" s="16"/>
      <c r="L1" s="16"/>
    </row>
    <row r="2" spans="1:12" x14ac:dyDescent="0.3">
      <c r="A2" s="21" t="str">
        <f ca="1" xml:space="preserve"> "Sheet: " &amp; RIGHT(CELL("filename", $A$1), LEN(CELL("filename", $A$1)) - SEARCH("]", CELL("filename", $A$1)))</f>
        <v>Sheet: Output|PTRM</v>
      </c>
      <c r="B2" s="21"/>
      <c r="C2" s="14"/>
      <c r="D2" s="15"/>
      <c r="E2" s="16"/>
      <c r="F2" s="16"/>
      <c r="G2" s="22"/>
      <c r="H2" s="22"/>
      <c r="I2" s="19"/>
      <c r="J2" s="19"/>
      <c r="K2" s="16"/>
      <c r="L2" s="16"/>
    </row>
    <row r="3" spans="1:12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9"/>
      <c r="K3" s="16"/>
      <c r="L3" s="16"/>
    </row>
    <row r="4" spans="1:12" x14ac:dyDescent="0.3">
      <c r="A4" s="21"/>
      <c r="B4" s="21"/>
      <c r="C4" s="14"/>
      <c r="D4" s="15"/>
      <c r="E4" s="16"/>
      <c r="F4" s="16"/>
      <c r="G4" s="22"/>
      <c r="H4" s="22"/>
      <c r="I4" s="19"/>
      <c r="J4" s="19"/>
      <c r="K4" s="16"/>
      <c r="L4" s="16"/>
    </row>
    <row r="5" spans="1:12" x14ac:dyDescent="0.3">
      <c r="A5" s="21"/>
      <c r="B5" s="21"/>
      <c r="C5" s="21"/>
      <c r="D5" s="21"/>
      <c r="E5" s="21"/>
      <c r="F5" s="21"/>
      <c r="G5" s="30" t="s">
        <v>603</v>
      </c>
      <c r="H5" s="30" t="s">
        <v>604</v>
      </c>
      <c r="I5" s="30" t="s">
        <v>605</v>
      </c>
      <c r="J5" s="30" t="s">
        <v>606</v>
      </c>
      <c r="K5" s="30" t="s">
        <v>607</v>
      </c>
      <c r="L5" s="16"/>
    </row>
    <row r="6" spans="1:12" x14ac:dyDescent="0.3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</row>
    <row r="7" spans="1:12" x14ac:dyDescent="0.3">
      <c r="A7" s="21" t="s">
        <v>600</v>
      </c>
      <c r="B7" s="21"/>
      <c r="C7" s="14"/>
      <c r="D7" s="23"/>
      <c r="E7" s="24"/>
      <c r="F7" s="24"/>
      <c r="G7" s="34"/>
      <c r="H7" s="34"/>
      <c r="I7" s="34"/>
      <c r="J7" s="34"/>
      <c r="K7" s="34"/>
      <c r="L7" s="24"/>
    </row>
    <row r="8" spans="1:12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3">
      <c r="A9" s="55" t="s">
        <v>56</v>
      </c>
      <c r="B9" s="12"/>
      <c r="C9" s="12"/>
      <c r="D9" s="12"/>
      <c r="E9" s="12"/>
      <c r="F9" s="12"/>
      <c r="G9" s="59" t="s">
        <v>609</v>
      </c>
      <c r="H9" s="59" t="s">
        <v>609</v>
      </c>
      <c r="I9" s="59" t="s">
        <v>609</v>
      </c>
      <c r="J9" s="59" t="s">
        <v>609</v>
      </c>
      <c r="K9" s="59" t="s">
        <v>609</v>
      </c>
      <c r="L9" s="12"/>
    </row>
    <row r="10" spans="1:12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7"/>
      <c r="B11" s="7"/>
      <c r="C11" s="7"/>
      <c r="D11" s="7"/>
      <c r="E11" s="38" t="s">
        <v>36</v>
      </c>
      <c r="F11" s="7"/>
      <c r="G11" s="315">
        <f>(((SUMPRODUCT(--('Calc|Consolidated Capex'!$H$9:$H$204="SCS"),'Calc|Consolidated Capex'!I$9:I$204)/1000*'Calc|Weightings'!$BA232+SUMPRODUCT(--('Input|VBRC Calc'!$H$23:$H$30=$E11),'Input|VBRC Calc'!J$23:J$30)/1000)*(1+Inflation!R72))*(1+'Calc|Overheads'!O$32))</f>
        <v>15.737659157341685</v>
      </c>
      <c r="H11" s="315">
        <f>(((SUMPRODUCT(--('Calc|Consolidated Capex'!$H$9:$H$204="SCS"),'Calc|Consolidated Capex'!J$9:J$204)/1000*'Calc|Weightings'!$BA232+SUMPRODUCT(--('Input|VBRC Calc'!$H$23:$H$30=$E11),'Input|VBRC Calc'!K$23:K$30)/1000)*(1+Inflation!S72))*(1+'Calc|Overheads'!P$32))</f>
        <v>16.708316693787253</v>
      </c>
      <c r="I11" s="315">
        <f>(((SUMPRODUCT(--('Calc|Consolidated Capex'!$H$9:$H$204="SCS"),'Calc|Consolidated Capex'!K$9:K$204)/1000*'Calc|Weightings'!$BA232+SUMPRODUCT(--('Input|VBRC Calc'!$H$23:$H$30=$E11),'Input|VBRC Calc'!L$23:L$30)/1000)*(1+Inflation!T72))*(1+'Calc|Overheads'!Q$32))</f>
        <v>16.640859799913919</v>
      </c>
      <c r="J11" s="43">
        <f>(((SUMPRODUCT(--('Calc|Consolidated Capex'!$H$9:$H$204="SCS"),'Calc|Consolidated Capex'!L$9:L$204)/1000*'Calc|Weightings'!$BA232+SUMPRODUCT(--('Input|VBRC Calc'!$H$23:$H$30=$E11),'Input|VBRC Calc'!M$23:M$30)/1000)*(1+Inflation!U72))*(1+'Calc|Overheads'!R$32))</f>
        <v>16.351536724601829</v>
      </c>
      <c r="K11" s="43">
        <f>(((SUMPRODUCT(--('Calc|Consolidated Capex'!$H$9:$H$204="SCS"),'Calc|Consolidated Capex'!M$9:M$204)/1000*'Calc|Weightings'!$BA232+SUMPRODUCT(--('Input|VBRC Calc'!$H$23:$H$30=$E11),'Input|VBRC Calc'!N$23:N$30)/1000)*(1+Inflation!V72))*(1+'Calc|Overheads'!S$32))</f>
        <v>15.863233624224565</v>
      </c>
      <c r="L11" s="7"/>
    </row>
    <row r="12" spans="1:12" x14ac:dyDescent="0.3">
      <c r="A12" s="7"/>
      <c r="B12" s="7"/>
      <c r="C12" s="7"/>
      <c r="D12" s="7"/>
      <c r="E12" s="38" t="s">
        <v>39</v>
      </c>
      <c r="F12" s="7"/>
      <c r="G12" s="316">
        <f>(SUM('Output|Functional'!G109:G111)-G16)-G11</f>
        <v>134.55680865146593</v>
      </c>
      <c r="H12" s="316">
        <f>(SUM('Output|Functional'!H109:H111)-H16)-H11</f>
        <v>142.85883270097958</v>
      </c>
      <c r="I12" s="316">
        <f>(SUM('Output|Functional'!I109:I111)-I16)-I11</f>
        <v>142.28775102610732</v>
      </c>
      <c r="J12" s="210">
        <f>(SUM('Output|Functional'!J109:J111)-J16)-J11</f>
        <v>139.81696140190306</v>
      </c>
      <c r="K12" s="210">
        <f>(SUM('Output|Functional'!K109:K111)-K16)-K11</f>
        <v>135.64739492895504</v>
      </c>
      <c r="L12" s="7"/>
    </row>
    <row r="13" spans="1:12" x14ac:dyDescent="0.3">
      <c r="A13" s="7"/>
      <c r="B13" s="7"/>
      <c r="C13" s="7"/>
      <c r="D13" s="7"/>
      <c r="E13" s="38" t="s">
        <v>40</v>
      </c>
      <c r="F13" s="7"/>
      <c r="G13" s="315">
        <f>((SUMPRODUCT(--('Calc|Consolidated Capex'!$H$9:$H$204=$E13),'Calc|Consolidated Capex'!I$9:I$204)/1000+SUMPRODUCT(--('Input|VBRC Calc'!$H$23:$H$30=$E13),'Input|VBRC Calc'!J$23:J$30)/1000)*(1+Inflation!R74))</f>
        <v>0</v>
      </c>
      <c r="H13" s="315">
        <f>((SUMPRODUCT(--('Calc|Consolidated Capex'!$H$9:$H$204=$E13),'Calc|Consolidated Capex'!J$9:J$204)/1000+SUMPRODUCT(--('Input|VBRC Calc'!$H$23:$H$30=$E13),'Input|VBRC Calc'!K$23:K$30)/1000)*(1+Inflation!S74))</f>
        <v>0</v>
      </c>
      <c r="I13" s="315">
        <f>((SUMPRODUCT(--('Calc|Consolidated Capex'!$H$9:$H$204=$E13),'Calc|Consolidated Capex'!K$9:K$204)/1000+SUMPRODUCT(--('Input|VBRC Calc'!$H$23:$H$30=$E13),'Input|VBRC Calc'!L$23:L$30)/1000)*(1+Inflation!T74))</f>
        <v>0</v>
      </c>
      <c r="J13" s="43">
        <f>((SUMPRODUCT(--('Calc|Consolidated Capex'!$H$9:$H$204=$E13),'Calc|Consolidated Capex'!L$9:L$204)/1000+SUMPRODUCT(--('Input|VBRC Calc'!$H$23:$H$30=$E13),'Input|VBRC Calc'!M$23:M$30)/1000)*(1+Inflation!U74))</f>
        <v>0</v>
      </c>
      <c r="K13" s="43">
        <f>((SUMPRODUCT(--('Calc|Consolidated Capex'!$H$9:$H$204=$E13),'Calc|Consolidated Capex'!M$9:M$204)/1000+SUMPRODUCT(--('Input|VBRC Calc'!$H$23:$H$30=$E13),'Input|VBRC Calc'!N$23:N$30)/1000)*(1+Inflation!V74))</f>
        <v>0</v>
      </c>
      <c r="L13" s="7"/>
    </row>
    <row r="14" spans="1:12" x14ac:dyDescent="0.3">
      <c r="A14" s="7"/>
      <c r="B14" s="7"/>
      <c r="C14" s="7"/>
      <c r="D14" s="7"/>
      <c r="E14" s="38" t="s">
        <v>41</v>
      </c>
      <c r="F14" s="7"/>
      <c r="G14" s="315">
        <f>((SUMPRODUCT(--('Calc|Consolidated Capex'!$H$9:$H$204=$E14),'Calc|Consolidated Capex'!I$9:I$204)/1000+SUMPRODUCT(--('Input|VBRC Calc'!$H$23:$H$30=$E14),'Input|VBRC Calc'!J$23:J$30)/1000)*(1+Inflation!R75))</f>
        <v>0</v>
      </c>
      <c r="H14" s="315">
        <f>((SUMPRODUCT(--('Calc|Consolidated Capex'!$H$9:$H$204=$E14),'Calc|Consolidated Capex'!J$9:J$204)/1000+SUMPRODUCT(--('Input|VBRC Calc'!$H$23:$H$30=$E14),'Input|VBRC Calc'!K$23:K$30)/1000)*(1+Inflation!S75))</f>
        <v>0</v>
      </c>
      <c r="I14" s="315">
        <f>((SUMPRODUCT(--('Calc|Consolidated Capex'!$H$9:$H$204=$E14),'Calc|Consolidated Capex'!K$9:K$204)/1000+SUMPRODUCT(--('Input|VBRC Calc'!$H$23:$H$30=$E14),'Input|VBRC Calc'!L$23:L$30)/1000)*(1+Inflation!T75))</f>
        <v>0</v>
      </c>
      <c r="J14" s="43">
        <f>((SUMPRODUCT(--('Calc|Consolidated Capex'!$H$9:$H$204=$E14),'Calc|Consolidated Capex'!L$9:L$204)/1000+SUMPRODUCT(--('Input|VBRC Calc'!$H$23:$H$30=$E14),'Input|VBRC Calc'!M$23:M$30)/1000)*(1+Inflation!U75))</f>
        <v>0</v>
      </c>
      <c r="K14" s="43">
        <f>((SUMPRODUCT(--('Calc|Consolidated Capex'!$H$9:$H$204=$E14),'Calc|Consolidated Capex'!M$9:M$204)/1000+SUMPRODUCT(--('Input|VBRC Calc'!$H$23:$H$30=$E14),'Input|VBRC Calc'!N$23:N$30)/1000)*(1+Inflation!V75))</f>
        <v>0</v>
      </c>
      <c r="L14" s="7"/>
    </row>
    <row r="15" spans="1:12" x14ac:dyDescent="0.3">
      <c r="A15" s="7"/>
      <c r="B15" s="7"/>
      <c r="C15" s="7"/>
      <c r="D15" s="7"/>
      <c r="E15" s="38" t="s">
        <v>580</v>
      </c>
      <c r="F15" s="7"/>
      <c r="G15" s="315">
        <f>((SUMPRODUCT(--('Calc|Consolidated Capex'!$H$9:$H$204=$E15),'Calc|Consolidated Capex'!I$9:I$204)/1000+SUMPRODUCT(--('Input|VBRC Calc'!$H$23:$H$30=$E15),'Input|VBRC Calc'!J$23:J$30)/1000)*(1+Inflation!R76))</f>
        <v>0</v>
      </c>
      <c r="H15" s="315">
        <f>((SUMPRODUCT(--('Calc|Consolidated Capex'!$H$9:$H$204=$E15),'Calc|Consolidated Capex'!J$9:J$204)/1000+SUMPRODUCT(--('Input|VBRC Calc'!$H$23:$H$30=$E15),'Input|VBRC Calc'!K$23:K$30)/1000)*(1+Inflation!S76))</f>
        <v>0</v>
      </c>
      <c r="I15" s="315">
        <f>((SUMPRODUCT(--('Calc|Consolidated Capex'!$H$9:$H$204=$E15),'Calc|Consolidated Capex'!K$9:K$204)/1000+SUMPRODUCT(--('Input|VBRC Calc'!$H$23:$H$30=$E15),'Input|VBRC Calc'!L$23:L$30)/1000)*(1+Inflation!T76))</f>
        <v>0</v>
      </c>
      <c r="J15" s="43">
        <f>((SUMPRODUCT(--('Calc|Consolidated Capex'!$H$9:$H$204=$E15),'Calc|Consolidated Capex'!L$9:L$204)/1000+SUMPRODUCT(--('Input|VBRC Calc'!$H$23:$H$30=$E15),'Input|VBRC Calc'!M$23:M$30)/1000)*(1+Inflation!U76))</f>
        <v>0</v>
      </c>
      <c r="K15" s="43">
        <f>((SUMPRODUCT(--('Calc|Consolidated Capex'!$H$9:$H$204=$E15),'Calc|Consolidated Capex'!M$9:M$204)/1000+SUMPRODUCT(--('Input|VBRC Calc'!$H$23:$H$30=$E15),'Input|VBRC Calc'!N$23:N$30)/1000)*(1+Inflation!V76))</f>
        <v>0</v>
      </c>
      <c r="L15" s="7"/>
    </row>
    <row r="16" spans="1:12" x14ac:dyDescent="0.3">
      <c r="A16" s="7"/>
      <c r="B16" s="7"/>
      <c r="C16" s="7"/>
      <c r="D16" s="7"/>
      <c r="E16" s="38" t="s">
        <v>579</v>
      </c>
      <c r="F16" s="7"/>
      <c r="G16" s="315">
        <f>(((SUMPRODUCT(--('Calc|Consolidated Capex'!$H$9:$H$204=$E16),'Calc|Consolidated Capex'!I$9:I$204)/1000+SUMPRODUCT(--('Input|VBRC Calc'!$H$23:$H$30=$E16),'Input|VBRC Calc'!J$23:J$30)/1000)*(1+Inflation!R76))*(1+'Calc|Overheads'!O$32))</f>
        <v>7.7704179035744358</v>
      </c>
      <c r="H16" s="315">
        <f>(((SUMPRODUCT(--('Calc|Consolidated Capex'!$H$9:$H$204=$E16),'Calc|Consolidated Capex'!J$9:J$204)/1000+SUMPRODUCT(--('Input|VBRC Calc'!$H$23:$H$30=$E16),'Input|VBRC Calc'!K$23:K$30)/1000)*(1+Inflation!S76))*(1+'Calc|Overheads'!P$32))</f>
        <v>7.0170503991023239</v>
      </c>
      <c r="I16" s="315">
        <f>(((SUMPRODUCT(--('Calc|Consolidated Capex'!$H$9:$H$204=$E16),'Calc|Consolidated Capex'!K$9:K$204)/1000+SUMPRODUCT(--('Input|VBRC Calc'!$H$23:$H$30=$E16),'Input|VBRC Calc'!L$23:L$30)/1000)*(1+Inflation!T76))*(1+'Calc|Overheads'!Q$32))</f>
        <v>5.7720302379494504</v>
      </c>
      <c r="J16" s="43">
        <f>(((SUMPRODUCT(--('Calc|Consolidated Capex'!$H$9:$H$204=$E16),'Calc|Consolidated Capex'!L$9:L$204)/1000+SUMPRODUCT(--('Input|VBRC Calc'!$H$23:$H$30=$E16),'Input|VBRC Calc'!M$23:M$30)/1000)*(1+Inflation!U76))*(1+'Calc|Overheads'!R$32))</f>
        <v>8.2570278152454613</v>
      </c>
      <c r="K16" s="43">
        <f>(((SUMPRODUCT(--('Calc|Consolidated Capex'!$H$9:$H$204=$E16),'Calc|Consolidated Capex'!M$9:M$204)/1000+SUMPRODUCT(--('Input|VBRC Calc'!$H$23:$H$30=$E16),'Input|VBRC Calc'!N$23:N$30)/1000)*(1+Inflation!V76))*(1+'Calc|Overheads'!S$32))</f>
        <v>7.1858531731340571</v>
      </c>
      <c r="L16" s="7"/>
    </row>
    <row r="17" spans="1:12" x14ac:dyDescent="0.3">
      <c r="A17" s="7"/>
      <c r="B17" s="7"/>
      <c r="C17" s="7"/>
      <c r="D17" s="7"/>
      <c r="E17" s="130" t="s">
        <v>30</v>
      </c>
      <c r="F17" s="7"/>
      <c r="G17" s="315">
        <f>((SUMPRODUCT(--('Calc|Consolidated Capex'!$H$9:$H$204=$E17),'Calc|Consolidated Capex'!I$9:I$204)/1000+SUMPRODUCT(--('Input|VBRC Calc'!$H$23:$H$30=$E17),'Input|VBRC Calc'!J$23:J$30)/1000)*(1+Inflation!R77))-G23</f>
        <v>4.5799898975966968</v>
      </c>
      <c r="H17" s="315">
        <f>((SUMPRODUCT(--('Calc|Consolidated Capex'!$H$9:$H$204=$E17),'Calc|Consolidated Capex'!J$9:J$204)/1000+SUMPRODUCT(--('Input|VBRC Calc'!$H$23:$H$30=$E17),'Input|VBRC Calc'!K$23:K$30)/1000)*(1+Inflation!S77))-H23</f>
        <v>3.131273154463365</v>
      </c>
      <c r="I17" s="315">
        <f>((SUMPRODUCT(--('Calc|Consolidated Capex'!$H$9:$H$204=$E17),'Calc|Consolidated Capex'!K$9:K$204)/1000+SUMPRODUCT(--('Input|VBRC Calc'!$H$23:$H$30=$E17),'Input|VBRC Calc'!L$23:L$30)/1000)*(1+Inflation!T77))-I23</f>
        <v>3.045501695232538</v>
      </c>
      <c r="J17" s="43">
        <f>((SUMPRODUCT(--('Calc|Consolidated Capex'!$H$9:$H$204=$E17),'Calc|Consolidated Capex'!L$9:L$204)/1000+SUMPRODUCT(--('Input|VBRC Calc'!$H$23:$H$30=$E17),'Input|VBRC Calc'!M$23:M$30)/1000)*(1+Inflation!U77))-J23</f>
        <v>2.7808273320920449</v>
      </c>
      <c r="K17" s="43">
        <f>((SUMPRODUCT(--('Calc|Consolidated Capex'!$H$9:$H$204=$E17),'Calc|Consolidated Capex'!M$9:M$204)/1000+SUMPRODUCT(--('Input|VBRC Calc'!$H$23:$H$30=$E17),'Input|VBRC Calc'!N$23:N$30)/1000)*(1+Inflation!V77))-K23</f>
        <v>1.9283912949698809</v>
      </c>
      <c r="L17" s="7"/>
    </row>
    <row r="18" spans="1:12" x14ac:dyDescent="0.3">
      <c r="A18" s="7"/>
      <c r="B18" s="7"/>
      <c r="C18" s="7"/>
      <c r="D18" s="7"/>
      <c r="E18" s="38" t="s">
        <v>31</v>
      </c>
      <c r="F18" s="7"/>
      <c r="G18" s="315">
        <f>((SUMPRODUCT(--('Calc|Consolidated Capex'!$H$9:$H$204=$E18),'Calc|Consolidated Capex'!I$9:I$204)/1000+SUMPRODUCT(--('Input|VBRC Calc'!$H$23:$H$30=$E18),'Input|VBRC Calc'!J$23:J$30)/1000)*(1+Inflation!R78))</f>
        <v>43.680281464648743</v>
      </c>
      <c r="H18" s="315">
        <f>((SUMPRODUCT(--('Calc|Consolidated Capex'!$H$9:$H$204=$E18),'Calc|Consolidated Capex'!J$9:J$204)/1000+SUMPRODUCT(--('Input|VBRC Calc'!$H$23:$H$30=$E18),'Input|VBRC Calc'!K$23:K$30)/1000)*(1+Inflation!S78))</f>
        <v>15.359536287824614</v>
      </c>
      <c r="I18" s="315">
        <f>((SUMPRODUCT(--('Calc|Consolidated Capex'!$H$9:$H$204=$E18),'Calc|Consolidated Capex'!K$9:K$204)/1000+SUMPRODUCT(--('Input|VBRC Calc'!$H$23:$H$30=$E18),'Input|VBRC Calc'!L$23:L$30)/1000)*(1+Inflation!T78))</f>
        <v>3.3595295042642315</v>
      </c>
      <c r="J18" s="43">
        <f>((SUMPRODUCT(--('Calc|Consolidated Capex'!$H$9:$H$204=$E18),'Calc|Consolidated Capex'!L$9:L$204)/1000+SUMPRODUCT(--('Input|VBRC Calc'!$H$23:$H$30=$E18),'Input|VBRC Calc'!M$23:M$30)/1000)*(1+Inflation!U78))</f>
        <v>6.2895051503375852</v>
      </c>
      <c r="K18" s="43">
        <f>((SUMPRODUCT(--('Calc|Consolidated Capex'!$H$9:$H$204=$E18),'Calc|Consolidated Capex'!M$9:M$204)/1000+SUMPRODUCT(--('Input|VBRC Calc'!$H$23:$H$30=$E18),'Input|VBRC Calc'!N$23:N$30)/1000)*(1+Inflation!V78))</f>
        <v>11.45601935984206</v>
      </c>
      <c r="L18" s="7"/>
    </row>
    <row r="19" spans="1:12" x14ac:dyDescent="0.3">
      <c r="A19" s="7"/>
      <c r="B19" s="7"/>
      <c r="C19" s="7"/>
      <c r="D19" s="7"/>
      <c r="E19" s="38" t="s">
        <v>8</v>
      </c>
      <c r="F19" s="7"/>
      <c r="G19" s="315">
        <f>((SUMPRODUCT(--('Calc|Consolidated Capex'!$H$9:$H$204=$E19),'Calc|Consolidated Capex'!I$9:I$204)/1000+SUMPRODUCT(--('Input|VBRC Calc'!$H$23:$H$30=$E19),'Input|VBRC Calc'!J$23:J$30)/1000)*(1+Inflation!R79))</f>
        <v>0</v>
      </c>
      <c r="H19" s="315">
        <f>((SUMPRODUCT(--('Calc|Consolidated Capex'!$H$9:$H$204=$E19),'Calc|Consolidated Capex'!J$9:J$204)/1000+SUMPRODUCT(--('Input|VBRC Calc'!$H$23:$H$30=$E19),'Input|VBRC Calc'!K$23:K$30)/1000)*(1+Inflation!S79))</f>
        <v>0</v>
      </c>
      <c r="I19" s="315">
        <f>((SUMPRODUCT(--('Calc|Consolidated Capex'!$H$9:$H$204=$E19),'Calc|Consolidated Capex'!K$9:K$204)/1000+SUMPRODUCT(--('Input|VBRC Calc'!$H$23:$H$30=$E19),'Input|VBRC Calc'!L$23:L$30)/1000)*(1+Inflation!T79))</f>
        <v>0</v>
      </c>
      <c r="J19" s="43">
        <f>((SUMPRODUCT(--('Calc|Consolidated Capex'!$H$9:$H$204=$E19),'Calc|Consolidated Capex'!L$9:L$204)/1000+SUMPRODUCT(--('Input|VBRC Calc'!$H$23:$H$30=$E19),'Input|VBRC Calc'!M$23:M$30)/1000)*(1+Inflation!U79))</f>
        <v>0</v>
      </c>
      <c r="K19" s="43">
        <f>((SUMPRODUCT(--('Calc|Consolidated Capex'!$H$9:$H$204=$E19),'Calc|Consolidated Capex'!M$9:M$204)/1000+SUMPRODUCT(--('Input|VBRC Calc'!$H$23:$H$30=$E19),'Input|VBRC Calc'!N$23:N$30)/1000)*(1+Inflation!V79))</f>
        <v>0</v>
      </c>
      <c r="L19" s="7"/>
    </row>
    <row r="20" spans="1:12" x14ac:dyDescent="0.3">
      <c r="A20" s="7"/>
      <c r="B20" s="7"/>
      <c r="C20" s="7"/>
      <c r="D20" s="7"/>
      <c r="E20" s="38" t="s">
        <v>611</v>
      </c>
      <c r="F20" s="7"/>
      <c r="G20" s="315">
        <f>((SUMPRODUCT(--('Calc|Consolidated Capex'!$H$9:$H$204=$E20),'Calc|Consolidated Capex'!I$9:I$204)/1000+SUMPRODUCT(--('Input|VBRC Calc'!$H$23:$H$30=$E20),'Input|VBRC Calc'!J$23:J$30)/1000)*(1+Inflation!R80))</f>
        <v>0</v>
      </c>
      <c r="H20" s="315">
        <f>((SUMPRODUCT(--('Calc|Consolidated Capex'!$H$9:$H$204=$E20),'Calc|Consolidated Capex'!J$9:J$204)/1000+SUMPRODUCT(--('Input|VBRC Calc'!$H$23:$H$30=$E20),'Input|VBRC Calc'!K$23:K$30)/1000)*(1+Inflation!S80))</f>
        <v>0</v>
      </c>
      <c r="I20" s="315">
        <f>((SUMPRODUCT(--('Calc|Consolidated Capex'!$H$9:$H$204=$E20),'Calc|Consolidated Capex'!K$9:K$204)/1000+SUMPRODUCT(--('Input|VBRC Calc'!$H$23:$H$30=$E20),'Input|VBRC Calc'!L$23:L$30)/1000)*(1+Inflation!T80))</f>
        <v>0</v>
      </c>
      <c r="J20" s="43">
        <f>((SUMPRODUCT(--('Calc|Consolidated Capex'!$H$9:$H$204=$E20),'Calc|Consolidated Capex'!L$9:L$204)/1000+SUMPRODUCT(--('Input|VBRC Calc'!$H$23:$H$30=$E20),'Input|VBRC Calc'!M$23:M$30)/1000)*(1+Inflation!U80))</f>
        <v>0</v>
      </c>
      <c r="K20" s="43">
        <f>((SUMPRODUCT(--('Calc|Consolidated Capex'!$H$9:$H$204=$E20),'Calc|Consolidated Capex'!M$9:M$204)/1000+SUMPRODUCT(--('Input|VBRC Calc'!$H$23:$H$30=$E20),'Input|VBRC Calc'!N$23:N$30)/1000)*(1+Inflation!V80))</f>
        <v>0</v>
      </c>
      <c r="L20" s="7"/>
    </row>
    <row r="21" spans="1:12" x14ac:dyDescent="0.3">
      <c r="A21" s="7"/>
      <c r="B21" s="7"/>
      <c r="C21" s="7"/>
      <c r="D21" s="7"/>
      <c r="E21" s="38" t="s">
        <v>612</v>
      </c>
      <c r="F21" s="7"/>
      <c r="G21" s="315">
        <f>((SUMPRODUCT(--('Calc|Consolidated Capex'!$H$9:$H$204=$E21),'Calc|Consolidated Capex'!I$9:I$204)/1000+SUMPRODUCT(--('Input|VBRC Calc'!$H$23:$H$30=$E21),'Input|VBRC Calc'!J$23:J$30)/1000)*(1+Inflation!R81))</f>
        <v>0</v>
      </c>
      <c r="H21" s="315">
        <f>((SUMPRODUCT(--('Calc|Consolidated Capex'!$H$9:$H$204=$E21),'Calc|Consolidated Capex'!J$9:J$204)/1000+SUMPRODUCT(--('Input|VBRC Calc'!$H$23:$H$30=$E21),'Input|VBRC Calc'!K$23:K$30)/1000)*(1+Inflation!S81))</f>
        <v>0</v>
      </c>
      <c r="I21" s="315">
        <f>((SUMPRODUCT(--('Calc|Consolidated Capex'!$H$9:$H$204=$E21),'Calc|Consolidated Capex'!K$9:K$204)/1000+SUMPRODUCT(--('Input|VBRC Calc'!$H$23:$H$30=$E21),'Input|VBRC Calc'!L$23:L$30)/1000)*(1+Inflation!T81))</f>
        <v>0</v>
      </c>
      <c r="J21" s="43">
        <f>((SUMPRODUCT(--('Calc|Consolidated Capex'!$H$9:$H$204=$E21),'Calc|Consolidated Capex'!L$9:L$204)/1000+SUMPRODUCT(--('Input|VBRC Calc'!$H$23:$H$30=$E21),'Input|VBRC Calc'!M$23:M$30)/1000)*(1+Inflation!U81))</f>
        <v>0</v>
      </c>
      <c r="K21" s="43">
        <f>((SUMPRODUCT(--('Calc|Consolidated Capex'!$H$9:$H$204=$E21),'Calc|Consolidated Capex'!M$9:M$204)/1000+SUMPRODUCT(--('Input|VBRC Calc'!$H$23:$H$30=$E21),'Input|VBRC Calc'!N$23:N$30)/1000)*(1+Inflation!V81))</f>
        <v>0</v>
      </c>
      <c r="L21" s="7"/>
    </row>
    <row r="22" spans="1:12" x14ac:dyDescent="0.3">
      <c r="A22" s="7"/>
      <c r="B22" s="7"/>
      <c r="C22" s="7"/>
      <c r="D22" s="7"/>
      <c r="E22" s="38" t="s">
        <v>44</v>
      </c>
      <c r="F22" s="7"/>
      <c r="G22" s="315">
        <f>((SUMPRODUCT(--('Calc|Consolidated Capex'!$H$9:$H$204=$E22),'Calc|Consolidated Capex'!I$9:I$204)/1000+SUMPRODUCT(--('Input|VBRC Calc'!$H$23:$H$30=$E22),'Input|VBRC Calc'!J$23:J$30)/1000)*(1+Inflation!R82))</f>
        <v>0</v>
      </c>
      <c r="H22" s="315">
        <f>((SUMPRODUCT(--('Calc|Consolidated Capex'!$H$9:$H$204=$E22),'Calc|Consolidated Capex'!J$9:J$204)/1000+SUMPRODUCT(--('Input|VBRC Calc'!$H$23:$H$30=$E22),'Input|VBRC Calc'!K$23:K$30)/1000)*(1+Inflation!S82))</f>
        <v>0</v>
      </c>
      <c r="I22" s="315">
        <f>((SUMPRODUCT(--('Calc|Consolidated Capex'!$H$9:$H$204=$E22),'Calc|Consolidated Capex'!K$9:K$204)/1000+SUMPRODUCT(--('Input|VBRC Calc'!$H$23:$H$30=$E22),'Input|VBRC Calc'!L$23:L$30)/1000)*(1+Inflation!T82))</f>
        <v>0</v>
      </c>
      <c r="J22" s="43">
        <f>((SUMPRODUCT(--('Calc|Consolidated Capex'!$H$9:$H$204=$E22),'Calc|Consolidated Capex'!L$9:L$204)/1000+SUMPRODUCT(--('Input|VBRC Calc'!$H$23:$H$30=$E22),'Input|VBRC Calc'!M$23:M$30)/1000)*(1+Inflation!U82))</f>
        <v>2.1180864221078881</v>
      </c>
      <c r="K22" s="43">
        <f>((SUMPRODUCT(--('Calc|Consolidated Capex'!$H$9:$H$204=$E22),'Calc|Consolidated Capex'!M$9:M$204)/1000+SUMPRODUCT(--('Input|VBRC Calc'!$H$23:$H$30=$E22),'Input|VBRC Calc'!N$23:N$30)/1000)*(1+Inflation!V82))</f>
        <v>0</v>
      </c>
      <c r="L22" s="7"/>
    </row>
    <row r="23" spans="1:12" x14ac:dyDescent="0.3">
      <c r="A23" s="7"/>
      <c r="B23" s="7"/>
      <c r="C23" s="7"/>
      <c r="D23" s="7"/>
      <c r="E23" s="130" t="s">
        <v>610</v>
      </c>
      <c r="F23" s="7"/>
      <c r="G23" s="316">
        <f>((SUMPRODUCT(--('Calc|Consolidated Capex'!$H$9:$H$204=$E17),'Calc|Consolidated Capex'!I$9:I$204)/1000+SUMPRODUCT(--('Input|VBRC Calc'!$H$23:$H$30=$E17),'Input|VBRC Calc'!J$23:J$30)/1000)*(1+Inflation!R77))*G29</f>
        <v>49.913005579659874</v>
      </c>
      <c r="H23" s="316">
        <f>((SUMPRODUCT(--('Calc|Consolidated Capex'!$H$9:$H$204=$E17),'Calc|Consolidated Capex'!J$9:J$204)/1000+SUMPRODUCT(--('Input|VBRC Calc'!$H$23:$H$30=$E17),'Input|VBRC Calc'!K$23:K$30)/1000)*(1+Inflation!S77))*H29</f>
        <v>34.124822732543386</v>
      </c>
      <c r="I23" s="316">
        <f>((SUMPRODUCT(--('Calc|Consolidated Capex'!$H$9:$H$204=$E17),'Calc|Consolidated Capex'!K$9:K$204)/1000+SUMPRODUCT(--('Input|VBRC Calc'!$H$23:$H$30=$E17),'Input|VBRC Calc'!L$23:L$30)/1000)*(1+Inflation!T77))*I29</f>
        <v>33.190138797669256</v>
      </c>
      <c r="J23" s="210">
        <f>((SUMPRODUCT(--('Calc|Consolidated Capex'!$H$9:$H$204=$E17),'Calc|Consolidated Capex'!L$9:L$204)/1000+SUMPRODUCT(--('Input|VBRC Calc'!$H$23:$H$30=$E17),'Input|VBRC Calc'!M$23:M$30)/1000)*(1+Inflation!U77))*J29</f>
        <v>30.30570974663798</v>
      </c>
      <c r="K23" s="210">
        <f>((SUMPRODUCT(--('Calc|Consolidated Capex'!$H$9:$H$204=$E17),'Calc|Consolidated Capex'!M$9:M$204)/1000+SUMPRODUCT(--('Input|VBRC Calc'!$H$23:$H$30=$E17),'Input|VBRC Calc'!N$23:N$30)/1000)*(1+Inflation!V77))*K29</f>
        <v>21.015730165033606</v>
      </c>
      <c r="L23" s="7"/>
    </row>
    <row r="24" spans="1:12" x14ac:dyDescent="0.3">
      <c r="A24" s="7"/>
      <c r="B24" s="7"/>
      <c r="C24" s="7"/>
      <c r="D24" s="7"/>
      <c r="E24" s="122"/>
      <c r="F24" s="7"/>
      <c r="G24" s="315"/>
      <c r="H24" s="315"/>
      <c r="I24" s="315"/>
      <c r="J24" s="43"/>
      <c r="K24" s="43"/>
      <c r="L24" s="7"/>
    </row>
    <row r="25" spans="1:12" x14ac:dyDescent="0.3">
      <c r="A25" s="7"/>
      <c r="B25" s="7"/>
      <c r="C25" s="7"/>
      <c r="D25" s="7"/>
      <c r="E25" s="122"/>
      <c r="F25" s="7"/>
      <c r="G25" s="315"/>
      <c r="H25" s="315"/>
      <c r="I25" s="315"/>
      <c r="J25" s="43"/>
      <c r="K25" s="43"/>
      <c r="L25" s="7"/>
    </row>
    <row r="26" spans="1:12" x14ac:dyDescent="0.3">
      <c r="A26" s="7"/>
      <c r="B26" s="7"/>
      <c r="C26" s="7"/>
      <c r="D26" s="7"/>
      <c r="E26" s="7"/>
      <c r="F26" s="7"/>
      <c r="G26" s="315"/>
      <c r="H26" s="315"/>
      <c r="I26" s="315"/>
      <c r="J26" s="43"/>
      <c r="K26" s="43"/>
      <c r="L26" s="7"/>
    </row>
    <row r="27" spans="1:12" x14ac:dyDescent="0.3">
      <c r="A27" s="7"/>
      <c r="B27" s="7"/>
      <c r="C27" s="7"/>
      <c r="D27" s="7"/>
      <c r="E27" s="9" t="s">
        <v>20</v>
      </c>
      <c r="F27" s="7"/>
      <c r="G27" s="317">
        <f t="shared" ref="G27" si="0">SUM(G11:G25)</f>
        <v>256.23816265428735</v>
      </c>
      <c r="H27" s="317">
        <f t="shared" ref="H27:K27" si="1">SUM(H11:H25)</f>
        <v>219.19983196870052</v>
      </c>
      <c r="I27" s="317">
        <f t="shared" si="1"/>
        <v>204.2958110611367</v>
      </c>
      <c r="J27" s="119">
        <f t="shared" si="1"/>
        <v>205.91965459292587</v>
      </c>
      <c r="K27" s="119">
        <f t="shared" si="1"/>
        <v>193.09662254615921</v>
      </c>
      <c r="L27" s="87"/>
    </row>
    <row r="28" spans="1:12" x14ac:dyDescent="0.3">
      <c r="A28" s="7"/>
      <c r="B28" s="7"/>
      <c r="C28" s="7"/>
      <c r="D28" s="7"/>
      <c r="E28" s="7"/>
      <c r="F28" s="7"/>
      <c r="G28" s="305">
        <f>G27-'Output|Functional'!G120</f>
        <v>0</v>
      </c>
      <c r="H28" s="305">
        <f>H27-'Output|Functional'!H120</f>
        <v>0</v>
      </c>
      <c r="I28" s="305">
        <f>I27-'Output|Functional'!I120</f>
        <v>0</v>
      </c>
      <c r="J28" s="305">
        <f>J27-'Output|Functional'!J120</f>
        <v>0</v>
      </c>
      <c r="K28" s="305">
        <f>K27-'Output|Functional'!K120</f>
        <v>0</v>
      </c>
      <c r="L28" s="7"/>
    </row>
    <row r="29" spans="1:12" x14ac:dyDescent="0.3">
      <c r="A29" s="7"/>
      <c r="B29" s="7"/>
      <c r="C29" s="7"/>
      <c r="D29" s="7"/>
      <c r="E29" s="218" t="s">
        <v>614</v>
      </c>
      <c r="F29" s="218"/>
      <c r="G29" s="217">
        <v>0.91595268607488789</v>
      </c>
      <c r="H29" s="217">
        <v>0.91595272988452303</v>
      </c>
      <c r="I29" s="217">
        <v>0.91595286701696021</v>
      </c>
      <c r="J29" s="217">
        <v>0.91595290478798019</v>
      </c>
      <c r="K29" s="217">
        <v>0.91595270717462518</v>
      </c>
      <c r="L29" s="7"/>
    </row>
    <row r="30" spans="1:12" x14ac:dyDescent="0.3">
      <c r="A30" s="55" t="s">
        <v>58</v>
      </c>
      <c r="B30" s="12"/>
      <c r="C30" s="12"/>
      <c r="D30" s="12"/>
      <c r="E30" s="12"/>
      <c r="F30" s="12"/>
      <c r="G30" s="59" t="s">
        <v>609</v>
      </c>
      <c r="H30" s="59" t="s">
        <v>609</v>
      </c>
      <c r="I30" s="59" t="s">
        <v>609</v>
      </c>
      <c r="J30" s="59" t="s">
        <v>609</v>
      </c>
      <c r="K30" s="59" t="s">
        <v>609</v>
      </c>
      <c r="L30" s="12"/>
    </row>
    <row r="31" spans="1:12" x14ac:dyDescent="0.3">
      <c r="A31" s="7"/>
      <c r="B31" s="7"/>
      <c r="C31" s="7"/>
      <c r="D31" s="7"/>
      <c r="E31" s="7"/>
      <c r="F31" s="7"/>
      <c r="G31" s="7" t="s">
        <v>50</v>
      </c>
      <c r="H31" s="7" t="s">
        <v>50</v>
      </c>
      <c r="I31" s="7" t="s">
        <v>50</v>
      </c>
      <c r="J31" s="7" t="s">
        <v>50</v>
      </c>
      <c r="K31" s="7" t="s">
        <v>50</v>
      </c>
      <c r="L31" s="7"/>
    </row>
    <row r="32" spans="1:12" x14ac:dyDescent="0.3">
      <c r="A32" s="7"/>
      <c r="B32" s="7"/>
      <c r="C32" s="7"/>
      <c r="D32" s="7"/>
      <c r="E32" s="38" t="s">
        <v>36</v>
      </c>
      <c r="F32" s="7"/>
      <c r="G32" s="43">
        <f>(('Output|Functional'!G12*'Calc|Weightings'!$BA232)*(1+Inflation!R$86))</f>
        <v>3.2086304500158751</v>
      </c>
      <c r="H32" s="43">
        <f>(('Output|Functional'!H12*'Calc|Weightings'!$BA232)*(1+Inflation!S$86))</f>
        <v>3.6691726514481369</v>
      </c>
      <c r="I32" s="43">
        <f>(('Output|Functional'!I12*'Calc|Weightings'!$BA232)*(1+Inflation!T$86))</f>
        <v>3.7431787321455161</v>
      </c>
      <c r="J32" s="43">
        <f>(('Output|Functional'!J12*'Calc|Weightings'!$BA232)*(1+Inflation!U$86))</f>
        <v>3.7014847851943609</v>
      </c>
      <c r="K32" s="43">
        <f>(('Output|Functional'!K12*'Calc|Weightings'!$BA232)*(1+Inflation!V$86))</f>
        <v>3.6552556200996644</v>
      </c>
      <c r="L32" s="7"/>
    </row>
    <row r="33" spans="1:12" x14ac:dyDescent="0.3">
      <c r="A33" s="7"/>
      <c r="B33" s="7"/>
      <c r="C33" s="7"/>
      <c r="D33" s="7"/>
      <c r="E33" s="38" t="s">
        <v>39</v>
      </c>
      <c r="F33" s="7"/>
      <c r="G33" s="43">
        <f>(('Output|Functional'!G12*'Calc|Weightings'!$BA233)*(1+Inflation!R$86))</f>
        <v>27.433655803719855</v>
      </c>
      <c r="H33" s="43">
        <f>(('Output|Functional'!H12*'Calc|Weightings'!$BA233)*(1+Inflation!S$86))</f>
        <v>31.371272314564088</v>
      </c>
      <c r="I33" s="43">
        <f>(('Output|Functional'!I12*'Calc|Weightings'!$BA233)*(1+Inflation!T$86))</f>
        <v>32.004021201312383</v>
      </c>
      <c r="J33" s="43">
        <f>(('Output|Functional'!J12*'Calc|Weightings'!$BA233)*(1+Inflation!U$86))</f>
        <v>31.6475397031857</v>
      </c>
      <c r="K33" s="43">
        <f>(('Output|Functional'!K12*'Calc|Weightings'!$BA233)*(1+Inflation!V$86))</f>
        <v>31.252282280101976</v>
      </c>
      <c r="L33" s="7"/>
    </row>
    <row r="34" spans="1:12" x14ac:dyDescent="0.3">
      <c r="A34" s="7"/>
      <c r="B34" s="7"/>
      <c r="C34" s="7"/>
      <c r="D34" s="7"/>
      <c r="E34" s="38" t="s">
        <v>40</v>
      </c>
      <c r="F34" s="7"/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7"/>
    </row>
    <row r="35" spans="1:12" x14ac:dyDescent="0.3">
      <c r="A35" s="7"/>
      <c r="B35" s="7"/>
      <c r="C35" s="7"/>
      <c r="D35" s="7"/>
      <c r="E35" s="38" t="s">
        <v>41</v>
      </c>
      <c r="F35" s="7"/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7"/>
    </row>
    <row r="36" spans="1:12" x14ac:dyDescent="0.3">
      <c r="A36" s="7"/>
      <c r="B36" s="7"/>
      <c r="C36" s="7"/>
      <c r="D36" s="7"/>
      <c r="E36" s="38" t="s">
        <v>580</v>
      </c>
      <c r="F36" s="7"/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7"/>
    </row>
    <row r="37" spans="1:12" x14ac:dyDescent="0.3">
      <c r="A37" s="7"/>
      <c r="B37" s="7"/>
      <c r="C37" s="7"/>
      <c r="D37" s="7"/>
      <c r="E37" s="38" t="s">
        <v>579</v>
      </c>
      <c r="F37" s="7"/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7"/>
    </row>
    <row r="38" spans="1:12" x14ac:dyDescent="0.3">
      <c r="A38" s="7"/>
      <c r="B38" s="7"/>
      <c r="C38" s="7"/>
      <c r="D38" s="7"/>
      <c r="E38" s="38" t="s">
        <v>30</v>
      </c>
      <c r="F38" s="7"/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7"/>
    </row>
    <row r="39" spans="1:12" x14ac:dyDescent="0.3">
      <c r="A39" s="7"/>
      <c r="B39" s="7"/>
      <c r="C39" s="7"/>
      <c r="D39" s="7"/>
      <c r="E39" s="38" t="s">
        <v>31</v>
      </c>
      <c r="F39" s="7"/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7"/>
    </row>
    <row r="40" spans="1:12" x14ac:dyDescent="0.3">
      <c r="A40" s="7"/>
      <c r="B40" s="7"/>
      <c r="C40" s="7"/>
      <c r="D40" s="7"/>
      <c r="E40" s="38" t="s">
        <v>8</v>
      </c>
      <c r="F40" s="7"/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7"/>
    </row>
    <row r="41" spans="1:12" x14ac:dyDescent="0.3">
      <c r="A41" s="7"/>
      <c r="B41" s="7"/>
      <c r="C41" s="7"/>
      <c r="D41" s="7"/>
      <c r="E41" s="38" t="s">
        <v>611</v>
      </c>
      <c r="F41" s="7"/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7"/>
    </row>
    <row r="42" spans="1:12" x14ac:dyDescent="0.3">
      <c r="A42" s="7"/>
      <c r="B42" s="7"/>
      <c r="C42" s="7"/>
      <c r="D42" s="7"/>
      <c r="E42" s="38" t="s">
        <v>612</v>
      </c>
      <c r="F42" s="7"/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7"/>
    </row>
    <row r="43" spans="1:12" x14ac:dyDescent="0.3">
      <c r="A43" s="7"/>
      <c r="B43" s="7"/>
      <c r="C43" s="7"/>
      <c r="D43" s="7"/>
      <c r="E43" s="38" t="s">
        <v>44</v>
      </c>
      <c r="F43" s="7"/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7"/>
    </row>
    <row r="44" spans="1:12" x14ac:dyDescent="0.3">
      <c r="A44" s="7"/>
      <c r="B44" s="7"/>
      <c r="C44" s="7"/>
      <c r="D44" s="7"/>
      <c r="E44" s="38" t="s">
        <v>610</v>
      </c>
      <c r="F44" s="7"/>
      <c r="G44" s="43"/>
      <c r="H44" s="43"/>
      <c r="I44" s="43"/>
      <c r="J44" s="43"/>
      <c r="K44" s="43"/>
      <c r="L44" s="7"/>
    </row>
    <row r="45" spans="1:12" x14ac:dyDescent="0.3">
      <c r="A45" s="7"/>
      <c r="B45" s="7"/>
      <c r="C45" s="7"/>
      <c r="D45" s="7"/>
      <c r="E45" s="122"/>
      <c r="F45" s="7"/>
      <c r="G45" s="43"/>
      <c r="H45" s="43"/>
      <c r="I45" s="43"/>
      <c r="J45" s="43"/>
      <c r="K45" s="43"/>
      <c r="L45" s="7"/>
    </row>
    <row r="46" spans="1:12" x14ac:dyDescent="0.3">
      <c r="A46" s="7"/>
      <c r="B46" s="7"/>
      <c r="C46" s="7"/>
      <c r="D46" s="7"/>
      <c r="E46" s="122"/>
      <c r="F46" s="7"/>
      <c r="G46" s="43"/>
      <c r="H46" s="43"/>
      <c r="I46" s="43"/>
      <c r="J46" s="43"/>
      <c r="K46" s="43"/>
      <c r="L46" s="7"/>
    </row>
    <row r="47" spans="1:12" x14ac:dyDescent="0.3">
      <c r="A47" s="7"/>
      <c r="B47" s="7"/>
      <c r="C47" s="7"/>
      <c r="D47" s="7"/>
      <c r="E47" s="7"/>
      <c r="F47" s="7"/>
      <c r="G47" s="43"/>
      <c r="H47" s="43"/>
      <c r="I47" s="43"/>
      <c r="J47" s="43"/>
      <c r="K47" s="43"/>
      <c r="L47" s="87"/>
    </row>
    <row r="48" spans="1:12" x14ac:dyDescent="0.3">
      <c r="A48" s="7"/>
      <c r="B48" s="7"/>
      <c r="C48" s="7"/>
      <c r="D48" s="7"/>
      <c r="E48" s="9" t="s">
        <v>20</v>
      </c>
      <c r="F48" s="7"/>
      <c r="G48" s="57">
        <f t="shared" ref="G48:K48" si="2">SUM(G32:G46)</f>
        <v>30.64228625373573</v>
      </c>
      <c r="H48" s="57">
        <f t="shared" si="2"/>
        <v>35.040444966012224</v>
      </c>
      <c r="I48" s="57">
        <f t="shared" si="2"/>
        <v>35.7471999334579</v>
      </c>
      <c r="J48" s="57">
        <f t="shared" si="2"/>
        <v>35.34902448838006</v>
      </c>
      <c r="K48" s="57">
        <f t="shared" si="2"/>
        <v>34.907537900201639</v>
      </c>
      <c r="L48" s="87"/>
    </row>
    <row r="49" spans="1:12" x14ac:dyDescent="0.3">
      <c r="A49" s="7"/>
      <c r="B49" s="7"/>
      <c r="C49" s="7"/>
      <c r="D49" s="7"/>
      <c r="E49" s="7"/>
      <c r="F49" s="7"/>
      <c r="G49" s="61">
        <f>G48-'Output|Functional'!G88</f>
        <v>0</v>
      </c>
      <c r="H49" s="61">
        <f>H48-'Output|Functional'!H88</f>
        <v>0</v>
      </c>
      <c r="I49" s="61">
        <f>I48-'Output|Functional'!I88</f>
        <v>0</v>
      </c>
      <c r="J49" s="61">
        <f>J48-'Output|Functional'!J88</f>
        <v>0</v>
      </c>
      <c r="K49" s="61">
        <f>K48-'Output|Functional'!K88</f>
        <v>0</v>
      </c>
      <c r="L49" s="7"/>
    </row>
    <row r="50" spans="1:12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3">
      <c r="A51" s="55" t="s">
        <v>57</v>
      </c>
      <c r="B51" s="12"/>
      <c r="C51" s="12"/>
      <c r="D51" s="12"/>
      <c r="E51" s="12"/>
      <c r="F51" s="12"/>
      <c r="G51" s="59" t="s">
        <v>609</v>
      </c>
      <c r="H51" s="59" t="s">
        <v>609</v>
      </c>
      <c r="I51" s="59" t="s">
        <v>609</v>
      </c>
      <c r="J51" s="59" t="s">
        <v>609</v>
      </c>
      <c r="K51" s="59" t="s">
        <v>609</v>
      </c>
      <c r="L51" s="12"/>
    </row>
    <row r="52" spans="1:12" x14ac:dyDescent="0.3">
      <c r="A52" s="7"/>
      <c r="B52" s="7"/>
      <c r="C52" s="7"/>
      <c r="D52" s="7"/>
      <c r="E52" s="7"/>
      <c r="F52" s="7"/>
      <c r="G52" s="7" t="s">
        <v>50</v>
      </c>
      <c r="H52" s="7" t="s">
        <v>50</v>
      </c>
      <c r="I52" s="7" t="s">
        <v>50</v>
      </c>
      <c r="J52" s="7" t="s">
        <v>50</v>
      </c>
      <c r="K52" s="7" t="s">
        <v>50</v>
      </c>
      <c r="L52" s="7"/>
    </row>
    <row r="53" spans="1:12" x14ac:dyDescent="0.3">
      <c r="A53" s="7"/>
      <c r="B53" s="7"/>
      <c r="C53" s="7"/>
      <c r="D53" s="7"/>
      <c r="E53" s="38" t="s">
        <v>36</v>
      </c>
      <c r="F53" s="7"/>
      <c r="G53" s="210">
        <f>'Input|Forecast Data'!G211/10^3</f>
        <v>3.0852554926121031E-2</v>
      </c>
      <c r="H53" s="210">
        <f>'Input|Forecast Data'!H211/10^3</f>
        <v>3.0852554926121031E-2</v>
      </c>
      <c r="I53" s="210">
        <f>'Input|Forecast Data'!I211/10^3</f>
        <v>3.0852554926121031E-2</v>
      </c>
      <c r="J53" s="210">
        <f>'Input|Forecast Data'!J211/10^3</f>
        <v>3.0852554926121031E-2</v>
      </c>
      <c r="K53" s="210">
        <f>'Input|Forecast Data'!K211/10^3</f>
        <v>3.0852554926121031E-2</v>
      </c>
      <c r="L53" s="7"/>
    </row>
    <row r="54" spans="1:12" x14ac:dyDescent="0.3">
      <c r="A54" s="7"/>
      <c r="B54" s="7"/>
      <c r="C54" s="7"/>
      <c r="D54" s="7"/>
      <c r="E54" s="38" t="s">
        <v>39</v>
      </c>
      <c r="F54" s="7"/>
      <c r="G54" s="210">
        <f>'Input|Forecast Data'!G212/10^3</f>
        <v>5.2501615095755544E-2</v>
      </c>
      <c r="H54" s="210">
        <f>'Input|Forecast Data'!H212/10^3</f>
        <v>5.2501615095755544E-2</v>
      </c>
      <c r="I54" s="210">
        <f>'Input|Forecast Data'!I212/10^3</f>
        <v>5.2501615095755544E-2</v>
      </c>
      <c r="J54" s="210">
        <f>'Input|Forecast Data'!J212/10^3</f>
        <v>5.2501615095755544E-2</v>
      </c>
      <c r="K54" s="210">
        <f>'Input|Forecast Data'!K212/10^3</f>
        <v>5.2501615095755544E-2</v>
      </c>
      <c r="L54" s="7"/>
    </row>
    <row r="55" spans="1:12" x14ac:dyDescent="0.3">
      <c r="A55" s="7"/>
      <c r="B55" s="7"/>
      <c r="C55" s="7"/>
      <c r="D55" s="7"/>
      <c r="E55" s="38" t="s">
        <v>40</v>
      </c>
      <c r="F55" s="7"/>
      <c r="G55" s="43"/>
      <c r="H55" s="43"/>
      <c r="I55" s="43"/>
      <c r="J55" s="43"/>
      <c r="K55" s="43"/>
      <c r="L55" s="7"/>
    </row>
    <row r="56" spans="1:12" x14ac:dyDescent="0.3">
      <c r="A56" s="7"/>
      <c r="B56" s="7"/>
      <c r="C56" s="7"/>
      <c r="D56" s="7"/>
      <c r="E56" s="38" t="s">
        <v>41</v>
      </c>
      <c r="F56" s="7"/>
      <c r="G56" s="43"/>
      <c r="H56" s="43"/>
      <c r="I56" s="43"/>
      <c r="J56" s="43"/>
      <c r="K56" s="43"/>
      <c r="L56" s="7"/>
    </row>
    <row r="57" spans="1:12" x14ac:dyDescent="0.3">
      <c r="A57" s="7"/>
      <c r="B57" s="7"/>
      <c r="C57" s="7"/>
      <c r="D57" s="7"/>
      <c r="E57" s="38" t="s">
        <v>580</v>
      </c>
      <c r="F57" s="7"/>
      <c r="G57" s="43"/>
      <c r="H57" s="43"/>
      <c r="I57" s="43"/>
      <c r="J57" s="43"/>
      <c r="K57" s="43"/>
      <c r="L57" s="7"/>
    </row>
    <row r="58" spans="1:12" x14ac:dyDescent="0.3">
      <c r="A58" s="7"/>
      <c r="B58" s="7"/>
      <c r="C58" s="7"/>
      <c r="D58" s="7"/>
      <c r="E58" s="38" t="s">
        <v>579</v>
      </c>
      <c r="F58" s="7"/>
      <c r="G58" s="43"/>
      <c r="H58" s="43"/>
      <c r="I58" s="43"/>
      <c r="J58" s="43"/>
      <c r="K58" s="43"/>
      <c r="L58" s="7"/>
    </row>
    <row r="59" spans="1:12" x14ac:dyDescent="0.3">
      <c r="A59" s="7"/>
      <c r="B59" s="7"/>
      <c r="C59" s="7"/>
      <c r="D59" s="7"/>
      <c r="E59" s="38" t="s">
        <v>30</v>
      </c>
      <c r="F59" s="7"/>
      <c r="G59" s="210">
        <f>'Input|Forecast Data'!G217/10^3</f>
        <v>9.1649469738030714E-3</v>
      </c>
      <c r="H59" s="210">
        <f>'Input|Forecast Data'!H217/10^3</f>
        <v>9.1649469738030714E-3</v>
      </c>
      <c r="I59" s="210">
        <f>'Input|Forecast Data'!I217/10^3</f>
        <v>9.1649469738030714E-3</v>
      </c>
      <c r="J59" s="210">
        <f>'Input|Forecast Data'!J217/10^3</f>
        <v>9.1649469738030714E-3</v>
      </c>
      <c r="K59" s="210">
        <f>'Input|Forecast Data'!K217/10^3</f>
        <v>9.1649469738030714E-3</v>
      </c>
      <c r="L59" s="7"/>
    </row>
    <row r="60" spans="1:12" x14ac:dyDescent="0.3">
      <c r="A60" s="7"/>
      <c r="B60" s="7"/>
      <c r="C60" s="7"/>
      <c r="D60" s="7"/>
      <c r="E60" s="38" t="s">
        <v>31</v>
      </c>
      <c r="F60" s="7"/>
      <c r="G60" s="210">
        <f>'Input|Forecast Data'!G218/10^3</f>
        <v>0.78450251184829722</v>
      </c>
      <c r="H60" s="210">
        <f>'Input|Forecast Data'!H218/10^3</f>
        <v>0.78450251184829722</v>
      </c>
      <c r="I60" s="210">
        <f>'Input|Forecast Data'!I218/10^3</f>
        <v>0.78450251184829722</v>
      </c>
      <c r="J60" s="210">
        <f>'Input|Forecast Data'!J218/10^3</f>
        <v>0.78450251184829722</v>
      </c>
      <c r="K60" s="210">
        <f>'Input|Forecast Data'!K218/10^3</f>
        <v>0.78450251184829722</v>
      </c>
      <c r="L60" s="7"/>
    </row>
    <row r="61" spans="1:12" x14ac:dyDescent="0.3">
      <c r="A61" s="7"/>
      <c r="B61" s="7"/>
      <c r="C61" s="7"/>
      <c r="D61" s="7"/>
      <c r="E61" s="38" t="s">
        <v>8</v>
      </c>
      <c r="F61" s="7"/>
      <c r="G61" s="43"/>
      <c r="H61" s="43"/>
      <c r="I61" s="43"/>
      <c r="J61" s="43"/>
      <c r="K61" s="43"/>
      <c r="L61" s="7"/>
    </row>
    <row r="62" spans="1:12" x14ac:dyDescent="0.3">
      <c r="A62" s="7"/>
      <c r="B62" s="7"/>
      <c r="C62" s="7"/>
      <c r="D62" s="7"/>
      <c r="E62" s="38" t="s">
        <v>611</v>
      </c>
      <c r="F62" s="7"/>
      <c r="G62" s="43"/>
      <c r="H62" s="43"/>
      <c r="I62" s="43"/>
      <c r="J62" s="43"/>
      <c r="K62" s="43"/>
      <c r="L62" s="7"/>
    </row>
    <row r="63" spans="1:12" x14ac:dyDescent="0.3">
      <c r="A63" s="7"/>
      <c r="B63" s="7"/>
      <c r="C63" s="7"/>
      <c r="D63" s="7"/>
      <c r="E63" s="38" t="s">
        <v>612</v>
      </c>
      <c r="F63" s="7"/>
      <c r="G63" s="43"/>
      <c r="H63" s="43"/>
      <c r="I63" s="43"/>
      <c r="J63" s="43"/>
      <c r="K63" s="43"/>
      <c r="L63" s="7"/>
    </row>
    <row r="64" spans="1:12" x14ac:dyDescent="0.3">
      <c r="A64" s="7"/>
      <c r="B64" s="7"/>
      <c r="C64" s="7"/>
      <c r="D64" s="7"/>
      <c r="E64" s="38" t="s">
        <v>44</v>
      </c>
      <c r="F64" s="7"/>
      <c r="G64" s="43"/>
      <c r="H64" s="43"/>
      <c r="I64" s="43"/>
      <c r="J64" s="43"/>
      <c r="K64" s="43"/>
      <c r="L64" s="7"/>
    </row>
    <row r="65" spans="1:12" x14ac:dyDescent="0.3">
      <c r="A65" s="7"/>
      <c r="B65" s="7"/>
      <c r="C65" s="7"/>
      <c r="D65" s="7"/>
      <c r="E65" s="38" t="s">
        <v>610</v>
      </c>
      <c r="F65" s="7"/>
      <c r="G65" s="43"/>
      <c r="H65" s="43"/>
      <c r="I65" s="43"/>
      <c r="J65" s="43"/>
      <c r="K65" s="43"/>
      <c r="L65" s="7"/>
    </row>
    <row r="66" spans="1:12" x14ac:dyDescent="0.3">
      <c r="A66" s="7"/>
      <c r="B66" s="7"/>
      <c r="C66" s="7"/>
      <c r="D66" s="7"/>
      <c r="E66" s="122"/>
      <c r="F66" s="7"/>
      <c r="G66" s="43"/>
      <c r="H66" s="43"/>
      <c r="I66" s="43"/>
      <c r="J66" s="43"/>
      <c r="K66" s="43"/>
      <c r="L66" s="7"/>
    </row>
    <row r="67" spans="1:12" x14ac:dyDescent="0.3">
      <c r="A67" s="7"/>
      <c r="B67" s="7"/>
      <c r="C67" s="7"/>
      <c r="D67" s="7"/>
      <c r="E67" s="122"/>
      <c r="F67" s="7"/>
      <c r="G67" s="43"/>
      <c r="H67" s="43"/>
      <c r="I67" s="43"/>
      <c r="J67" s="43"/>
      <c r="K67" s="43"/>
      <c r="L67" s="7"/>
    </row>
    <row r="68" spans="1:12" x14ac:dyDescent="0.3">
      <c r="A68" s="7"/>
      <c r="B68" s="7"/>
      <c r="C68" s="7"/>
      <c r="D68" s="7"/>
      <c r="E68" s="7"/>
      <c r="F68" s="7"/>
      <c r="G68" s="43"/>
      <c r="H68" s="43"/>
      <c r="I68" s="43"/>
      <c r="J68" s="43"/>
      <c r="K68" s="43"/>
      <c r="L68" s="7"/>
    </row>
    <row r="69" spans="1:12" x14ac:dyDescent="0.3">
      <c r="A69" s="7"/>
      <c r="B69" s="7"/>
      <c r="C69" s="7"/>
      <c r="D69" s="7"/>
      <c r="E69" s="9" t="s">
        <v>20</v>
      </c>
      <c r="F69" s="7"/>
      <c r="G69" s="57">
        <f t="shared" ref="G69:K69" si="3">SUM(G53:G67)</f>
        <v>0.87702162884397683</v>
      </c>
      <c r="H69" s="57">
        <f t="shared" si="3"/>
        <v>0.87702162884397683</v>
      </c>
      <c r="I69" s="57">
        <f t="shared" si="3"/>
        <v>0.87702162884397683</v>
      </c>
      <c r="J69" s="57">
        <f t="shared" si="3"/>
        <v>0.87702162884397683</v>
      </c>
      <c r="K69" s="57">
        <f t="shared" si="3"/>
        <v>0.87702162884397683</v>
      </c>
      <c r="L69" s="87"/>
    </row>
    <row r="70" spans="1:12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3">
      <c r="A71" s="55" t="s">
        <v>83</v>
      </c>
      <c r="B71" s="12"/>
      <c r="C71" s="12"/>
      <c r="D71" s="12"/>
      <c r="E71" s="12"/>
      <c r="F71" s="12"/>
      <c r="G71" s="59" t="s">
        <v>609</v>
      </c>
      <c r="H71" s="59" t="s">
        <v>609</v>
      </c>
      <c r="I71" s="59" t="s">
        <v>609</v>
      </c>
      <c r="J71" s="59" t="s">
        <v>609</v>
      </c>
      <c r="K71" s="59" t="s">
        <v>609</v>
      </c>
      <c r="L71" s="12"/>
    </row>
    <row r="72" spans="1:12" x14ac:dyDescent="0.3">
      <c r="A72" s="7"/>
      <c r="B72" s="7"/>
      <c r="C72" s="7"/>
      <c r="D72" s="7"/>
      <c r="E72" s="7"/>
      <c r="F72" s="7"/>
      <c r="G72" s="7" t="s">
        <v>50</v>
      </c>
      <c r="H72" s="7" t="s">
        <v>50</v>
      </c>
      <c r="I72" s="7" t="s">
        <v>50</v>
      </c>
      <c r="J72" s="7" t="s">
        <v>50</v>
      </c>
      <c r="K72" s="7" t="s">
        <v>50</v>
      </c>
      <c r="L72" s="7"/>
    </row>
    <row r="73" spans="1:12" x14ac:dyDescent="0.3">
      <c r="A73" s="7"/>
      <c r="B73" s="7"/>
      <c r="C73" s="7"/>
      <c r="D73" s="7"/>
      <c r="E73" s="38" t="s">
        <v>36</v>
      </c>
      <c r="F73" s="7"/>
      <c r="G73" s="215">
        <f>G11-G32-G53</f>
        <v>12.49817615239969</v>
      </c>
      <c r="H73" s="215">
        <f t="shared" ref="H73:K73" si="4">H11-H32-H53</f>
        <v>13.008291487412997</v>
      </c>
      <c r="I73" s="215">
        <f t="shared" si="4"/>
        <v>12.866828512842282</v>
      </c>
      <c r="J73" s="215">
        <f t="shared" si="4"/>
        <v>12.619199384481348</v>
      </c>
      <c r="K73" s="215">
        <f t="shared" si="4"/>
        <v>12.17712544919878</v>
      </c>
      <c r="L73" s="7"/>
    </row>
    <row r="74" spans="1:12" x14ac:dyDescent="0.3">
      <c r="A74" s="7"/>
      <c r="B74" s="7"/>
      <c r="C74" s="7"/>
      <c r="D74" s="7"/>
      <c r="E74" s="38" t="s">
        <v>39</v>
      </c>
      <c r="F74" s="7"/>
      <c r="G74" s="215">
        <f t="shared" ref="G74:K85" si="5">G12-G33-G54</f>
        <v>107.07065123265032</v>
      </c>
      <c r="H74" s="215">
        <f t="shared" si="5"/>
        <v>111.43505877131973</v>
      </c>
      <c r="I74" s="215">
        <f t="shared" si="5"/>
        <v>110.23122820969918</v>
      </c>
      <c r="J74" s="215">
        <f t="shared" si="5"/>
        <v>108.11692008362161</v>
      </c>
      <c r="K74" s="215">
        <f t="shared" si="5"/>
        <v>104.34261103375731</v>
      </c>
      <c r="L74" s="7"/>
    </row>
    <row r="75" spans="1:12" x14ac:dyDescent="0.3">
      <c r="A75" s="7"/>
      <c r="B75" s="7"/>
      <c r="C75" s="7"/>
      <c r="D75" s="7"/>
      <c r="E75" s="38" t="s">
        <v>40</v>
      </c>
      <c r="F75" s="7"/>
      <c r="G75" s="215">
        <f t="shared" si="5"/>
        <v>0</v>
      </c>
      <c r="H75" s="215">
        <f t="shared" si="5"/>
        <v>0</v>
      </c>
      <c r="I75" s="215">
        <f t="shared" si="5"/>
        <v>0</v>
      </c>
      <c r="J75" s="215">
        <f t="shared" si="5"/>
        <v>0</v>
      </c>
      <c r="K75" s="215">
        <f t="shared" si="5"/>
        <v>0</v>
      </c>
      <c r="L75" s="7"/>
    </row>
    <row r="76" spans="1:12" x14ac:dyDescent="0.3">
      <c r="A76" s="7"/>
      <c r="B76" s="7"/>
      <c r="C76" s="7"/>
      <c r="D76" s="7"/>
      <c r="E76" s="38" t="s">
        <v>41</v>
      </c>
      <c r="F76" s="7"/>
      <c r="G76" s="215">
        <f t="shared" si="5"/>
        <v>0</v>
      </c>
      <c r="H76" s="215">
        <f t="shared" si="5"/>
        <v>0</v>
      </c>
      <c r="I76" s="215">
        <f t="shared" si="5"/>
        <v>0</v>
      </c>
      <c r="J76" s="215">
        <f t="shared" si="5"/>
        <v>0</v>
      </c>
      <c r="K76" s="215">
        <f t="shared" si="5"/>
        <v>0</v>
      </c>
      <c r="L76" s="7"/>
    </row>
    <row r="77" spans="1:12" x14ac:dyDescent="0.3">
      <c r="A77" s="7"/>
      <c r="B77" s="7"/>
      <c r="C77" s="7"/>
      <c r="D77" s="7"/>
      <c r="E77" s="38" t="s">
        <v>580</v>
      </c>
      <c r="F77" s="7"/>
      <c r="G77" s="215">
        <f t="shared" si="5"/>
        <v>0</v>
      </c>
      <c r="H77" s="215">
        <f t="shared" si="5"/>
        <v>0</v>
      </c>
      <c r="I77" s="215">
        <f t="shared" si="5"/>
        <v>0</v>
      </c>
      <c r="J77" s="215">
        <f t="shared" si="5"/>
        <v>0</v>
      </c>
      <c r="K77" s="215">
        <f t="shared" si="5"/>
        <v>0</v>
      </c>
      <c r="L77" s="7"/>
    </row>
    <row r="78" spans="1:12" x14ac:dyDescent="0.3">
      <c r="A78" s="7"/>
      <c r="B78" s="7"/>
      <c r="C78" s="7"/>
      <c r="D78" s="7"/>
      <c r="E78" s="38" t="s">
        <v>579</v>
      </c>
      <c r="F78" s="7"/>
      <c r="G78" s="215">
        <f t="shared" si="5"/>
        <v>7.7704179035744358</v>
      </c>
      <c r="H78" s="215">
        <f t="shared" si="5"/>
        <v>7.0170503991023239</v>
      </c>
      <c r="I78" s="215">
        <f t="shared" si="5"/>
        <v>5.7720302379494504</v>
      </c>
      <c r="J78" s="215">
        <f t="shared" si="5"/>
        <v>8.2570278152454613</v>
      </c>
      <c r="K78" s="215">
        <f t="shared" si="5"/>
        <v>7.1858531731340571</v>
      </c>
      <c r="L78" s="7"/>
    </row>
    <row r="79" spans="1:12" x14ac:dyDescent="0.3">
      <c r="A79" s="7"/>
      <c r="B79" s="7"/>
      <c r="C79" s="7"/>
      <c r="D79" s="7"/>
      <c r="E79" s="38" t="s">
        <v>30</v>
      </c>
      <c r="F79" s="7"/>
      <c r="G79" s="215">
        <f t="shared" si="5"/>
        <v>4.5708249506228942</v>
      </c>
      <c r="H79" s="215">
        <f t="shared" si="5"/>
        <v>3.1221082074895619</v>
      </c>
      <c r="I79" s="215">
        <f t="shared" si="5"/>
        <v>3.0363367482587349</v>
      </c>
      <c r="J79" s="215">
        <f t="shared" si="5"/>
        <v>2.7716623851182418</v>
      </c>
      <c r="K79" s="215">
        <f t="shared" si="5"/>
        <v>1.9192263479960778</v>
      </c>
      <c r="L79" s="7"/>
    </row>
    <row r="80" spans="1:12" x14ac:dyDescent="0.3">
      <c r="A80" s="7"/>
      <c r="B80" s="7"/>
      <c r="C80" s="7"/>
      <c r="D80" s="7"/>
      <c r="E80" s="38" t="s">
        <v>31</v>
      </c>
      <c r="F80" s="7"/>
      <c r="G80" s="215">
        <f t="shared" si="5"/>
        <v>42.895778952800448</v>
      </c>
      <c r="H80" s="215">
        <f t="shared" si="5"/>
        <v>14.575033775976317</v>
      </c>
      <c r="I80" s="215">
        <f t="shared" si="5"/>
        <v>2.5750269924159341</v>
      </c>
      <c r="J80" s="215">
        <f t="shared" si="5"/>
        <v>5.5050026384892883</v>
      </c>
      <c r="K80" s="215">
        <f t="shared" si="5"/>
        <v>10.671516847993763</v>
      </c>
      <c r="L80" s="7"/>
    </row>
    <row r="81" spans="1:12" x14ac:dyDescent="0.3">
      <c r="A81" s="7"/>
      <c r="B81" s="7"/>
      <c r="C81" s="7"/>
      <c r="D81" s="7"/>
      <c r="E81" s="38" t="s">
        <v>8</v>
      </c>
      <c r="F81" s="7"/>
      <c r="G81" s="215">
        <f t="shared" si="5"/>
        <v>0</v>
      </c>
      <c r="H81" s="215">
        <f t="shared" si="5"/>
        <v>0</v>
      </c>
      <c r="I81" s="215">
        <f t="shared" si="5"/>
        <v>0</v>
      </c>
      <c r="J81" s="215">
        <f t="shared" si="5"/>
        <v>0</v>
      </c>
      <c r="K81" s="215">
        <f t="shared" si="5"/>
        <v>0</v>
      </c>
      <c r="L81" s="7"/>
    </row>
    <row r="82" spans="1:12" x14ac:dyDescent="0.3">
      <c r="A82" s="7"/>
      <c r="B82" s="7"/>
      <c r="C82" s="7"/>
      <c r="D82" s="7"/>
      <c r="E82" s="38" t="s">
        <v>611</v>
      </c>
      <c r="F82" s="7"/>
      <c r="G82" s="215">
        <f t="shared" si="5"/>
        <v>0</v>
      </c>
      <c r="H82" s="215">
        <f t="shared" si="5"/>
        <v>0</v>
      </c>
      <c r="I82" s="215">
        <f t="shared" si="5"/>
        <v>0</v>
      </c>
      <c r="J82" s="215">
        <f t="shared" si="5"/>
        <v>0</v>
      </c>
      <c r="K82" s="215">
        <f t="shared" si="5"/>
        <v>0</v>
      </c>
      <c r="L82" s="7"/>
    </row>
    <row r="83" spans="1:12" x14ac:dyDescent="0.3">
      <c r="A83" s="7"/>
      <c r="B83" s="7"/>
      <c r="C83" s="7"/>
      <c r="D83" s="7"/>
      <c r="E83" s="38" t="s">
        <v>612</v>
      </c>
      <c r="F83" s="7"/>
      <c r="G83" s="215">
        <f t="shared" si="5"/>
        <v>0</v>
      </c>
      <c r="H83" s="215">
        <f t="shared" si="5"/>
        <v>0</v>
      </c>
      <c r="I83" s="215">
        <f t="shared" si="5"/>
        <v>0</v>
      </c>
      <c r="J83" s="215">
        <f t="shared" si="5"/>
        <v>0</v>
      </c>
      <c r="K83" s="215">
        <f t="shared" si="5"/>
        <v>0</v>
      </c>
      <c r="L83" s="7"/>
    </row>
    <row r="84" spans="1:12" x14ac:dyDescent="0.3">
      <c r="A84" s="7"/>
      <c r="B84" s="7"/>
      <c r="C84" s="7"/>
      <c r="D84" s="7"/>
      <c r="E84" s="38" t="s">
        <v>44</v>
      </c>
      <c r="F84" s="7"/>
      <c r="G84" s="215">
        <f t="shared" si="5"/>
        <v>0</v>
      </c>
      <c r="H84" s="215">
        <f t="shared" si="5"/>
        <v>0</v>
      </c>
      <c r="I84" s="215">
        <f t="shared" si="5"/>
        <v>0</v>
      </c>
      <c r="J84" s="215">
        <f t="shared" si="5"/>
        <v>2.1180864221078881</v>
      </c>
      <c r="K84" s="215">
        <f t="shared" si="5"/>
        <v>0</v>
      </c>
      <c r="L84" s="7"/>
    </row>
    <row r="85" spans="1:12" x14ac:dyDescent="0.3">
      <c r="A85" s="7"/>
      <c r="B85" s="7"/>
      <c r="C85" s="7"/>
      <c r="D85" s="7"/>
      <c r="E85" s="38" t="s">
        <v>610</v>
      </c>
      <c r="F85" s="7"/>
      <c r="G85" s="215">
        <f t="shared" si="5"/>
        <v>49.913005579659874</v>
      </c>
      <c r="H85" s="215">
        <f t="shared" si="5"/>
        <v>34.124822732543386</v>
      </c>
      <c r="I85" s="215">
        <f t="shared" si="5"/>
        <v>33.190138797669256</v>
      </c>
      <c r="J85" s="215">
        <f t="shared" si="5"/>
        <v>30.30570974663798</v>
      </c>
      <c r="K85" s="215">
        <f t="shared" si="5"/>
        <v>21.015730165033606</v>
      </c>
      <c r="L85" s="7"/>
    </row>
    <row r="86" spans="1:12" x14ac:dyDescent="0.3">
      <c r="A86" s="7"/>
      <c r="B86" s="7"/>
      <c r="C86" s="7"/>
      <c r="D86" s="7"/>
      <c r="E86" s="38"/>
      <c r="F86" s="7"/>
      <c r="G86" s="43"/>
      <c r="H86" s="43"/>
      <c r="I86" s="43"/>
      <c r="J86" s="43"/>
      <c r="K86" s="43"/>
      <c r="L86" s="7"/>
    </row>
    <row r="87" spans="1:12" x14ac:dyDescent="0.3">
      <c r="A87" s="7"/>
      <c r="B87" s="7"/>
      <c r="C87" s="7"/>
      <c r="D87" s="7"/>
      <c r="E87" s="38"/>
      <c r="F87" s="7"/>
      <c r="G87" s="43"/>
      <c r="H87" s="43"/>
      <c r="I87" s="43"/>
      <c r="J87" s="43"/>
      <c r="K87" s="43"/>
      <c r="L87" s="7"/>
    </row>
    <row r="88" spans="1:12" x14ac:dyDescent="0.3">
      <c r="A88" s="7"/>
      <c r="B88" s="7"/>
      <c r="C88" s="7"/>
      <c r="D88" s="7"/>
      <c r="E88" s="7"/>
      <c r="F88" s="7"/>
      <c r="G88" s="43"/>
      <c r="H88" s="43"/>
      <c r="I88" s="43"/>
      <c r="J88" s="43"/>
      <c r="K88" s="43"/>
      <c r="L88" s="7"/>
    </row>
    <row r="89" spans="1:12" x14ac:dyDescent="0.3">
      <c r="A89" s="7"/>
      <c r="B89" s="7"/>
      <c r="C89" s="7"/>
      <c r="D89" s="7"/>
      <c r="E89" s="9" t="s">
        <v>20</v>
      </c>
      <c r="F89" s="7"/>
      <c r="G89" s="119">
        <f t="shared" ref="G89" si="6">SUM(G73:G87)</f>
        <v>224.71885477170767</v>
      </c>
      <c r="H89" s="119">
        <f t="shared" ref="H89:K89" si="7">SUM(H73:H87)</f>
        <v>183.2823653738443</v>
      </c>
      <c r="I89" s="119">
        <f t="shared" si="7"/>
        <v>167.67158949883483</v>
      </c>
      <c r="J89" s="119">
        <f t="shared" si="7"/>
        <v>169.69360847570181</v>
      </c>
      <c r="K89" s="119">
        <f t="shared" si="7"/>
        <v>157.31206301711359</v>
      </c>
      <c r="L89" s="220"/>
    </row>
    <row r="90" spans="1:12" x14ac:dyDescent="0.3">
      <c r="A90" s="7"/>
      <c r="B90" s="7"/>
      <c r="C90" s="7"/>
      <c r="D90" s="7"/>
      <c r="E90" s="7"/>
      <c r="F90" s="7"/>
      <c r="G90" s="216">
        <f>G89+G69-'Output|Functional'!G136</f>
        <v>0</v>
      </c>
      <c r="H90" s="216">
        <f>H89+H69-'Output|Functional'!H136</f>
        <v>0</v>
      </c>
      <c r="I90" s="216">
        <f>I89+I69-'Output|Functional'!I136</f>
        <v>0</v>
      </c>
      <c r="J90" s="216">
        <f>J89+J69-'Output|Functional'!J136</f>
        <v>0</v>
      </c>
      <c r="K90" s="216">
        <f>K89+K69-'Output|Functional'!K136</f>
        <v>0</v>
      </c>
      <c r="L90" s="93"/>
    </row>
    <row r="91" spans="1:12" x14ac:dyDescent="0.3">
      <c r="A91" s="7"/>
      <c r="B91" s="7"/>
      <c r="C91" s="7"/>
      <c r="D91" s="7"/>
      <c r="E91" s="7"/>
      <c r="F91" s="7"/>
      <c r="G91" s="61"/>
      <c r="H91" s="61"/>
      <c r="I91" s="61"/>
      <c r="J91" s="61"/>
      <c r="K91" s="61"/>
      <c r="L91" s="7"/>
    </row>
    <row r="92" spans="1:12" x14ac:dyDescent="0.3">
      <c r="A92" s="55" t="s">
        <v>1037</v>
      </c>
      <c r="B92" s="12"/>
      <c r="C92" s="12"/>
      <c r="D92" s="12"/>
      <c r="E92" s="12"/>
      <c r="F92" s="12"/>
      <c r="G92" s="59" t="s">
        <v>609</v>
      </c>
      <c r="H92" s="59" t="s">
        <v>609</v>
      </c>
      <c r="I92" s="59" t="s">
        <v>609</v>
      </c>
      <c r="J92" s="59" t="s">
        <v>609</v>
      </c>
      <c r="K92" s="59" t="s">
        <v>609</v>
      </c>
      <c r="L92" s="12"/>
    </row>
    <row r="93" spans="1:12" x14ac:dyDescent="0.3">
      <c r="A93" s="7"/>
      <c r="B93" s="7"/>
      <c r="C93" s="7"/>
      <c r="D93" s="7"/>
      <c r="E93" s="7"/>
      <c r="F93" s="7"/>
      <c r="G93" s="7" t="s">
        <v>50</v>
      </c>
      <c r="H93" s="7" t="s">
        <v>50</v>
      </c>
      <c r="I93" s="7" t="s">
        <v>50</v>
      </c>
      <c r="J93" s="7" t="s">
        <v>50</v>
      </c>
      <c r="K93" s="7" t="s">
        <v>50</v>
      </c>
      <c r="L93" s="7"/>
    </row>
    <row r="94" spans="1:12" x14ac:dyDescent="0.3">
      <c r="A94" s="7"/>
      <c r="B94" s="7"/>
      <c r="C94" s="7"/>
      <c r="D94" s="7"/>
      <c r="E94" s="38" t="s">
        <v>36</v>
      </c>
      <c r="F94" s="7"/>
      <c r="G94" s="43">
        <f>'Immediate deductions'!M10/10^3</f>
        <v>6.2648302771085849</v>
      </c>
      <c r="H94" s="43">
        <f>'Immediate deductions'!N10/10^3</f>
        <v>6.366689941074732</v>
      </c>
      <c r="I94" s="43">
        <f>'Immediate deductions'!O10/10^3</f>
        <v>6.3755607449717369</v>
      </c>
      <c r="J94" s="43">
        <f>'Immediate deductions'!P10/10^3</f>
        <v>6.2812238914236733</v>
      </c>
      <c r="K94" s="43">
        <f>'Immediate deductions'!Q10/10^3</f>
        <v>5.6438255958386661</v>
      </c>
      <c r="L94" s="7"/>
    </row>
    <row r="95" spans="1:12" x14ac:dyDescent="0.3">
      <c r="A95" s="7"/>
      <c r="B95" s="7"/>
      <c r="C95" s="7"/>
      <c r="D95" s="7"/>
      <c r="E95" s="38" t="s">
        <v>39</v>
      </c>
      <c r="F95" s="7"/>
      <c r="G95" s="43">
        <f>'Immediate deductions'!M11/10^3</f>
        <v>53.564228352064568</v>
      </c>
      <c r="H95" s="43">
        <f>'Immediate deductions'!N11/10^3</f>
        <v>54.43623734335867</v>
      </c>
      <c r="I95" s="43">
        <f>'Immediate deductions'!O11/10^3</f>
        <v>54.514262534502848</v>
      </c>
      <c r="J95" s="43">
        <f>'Immediate deductions'!P11/10^3</f>
        <v>53.708813622548391</v>
      </c>
      <c r="K95" s="43">
        <f>'Immediate deductions'!Q11/10^3</f>
        <v>48.260667253855409</v>
      </c>
      <c r="L95" s="7"/>
    </row>
    <row r="96" spans="1:12" x14ac:dyDescent="0.3">
      <c r="A96" s="7"/>
      <c r="B96" s="7"/>
      <c r="C96" s="7"/>
      <c r="D96" s="7"/>
      <c r="E96" s="38" t="s">
        <v>40</v>
      </c>
      <c r="F96" s="7"/>
      <c r="G96" s="43">
        <f>'Immediate deductions'!M12/10^3</f>
        <v>0</v>
      </c>
      <c r="H96" s="43">
        <f>'Immediate deductions'!N12/10^3</f>
        <v>0</v>
      </c>
      <c r="I96" s="43">
        <f>'Immediate deductions'!O12/10^3</f>
        <v>0</v>
      </c>
      <c r="J96" s="43">
        <f>'Immediate deductions'!P12/10^3</f>
        <v>0</v>
      </c>
      <c r="K96" s="43">
        <f>'Immediate deductions'!Q12/10^3</f>
        <v>0</v>
      </c>
      <c r="L96" s="7"/>
    </row>
    <row r="97" spans="1:12" x14ac:dyDescent="0.3">
      <c r="A97" s="7"/>
      <c r="B97" s="7"/>
      <c r="C97" s="7"/>
      <c r="D97" s="7"/>
      <c r="E97" s="38" t="s">
        <v>41</v>
      </c>
      <c r="F97" s="7"/>
      <c r="G97" s="43">
        <f>'Immediate deductions'!M13/10^3</f>
        <v>0</v>
      </c>
      <c r="H97" s="43">
        <f>'Immediate deductions'!N13/10^3</f>
        <v>0</v>
      </c>
      <c r="I97" s="43">
        <f>'Immediate deductions'!O13/10^3</f>
        <v>0</v>
      </c>
      <c r="J97" s="43">
        <f>'Immediate deductions'!P13/10^3</f>
        <v>0</v>
      </c>
      <c r="K97" s="43">
        <f>'Immediate deductions'!Q13/10^3</f>
        <v>0</v>
      </c>
      <c r="L97" s="7"/>
    </row>
    <row r="98" spans="1:12" x14ac:dyDescent="0.3">
      <c r="A98" s="7"/>
      <c r="B98" s="7"/>
      <c r="C98" s="7"/>
      <c r="D98" s="7"/>
      <c r="E98" s="38" t="s">
        <v>580</v>
      </c>
      <c r="F98" s="7"/>
      <c r="G98" s="43">
        <f>'Immediate deductions'!M14/10^3</f>
        <v>0</v>
      </c>
      <c r="H98" s="43">
        <f>'Immediate deductions'!N14/10^3</f>
        <v>0</v>
      </c>
      <c r="I98" s="43">
        <f>'Immediate deductions'!O14/10^3</f>
        <v>0</v>
      </c>
      <c r="J98" s="43">
        <f>'Immediate deductions'!P14/10^3</f>
        <v>0</v>
      </c>
      <c r="K98" s="43">
        <f>'Immediate deductions'!Q14/10^3</f>
        <v>0</v>
      </c>
      <c r="L98" s="7"/>
    </row>
    <row r="99" spans="1:12" x14ac:dyDescent="0.3">
      <c r="A99" s="7"/>
      <c r="B99" s="7"/>
      <c r="C99" s="7"/>
      <c r="D99" s="7"/>
      <c r="E99" s="38" t="s">
        <v>579</v>
      </c>
      <c r="F99" s="7"/>
      <c r="G99" s="43">
        <f>'Immediate deductions'!M15/10^3</f>
        <v>0</v>
      </c>
      <c r="H99" s="43">
        <f>'Immediate deductions'!N15/10^3</f>
        <v>0</v>
      </c>
      <c r="I99" s="43">
        <f>'Immediate deductions'!O15/10^3</f>
        <v>0</v>
      </c>
      <c r="J99" s="43">
        <f>'Immediate deductions'!P15/10^3</f>
        <v>0</v>
      </c>
      <c r="K99" s="43">
        <f>'Immediate deductions'!Q15/10^3</f>
        <v>0</v>
      </c>
      <c r="L99" s="7"/>
    </row>
    <row r="100" spans="1:12" x14ac:dyDescent="0.3">
      <c r="A100" s="7"/>
      <c r="B100" s="7"/>
      <c r="C100" s="7"/>
      <c r="D100" s="7"/>
      <c r="E100" s="38" t="s">
        <v>30</v>
      </c>
      <c r="F100" s="7"/>
      <c r="G100" s="43">
        <f>'Immediate deductions'!M16/10^3</f>
        <v>0</v>
      </c>
      <c r="H100" s="43">
        <f>'Immediate deductions'!N16/10^3</f>
        <v>0</v>
      </c>
      <c r="I100" s="43">
        <f>'Immediate deductions'!O16/10^3</f>
        <v>0</v>
      </c>
      <c r="J100" s="43">
        <f>'Immediate deductions'!P16/10^3</f>
        <v>0</v>
      </c>
      <c r="K100" s="43">
        <f>'Immediate deductions'!Q16/10^3</f>
        <v>0</v>
      </c>
      <c r="L100" s="7"/>
    </row>
    <row r="101" spans="1:12" x14ac:dyDescent="0.3">
      <c r="A101" s="7"/>
      <c r="B101" s="7"/>
      <c r="C101" s="7"/>
      <c r="D101" s="7"/>
      <c r="E101" s="38" t="s">
        <v>31</v>
      </c>
      <c r="F101" s="7"/>
      <c r="G101" s="43">
        <f>'Immediate deductions'!M17/10^3</f>
        <v>0</v>
      </c>
      <c r="H101" s="43">
        <f>'Immediate deductions'!N17/10^3</f>
        <v>0</v>
      </c>
      <c r="I101" s="43">
        <f>'Immediate deductions'!O17/10^3</f>
        <v>0</v>
      </c>
      <c r="J101" s="43">
        <f>'Immediate deductions'!P17/10^3</f>
        <v>0</v>
      </c>
      <c r="K101" s="43">
        <f>'Immediate deductions'!Q17/10^3</f>
        <v>0</v>
      </c>
      <c r="L101" s="7"/>
    </row>
    <row r="102" spans="1:12" x14ac:dyDescent="0.3">
      <c r="A102" s="7"/>
      <c r="B102" s="7"/>
      <c r="C102" s="7"/>
      <c r="D102" s="7"/>
      <c r="E102" s="38" t="s">
        <v>8</v>
      </c>
      <c r="F102" s="7"/>
      <c r="G102" s="43">
        <f>'Immediate deductions'!M18/10^3</f>
        <v>0</v>
      </c>
      <c r="H102" s="43">
        <f>'Immediate deductions'!N18/10^3</f>
        <v>0</v>
      </c>
      <c r="I102" s="43">
        <f>'Immediate deductions'!O18/10^3</f>
        <v>0</v>
      </c>
      <c r="J102" s="43">
        <f>'Immediate deductions'!P18/10^3</f>
        <v>0</v>
      </c>
      <c r="K102" s="43">
        <f>'Immediate deductions'!Q18/10^3</f>
        <v>0</v>
      </c>
      <c r="L102" s="7"/>
    </row>
    <row r="103" spans="1:12" x14ac:dyDescent="0.3">
      <c r="A103" s="7"/>
      <c r="B103" s="7"/>
      <c r="C103" s="7"/>
      <c r="D103" s="7"/>
      <c r="E103" s="38" t="s">
        <v>611</v>
      </c>
      <c r="F103" s="7"/>
      <c r="G103" s="43">
        <f>'Immediate deductions'!M19/10^3</f>
        <v>0</v>
      </c>
      <c r="H103" s="43">
        <f>'Immediate deductions'!N19/10^3</f>
        <v>0</v>
      </c>
      <c r="I103" s="43">
        <f>'Immediate deductions'!O19/10^3</f>
        <v>0</v>
      </c>
      <c r="J103" s="43">
        <f>'Immediate deductions'!P19/10^3</f>
        <v>0</v>
      </c>
      <c r="K103" s="43">
        <f>'Immediate deductions'!Q19/10^3</f>
        <v>0</v>
      </c>
      <c r="L103" s="7"/>
    </row>
    <row r="104" spans="1:12" x14ac:dyDescent="0.3">
      <c r="A104" s="7"/>
      <c r="B104" s="7"/>
      <c r="C104" s="7"/>
      <c r="D104" s="7"/>
      <c r="E104" s="38" t="s">
        <v>612</v>
      </c>
      <c r="F104" s="7"/>
      <c r="G104" s="43">
        <f>'Immediate deductions'!M20/10^3</f>
        <v>0</v>
      </c>
      <c r="H104" s="43">
        <f>'Immediate deductions'!N20/10^3</f>
        <v>0</v>
      </c>
      <c r="I104" s="43">
        <f>'Immediate deductions'!O20/10^3</f>
        <v>0</v>
      </c>
      <c r="J104" s="43">
        <f>'Immediate deductions'!P20/10^3</f>
        <v>0</v>
      </c>
      <c r="K104" s="43">
        <f>'Immediate deductions'!Q20/10^3</f>
        <v>0</v>
      </c>
      <c r="L104" s="7"/>
    </row>
    <row r="105" spans="1:12" x14ac:dyDescent="0.3">
      <c r="A105" s="7"/>
      <c r="B105" s="7"/>
      <c r="C105" s="7"/>
      <c r="D105" s="7"/>
      <c r="E105" s="38" t="s">
        <v>44</v>
      </c>
      <c r="F105" s="7"/>
      <c r="G105" s="43">
        <f>'Immediate deductions'!M21/10^3</f>
        <v>0</v>
      </c>
      <c r="H105" s="43">
        <f>'Immediate deductions'!N21/10^3</f>
        <v>0</v>
      </c>
      <c r="I105" s="43">
        <f>'Immediate deductions'!O21/10^3</f>
        <v>0</v>
      </c>
      <c r="J105" s="43">
        <f>'Immediate deductions'!P21/10^3</f>
        <v>0</v>
      </c>
      <c r="K105" s="43">
        <f>'Immediate deductions'!Q21/10^3</f>
        <v>0</v>
      </c>
      <c r="L105" s="7"/>
    </row>
    <row r="106" spans="1:12" x14ac:dyDescent="0.3">
      <c r="A106" s="7"/>
      <c r="B106" s="7"/>
      <c r="C106" s="7"/>
      <c r="D106" s="7"/>
      <c r="E106" s="38" t="s">
        <v>610</v>
      </c>
      <c r="F106" s="7"/>
      <c r="G106" s="43">
        <f>'Immediate deductions'!M22/10^3</f>
        <v>0</v>
      </c>
      <c r="H106" s="43">
        <f>'Immediate deductions'!N22/10^3</f>
        <v>0</v>
      </c>
      <c r="I106" s="43">
        <f>'Immediate deductions'!O22/10^3</f>
        <v>0</v>
      </c>
      <c r="J106" s="43">
        <f>'Immediate deductions'!P22/10^3</f>
        <v>0</v>
      </c>
      <c r="K106" s="43">
        <f>'Immediate deductions'!Q22/10^3</f>
        <v>0</v>
      </c>
      <c r="L106" s="7"/>
    </row>
    <row r="107" spans="1:12" x14ac:dyDescent="0.3">
      <c r="A107" s="7"/>
      <c r="B107" s="7"/>
      <c r="C107" s="7"/>
      <c r="D107" s="7"/>
      <c r="E107" s="38"/>
      <c r="F107" s="7"/>
      <c r="G107" s="43"/>
      <c r="H107" s="43"/>
      <c r="I107" s="43"/>
      <c r="J107" s="43"/>
      <c r="K107" s="43"/>
      <c r="L107" s="7"/>
    </row>
    <row r="108" spans="1:12" x14ac:dyDescent="0.3">
      <c r="A108" s="7"/>
      <c r="B108" s="7"/>
      <c r="C108" s="7"/>
      <c r="D108" s="7"/>
      <c r="E108" s="38"/>
      <c r="F108" s="7"/>
      <c r="G108" s="43"/>
      <c r="H108" s="43"/>
      <c r="I108" s="43"/>
      <c r="J108" s="43"/>
      <c r="K108" s="43"/>
      <c r="L108" s="7"/>
    </row>
    <row r="109" spans="1:12" x14ac:dyDescent="0.3">
      <c r="A109" s="7"/>
      <c r="B109" s="7"/>
      <c r="C109" s="7"/>
      <c r="D109" s="7"/>
      <c r="E109" s="7"/>
      <c r="F109" s="7"/>
      <c r="G109" s="43"/>
      <c r="H109" s="43"/>
      <c r="I109" s="43"/>
      <c r="J109" s="43"/>
      <c r="K109" s="43"/>
      <c r="L109" s="7"/>
    </row>
    <row r="110" spans="1:12" x14ac:dyDescent="0.3">
      <c r="A110" s="7"/>
      <c r="B110" s="7"/>
      <c r="C110" s="7"/>
      <c r="D110" s="7"/>
      <c r="E110" s="9" t="s">
        <v>20</v>
      </c>
      <c r="F110" s="7"/>
      <c r="G110" s="57">
        <f t="shared" ref="G110:K110" si="8">SUM(G94:G108)</f>
        <v>59.829058629173154</v>
      </c>
      <c r="H110" s="57">
        <f t="shared" si="8"/>
        <v>60.802927284433402</v>
      </c>
      <c r="I110" s="57">
        <f t="shared" si="8"/>
        <v>60.889823279474584</v>
      </c>
      <c r="J110" s="57">
        <f t="shared" si="8"/>
        <v>59.990037513972062</v>
      </c>
      <c r="K110" s="57">
        <f t="shared" si="8"/>
        <v>53.904492849694073</v>
      </c>
      <c r="L110" s="87"/>
    </row>
    <row r="111" spans="1:12" x14ac:dyDescent="0.3">
      <c r="A111" s="7"/>
      <c r="B111" s="7"/>
      <c r="C111" s="7"/>
      <c r="D111" s="7"/>
      <c r="E111" s="7"/>
      <c r="F111" s="7"/>
      <c r="G111" s="61">
        <f>G110-'Immediate deductions'!M26/10^3</f>
        <v>0</v>
      </c>
      <c r="H111" s="61">
        <f>H110-'Immediate deductions'!N26/10^3</f>
        <v>0</v>
      </c>
      <c r="I111" s="61">
        <f>I110-'Immediate deductions'!O26/10^3</f>
        <v>0</v>
      </c>
      <c r="J111" s="61">
        <f>J110-'Immediate deductions'!P26/10^3</f>
        <v>0</v>
      </c>
      <c r="K111" s="61">
        <f>K110-'Immediate deductions'!Q26/10^3</f>
        <v>0</v>
      </c>
      <c r="L111" s="7"/>
    </row>
    <row r="112" spans="1:12" x14ac:dyDescent="0.3">
      <c r="A112" s="7"/>
      <c r="B112" s="7"/>
      <c r="C112" s="7"/>
      <c r="D112" s="7"/>
      <c r="E112" s="7"/>
      <c r="F112" s="7"/>
      <c r="G112" s="61"/>
      <c r="H112" s="61"/>
      <c r="I112" s="61"/>
      <c r="J112" s="61"/>
      <c r="K112" s="61"/>
      <c r="L112" s="7"/>
    </row>
    <row r="113" spans="1:17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7" s="7" customFormat="1" x14ac:dyDescent="0.3">
      <c r="A114" s="21" t="s">
        <v>4</v>
      </c>
      <c r="B114" s="21"/>
      <c r="C114" s="14"/>
      <c r="D114" s="23"/>
      <c r="E114" s="24"/>
      <c r="F114" s="24"/>
      <c r="G114" s="19"/>
      <c r="H114" s="19"/>
      <c r="I114" s="19"/>
      <c r="J114" s="19"/>
      <c r="K114" s="24"/>
      <c r="L114" s="20"/>
      <c r="M114" s="20"/>
      <c r="N114" s="20"/>
      <c r="O114" s="20"/>
      <c r="P114" s="20"/>
      <c r="Q114" s="20"/>
    </row>
    <row r="115" spans="1:17" s="7" customFormat="1" x14ac:dyDescent="0.3"/>
    <row r="116" spans="1:17" s="7" customFormat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BO122"/>
  <sheetViews>
    <sheetView tabSelected="1" zoomScale="85" zoomScaleNormal="85" workbookViewId="0">
      <selection activeCell="I24" sqref="I24"/>
    </sheetView>
  </sheetViews>
  <sheetFormatPr defaultColWidth="9" defaultRowHeight="13" x14ac:dyDescent="0.3"/>
  <cols>
    <col min="1" max="2" width="9" style="241"/>
    <col min="3" max="3" width="25.4609375" style="242" bestFit="1" customWidth="1"/>
    <col min="4" max="8" width="10" style="241" customWidth="1"/>
    <col min="9" max="9" width="10" style="243" customWidth="1"/>
    <col min="10" max="10" width="6.3828125" style="241" bestFit="1" customWidth="1"/>
    <col min="11" max="11" width="10.23046875" style="241" bestFit="1" customWidth="1"/>
    <col min="12" max="12" width="10.4609375" style="241" bestFit="1" customWidth="1"/>
    <col min="13" max="16" width="10.4609375" style="241" customWidth="1"/>
    <col min="17" max="21" width="11.15234375" style="241" customWidth="1"/>
    <col min="22" max="24" width="10.4609375" style="241" customWidth="1"/>
    <col min="25" max="26" width="9" style="241"/>
    <col min="27" max="27" width="22.3828125" style="241" customWidth="1"/>
    <col min="28" max="32" width="6.84375" style="241" bestFit="1" customWidth="1"/>
    <col min="33" max="33" width="6" style="241" bestFit="1" customWidth="1"/>
    <col min="34" max="34" width="4.23046875" style="241" bestFit="1" customWidth="1"/>
    <col min="35" max="35" width="10.23046875" style="241" bestFit="1" customWidth="1"/>
    <col min="36" max="36" width="10.4609375" style="241" bestFit="1" customWidth="1"/>
    <col min="37" max="38" width="9" style="241"/>
    <col min="39" max="39" width="16.84375" style="241" customWidth="1"/>
    <col min="40" max="16384" width="9" style="241"/>
  </cols>
  <sheetData>
    <row r="2" spans="1:67" ht="13.5" x14ac:dyDescent="0.3"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 ht="15.5" x14ac:dyDescent="0.3">
      <c r="A3" s="245" t="s">
        <v>1059</v>
      </c>
      <c r="B3" s="245"/>
      <c r="C3" s="245"/>
      <c r="D3" s="245" t="s">
        <v>603</v>
      </c>
      <c r="E3" s="245" t="s">
        <v>604</v>
      </c>
      <c r="F3" s="245" t="s">
        <v>605</v>
      </c>
      <c r="G3" s="245" t="s">
        <v>606</v>
      </c>
      <c r="H3" s="245" t="s">
        <v>607</v>
      </c>
      <c r="I3" s="245" t="s">
        <v>20</v>
      </c>
      <c r="J3" s="245"/>
      <c r="K3" s="244"/>
      <c r="L3" s="244"/>
      <c r="M3" s="244"/>
      <c r="N3" s="260" t="s">
        <v>1084</v>
      </c>
      <c r="O3" s="260"/>
      <c r="P3" s="260"/>
      <c r="Q3" s="260" t="s">
        <v>603</v>
      </c>
      <c r="R3" s="260" t="s">
        <v>604</v>
      </c>
      <c r="S3" s="260" t="s">
        <v>605</v>
      </c>
      <c r="T3" s="260" t="s">
        <v>606</v>
      </c>
      <c r="U3" s="260" t="s">
        <v>607</v>
      </c>
      <c r="V3" s="260" t="s">
        <v>20</v>
      </c>
      <c r="W3" s="260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x14ac:dyDescent="0.3">
      <c r="AA4" s="242"/>
      <c r="AB4" s="246"/>
      <c r="AC4" s="246"/>
      <c r="AD4" s="246"/>
      <c r="AE4" s="246"/>
      <c r="AF4" s="246"/>
      <c r="AG4" s="246"/>
    </row>
    <row r="5" spans="1:67" x14ac:dyDescent="0.3">
      <c r="AA5" s="242"/>
      <c r="AB5" s="246"/>
      <c r="AC5" s="246"/>
      <c r="AD5" s="246"/>
      <c r="AE5" s="246"/>
      <c r="AF5" s="246"/>
      <c r="AG5" s="246"/>
    </row>
    <row r="6" spans="1:67" x14ac:dyDescent="0.3">
      <c r="A6" s="247" t="s">
        <v>1060</v>
      </c>
      <c r="B6" s="248"/>
      <c r="C6" s="249"/>
      <c r="D6" s="248"/>
      <c r="E6" s="248"/>
      <c r="F6" s="248"/>
      <c r="G6" s="248"/>
      <c r="H6" s="248"/>
      <c r="I6" s="250"/>
      <c r="J6" s="248"/>
      <c r="K6" s="248"/>
      <c r="L6" s="248"/>
      <c r="M6" s="248"/>
      <c r="N6" s="248"/>
      <c r="O6" s="248"/>
      <c r="P6" s="249"/>
      <c r="Q6" s="248"/>
      <c r="R6" s="248"/>
      <c r="S6" s="248"/>
      <c r="T6" s="248"/>
      <c r="U6" s="248"/>
      <c r="V6" s="250"/>
      <c r="AA6" s="242"/>
      <c r="AB6" s="246"/>
      <c r="AC6" s="246"/>
      <c r="AD6" s="246"/>
      <c r="AE6" s="246"/>
      <c r="AF6" s="246"/>
      <c r="AG6" s="246"/>
    </row>
    <row r="7" spans="1:67" x14ac:dyDescent="0.3">
      <c r="A7" s="265" t="s">
        <v>1061</v>
      </c>
      <c r="B7" s="265" t="s">
        <v>1061</v>
      </c>
      <c r="C7" s="266" t="s">
        <v>59</v>
      </c>
      <c r="D7" s="275">
        <v>24.833649463095554</v>
      </c>
      <c r="E7" s="275">
        <v>25.309799268574036</v>
      </c>
      <c r="F7" s="275">
        <v>21.714102311969302</v>
      </c>
      <c r="G7" s="275">
        <v>22.035753563768175</v>
      </c>
      <c r="H7" s="275">
        <v>22.286693015179839</v>
      </c>
      <c r="I7" s="253">
        <f t="shared" ref="I7:I18" si="0">SUM(D7:H7)</f>
        <v>116.1799976225869</v>
      </c>
      <c r="J7" s="251"/>
      <c r="M7" s="263"/>
      <c r="N7" s="265" t="s">
        <v>1061</v>
      </c>
      <c r="O7" s="265" t="s">
        <v>1061</v>
      </c>
      <c r="P7" s="266" t="s">
        <v>59</v>
      </c>
      <c r="Q7" s="262">
        <f>'Output|Functional'!G93</f>
        <v>23.412729274197964</v>
      </c>
      <c r="R7" s="262">
        <f>'Output|Functional'!H93</f>
        <v>23.871900578356389</v>
      </c>
      <c r="S7" s="262">
        <f>'Output|Functional'!I93</f>
        <v>21.033324022189888</v>
      </c>
      <c r="T7" s="262">
        <f>'Output|Functional'!J93</f>
        <v>21.230626226149326</v>
      </c>
      <c r="U7" s="262">
        <f>'Output|Functional'!K93</f>
        <v>20.993683668640205</v>
      </c>
      <c r="V7" s="253">
        <f>SUM(Q7:U7)</f>
        <v>110.54226376953376</v>
      </c>
    </row>
    <row r="8" spans="1:67" x14ac:dyDescent="0.3">
      <c r="A8" s="265" t="s">
        <v>1062</v>
      </c>
      <c r="B8" s="265" t="s">
        <v>1048</v>
      </c>
      <c r="C8" s="266" t="s">
        <v>28</v>
      </c>
      <c r="D8" s="275">
        <v>51.230586514077018</v>
      </c>
      <c r="E8" s="275">
        <v>58.279797929404886</v>
      </c>
      <c r="F8" s="275">
        <v>58.881330126093765</v>
      </c>
      <c r="G8" s="275">
        <v>58.864705002394892</v>
      </c>
      <c r="H8" s="275">
        <v>58.775796084042838</v>
      </c>
      <c r="I8" s="253">
        <f t="shared" si="0"/>
        <v>286.03221565601336</v>
      </c>
      <c r="M8" s="263"/>
      <c r="N8" s="265" t="s">
        <v>1062</v>
      </c>
      <c r="O8" s="265" t="s">
        <v>1048</v>
      </c>
      <c r="P8" s="266" t="s">
        <v>28</v>
      </c>
      <c r="Q8" s="262">
        <f>'Output|Functional'!G94</f>
        <v>52.287807110607453</v>
      </c>
      <c r="R8" s="262">
        <f>'Output|Functional'!H94</f>
        <v>58.554713394961198</v>
      </c>
      <c r="S8" s="262">
        <f>'Output|Functional'!I94</f>
        <v>59.144281291822274</v>
      </c>
      <c r="T8" s="262">
        <f>'Output|Functional'!J94</f>
        <v>59.042391875047159</v>
      </c>
      <c r="U8" s="262">
        <f>'Output|Functional'!K94</f>
        <v>58.838838556860836</v>
      </c>
      <c r="V8" s="253">
        <f>SUM(Q8:U8)</f>
        <v>287.86803222929888</v>
      </c>
    </row>
    <row r="9" spans="1:67" x14ac:dyDescent="0.3">
      <c r="A9" s="265" t="s">
        <v>1063</v>
      </c>
      <c r="B9" s="265" t="s">
        <v>1063</v>
      </c>
      <c r="C9" s="266" t="s">
        <v>29</v>
      </c>
      <c r="D9" s="275">
        <v>67.486620482420889</v>
      </c>
      <c r="E9" s="275">
        <v>69.499053873491221</v>
      </c>
      <c r="F9" s="275">
        <v>70.455116045862241</v>
      </c>
      <c r="G9" s="275">
        <v>70.721788981706865</v>
      </c>
      <c r="H9" s="275">
        <v>66.266332987972007</v>
      </c>
      <c r="I9" s="253">
        <f>SUM(D9:H9)</f>
        <v>344.42891237145324</v>
      </c>
      <c r="M9" s="263"/>
      <c r="N9" s="265" t="s">
        <v>1063</v>
      </c>
      <c r="O9" s="265" t="s">
        <v>1063</v>
      </c>
      <c r="P9" s="266" t="s">
        <v>29</v>
      </c>
      <c r="Q9" s="262">
        <f>'Output|Functional'!G95</f>
        <v>63.414405730410564</v>
      </c>
      <c r="R9" s="262">
        <f>'Output|Functional'!H95</f>
        <v>64.840294401500657</v>
      </c>
      <c r="S9" s="262">
        <f>'Output|Functional'!I95</f>
        <v>65.121718079340241</v>
      </c>
      <c r="T9" s="262">
        <f>'Output|Functional'!J95</f>
        <v>64.612004028512672</v>
      </c>
      <c r="U9" s="262">
        <f>'Output|Functional'!K95</f>
        <v>59.332705068333084</v>
      </c>
      <c r="V9" s="253">
        <f>SUM(Q9:U9)</f>
        <v>317.32112730809723</v>
      </c>
    </row>
    <row r="10" spans="1:67" x14ac:dyDescent="0.3">
      <c r="A10" s="265" t="s">
        <v>1064</v>
      </c>
      <c r="B10" s="265" t="s">
        <v>1064</v>
      </c>
      <c r="C10" s="266" t="s">
        <v>30</v>
      </c>
      <c r="D10" s="275">
        <v>54.423946518045703</v>
      </c>
      <c r="E10" s="275">
        <v>37.174014432265231</v>
      </c>
      <c r="F10" s="275">
        <v>36.164153410949091</v>
      </c>
      <c r="G10" s="275">
        <v>33.069516829592231</v>
      </c>
      <c r="H10" s="275">
        <v>22.978446196117183</v>
      </c>
      <c r="I10" s="253">
        <f t="shared" si="0"/>
        <v>183.81007738696943</v>
      </c>
      <c r="M10" s="263"/>
      <c r="N10" s="265" t="s">
        <v>1064</v>
      </c>
      <c r="O10" s="265" t="s">
        <v>1064</v>
      </c>
      <c r="P10" s="266" t="s">
        <v>30</v>
      </c>
      <c r="Q10" s="262">
        <f>'Output|Functional'!G97</f>
        <v>54.492995477256571</v>
      </c>
      <c r="R10" s="262">
        <f>'Output|Functional'!H97</f>
        <v>37.256095887006751</v>
      </c>
      <c r="S10" s="262">
        <f>'Output|Functional'!I97</f>
        <v>36.235640492901794</v>
      </c>
      <c r="T10" s="262">
        <f>'Output|Functional'!J97</f>
        <v>33.086537078730025</v>
      </c>
      <c r="U10" s="262">
        <f>'Output|Functional'!K97</f>
        <v>22.944121460003487</v>
      </c>
      <c r="V10" s="253">
        <f t="shared" ref="V10:V18" si="1">SUM(Q10:U10)</f>
        <v>184.01539039589863</v>
      </c>
    </row>
    <row r="11" spans="1:67" x14ac:dyDescent="0.3">
      <c r="A11" s="265" t="s">
        <v>1065</v>
      </c>
      <c r="B11" s="265" t="s">
        <v>1065</v>
      </c>
      <c r="C11" s="266" t="s">
        <v>31</v>
      </c>
      <c r="D11" s="275">
        <v>43.67970622479146</v>
      </c>
      <c r="E11" s="275">
        <v>15.359183288856579</v>
      </c>
      <c r="F11" s="275">
        <v>3.3594601308123573</v>
      </c>
      <c r="G11" s="275">
        <v>8.4079193927618761</v>
      </c>
      <c r="H11" s="275">
        <v>11.45620044647865</v>
      </c>
      <c r="I11" s="253">
        <f t="shared" si="0"/>
        <v>82.262469483700926</v>
      </c>
      <c r="M11" s="263"/>
      <c r="N11" s="265" t="s">
        <v>1065</v>
      </c>
      <c r="O11" s="265" t="s">
        <v>1065</v>
      </c>
      <c r="P11" s="266" t="s">
        <v>31</v>
      </c>
      <c r="Q11" s="262">
        <f>'Output|Functional'!G98</f>
        <v>43.680281464648743</v>
      </c>
      <c r="R11" s="262">
        <f>'Output|Functional'!H98</f>
        <v>15.359536287824614</v>
      </c>
      <c r="S11" s="262">
        <f>'Output|Functional'!I98</f>
        <v>3.3595295042642315</v>
      </c>
      <c r="T11" s="262">
        <f>'Output|Functional'!J98</f>
        <v>8.4075915724454724</v>
      </c>
      <c r="U11" s="262">
        <f>'Output|Functional'!K98</f>
        <v>11.45601935984206</v>
      </c>
      <c r="V11" s="253">
        <f t="shared" si="1"/>
        <v>82.262958189025113</v>
      </c>
    </row>
    <row r="12" spans="1:67" x14ac:dyDescent="0.3">
      <c r="A12" s="265" t="s">
        <v>1063</v>
      </c>
      <c r="B12" s="265" t="s">
        <v>1066</v>
      </c>
      <c r="C12" s="266" t="s">
        <v>8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53">
        <f t="shared" si="0"/>
        <v>0</v>
      </c>
      <c r="M12" s="263"/>
      <c r="N12" s="265" t="s">
        <v>1063</v>
      </c>
      <c r="O12" s="265" t="s">
        <v>1066</v>
      </c>
      <c r="P12" s="266" t="s">
        <v>8</v>
      </c>
      <c r="Q12" s="262">
        <f>'Output|Functional'!G99</f>
        <v>0</v>
      </c>
      <c r="R12" s="262">
        <f>'Output|Functional'!H99</f>
        <v>0</v>
      </c>
      <c r="S12" s="262">
        <f>'Output|Functional'!I99</f>
        <v>0</v>
      </c>
      <c r="T12" s="262">
        <f>'Output|Functional'!J99</f>
        <v>0</v>
      </c>
      <c r="U12" s="262">
        <f>'Output|Functional'!K99</f>
        <v>0</v>
      </c>
      <c r="V12" s="253">
        <f t="shared" si="1"/>
        <v>0</v>
      </c>
    </row>
    <row r="13" spans="1:67" x14ac:dyDescent="0.3">
      <c r="A13" s="265" t="s">
        <v>1061</v>
      </c>
      <c r="B13" s="265" t="s">
        <v>1067</v>
      </c>
      <c r="C13" s="266" t="s">
        <v>514</v>
      </c>
      <c r="D13" s="275">
        <v>0</v>
      </c>
      <c r="E13" s="275">
        <v>0</v>
      </c>
      <c r="F13" s="275">
        <v>0</v>
      </c>
      <c r="G13" s="275">
        <v>0</v>
      </c>
      <c r="H13" s="275">
        <v>0</v>
      </c>
      <c r="I13" s="253">
        <f t="shared" si="0"/>
        <v>0</v>
      </c>
      <c r="M13" s="263"/>
      <c r="N13" s="265" t="s">
        <v>1061</v>
      </c>
      <c r="O13" s="265" t="s">
        <v>1067</v>
      </c>
      <c r="P13" s="266" t="s">
        <v>514</v>
      </c>
      <c r="Q13" s="262">
        <f>'Output|Functional'!G100</f>
        <v>0</v>
      </c>
      <c r="R13" s="262">
        <f>'Output|Functional'!H100</f>
        <v>0</v>
      </c>
      <c r="S13" s="262">
        <f>'Output|Functional'!I100</f>
        <v>0</v>
      </c>
      <c r="T13" s="262">
        <f>'Output|Functional'!J100</f>
        <v>0</v>
      </c>
      <c r="U13" s="262">
        <f>'Output|Functional'!K100</f>
        <v>0</v>
      </c>
      <c r="V13" s="253">
        <f t="shared" si="1"/>
        <v>0</v>
      </c>
    </row>
    <row r="14" spans="1:67" x14ac:dyDescent="0.3">
      <c r="A14" s="265" t="s">
        <v>1068</v>
      </c>
      <c r="B14" s="265" t="s">
        <v>1068</v>
      </c>
      <c r="C14" s="266" t="s">
        <v>1040</v>
      </c>
      <c r="D14" s="275">
        <v>21.254664827973897</v>
      </c>
      <c r="E14" s="275">
        <v>21.391799286425254</v>
      </c>
      <c r="F14" s="275">
        <v>21.580797076008423</v>
      </c>
      <c r="G14" s="275">
        <v>21.811598695366541</v>
      </c>
      <c r="H14" s="275">
        <v>22.081359453922289</v>
      </c>
      <c r="I14" s="253">
        <f t="shared" si="0"/>
        <v>108.1202193396964</v>
      </c>
      <c r="M14" s="263"/>
      <c r="N14" s="265" t="s">
        <v>1068</v>
      </c>
      <c r="O14" s="265" t="s">
        <v>1068</v>
      </c>
      <c r="P14" s="266" t="s">
        <v>1040</v>
      </c>
      <c r="Q14" s="262">
        <f>'Output|Functional'!G120-'Output|Functional'!G104</f>
        <v>18.94994359716614</v>
      </c>
      <c r="R14" s="262">
        <f>'Output|Functional'!H120-'Output|Functional'!H104</f>
        <v>19.317291419050918</v>
      </c>
      <c r="S14" s="262">
        <f>'Output|Functional'!I120-'Output|Functional'!I104</f>
        <v>19.401317670618255</v>
      </c>
      <c r="T14" s="262">
        <f>'Output|Functional'!J120-'Output|Functional'!J104</f>
        <v>19.54050381204118</v>
      </c>
      <c r="U14" s="262">
        <f>'Output|Functional'!K120-'Output|Functional'!K104</f>
        <v>19.531254432479557</v>
      </c>
      <c r="V14" s="253">
        <f t="shared" si="1"/>
        <v>96.740310931356049</v>
      </c>
    </row>
    <row r="15" spans="1:67" x14ac:dyDescent="0.3">
      <c r="A15" s="265" t="s">
        <v>1069</v>
      </c>
      <c r="B15" s="265" t="s">
        <v>1069</v>
      </c>
      <c r="C15" s="267" t="s">
        <v>1042</v>
      </c>
      <c r="D15" s="253">
        <f>IFERROR(SUM(D7:D14),"")</f>
        <v>262.90917403040453</v>
      </c>
      <c r="E15" s="253">
        <f>IFERROR(SUM(E7:E14),"")</f>
        <v>227.0136480790172</v>
      </c>
      <c r="F15" s="253">
        <f>IFERROR(SUM(F7:F14),"")</f>
        <v>212.15495910169517</v>
      </c>
      <c r="G15" s="253">
        <f>IFERROR(SUM(G7:G14),"")</f>
        <v>214.91128246559057</v>
      </c>
      <c r="H15" s="253">
        <f>IFERROR(SUM(H7:H14),"")</f>
        <v>203.84482818371279</v>
      </c>
      <c r="I15" s="268">
        <f>SUM(D15:H15)</f>
        <v>1120.8338918604202</v>
      </c>
      <c r="J15" s="251" t="b">
        <v>1</v>
      </c>
      <c r="M15" s="264"/>
      <c r="N15" s="265" t="s">
        <v>1069</v>
      </c>
      <c r="O15" s="265" t="s">
        <v>1069</v>
      </c>
      <c r="P15" s="267" t="s">
        <v>1042</v>
      </c>
      <c r="Q15" s="253">
        <f>IFERROR(SUM(Q7:Q14),"")</f>
        <v>256.23816265428741</v>
      </c>
      <c r="R15" s="253">
        <f>IFERROR(SUM(R7:R14),"")</f>
        <v>219.19983196870052</v>
      </c>
      <c r="S15" s="253">
        <f>IFERROR(SUM(S7:S14),"")</f>
        <v>204.2958110611367</v>
      </c>
      <c r="T15" s="253">
        <f>IFERROR(SUM(T7:T14),"")</f>
        <v>205.91965459292587</v>
      </c>
      <c r="U15" s="253">
        <f>IFERROR(SUM(U7:U14),"")</f>
        <v>193.09662254615921</v>
      </c>
      <c r="V15" s="268">
        <f>SUM(Q15:U15)</f>
        <v>1078.7500828232098</v>
      </c>
      <c r="W15" s="251" t="b">
        <f>SUM('Output|Functional'!G120:K120)=V15</f>
        <v>1</v>
      </c>
    </row>
    <row r="16" spans="1:67" x14ac:dyDescent="0.3">
      <c r="A16" s="265"/>
      <c r="B16" s="265"/>
      <c r="C16" s="266"/>
      <c r="D16" s="262"/>
      <c r="E16" s="262"/>
      <c r="F16" s="262"/>
      <c r="G16" s="262"/>
      <c r="H16" s="262"/>
      <c r="I16" s="253"/>
      <c r="M16" s="263"/>
      <c r="N16" s="265"/>
      <c r="O16" s="265"/>
      <c r="P16" s="266"/>
      <c r="Q16" s="262"/>
      <c r="R16" s="262"/>
      <c r="S16" s="262"/>
      <c r="T16" s="262"/>
      <c r="U16" s="262"/>
      <c r="V16" s="253"/>
    </row>
    <row r="17" spans="1:23" x14ac:dyDescent="0.3">
      <c r="A17" s="265" t="s">
        <v>1062</v>
      </c>
      <c r="B17" s="265" t="s">
        <v>1070</v>
      </c>
      <c r="C17" s="266" t="s">
        <v>1041</v>
      </c>
      <c r="D17" s="275">
        <v>-30.096550892670905</v>
      </c>
      <c r="E17" s="275">
        <v>-35.155437644918301</v>
      </c>
      <c r="F17" s="275">
        <v>-35.86863064815855</v>
      </c>
      <c r="G17" s="275">
        <v>-35.548399454310839</v>
      </c>
      <c r="H17" s="275">
        <v>-35.204159768615874</v>
      </c>
      <c r="I17" s="253">
        <f t="shared" si="0"/>
        <v>-171.87317840867448</v>
      </c>
      <c r="M17" s="263"/>
      <c r="N17" s="265" t="s">
        <v>1062</v>
      </c>
      <c r="O17" s="265" t="s">
        <v>1070</v>
      </c>
      <c r="P17" s="266" t="s">
        <v>1041</v>
      </c>
      <c r="Q17" s="262">
        <f>-'Output|PTRM'!G48</f>
        <v>-30.64228625373573</v>
      </c>
      <c r="R17" s="262">
        <f>-'Output|PTRM'!H48</f>
        <v>-35.040444966012224</v>
      </c>
      <c r="S17" s="262">
        <f>-'Output|PTRM'!I48</f>
        <v>-35.7471999334579</v>
      </c>
      <c r="T17" s="262">
        <f>-'Output|PTRM'!J48</f>
        <v>-35.34902448838006</v>
      </c>
      <c r="U17" s="262">
        <f>-'Output|PTRM'!K48</f>
        <v>-34.907537900201639</v>
      </c>
      <c r="V17" s="253">
        <f t="shared" si="1"/>
        <v>-171.68649354178754</v>
      </c>
    </row>
    <row r="18" spans="1:23" x14ac:dyDescent="0.3">
      <c r="A18" s="265" t="s">
        <v>1071</v>
      </c>
      <c r="B18" s="265" t="s">
        <v>1071</v>
      </c>
      <c r="C18" s="266" t="s">
        <v>57</v>
      </c>
      <c r="D18" s="275">
        <v>-0.87702162884397683</v>
      </c>
      <c r="E18" s="275">
        <v>-0.87702162884397683</v>
      </c>
      <c r="F18" s="275">
        <v>-0.87702162884397683</v>
      </c>
      <c r="G18" s="275">
        <v>-0.87702162884397683</v>
      </c>
      <c r="H18" s="275">
        <v>-0.87702162884397683</v>
      </c>
      <c r="I18" s="253">
        <f t="shared" si="0"/>
        <v>-4.3851081442198838</v>
      </c>
      <c r="M18" s="263"/>
      <c r="N18" s="265" t="s">
        <v>1071</v>
      </c>
      <c r="O18" s="265" t="s">
        <v>1071</v>
      </c>
      <c r="P18" s="266" t="s">
        <v>57</v>
      </c>
      <c r="Q18" s="262">
        <f>-'Output|PTRM'!G69</f>
        <v>-0.87702162884397683</v>
      </c>
      <c r="R18" s="262">
        <f>-'Output|PTRM'!H69</f>
        <v>-0.87702162884397683</v>
      </c>
      <c r="S18" s="262">
        <f>-'Output|PTRM'!I69</f>
        <v>-0.87702162884397683</v>
      </c>
      <c r="T18" s="262">
        <f>-'Output|PTRM'!J69</f>
        <v>-0.87702162884397683</v>
      </c>
      <c r="U18" s="262">
        <f>-'Output|PTRM'!K69</f>
        <v>-0.87702162884397683</v>
      </c>
      <c r="V18" s="253">
        <f t="shared" si="1"/>
        <v>-4.3851081442198838</v>
      </c>
    </row>
    <row r="19" spans="1:23" x14ac:dyDescent="0.3">
      <c r="B19" s="265" t="s">
        <v>1072</v>
      </c>
      <c r="C19" s="267" t="s">
        <v>1043</v>
      </c>
      <c r="D19" s="253">
        <f>SUM(D15:D18)</f>
        <v>231.93560150888965</v>
      </c>
      <c r="E19" s="253">
        <f t="shared" ref="E19:H19" si="2">SUM(E15:E18)</f>
        <v>190.98118880525493</v>
      </c>
      <c r="F19" s="253">
        <f t="shared" si="2"/>
        <v>175.40930682469264</v>
      </c>
      <c r="G19" s="253">
        <f t="shared" si="2"/>
        <v>178.48586138243576</v>
      </c>
      <c r="H19" s="253">
        <f t="shared" si="2"/>
        <v>167.76364678625293</v>
      </c>
      <c r="I19" s="268">
        <f>SUM(D19:H19)</f>
        <v>944.57560530752596</v>
      </c>
      <c r="J19" s="251" t="b">
        <v>1</v>
      </c>
      <c r="M19" s="253"/>
      <c r="O19" s="265" t="s">
        <v>1072</v>
      </c>
      <c r="P19" s="267" t="s">
        <v>1043</v>
      </c>
      <c r="Q19" s="253">
        <f>SUM(Q15:Q18)</f>
        <v>224.7188547717077</v>
      </c>
      <c r="R19" s="253">
        <f t="shared" ref="R19:U19" si="3">SUM(R15:R18)</f>
        <v>183.28236537384433</v>
      </c>
      <c r="S19" s="253">
        <f t="shared" si="3"/>
        <v>167.67158949883483</v>
      </c>
      <c r="T19" s="253">
        <f t="shared" si="3"/>
        <v>169.69360847570184</v>
      </c>
      <c r="U19" s="253">
        <f t="shared" si="3"/>
        <v>157.31206301711359</v>
      </c>
      <c r="V19" s="268">
        <f>SUM(Q19:U19)</f>
        <v>902.6784811372022</v>
      </c>
      <c r="W19" s="251" t="b">
        <f t="array" ref="W19">SUM('Output|Functional'!G136:K136, -'Output|PTRM'!G69:K69)=V19</f>
        <v>1</v>
      </c>
    </row>
    <row r="20" spans="1:23" x14ac:dyDescent="0.3">
      <c r="B20" s="265" t="s">
        <v>1062</v>
      </c>
      <c r="C20" s="266" t="s">
        <v>1044</v>
      </c>
      <c r="D20" s="262">
        <f>IFERROR(D8+D17,"")</f>
        <v>21.134035621406113</v>
      </c>
      <c r="E20" s="262">
        <f>IFERROR(E8+E17,"")</f>
        <v>23.124360284486585</v>
      </c>
      <c r="F20" s="262">
        <f>IFERROR(F8+F17,"")</f>
        <v>23.012699477935215</v>
      </c>
      <c r="G20" s="262">
        <f>IFERROR(G8+G17,"")</f>
        <v>23.316305548084053</v>
      </c>
      <c r="H20" s="262">
        <f>IFERROR(H8+H17,"")</f>
        <v>23.571636315426964</v>
      </c>
      <c r="I20" s="253">
        <f>SUM(D20:H20)</f>
        <v>114.15903724733892</v>
      </c>
      <c r="J20" s="251"/>
      <c r="M20" s="262"/>
      <c r="O20" s="265" t="s">
        <v>1062</v>
      </c>
      <c r="P20" s="266" t="s">
        <v>1044</v>
      </c>
      <c r="Q20" s="262">
        <f>IFERROR(Q8+Q17,"")</f>
        <v>21.645520856871723</v>
      </c>
      <c r="R20" s="262">
        <f>IFERROR(R8+R17,"")</f>
        <v>23.514268428948974</v>
      </c>
      <c r="S20" s="262">
        <f>IFERROR(S8+S17,"")</f>
        <v>23.397081358364375</v>
      </c>
      <c r="T20" s="262">
        <f>IFERROR(T8+T17,"")</f>
        <v>23.693367386667099</v>
      </c>
      <c r="U20" s="262">
        <f>IFERROR(U8+U17,"")</f>
        <v>23.931300656659197</v>
      </c>
      <c r="V20" s="253">
        <f>SUM(Q20:U20)</f>
        <v>116.18153868751136</v>
      </c>
      <c r="W20" s="251"/>
    </row>
    <row r="21" spans="1:23" x14ac:dyDescent="0.3">
      <c r="P21" s="242"/>
      <c r="V21" s="243"/>
    </row>
    <row r="22" spans="1:23" x14ac:dyDescent="0.3">
      <c r="P22" s="242"/>
      <c r="V22" s="243"/>
    </row>
    <row r="23" spans="1:23" x14ac:dyDescent="0.3">
      <c r="P23" s="242"/>
      <c r="V23" s="243"/>
    </row>
    <row r="24" spans="1:23" x14ac:dyDescent="0.3">
      <c r="A24" s="247" t="s">
        <v>1073</v>
      </c>
      <c r="B24" s="248"/>
      <c r="C24" s="249"/>
      <c r="D24" s="248"/>
      <c r="E24" s="248"/>
      <c r="F24" s="248"/>
      <c r="G24" s="248"/>
      <c r="H24" s="248"/>
      <c r="I24" s="250"/>
      <c r="J24" s="248"/>
      <c r="K24" s="248"/>
      <c r="L24" s="248"/>
      <c r="M24" s="248"/>
      <c r="N24" s="248"/>
      <c r="O24" s="248"/>
      <c r="P24" s="249"/>
      <c r="Q24" s="248"/>
      <c r="R24" s="248"/>
      <c r="S24" s="248"/>
      <c r="T24" s="248"/>
      <c r="U24" s="248"/>
      <c r="V24" s="250"/>
    </row>
    <row r="25" spans="1:23" x14ac:dyDescent="0.3">
      <c r="A25" s="276">
        <v>-1</v>
      </c>
      <c r="B25" s="265" t="s">
        <v>1047</v>
      </c>
      <c r="C25" s="266" t="s">
        <v>1053</v>
      </c>
      <c r="D25" s="275">
        <v>2.3226018226159746</v>
      </c>
      <c r="E25" s="275">
        <v>2.9728291824357034</v>
      </c>
      <c r="F25" s="275">
        <v>2.7096753449180042</v>
      </c>
      <c r="G25" s="275">
        <v>2.8989736339791046</v>
      </c>
      <c r="H25" s="275">
        <v>2.3656312412287783</v>
      </c>
      <c r="I25" s="253">
        <f t="shared" ref="I25:I30" si="4">SUM(D25:H25)</f>
        <v>13.269711225177565</v>
      </c>
      <c r="M25" s="265">
        <v>1000</v>
      </c>
      <c r="N25" s="265" t="s">
        <v>1074</v>
      </c>
      <c r="O25" s="265" t="s">
        <v>1047</v>
      </c>
      <c r="P25" s="266" t="s">
        <v>1053</v>
      </c>
      <c r="Q25" s="262">
        <v>2.3494147893377288</v>
      </c>
      <c r="R25" s="262">
        <v>3.0098112923009963</v>
      </c>
      <c r="S25" s="262">
        <v>2.7427873748859031</v>
      </c>
      <c r="T25" s="262">
        <v>2.9303577846523661</v>
      </c>
      <c r="U25" s="262">
        <v>2.3867081196526105</v>
      </c>
      <c r="V25" s="253">
        <f t="shared" ref="V25:V30" si="5">SUM(Q25:U25)</f>
        <v>13.419079360829606</v>
      </c>
    </row>
    <row r="26" spans="1:23" x14ac:dyDescent="0.3">
      <c r="A26" s="276">
        <v>-1</v>
      </c>
      <c r="B26" s="265" t="s">
        <v>1047</v>
      </c>
      <c r="C26" s="269" t="s">
        <v>1075</v>
      </c>
      <c r="D26" s="275"/>
      <c r="E26" s="275"/>
      <c r="F26" s="275"/>
      <c r="G26" s="275"/>
      <c r="H26" s="275"/>
      <c r="I26" s="253"/>
      <c r="M26" s="265">
        <v>1</v>
      </c>
      <c r="N26" s="265" t="s">
        <v>1076</v>
      </c>
      <c r="O26" s="265" t="s">
        <v>1047</v>
      </c>
      <c r="P26" s="269" t="s">
        <v>1075</v>
      </c>
      <c r="Q26" s="262"/>
      <c r="R26" s="262"/>
      <c r="S26" s="262"/>
      <c r="T26" s="262"/>
      <c r="U26" s="262"/>
      <c r="V26" s="253"/>
    </row>
    <row r="27" spans="1:23" x14ac:dyDescent="0.3">
      <c r="A27" s="276">
        <v>-1</v>
      </c>
      <c r="B27" s="265" t="s">
        <v>1047</v>
      </c>
      <c r="C27" s="266" t="s">
        <v>1054</v>
      </c>
      <c r="D27" s="275">
        <v>1.3513139430131793</v>
      </c>
      <c r="E27" s="275">
        <v>1.3548713398148877</v>
      </c>
      <c r="F27" s="275">
        <v>1.3595645984922304</v>
      </c>
      <c r="G27" s="275">
        <v>1.3667705765559011</v>
      </c>
      <c r="H27" s="275">
        <v>1.3763489071491075</v>
      </c>
      <c r="I27" s="253">
        <f t="shared" si="4"/>
        <v>6.8088693650253074</v>
      </c>
      <c r="M27" s="265">
        <v>1000</v>
      </c>
      <c r="N27" s="265" t="s">
        <v>1077</v>
      </c>
      <c r="O27" s="265" t="s">
        <v>1047</v>
      </c>
      <c r="P27" s="266" t="s">
        <v>1054</v>
      </c>
      <c r="Q27" s="262">
        <v>1.3669140064557566</v>
      </c>
      <c r="R27" s="262">
        <v>1.3717259916187694</v>
      </c>
      <c r="S27" s="262">
        <v>1.3761783761586215</v>
      </c>
      <c r="T27" s="262">
        <v>1.381567169807953</v>
      </c>
      <c r="U27" s="262">
        <v>1.3886116546471865</v>
      </c>
      <c r="V27" s="253">
        <f t="shared" si="5"/>
        <v>6.8849971986882865</v>
      </c>
    </row>
    <row r="28" spans="1:23" x14ac:dyDescent="0.3">
      <c r="A28" s="276">
        <v>-1</v>
      </c>
      <c r="B28" s="265" t="s">
        <v>1064</v>
      </c>
      <c r="C28" s="266" t="s">
        <v>1055</v>
      </c>
      <c r="D28" s="275">
        <v>4.1282972936278366</v>
      </c>
      <c r="E28" s="275">
        <v>6.5972712646806313</v>
      </c>
      <c r="F28" s="275">
        <v>5.6948094998971532</v>
      </c>
      <c r="G28" s="275">
        <v>1.2936096248401285</v>
      </c>
      <c r="H28" s="275">
        <v>1.8779179835425899</v>
      </c>
      <c r="I28" s="253">
        <f t="shared" si="4"/>
        <v>19.591905666588342</v>
      </c>
      <c r="M28" s="265">
        <v>1000</v>
      </c>
      <c r="N28" s="265" t="s">
        <v>1055</v>
      </c>
      <c r="O28" s="265" t="s">
        <v>1064</v>
      </c>
      <c r="P28" s="266" t="s">
        <v>1055</v>
      </c>
      <c r="Q28" s="262">
        <v>4.1335349628832914</v>
      </c>
      <c r="R28" s="262">
        <v>6.6118382580764106</v>
      </c>
      <c r="S28" s="262">
        <v>5.706066650280242</v>
      </c>
      <c r="T28" s="262">
        <v>1.2942754210238252</v>
      </c>
      <c r="U28" s="262">
        <v>1.875112787809244</v>
      </c>
      <c r="V28" s="253">
        <f t="shared" si="5"/>
        <v>19.620828080073014</v>
      </c>
    </row>
    <row r="29" spans="1:23" x14ac:dyDescent="0.3">
      <c r="A29" s="276">
        <v>-1</v>
      </c>
      <c r="B29" s="265" t="s">
        <v>1064</v>
      </c>
      <c r="C29" s="269" t="s">
        <v>1078</v>
      </c>
      <c r="D29" s="275"/>
      <c r="E29" s="275"/>
      <c r="F29" s="275"/>
      <c r="G29" s="275"/>
      <c r="H29" s="275"/>
      <c r="I29" s="253"/>
      <c r="M29" s="265">
        <v>1000</v>
      </c>
      <c r="N29" s="265" t="s">
        <v>1079</v>
      </c>
      <c r="O29" s="265" t="s">
        <v>1064</v>
      </c>
      <c r="P29" s="269" t="s">
        <v>1078</v>
      </c>
      <c r="Q29" s="262"/>
      <c r="R29" s="262"/>
      <c r="S29" s="262"/>
      <c r="T29" s="262"/>
      <c r="U29" s="262"/>
      <c r="V29" s="253"/>
    </row>
    <row r="30" spans="1:23" x14ac:dyDescent="0.3">
      <c r="A30" s="276">
        <v>1</v>
      </c>
      <c r="B30" s="265" t="s">
        <v>1073</v>
      </c>
      <c r="C30" s="270"/>
      <c r="D30" s="271">
        <f>IFERROR(SUM(D25:D29),"")</f>
        <v>7.8022130592569905</v>
      </c>
      <c r="E30" s="271">
        <f>IFERROR(SUM(E25:E29),"")</f>
        <v>10.924971786931224</v>
      </c>
      <c r="F30" s="271">
        <f>IFERROR(SUM(F25:F29),"")</f>
        <v>9.764049443307389</v>
      </c>
      <c r="G30" s="271">
        <f>IFERROR(SUM(G25:G29),"")</f>
        <v>5.5593538353751342</v>
      </c>
      <c r="H30" s="271">
        <f>IFERROR(SUM(H25:H29),"")</f>
        <v>5.6198981319204755</v>
      </c>
      <c r="I30" s="271">
        <f t="shared" si="4"/>
        <v>39.670486256791222</v>
      </c>
      <c r="M30" s="263"/>
      <c r="O30" s="265" t="s">
        <v>1073</v>
      </c>
      <c r="P30" s="270"/>
      <c r="Q30" s="271">
        <f>IFERROR(SUM(Q25:Q29),"")</f>
        <v>7.8498637586767765</v>
      </c>
      <c r="R30" s="271">
        <f t="shared" ref="R30:U30" si="6">IFERROR(SUM(R25:R29),"")</f>
        <v>10.993375541996176</v>
      </c>
      <c r="S30" s="271">
        <f t="shared" si="6"/>
        <v>9.8250324013247656</v>
      </c>
      <c r="T30" s="271">
        <f t="shared" si="6"/>
        <v>5.6062003754841445</v>
      </c>
      <c r="U30" s="271">
        <f t="shared" si="6"/>
        <v>5.6504325621090414</v>
      </c>
      <c r="V30" s="271">
        <f t="shared" si="5"/>
        <v>39.924904639590899</v>
      </c>
    </row>
    <row r="31" spans="1:23" x14ac:dyDescent="0.3">
      <c r="C31" s="241"/>
      <c r="I31" s="241"/>
      <c r="M31" s="263"/>
    </row>
    <row r="33" spans="1:22" x14ac:dyDescent="0.3">
      <c r="A33" s="247" t="s">
        <v>94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</row>
    <row r="34" spans="1:22" x14ac:dyDescent="0.3">
      <c r="O34" s="265" t="s">
        <v>1047</v>
      </c>
      <c r="P34" s="242" t="str">
        <f>Inflation!$E85</f>
        <v>Augmentation</v>
      </c>
      <c r="Q34" s="252">
        <f>Inflation!R85</f>
        <v>5.3059797811969229E-3</v>
      </c>
      <c r="R34" s="252">
        <f>Inflation!S85</f>
        <v>8.8449862118488952E-3</v>
      </c>
      <c r="S34" s="252">
        <f>Inflation!T85</f>
        <v>1.2119521977126757E-2</v>
      </c>
      <c r="T34" s="252">
        <f>Inflation!U85</f>
        <v>1.6082746037963294E-2</v>
      </c>
      <c r="U34" s="252">
        <f>Inflation!V85</f>
        <v>2.1263659175082963E-2</v>
      </c>
    </row>
    <row r="35" spans="1:22" x14ac:dyDescent="0.3">
      <c r="O35" s="265" t="s">
        <v>1064</v>
      </c>
      <c r="P35" s="242" t="str">
        <f>Inflation!$E89</f>
        <v>Non-network general assets - IT</v>
      </c>
      <c r="Q35" s="252">
        <f>Inflation!R89</f>
        <v>5.6254606407163945E-3</v>
      </c>
      <c r="R35" s="252">
        <f>Inflation!S89</f>
        <v>9.3775558623050304E-3</v>
      </c>
      <c r="S35" s="252">
        <f>Inflation!T89</f>
        <v>1.2849256250133006E-2</v>
      </c>
      <c r="T35" s="252">
        <f>Inflation!U89</f>
        <v>1.7051111870386961E-2</v>
      </c>
      <c r="U35" s="252">
        <f>Inflation!V89</f>
        <v>2.2543975420135105E-2</v>
      </c>
    </row>
    <row r="36" spans="1:22" x14ac:dyDescent="0.3">
      <c r="O36" s="265"/>
      <c r="P36" s="242"/>
      <c r="Q36" s="252"/>
      <c r="R36" s="252"/>
      <c r="S36" s="252"/>
      <c r="T36" s="252"/>
      <c r="U36" s="252"/>
    </row>
    <row r="37" spans="1:22" x14ac:dyDescent="0.3">
      <c r="O37" s="265"/>
      <c r="P37" s="242"/>
      <c r="Q37" s="252"/>
      <c r="R37" s="252"/>
      <c r="S37" s="252"/>
      <c r="T37" s="252"/>
      <c r="U37" s="252"/>
    </row>
    <row r="38" spans="1:22" x14ac:dyDescent="0.3">
      <c r="O38" s="265"/>
      <c r="P38" s="242"/>
      <c r="Q38" s="252"/>
      <c r="R38" s="252"/>
      <c r="S38" s="252"/>
      <c r="T38" s="252"/>
      <c r="U38" s="252"/>
    </row>
    <row r="39" spans="1:22" x14ac:dyDescent="0.3">
      <c r="A39" s="247" t="s">
        <v>1098</v>
      </c>
      <c r="B39" s="248"/>
      <c r="C39" s="249"/>
      <c r="D39" s="248"/>
      <c r="E39" s="248"/>
      <c r="F39" s="248"/>
      <c r="G39" s="248"/>
      <c r="H39" s="248"/>
      <c r="I39" s="250"/>
      <c r="J39" s="248"/>
      <c r="K39" s="248"/>
      <c r="L39" s="248"/>
      <c r="M39" s="248"/>
      <c r="N39" s="248"/>
      <c r="O39" s="248"/>
      <c r="P39" s="249"/>
      <c r="Q39" s="248"/>
      <c r="R39" s="248"/>
      <c r="S39" s="248"/>
      <c r="T39" s="248"/>
      <c r="U39" s="248"/>
      <c r="V39" s="250"/>
    </row>
    <row r="40" spans="1:22" x14ac:dyDescent="0.3">
      <c r="A40" s="265" t="s">
        <v>1063</v>
      </c>
      <c r="B40" s="265" t="s">
        <v>1063</v>
      </c>
      <c r="C40" s="266" t="s">
        <v>1045</v>
      </c>
      <c r="D40" s="262">
        <f t="array" ref="D40">SUMIF($B$7:$B$20,$B40,D$7:D$20)+SUMPRODUCT(D$25:D$30*($B$25:$B$30=$B40)*$A$25:$A$30)</f>
        <v>67.486620482420889</v>
      </c>
      <c r="E40" s="262">
        <f t="array" ref="E40">SUMIF($B$7:$B$20,$B40,E$7:E$20)+SUMPRODUCT(E$25:E$30*($B$25:$B$30=$B40)*$A$25:$A$30)</f>
        <v>69.499053873491221</v>
      </c>
      <c r="F40" s="262">
        <f t="array" ref="F40">SUMIF($B$7:$B$20,$B40,F$7:F$20)+SUMPRODUCT(F$25:F$30*($B$25:$B$30=$B40)*$A$25:$A$30)</f>
        <v>70.455116045862241</v>
      </c>
      <c r="G40" s="262">
        <f t="array" ref="G40">SUMIF($B$7:$B$20,$B40,G$7:G$20)+SUMPRODUCT(G$25:G$30*($B$25:$B$30=$B40)*$A$25:$A$30)</f>
        <v>70.721788981706865</v>
      </c>
      <c r="H40" s="262">
        <f t="array" ref="H40">SUMIF($B$7:$B$20,$B40,H$7:H$20)+SUMPRODUCT(H$25:H$30*($B$25:$B$30=$B40)*$A$25:$A$30)</f>
        <v>66.266332987972007</v>
      </c>
      <c r="I40" s="253">
        <f t="shared" ref="I40:I49" si="7">SUM(D40:H40)</f>
        <v>344.42891237145324</v>
      </c>
      <c r="N40" s="265" t="s">
        <v>1063</v>
      </c>
      <c r="O40" s="265" t="s">
        <v>1063</v>
      </c>
      <c r="P40" s="266" t="s">
        <v>1045</v>
      </c>
      <c r="Q40" s="262">
        <f t="array" ref="Q40">SUMIF($O$7:$O$20,$O40,Q$7:Q$20)+SUMPRODUCT(Q$25:Q$30*($O$25:$O$30=$O40)*$A$25:$A$30)</f>
        <v>63.414405730410564</v>
      </c>
      <c r="R40" s="262">
        <f t="array" ref="R40">SUMIF($O$7:$O$20,$O40,R$7:R$20)+SUMPRODUCT(R$25:R$30*($O$25:$O$30=$O40)*$A$25:$A$30)</f>
        <v>64.840294401500657</v>
      </c>
      <c r="S40" s="262">
        <f t="array" ref="S40">SUMIF($O$7:$O$20,$O40,S$7:S$20)+SUMPRODUCT(S$25:S$30*($O$25:$O$30=$O40)*$A$25:$A$30)</f>
        <v>65.121718079340241</v>
      </c>
      <c r="T40" s="262">
        <f t="array" ref="T40">SUMIF($O$7:$O$20,$O40,T$7:T$20)+SUMPRODUCT(T$25:T$30*($O$25:$O$30=$O40)*$A$25:$A$30)</f>
        <v>64.612004028512672</v>
      </c>
      <c r="U40" s="262">
        <f t="array" ref="U40">SUMIF($O$7:$O$20,$O40,U$7:U$20)+SUMPRODUCT(U$25:U$30*($O$25:$O$30=$O40)*$A$25:$A$30)</f>
        <v>59.332705068333084</v>
      </c>
      <c r="V40" s="253">
        <f t="shared" ref="V40:V49" si="8">SUM(Q40:U40)</f>
        <v>317.32112730809723</v>
      </c>
    </row>
    <row r="41" spans="1:22" x14ac:dyDescent="0.3">
      <c r="A41" s="265" t="s">
        <v>1073</v>
      </c>
      <c r="B41" s="265" t="s">
        <v>1073</v>
      </c>
      <c r="C41" s="266" t="s">
        <v>1073</v>
      </c>
      <c r="D41" s="262">
        <f t="array" ref="D41">SUMIF($B$7:$B$20,$B41,D$7:D$20)+SUMPRODUCT(D$25:D$30*($B$25:$B$30=$B41)*$A$25:$A$30)</f>
        <v>7.8022130592569905</v>
      </c>
      <c r="E41" s="262">
        <f t="array" ref="E41">SUMIF($B$7:$B$20,$B41,E$7:E$20)+SUMPRODUCT(E$25:E$30*($B$25:$B$30=$B41)*$A$25:$A$30)</f>
        <v>10.924971786931224</v>
      </c>
      <c r="F41" s="262">
        <f t="array" ref="F41">SUMIF($B$7:$B$20,$B41,F$7:F$20)+SUMPRODUCT(F$25:F$30*($B$25:$B$30=$B41)*$A$25:$A$30)</f>
        <v>9.764049443307389</v>
      </c>
      <c r="G41" s="262">
        <f t="array" ref="G41">SUMIF($B$7:$B$20,$B41,G$7:G$20)+SUMPRODUCT(G$25:G$30*($B$25:$B$30=$B41)*$A$25:$A$30)</f>
        <v>5.5593538353751342</v>
      </c>
      <c r="H41" s="262">
        <f t="array" ref="H41">SUMIF($B$7:$B$20,$B41,H$7:H$20)+SUMPRODUCT(H$25:H$30*($B$25:$B$30=$B41)*$A$25:$A$30)</f>
        <v>5.6198981319204755</v>
      </c>
      <c r="I41" s="253">
        <f t="shared" si="7"/>
        <v>39.670486256791222</v>
      </c>
      <c r="N41" s="265" t="s">
        <v>1073</v>
      </c>
      <c r="O41" s="265" t="s">
        <v>1073</v>
      </c>
      <c r="P41" s="266" t="s">
        <v>1073</v>
      </c>
      <c r="Q41" s="262">
        <f t="array" ref="Q41">SUMIF($O$7:$O$20,$O41,Q$7:Q$20)+SUMPRODUCT(Q$25:Q$30*($O$25:$O$30=$O41)*$A$25:$A$30)</f>
        <v>7.8498637586767765</v>
      </c>
      <c r="R41" s="262">
        <f t="array" ref="R41">SUMIF($O$7:$O$20,$O41,R$7:R$20)+SUMPRODUCT(R$25:R$30*($O$25:$O$30=$O41)*$A$25:$A$30)</f>
        <v>10.993375541996176</v>
      </c>
      <c r="S41" s="262">
        <f t="array" ref="S41">SUMIF($O$7:$O$20,$O41,S$7:S$20)+SUMPRODUCT(S$25:S$30*($O$25:$O$30=$O41)*$A$25:$A$30)</f>
        <v>9.8250324013247656</v>
      </c>
      <c r="T41" s="262">
        <f t="array" ref="T41">SUMIF($O$7:$O$20,$O41,T$7:T$20)+SUMPRODUCT(T$25:T$30*($O$25:$O$30=$O41)*$A$25:$A$30)</f>
        <v>5.6062003754841445</v>
      </c>
      <c r="U41" s="262">
        <f t="array" ref="U41">SUMIF($O$7:$O$20,$O41,U$7:U$20)+SUMPRODUCT(U$25:U$30*($O$25:$O$30=$O41)*$A$25:$A$30)</f>
        <v>5.6504325621090414</v>
      </c>
      <c r="V41" s="253">
        <f t="shared" si="8"/>
        <v>39.924904639590899</v>
      </c>
    </row>
    <row r="42" spans="1:22" x14ac:dyDescent="0.3">
      <c r="A42" s="265" t="s">
        <v>1047</v>
      </c>
      <c r="B42" s="265" t="s">
        <v>1047</v>
      </c>
      <c r="C42" s="266" t="s">
        <v>1047</v>
      </c>
      <c r="D42" s="262">
        <f t="array" ref="D42">SUMIF($B$7:$B$20,$B42,D$7:D$20)+SUMPRODUCT(D$25:D$30*($B$25:$B$30=$B42)*$A$25:$A$30)</f>
        <v>21.1597336974664</v>
      </c>
      <c r="E42" s="262">
        <f t="array" ref="E42">SUMIF($B$7:$B$20,$B42,E$7:E$20)+SUMPRODUCT(E$25:E$30*($B$25:$B$30=$B42)*$A$25:$A$30)</f>
        <v>20.982098746323445</v>
      </c>
      <c r="F42" s="262">
        <f t="array" ref="F42">SUMIF($B$7:$B$20,$B42,F$7:F$20)+SUMPRODUCT(F$25:F$30*($B$25:$B$30=$B42)*$A$25:$A$30)</f>
        <v>17.644862368559068</v>
      </c>
      <c r="G42" s="262">
        <f t="array" ref="G42">SUMIF($B$7:$B$20,$B42,G$7:G$20)+SUMPRODUCT(G$25:G$30*($B$25:$B$30=$B42)*$A$25:$A$30)</f>
        <v>17.770009353233171</v>
      </c>
      <c r="H42" s="262">
        <f t="array" ref="H42">SUMIF($B$7:$B$20,$B42,H$7:H$20)+SUMPRODUCT(H$25:H$30*($B$25:$B$30=$B42)*$A$25:$A$30)</f>
        <v>18.544712866801952</v>
      </c>
      <c r="I42" s="253">
        <f t="shared" si="7"/>
        <v>96.101417032384035</v>
      </c>
      <c r="N42" s="265" t="s">
        <v>1047</v>
      </c>
      <c r="O42" s="265" t="s">
        <v>1047</v>
      </c>
      <c r="P42" s="266" t="s">
        <v>1047</v>
      </c>
      <c r="Q42" s="262">
        <f t="array" ref="Q42">SUMIF($O$7:$O$20,$O42,Q$7:Q$20)+SUMPRODUCT(Q$25:Q$30*($O$25:$O$30=$O42)*$A$25:$A$30)</f>
        <v>19.696400478404477</v>
      </c>
      <c r="R42" s="262">
        <f t="array" ref="R42">SUMIF($O$7:$O$20,$O42,R$7:R$20)+SUMPRODUCT(R$25:R$30*($O$25:$O$30=$O42)*$A$25:$A$30)</f>
        <v>19.490363294436623</v>
      </c>
      <c r="S42" s="262">
        <f t="array" ref="S42">SUMIF($O$7:$O$20,$O42,S$7:S$20)+SUMPRODUCT(S$25:S$30*($O$25:$O$30=$O42)*$A$25:$A$30)</f>
        <v>16.914358271145364</v>
      </c>
      <c r="T42" s="262">
        <f t="array" ref="T42">SUMIF($O$7:$O$20,$O42,T$7:T$20)+SUMPRODUCT(T$25:T$30*($O$25:$O$30=$O42)*$A$25:$A$30)</f>
        <v>16.918701271689006</v>
      </c>
      <c r="U42" s="262">
        <f t="array" ref="U42">SUMIF($O$7:$O$20,$O42,U$7:U$20)+SUMPRODUCT(U$25:U$30*($O$25:$O$30=$O42)*$A$25:$A$30)</f>
        <v>17.218363894340406</v>
      </c>
      <c r="V42" s="253">
        <f t="shared" si="8"/>
        <v>90.238187210015866</v>
      </c>
    </row>
    <row r="43" spans="1:22" x14ac:dyDescent="0.3">
      <c r="A43" s="265" t="s">
        <v>1048</v>
      </c>
      <c r="B43" s="265" t="s">
        <v>1048</v>
      </c>
      <c r="C43" s="266" t="s">
        <v>1048</v>
      </c>
      <c r="D43" s="262">
        <f t="array" ref="D43">SUMIF($B$7:$B$20,$B43,D$7:D$20)+SUMPRODUCT(D$25:D$30*($B$25:$B$30=$B43)*$A$25:$A$30)</f>
        <v>51.230586514077018</v>
      </c>
      <c r="E43" s="262">
        <f t="array" ref="E43">SUMIF($B$7:$B$20,$B43,E$7:E$20)+SUMPRODUCT(E$25:E$30*($B$25:$B$30=$B43)*$A$25:$A$30)</f>
        <v>58.279797929404886</v>
      </c>
      <c r="F43" s="262">
        <f t="array" ref="F43">SUMIF($B$7:$B$20,$B43,F$7:F$20)+SUMPRODUCT(F$25:F$30*($B$25:$B$30=$B43)*$A$25:$A$30)</f>
        <v>58.881330126093765</v>
      </c>
      <c r="G43" s="262">
        <f t="array" ref="G43">SUMIF($B$7:$B$20,$B43,G$7:G$20)+SUMPRODUCT(G$25:G$30*($B$25:$B$30=$B43)*$A$25:$A$30)</f>
        <v>58.864705002394892</v>
      </c>
      <c r="H43" s="262">
        <f t="array" ref="H43">SUMIF($B$7:$B$20,$B43,H$7:H$20)+SUMPRODUCT(H$25:H$30*($B$25:$B$30=$B43)*$A$25:$A$30)</f>
        <v>58.775796084042838</v>
      </c>
      <c r="I43" s="253">
        <f t="shared" si="7"/>
        <v>286.03221565601336</v>
      </c>
      <c r="N43" s="265" t="s">
        <v>1048</v>
      </c>
      <c r="O43" s="265" t="s">
        <v>1048</v>
      </c>
      <c r="P43" s="266" t="s">
        <v>1048</v>
      </c>
      <c r="Q43" s="262">
        <f t="array" ref="Q43">SUMIF($O$7:$O$20,$O43,Q$7:Q$20)+SUMPRODUCT(Q$25:Q$30*($O$25:$O$30=$O43)*$A$25:$A$30)</f>
        <v>52.287807110607453</v>
      </c>
      <c r="R43" s="262">
        <f t="array" ref="R43">SUMIF($O$7:$O$20,$O43,R$7:R$20)+SUMPRODUCT(R$25:R$30*($O$25:$O$30=$O43)*$A$25:$A$30)</f>
        <v>58.554713394961198</v>
      </c>
      <c r="S43" s="262">
        <f t="array" ref="S43">SUMIF($O$7:$O$20,$O43,S$7:S$20)+SUMPRODUCT(S$25:S$30*($O$25:$O$30=$O43)*$A$25:$A$30)</f>
        <v>59.144281291822274</v>
      </c>
      <c r="T43" s="262">
        <f t="array" ref="T43">SUMIF($O$7:$O$20,$O43,T$7:T$20)+SUMPRODUCT(T$25:T$30*($O$25:$O$30=$O43)*$A$25:$A$30)</f>
        <v>59.042391875047159</v>
      </c>
      <c r="U43" s="262">
        <f t="array" ref="U43">SUMIF($O$7:$O$20,$O43,U$7:U$20)+SUMPRODUCT(U$25:U$30*($O$25:$O$30=$O43)*$A$25:$A$30)</f>
        <v>58.838838556860836</v>
      </c>
      <c r="V43" s="253">
        <f t="shared" si="8"/>
        <v>287.86803222929888</v>
      </c>
    </row>
    <row r="44" spans="1:22" x14ac:dyDescent="0.3">
      <c r="A44" s="265" t="s">
        <v>1063</v>
      </c>
      <c r="B44" s="265" t="s">
        <v>1066</v>
      </c>
      <c r="C44" s="266" t="s">
        <v>8</v>
      </c>
      <c r="D44" s="262">
        <f t="array" ref="D44">SUMIF($B$7:$B$20,$B44,D$7:D$20)+SUMPRODUCT(D$25:D$30*($B$25:$B$30=$B44)*$A$25:$A$30)</f>
        <v>0</v>
      </c>
      <c r="E44" s="262">
        <f t="array" ref="E44">SUMIF($B$7:$B$20,$B44,E$7:E$20)+SUMPRODUCT(E$25:E$30*($B$25:$B$30=$B44)*$A$25:$A$30)</f>
        <v>0</v>
      </c>
      <c r="F44" s="262">
        <f t="array" ref="F44">SUMIF($B$7:$B$20,$B44,F$7:F$20)+SUMPRODUCT(F$25:F$30*($B$25:$B$30=$B44)*$A$25:$A$30)</f>
        <v>0</v>
      </c>
      <c r="G44" s="262">
        <f t="array" ref="G44">SUMIF($B$7:$B$20,$B44,G$7:G$20)+SUMPRODUCT(G$25:G$30*($B$25:$B$30=$B44)*$A$25:$A$30)</f>
        <v>0</v>
      </c>
      <c r="H44" s="262">
        <f t="array" ref="H44">SUMIF($B$7:$B$20,$B44,H$7:H$20)+SUMPRODUCT(H$25:H$30*($B$25:$B$30=$B44)*$A$25:$A$30)</f>
        <v>0</v>
      </c>
      <c r="I44" s="253">
        <f t="shared" si="7"/>
        <v>0</v>
      </c>
      <c r="N44" s="265" t="s">
        <v>1063</v>
      </c>
      <c r="O44" s="265" t="s">
        <v>1066</v>
      </c>
      <c r="P44" s="266" t="s">
        <v>8</v>
      </c>
      <c r="Q44" s="262">
        <f t="array" ref="Q44">SUMIF($O$7:$O$20,$O44,Q$7:Q$20)+SUMPRODUCT(Q$25:Q$30*($O$25:$O$30=$O44)*$A$25:$A$30)</f>
        <v>0</v>
      </c>
      <c r="R44" s="262">
        <f t="array" ref="R44">SUMIF($O$7:$O$20,$O44,R$7:R$20)+SUMPRODUCT(R$25:R$30*($O$25:$O$30=$O44)*$A$25:$A$30)</f>
        <v>0</v>
      </c>
      <c r="S44" s="262">
        <f t="array" ref="S44">SUMIF($O$7:$O$20,$O44,S$7:S$20)+SUMPRODUCT(S$25:S$30*($O$25:$O$30=$O44)*$A$25:$A$30)</f>
        <v>0</v>
      </c>
      <c r="T44" s="262">
        <f t="array" ref="T44">SUMIF($O$7:$O$20,$O44,T$7:T$20)+SUMPRODUCT(T$25:T$30*($O$25:$O$30=$O44)*$A$25:$A$30)</f>
        <v>0</v>
      </c>
      <c r="U44" s="262">
        <f t="array" ref="U44">SUMIF($O$7:$O$20,$O44,U$7:U$20)+SUMPRODUCT(U$25:U$30*($O$25:$O$30=$O44)*$A$25:$A$30)</f>
        <v>0</v>
      </c>
      <c r="V44" s="253">
        <f t="shared" si="8"/>
        <v>0</v>
      </c>
    </row>
    <row r="45" spans="1:22" x14ac:dyDescent="0.3">
      <c r="A45" s="265" t="s">
        <v>1061</v>
      </c>
      <c r="B45" s="265" t="s">
        <v>1067</v>
      </c>
      <c r="C45" s="266" t="s">
        <v>514</v>
      </c>
      <c r="D45" s="262">
        <f t="array" ref="D45">SUMIF($B$7:$B$20,$B45,D$7:D$20)+SUMPRODUCT(D$25:D$30*($B$25:$B$30=$B45)*$A$25:$A$30)</f>
        <v>0</v>
      </c>
      <c r="E45" s="262">
        <f t="array" ref="E45">SUMIF($B$7:$B$20,$B45,E$7:E$20)+SUMPRODUCT(E$25:E$30*($B$25:$B$30=$B45)*$A$25:$A$30)</f>
        <v>0</v>
      </c>
      <c r="F45" s="262">
        <f t="array" ref="F45">SUMIF($B$7:$B$20,$B45,F$7:F$20)+SUMPRODUCT(F$25:F$30*($B$25:$B$30=$B45)*$A$25:$A$30)</f>
        <v>0</v>
      </c>
      <c r="G45" s="262">
        <f t="array" ref="G45">SUMIF($B$7:$B$20,$B45,G$7:G$20)+SUMPRODUCT(G$25:G$30*($B$25:$B$30=$B45)*$A$25:$A$30)</f>
        <v>0</v>
      </c>
      <c r="H45" s="262">
        <f t="array" ref="H45">SUMIF($B$7:$B$20,$B45,H$7:H$20)+SUMPRODUCT(H$25:H$30*($B$25:$B$30=$B45)*$A$25:$A$30)</f>
        <v>0</v>
      </c>
      <c r="I45" s="253">
        <f t="shared" si="7"/>
        <v>0</v>
      </c>
      <c r="N45" s="265" t="s">
        <v>1061</v>
      </c>
      <c r="O45" s="265" t="s">
        <v>1067</v>
      </c>
      <c r="P45" s="266" t="s">
        <v>514</v>
      </c>
      <c r="Q45" s="262">
        <f t="array" ref="Q45">SUMIF($O$7:$O$20,$O45,Q$7:Q$20)+SUMPRODUCT(Q$25:Q$30*($O$25:$O$30=$O45)*$A$25:$A$30)</f>
        <v>0</v>
      </c>
      <c r="R45" s="262">
        <f t="array" ref="R45">SUMIF($O$7:$O$20,$O45,R$7:R$20)+SUMPRODUCT(R$25:R$30*($O$25:$O$30=$O45)*$A$25:$A$30)</f>
        <v>0</v>
      </c>
      <c r="S45" s="262">
        <f t="array" ref="S45">SUMIF($O$7:$O$20,$O45,S$7:S$20)+SUMPRODUCT(S$25:S$30*($O$25:$O$30=$O45)*$A$25:$A$30)</f>
        <v>0</v>
      </c>
      <c r="T45" s="262">
        <f t="array" ref="T45">SUMIF($O$7:$O$20,$O45,T$7:T$20)+SUMPRODUCT(T$25:T$30*($O$25:$O$30=$O45)*$A$25:$A$30)</f>
        <v>0</v>
      </c>
      <c r="U45" s="262">
        <f t="array" ref="U45">SUMIF($O$7:$O$20,$O45,U$7:U$20)+SUMPRODUCT(U$25:U$30*($O$25:$O$30=$O45)*$A$25:$A$30)</f>
        <v>0</v>
      </c>
      <c r="V45" s="253">
        <f t="shared" si="8"/>
        <v>0</v>
      </c>
    </row>
    <row r="46" spans="1:22" x14ac:dyDescent="0.3">
      <c r="A46" s="265" t="s">
        <v>1064</v>
      </c>
      <c r="B46" s="265" t="s">
        <v>1064</v>
      </c>
      <c r="C46" s="266" t="s">
        <v>1064</v>
      </c>
      <c r="D46" s="262">
        <f t="array" ref="D46">SUMIF($B$7:$B$20,$B46,D$7:D$20)+SUMPRODUCT(D$25:D$30*($B$25:$B$30=$B46)*$A$25:$A$30)</f>
        <v>50.295649224417865</v>
      </c>
      <c r="E46" s="262">
        <f t="array" ref="E46">SUMIF($B$7:$B$20,$B46,E$7:E$20)+SUMPRODUCT(E$25:E$30*($B$25:$B$30=$B46)*$A$25:$A$30)</f>
        <v>30.576743167584599</v>
      </c>
      <c r="F46" s="262">
        <f t="array" ref="F46">SUMIF($B$7:$B$20,$B46,F$7:F$20)+SUMPRODUCT(F$25:F$30*($B$25:$B$30=$B46)*$A$25:$A$30)</f>
        <v>30.469343911051936</v>
      </c>
      <c r="G46" s="262">
        <f t="array" ref="G46">SUMIF($B$7:$B$20,$B46,G$7:G$20)+SUMPRODUCT(G$25:G$30*($B$25:$B$30=$B46)*$A$25:$A$30)</f>
        <v>31.775907204752102</v>
      </c>
      <c r="H46" s="262">
        <f t="array" ref="H46">SUMIF($B$7:$B$20,$B46,H$7:H$20)+SUMPRODUCT(H$25:H$30*($B$25:$B$30=$B46)*$A$25:$A$30)</f>
        <v>21.100528212574591</v>
      </c>
      <c r="I46" s="253">
        <f t="shared" si="7"/>
        <v>164.21817172038112</v>
      </c>
      <c r="N46" s="265" t="s">
        <v>1064</v>
      </c>
      <c r="O46" s="265" t="s">
        <v>1064</v>
      </c>
      <c r="P46" s="266" t="s">
        <v>1064</v>
      </c>
      <c r="Q46" s="262">
        <f t="array" ref="Q46">SUMIF($O$7:$O$20,$O46,Q$7:Q$20)+SUMPRODUCT(Q$25:Q$30*($O$25:$O$30=$O46)*$A$25:$A$30)</f>
        <v>50.359460514373282</v>
      </c>
      <c r="R46" s="262">
        <f t="array" ref="R46">SUMIF($O$7:$O$20,$O46,R$7:R$20)+SUMPRODUCT(R$25:R$30*($O$25:$O$30=$O46)*$A$25:$A$30)</f>
        <v>30.64425762893034</v>
      </c>
      <c r="S46" s="262">
        <f t="array" ref="S46">SUMIF($O$7:$O$20,$O46,S$7:S$20)+SUMPRODUCT(S$25:S$30*($O$25:$O$30=$O46)*$A$25:$A$30)</f>
        <v>30.529573842621552</v>
      </c>
      <c r="T46" s="262">
        <f t="array" ref="T46">SUMIF($O$7:$O$20,$O46,T$7:T$20)+SUMPRODUCT(T$25:T$30*($O$25:$O$30=$O46)*$A$25:$A$30)</f>
        <v>31.792261657706199</v>
      </c>
      <c r="U46" s="262">
        <f t="array" ref="U46">SUMIF($O$7:$O$20,$O46,U$7:U$20)+SUMPRODUCT(U$25:U$30*($O$25:$O$30=$O46)*$A$25:$A$30)</f>
        <v>21.069008672194244</v>
      </c>
      <c r="V46" s="253">
        <f t="shared" si="8"/>
        <v>164.39456231582562</v>
      </c>
    </row>
    <row r="47" spans="1:22" x14ac:dyDescent="0.3">
      <c r="A47" s="265" t="s">
        <v>1080</v>
      </c>
      <c r="B47" s="265" t="s">
        <v>1080</v>
      </c>
      <c r="C47" s="266" t="s">
        <v>1065</v>
      </c>
      <c r="D47" s="262">
        <f t="array" ref="D47">SUMIF($B$7:$B$20,$B47,D$7:D$20)+SUMPRODUCT(D$25:D$30*($B$25:$B$30=$B47)*$A$25:$A$30)</f>
        <v>43.67970622479146</v>
      </c>
      <c r="E47" s="262">
        <f t="array" ref="E47">SUMIF($B$7:$B$20,$B47,E$7:E$20)+SUMPRODUCT(E$25:E$30*($B$25:$B$30=$B47)*$A$25:$A$30)</f>
        <v>15.359183288856579</v>
      </c>
      <c r="F47" s="262">
        <f t="array" ref="F47">SUMIF($B$7:$B$20,$B47,F$7:F$20)+SUMPRODUCT(F$25:F$30*($B$25:$B$30=$B47)*$A$25:$A$30)</f>
        <v>3.3594601308123573</v>
      </c>
      <c r="G47" s="262">
        <f t="array" ref="G47">SUMIF($B$7:$B$20,$B47,G$7:G$20)+SUMPRODUCT(G$25:G$30*($B$25:$B$30=$B47)*$A$25:$A$30)</f>
        <v>8.4079193927618761</v>
      </c>
      <c r="H47" s="262">
        <f t="array" ref="H47">SUMIF($B$7:$B$20,$B47,H$7:H$20)+SUMPRODUCT(H$25:H$30*($B$25:$B$30=$B47)*$A$25:$A$30)</f>
        <v>11.45620044647865</v>
      </c>
      <c r="I47" s="253">
        <f t="shared" si="7"/>
        <v>82.262469483700926</v>
      </c>
      <c r="N47" s="265" t="s">
        <v>1080</v>
      </c>
      <c r="O47" s="265" t="s">
        <v>1080</v>
      </c>
      <c r="P47" s="266" t="s">
        <v>1065</v>
      </c>
      <c r="Q47" s="262">
        <f t="array" ref="Q47">SUMIF($O$7:$O$20,$O47,Q$7:Q$20)+SUMPRODUCT(Q$25:Q$30*($O$25:$O$30=$O47)*$A$25:$A$30)</f>
        <v>43.680281464648743</v>
      </c>
      <c r="R47" s="262">
        <f t="array" ref="R47">SUMIF($O$7:$O$20,$O47,R$7:R$20)+SUMPRODUCT(R$25:R$30*($O$25:$O$30=$O47)*$A$25:$A$30)</f>
        <v>15.359536287824614</v>
      </c>
      <c r="S47" s="262">
        <f t="array" ref="S47">SUMIF($O$7:$O$20,$O47,S$7:S$20)+SUMPRODUCT(S$25:S$30*($O$25:$O$30=$O47)*$A$25:$A$30)</f>
        <v>3.3595295042642315</v>
      </c>
      <c r="T47" s="262">
        <f t="array" ref="T47">SUMIF($O$7:$O$20,$O47,T$7:T$20)+SUMPRODUCT(T$25:T$30*($O$25:$O$30=$O47)*$A$25:$A$30)</f>
        <v>8.4075915724454724</v>
      </c>
      <c r="U47" s="262">
        <f t="array" ref="U47">SUMIF($O$7:$O$20,$O47,U$7:U$20)+SUMPRODUCT(U$25:U$30*($O$25:$O$30=$O47)*$A$25:$A$30)</f>
        <v>11.45601935984206</v>
      </c>
      <c r="V47" s="253">
        <f t="shared" si="8"/>
        <v>82.262958189025113</v>
      </c>
    </row>
    <row r="48" spans="1:22" x14ac:dyDescent="0.3">
      <c r="A48" s="265" t="s">
        <v>1068</v>
      </c>
      <c r="B48" s="265" t="s">
        <v>1068</v>
      </c>
      <c r="C48" s="266" t="s">
        <v>1040</v>
      </c>
      <c r="D48" s="262">
        <f t="array" ref="D48">SUMIF($B$7:$B$20,$B48,D$7:D$20)+SUMPRODUCT(D$25:D$30*($B$25:$B$30=$B48)*$A$25:$A$30)</f>
        <v>21.254664827973897</v>
      </c>
      <c r="E48" s="262">
        <f t="array" ref="E48">SUMIF($B$7:$B$20,$B48,E$7:E$20)+SUMPRODUCT(E$25:E$30*($B$25:$B$30=$B48)*$A$25:$A$30)</f>
        <v>21.391799286425254</v>
      </c>
      <c r="F48" s="262">
        <f t="array" ref="F48">SUMIF($B$7:$B$20,$B48,F$7:F$20)+SUMPRODUCT(F$25:F$30*($B$25:$B$30=$B48)*$A$25:$A$30)</f>
        <v>21.580797076008423</v>
      </c>
      <c r="G48" s="262">
        <f t="array" ref="G48">SUMIF($B$7:$B$20,$B48,G$7:G$20)+SUMPRODUCT(G$25:G$30*($B$25:$B$30=$B48)*$A$25:$A$30)</f>
        <v>21.811598695366541</v>
      </c>
      <c r="H48" s="262">
        <f t="array" ref="H48">SUMIF($B$7:$B$20,$B48,H$7:H$20)+SUMPRODUCT(H$25:H$30*($B$25:$B$30=$B48)*$A$25:$A$30)</f>
        <v>22.081359453922289</v>
      </c>
      <c r="I48" s="253">
        <f t="shared" si="7"/>
        <v>108.1202193396964</v>
      </c>
      <c r="N48" s="265" t="s">
        <v>1068</v>
      </c>
      <c r="O48" s="265" t="s">
        <v>1068</v>
      </c>
      <c r="P48" s="266" t="s">
        <v>1040</v>
      </c>
      <c r="Q48" s="262">
        <f t="array" ref="Q48">SUMIF($O$7:$O$20,$O48,Q$7:Q$20)+SUMPRODUCT(Q$25:Q$30*($O$25:$O$30=$O48)*$A$25:$A$30)</f>
        <v>18.94994359716614</v>
      </c>
      <c r="R48" s="262">
        <f t="array" ref="R48">SUMIF($O$7:$O$20,$O48,R$7:R$20)+SUMPRODUCT(R$25:R$30*($O$25:$O$30=$O48)*$A$25:$A$30)</f>
        <v>19.317291419050918</v>
      </c>
      <c r="S48" s="262">
        <f t="array" ref="S48">SUMIF($O$7:$O$20,$O48,S$7:S$20)+SUMPRODUCT(S$25:S$30*($O$25:$O$30=$O48)*$A$25:$A$30)</f>
        <v>19.401317670618255</v>
      </c>
      <c r="T48" s="262">
        <f t="array" ref="T48">SUMIF($O$7:$O$20,$O48,T$7:T$20)+SUMPRODUCT(T$25:T$30*($O$25:$O$30=$O48)*$A$25:$A$30)</f>
        <v>19.54050381204118</v>
      </c>
      <c r="U48" s="262">
        <f t="array" ref="U48">SUMIF($O$7:$O$20,$O48,U$7:U$20)+SUMPRODUCT(U$25:U$30*($O$25:$O$30=$O48)*$A$25:$A$30)</f>
        <v>19.531254432479557</v>
      </c>
      <c r="V48" s="253">
        <f t="shared" si="8"/>
        <v>96.740310931356049</v>
      </c>
    </row>
    <row r="49" spans="1:23" x14ac:dyDescent="0.3">
      <c r="A49" s="265" t="s">
        <v>1069</v>
      </c>
      <c r="B49" s="265" t="s">
        <v>1069</v>
      </c>
      <c r="C49" s="272" t="s">
        <v>1042</v>
      </c>
      <c r="D49" s="273">
        <f>IFERROR(SUM(D40:D48),"")</f>
        <v>262.90917403040453</v>
      </c>
      <c r="E49" s="273">
        <f>IFERROR(SUM(E40:E48),"")</f>
        <v>227.0136480790172</v>
      </c>
      <c r="F49" s="273">
        <f>IFERROR(SUM(F40:F48),"")</f>
        <v>212.15495910169517</v>
      </c>
      <c r="G49" s="273">
        <f>IFERROR(SUM(G40:G48),"")</f>
        <v>214.91128246559057</v>
      </c>
      <c r="H49" s="273">
        <f>IFERROR(SUM(H40:H48),"")</f>
        <v>203.84482818371282</v>
      </c>
      <c r="I49" s="274">
        <f t="shared" si="7"/>
        <v>1120.8338918604204</v>
      </c>
      <c r="J49" s="241" t="b">
        <f>IFERROR(I49=RP_comparison!I15,"")</f>
        <v>1</v>
      </c>
      <c r="N49" s="265" t="s">
        <v>1069</v>
      </c>
      <c r="O49" s="265" t="s">
        <v>1069</v>
      </c>
      <c r="P49" s="272" t="s">
        <v>1042</v>
      </c>
      <c r="Q49" s="273">
        <f>IFERROR(SUM(Q40:Q48),"")</f>
        <v>256.23816265428741</v>
      </c>
      <c r="R49" s="273">
        <f>IFERROR(SUM(R40:R48),"")</f>
        <v>219.19983196870055</v>
      </c>
      <c r="S49" s="273">
        <f>IFERROR(SUM(S40:S48),"")</f>
        <v>204.29581106113667</v>
      </c>
      <c r="T49" s="273">
        <f>IFERROR(SUM(T40:T48),"")</f>
        <v>205.91965459292587</v>
      </c>
      <c r="U49" s="273">
        <f>IFERROR(SUM(U40:U48),"")</f>
        <v>193.09662254615921</v>
      </c>
      <c r="V49" s="274">
        <f t="shared" si="8"/>
        <v>1078.7500828232096</v>
      </c>
      <c r="W49" s="241" t="b">
        <f>IFERROR(V49=RP_comparison!V15,"")</f>
        <v>1</v>
      </c>
    </row>
    <row r="50" spans="1:23" x14ac:dyDescent="0.3">
      <c r="A50" s="265"/>
      <c r="B50" s="265"/>
      <c r="C50" s="267"/>
      <c r="D50" s="253"/>
      <c r="E50" s="253"/>
      <c r="F50" s="253"/>
      <c r="G50" s="253"/>
      <c r="H50" s="253"/>
      <c r="I50" s="268"/>
      <c r="N50" s="265"/>
      <c r="O50" s="265"/>
      <c r="P50" s="267"/>
      <c r="Q50" s="253"/>
      <c r="R50" s="253"/>
      <c r="S50" s="253"/>
      <c r="T50" s="253"/>
      <c r="U50" s="253"/>
      <c r="V50" s="268"/>
    </row>
    <row r="51" spans="1:23" x14ac:dyDescent="0.3">
      <c r="A51" s="265" t="s">
        <v>1070</v>
      </c>
      <c r="B51" s="265" t="s">
        <v>1070</v>
      </c>
      <c r="C51" s="266" t="s">
        <v>1081</v>
      </c>
      <c r="D51" s="262">
        <f t="array" ref="D51">SUMIF($B$7:$B$20,$B51,D$7:D$20)+SUMPRODUCT(D$25:D$30*($B$25:$B$30=$B51)*$A$25:$A$30)</f>
        <v>-30.096550892670905</v>
      </c>
      <c r="E51" s="262">
        <f t="array" ref="E51">SUMIF($B$7:$B$20,$B51,E$7:E$20)+SUMPRODUCT(E$25:E$30*($B$25:$B$30=$B51)*$A$25:$A$30)</f>
        <v>-35.155437644918301</v>
      </c>
      <c r="F51" s="262">
        <f t="array" ref="F51">SUMIF($B$7:$B$20,$B51,F$7:F$20)+SUMPRODUCT(F$25:F$30*($B$25:$B$30=$B51)*$A$25:$A$30)</f>
        <v>-35.86863064815855</v>
      </c>
      <c r="G51" s="262">
        <f t="array" ref="G51">SUMIF($B$7:$B$20,$B51,G$7:G$20)+SUMPRODUCT(G$25:G$30*($B$25:$B$30=$B51)*$A$25:$A$30)</f>
        <v>-35.548399454310839</v>
      </c>
      <c r="H51" s="262">
        <f t="array" ref="H51">SUMIF($B$7:$B$20,$B51,H$7:H$20)+SUMPRODUCT(H$25:H$30*($B$25:$B$30=$B51)*$A$25:$A$30)</f>
        <v>-35.204159768615874</v>
      </c>
      <c r="I51" s="253">
        <f t="shared" ref="I51:I53" si="9">SUM(D51:H51)</f>
        <v>-171.87317840867448</v>
      </c>
      <c r="N51" s="265" t="s">
        <v>1070</v>
      </c>
      <c r="O51" s="265" t="s">
        <v>1070</v>
      </c>
      <c r="P51" s="266" t="s">
        <v>1081</v>
      </c>
      <c r="Q51" s="262">
        <f t="array" ref="Q51">SUMIF($O$7:$O$20,$O51,Q$7:Q$20)+SUMPRODUCT(Q$25:Q$30*($O$25:$O$30=$O51)*$A$25:$A$30)</f>
        <v>-30.64228625373573</v>
      </c>
      <c r="R51" s="262">
        <f t="array" ref="R51">SUMIF($O$7:$O$20,$O51,R$7:R$20)+SUMPRODUCT(R$25:R$30*($O$25:$O$30=$O51)*$A$25:$A$30)</f>
        <v>-35.040444966012224</v>
      </c>
      <c r="S51" s="262">
        <f t="array" ref="S51">SUMIF($O$7:$O$20,$O51,S$7:S$20)+SUMPRODUCT(S$25:S$30*($O$25:$O$30=$O51)*$A$25:$A$30)</f>
        <v>-35.7471999334579</v>
      </c>
      <c r="T51" s="262">
        <f t="array" ref="T51">SUMIF($O$7:$O$20,$O51,T$7:T$20)+SUMPRODUCT(T$25:T$30*($O$25:$O$30=$O51)*$A$25:$A$30)</f>
        <v>-35.34902448838006</v>
      </c>
      <c r="U51" s="262">
        <f t="array" ref="U51">SUMIF($O$7:$O$20,$O51,U$7:U$20)+SUMPRODUCT(U$25:U$30*($O$25:$O$30=$O51)*$A$25:$A$30)</f>
        <v>-34.907537900201639</v>
      </c>
      <c r="V51" s="253">
        <f t="shared" ref="V51:V53" si="10">SUM(Q51:U51)</f>
        <v>-171.68649354178754</v>
      </c>
    </row>
    <row r="52" spans="1:23" x14ac:dyDescent="0.3">
      <c r="A52" s="265" t="s">
        <v>1071</v>
      </c>
      <c r="B52" s="265" t="s">
        <v>1071</v>
      </c>
      <c r="C52" s="266" t="s">
        <v>57</v>
      </c>
      <c r="D52" s="262">
        <f t="array" ref="D52">SUMIF($B$7:$B$20,$B52,D$7:D$20)+SUMPRODUCT(D$25:D$30*($B$25:$B$30=$B52)*$A$25:$A$30)</f>
        <v>-0.87702162884397683</v>
      </c>
      <c r="E52" s="262">
        <f t="array" ref="E52">SUMIF($B$7:$B$20,$B52,E$7:E$20)+SUMPRODUCT(E$25:E$30*($B$25:$B$30=$B52)*$A$25:$A$30)</f>
        <v>-0.87702162884397683</v>
      </c>
      <c r="F52" s="262">
        <f t="array" ref="F52">SUMIF($B$7:$B$20,$B52,F$7:F$20)+SUMPRODUCT(F$25:F$30*($B$25:$B$30=$B52)*$A$25:$A$30)</f>
        <v>-0.87702162884397683</v>
      </c>
      <c r="G52" s="262">
        <f t="array" ref="G52">SUMIF($B$7:$B$20,$B52,G$7:G$20)+SUMPRODUCT(G$25:G$30*($B$25:$B$30=$B52)*$A$25:$A$30)</f>
        <v>-0.87702162884397683</v>
      </c>
      <c r="H52" s="262">
        <f t="array" ref="H52">SUMIF($B$7:$B$20,$B52,H$7:H$20)+SUMPRODUCT(H$25:H$30*($B$25:$B$30=$B52)*$A$25:$A$30)</f>
        <v>-0.87702162884397683</v>
      </c>
      <c r="I52" s="253">
        <f t="shared" si="9"/>
        <v>-4.3851081442198838</v>
      </c>
      <c r="N52" s="265" t="s">
        <v>1071</v>
      </c>
      <c r="O52" s="265" t="s">
        <v>1071</v>
      </c>
      <c r="P52" s="266" t="s">
        <v>57</v>
      </c>
      <c r="Q52" s="262">
        <f t="array" ref="Q52">SUMIF($O$7:$O$20,$O52,Q$7:Q$20)+SUMPRODUCT(Q$25:Q$30*($O$25:$O$30=$O52)*$A$25:$A$30)</f>
        <v>-0.87702162884397683</v>
      </c>
      <c r="R52" s="262">
        <f t="array" ref="R52">SUMIF($O$7:$O$20,$O52,R$7:R$20)+SUMPRODUCT(R$25:R$30*($O$25:$O$30=$O52)*$A$25:$A$30)</f>
        <v>-0.87702162884397683</v>
      </c>
      <c r="S52" s="262">
        <f t="array" ref="S52">SUMIF($O$7:$O$20,$O52,S$7:S$20)+SUMPRODUCT(S$25:S$30*($O$25:$O$30=$O52)*$A$25:$A$30)</f>
        <v>-0.87702162884397683</v>
      </c>
      <c r="T52" s="262">
        <f t="array" ref="T52">SUMIF($O$7:$O$20,$O52,T$7:T$20)+SUMPRODUCT(T$25:T$30*($O$25:$O$30=$O52)*$A$25:$A$30)</f>
        <v>-0.87702162884397683</v>
      </c>
      <c r="U52" s="262">
        <f t="array" ref="U52">SUMIF($O$7:$O$20,$O52,U$7:U$20)+SUMPRODUCT(U$25:U$30*($O$25:$O$30=$O52)*$A$25:$A$30)</f>
        <v>-0.87702162884397683</v>
      </c>
      <c r="V52" s="253">
        <f t="shared" si="10"/>
        <v>-4.3851081442198838</v>
      </c>
    </row>
    <row r="53" spans="1:23" x14ac:dyDescent="0.3">
      <c r="A53" s="265" t="s">
        <v>1072</v>
      </c>
      <c r="B53" s="265" t="s">
        <v>1072</v>
      </c>
      <c r="C53" s="272" t="s">
        <v>1043</v>
      </c>
      <c r="D53" s="273">
        <f>IFERROR(SUM(D49:D52),"")</f>
        <v>231.93560150888965</v>
      </c>
      <c r="E53" s="273">
        <f>IFERROR(SUM(E49:E52),"")</f>
        <v>190.98118880525493</v>
      </c>
      <c r="F53" s="273">
        <f>IFERROR(SUM(F49:F52),"")</f>
        <v>175.40930682469264</v>
      </c>
      <c r="G53" s="273">
        <f>IFERROR(SUM(G49:G52),"")</f>
        <v>178.48586138243576</v>
      </c>
      <c r="H53" s="273">
        <f>IFERROR(SUM(H49:H52),"")</f>
        <v>167.76364678625296</v>
      </c>
      <c r="I53" s="274">
        <f t="shared" si="9"/>
        <v>944.57560530752596</v>
      </c>
      <c r="J53" s="241" t="b">
        <f>IFERROR(I53=RP_comparison!I19,"")</f>
        <v>1</v>
      </c>
      <c r="N53" s="265" t="s">
        <v>1072</v>
      </c>
      <c r="O53" s="265" t="s">
        <v>1072</v>
      </c>
      <c r="P53" s="272" t="s">
        <v>1043</v>
      </c>
      <c r="Q53" s="273">
        <f>IFERROR(SUM(Q49:Q52),"")</f>
        <v>224.7188547717077</v>
      </c>
      <c r="R53" s="273">
        <f>IFERROR(SUM(R49:R52),"")</f>
        <v>183.28236537384436</v>
      </c>
      <c r="S53" s="273">
        <f>IFERROR(SUM(S49:S52),"")</f>
        <v>167.67158949883481</v>
      </c>
      <c r="T53" s="273">
        <f>IFERROR(SUM(T49:T52),"")</f>
        <v>169.69360847570184</v>
      </c>
      <c r="U53" s="273">
        <f>IFERROR(SUM(U49:U52),"")</f>
        <v>157.31206301711359</v>
      </c>
      <c r="V53" s="274">
        <f t="shared" si="10"/>
        <v>902.67848113720231</v>
      </c>
      <c r="W53" s="241" t="b">
        <f>IFERROR(V53=RP_comparison!V19,"")</f>
        <v>1</v>
      </c>
    </row>
    <row r="54" spans="1:23" x14ac:dyDescent="0.3">
      <c r="A54" s="265"/>
      <c r="B54" s="265"/>
      <c r="C54" s="267"/>
      <c r="D54" s="253"/>
      <c r="E54" s="253"/>
      <c r="F54" s="253"/>
      <c r="G54" s="253"/>
      <c r="H54" s="253"/>
      <c r="I54" s="268"/>
      <c r="N54" s="265"/>
      <c r="O54" s="265"/>
      <c r="P54" s="267"/>
      <c r="Q54" s="253"/>
      <c r="R54" s="253"/>
      <c r="S54" s="253"/>
      <c r="T54" s="253"/>
      <c r="U54" s="253"/>
      <c r="V54" s="268"/>
    </row>
    <row r="55" spans="1:23" x14ac:dyDescent="0.3">
      <c r="A55" s="265" t="s">
        <v>1062</v>
      </c>
      <c r="B55" s="265" t="s">
        <v>1062</v>
      </c>
      <c r="C55" s="266" t="s">
        <v>28</v>
      </c>
      <c r="D55" s="262">
        <f t="array" ref="D55">SUMIF($B$7:$B$20,$B55,D$7:D$20)+SUMPRODUCT(D$25:D$30*($B$25:$B$30=$B55)*$A$25:$A$30)</f>
        <v>21.134035621406113</v>
      </c>
      <c r="E55" s="262">
        <f t="array" ref="E55">SUMIF($B$7:$B$20,$B55,E$7:E$20)+SUMPRODUCT(E$25:E$30*($B$25:$B$30=$B55)*$A$25:$A$30)</f>
        <v>23.124360284486585</v>
      </c>
      <c r="F55" s="262">
        <f t="array" ref="F55">SUMIF($B$7:$B$20,$B55,F$7:F$20)+SUMPRODUCT(F$25:F$30*($B$25:$B$30=$B55)*$A$25:$A$30)</f>
        <v>23.012699477935215</v>
      </c>
      <c r="G55" s="262">
        <f t="array" ref="G55">SUMIF($B$7:$B$20,$B55,G$7:G$20)+SUMPRODUCT(G$25:G$30*($B$25:$B$30=$B55)*$A$25:$A$30)</f>
        <v>23.316305548084053</v>
      </c>
      <c r="H55" s="262">
        <f t="array" ref="H55">SUMIF($B$7:$B$20,$B55,H$7:H$20)+SUMPRODUCT(H$25:H$30*($B$25:$B$30=$B55)*$A$25:$A$30)</f>
        <v>23.571636315426964</v>
      </c>
      <c r="I55" s="253">
        <f t="shared" ref="I55" si="11">SUM(D55:H55)</f>
        <v>114.15903724733892</v>
      </c>
      <c r="N55" s="265" t="s">
        <v>1062</v>
      </c>
      <c r="O55" s="265" t="s">
        <v>1062</v>
      </c>
      <c r="P55" s="266" t="s">
        <v>28</v>
      </c>
      <c r="Q55" s="262">
        <f>SUMIF($O$7:$O$20,$O55,Q$7:Q$20)-SUMIF($O$25:$O$30,$O55,Q$25:Q$30)</f>
        <v>21.645520856871723</v>
      </c>
      <c r="R55" s="262">
        <f>SUMIF($O$7:$O$20,$O55,R$7:R$20)-SUMIF($O$25:$O$30,$O55,R$25:R$30)</f>
        <v>23.514268428948974</v>
      </c>
      <c r="S55" s="262">
        <f>SUMIF($O$7:$O$20,$O55,S$7:S$20)-SUMIF($O$25:$O$30,$O55,S$25:S$30)</f>
        <v>23.397081358364375</v>
      </c>
      <c r="T55" s="262">
        <f>SUMIF($O$7:$O$20,$O55,T$7:T$20)-SUMIF($O$25:$O$30,$O55,T$25:T$30)</f>
        <v>23.693367386667099</v>
      </c>
      <c r="U55" s="262">
        <f>SUMIF($O$7:$O$20,$O55,U$7:U$20)-SUMIF($O$25:$O$30,$O55,U$25:U$30)</f>
        <v>23.931300656659197</v>
      </c>
      <c r="V55" s="253">
        <f t="shared" ref="V55" si="12">SUM(Q55:U55)</f>
        <v>116.18153868751136</v>
      </c>
    </row>
    <row r="56" spans="1:23" x14ac:dyDescent="0.3">
      <c r="C56" s="241"/>
      <c r="I56" s="241"/>
    </row>
    <row r="57" spans="1:23" x14ac:dyDescent="0.3">
      <c r="C57" s="241"/>
      <c r="I57" s="241"/>
    </row>
    <row r="58" spans="1:23" x14ac:dyDescent="0.3">
      <c r="C58" s="241"/>
      <c r="I58" s="241"/>
    </row>
    <row r="59" spans="1:23" x14ac:dyDescent="0.3">
      <c r="A59" s="247" t="s">
        <v>1082</v>
      </c>
      <c r="B59" s="248"/>
      <c r="C59" s="249"/>
      <c r="D59" s="248"/>
      <c r="E59" s="248"/>
      <c r="F59" s="248"/>
      <c r="G59" s="248"/>
      <c r="H59" s="248"/>
      <c r="I59" s="250"/>
      <c r="J59" s="248"/>
      <c r="K59" s="248"/>
      <c r="L59" s="248"/>
      <c r="M59" s="248"/>
      <c r="N59" s="248"/>
      <c r="O59" s="248"/>
      <c r="P59" s="249"/>
      <c r="Q59" s="248"/>
      <c r="R59" s="248"/>
      <c r="S59" s="248"/>
      <c r="T59" s="248"/>
      <c r="U59" s="248"/>
      <c r="V59" s="250"/>
    </row>
    <row r="60" spans="1:23" x14ac:dyDescent="0.3">
      <c r="B60" s="265" t="s">
        <v>1063</v>
      </c>
      <c r="C60" s="266" t="s">
        <v>1045</v>
      </c>
      <c r="D60" s="262">
        <f t="shared" ref="D60:H66" si="13">SUMIF($A$40:$A$55,$B60,D$40:D$55)</f>
        <v>67.486620482420889</v>
      </c>
      <c r="E60" s="262">
        <f t="shared" si="13"/>
        <v>69.499053873491221</v>
      </c>
      <c r="F60" s="262">
        <f t="shared" si="13"/>
        <v>70.455116045862241</v>
      </c>
      <c r="G60" s="262">
        <f t="shared" si="13"/>
        <v>70.721788981706865</v>
      </c>
      <c r="H60" s="262">
        <f t="shared" si="13"/>
        <v>66.266332987972007</v>
      </c>
      <c r="I60" s="253">
        <f t="shared" ref="I60:I73" si="14">SUM(D60:H60)</f>
        <v>344.42891237145324</v>
      </c>
      <c r="O60" s="265" t="s">
        <v>1063</v>
      </c>
      <c r="P60" s="266" t="s">
        <v>1045</v>
      </c>
      <c r="Q60" s="262">
        <f t="shared" ref="Q60:U66" si="15">SUMIF($N$40:$N$55,$O60,Q$40:Q$55)</f>
        <v>63.414405730410564</v>
      </c>
      <c r="R60" s="262">
        <f t="shared" si="15"/>
        <v>64.840294401500657</v>
      </c>
      <c r="S60" s="262">
        <f t="shared" si="15"/>
        <v>65.121718079340241</v>
      </c>
      <c r="T60" s="262">
        <f t="shared" si="15"/>
        <v>64.612004028512672</v>
      </c>
      <c r="U60" s="262">
        <f t="shared" si="15"/>
        <v>59.332705068333084</v>
      </c>
      <c r="V60" s="253">
        <f t="shared" ref="V60:V73" si="16">SUM(Q60:U60)</f>
        <v>317.32112730809723</v>
      </c>
    </row>
    <row r="61" spans="1:23" x14ac:dyDescent="0.3">
      <c r="B61" s="265" t="s">
        <v>1073</v>
      </c>
      <c r="C61" s="266" t="s">
        <v>1046</v>
      </c>
      <c r="D61" s="262">
        <f t="shared" si="13"/>
        <v>7.8022130592569905</v>
      </c>
      <c r="E61" s="262">
        <f t="shared" si="13"/>
        <v>10.924971786931224</v>
      </c>
      <c r="F61" s="262">
        <f t="shared" si="13"/>
        <v>9.764049443307389</v>
      </c>
      <c r="G61" s="262">
        <f t="shared" si="13"/>
        <v>5.5593538353751342</v>
      </c>
      <c r="H61" s="262">
        <f t="shared" si="13"/>
        <v>5.6198981319204755</v>
      </c>
      <c r="I61" s="253">
        <f t="shared" si="14"/>
        <v>39.670486256791222</v>
      </c>
      <c r="O61" s="265" t="s">
        <v>1073</v>
      </c>
      <c r="P61" s="266" t="s">
        <v>1046</v>
      </c>
      <c r="Q61" s="262">
        <f t="shared" si="15"/>
        <v>7.8498637586767765</v>
      </c>
      <c r="R61" s="262">
        <f t="shared" si="15"/>
        <v>10.993375541996176</v>
      </c>
      <c r="S61" s="262">
        <f t="shared" si="15"/>
        <v>9.8250324013247656</v>
      </c>
      <c r="T61" s="262">
        <f t="shared" si="15"/>
        <v>5.6062003754841445</v>
      </c>
      <c r="U61" s="262">
        <f t="shared" si="15"/>
        <v>5.6504325621090414</v>
      </c>
      <c r="V61" s="253">
        <f t="shared" si="16"/>
        <v>39.924904639590899</v>
      </c>
    </row>
    <row r="62" spans="1:23" x14ac:dyDescent="0.3">
      <c r="B62" s="265" t="s">
        <v>1047</v>
      </c>
      <c r="C62" s="266" t="s">
        <v>1047</v>
      </c>
      <c r="D62" s="262">
        <f t="shared" si="13"/>
        <v>21.1597336974664</v>
      </c>
      <c r="E62" s="262">
        <f t="shared" si="13"/>
        <v>20.982098746323445</v>
      </c>
      <c r="F62" s="262">
        <f t="shared" si="13"/>
        <v>17.644862368559068</v>
      </c>
      <c r="G62" s="262">
        <f t="shared" si="13"/>
        <v>17.770009353233171</v>
      </c>
      <c r="H62" s="262">
        <f t="shared" si="13"/>
        <v>18.544712866801952</v>
      </c>
      <c r="I62" s="253">
        <f t="shared" si="14"/>
        <v>96.101417032384035</v>
      </c>
      <c r="O62" s="265" t="s">
        <v>1047</v>
      </c>
      <c r="P62" s="266" t="s">
        <v>1047</v>
      </c>
      <c r="Q62" s="262">
        <f t="shared" si="15"/>
        <v>19.696400478404477</v>
      </c>
      <c r="R62" s="262">
        <f t="shared" si="15"/>
        <v>19.490363294436623</v>
      </c>
      <c r="S62" s="262">
        <f t="shared" si="15"/>
        <v>16.914358271145364</v>
      </c>
      <c r="T62" s="262">
        <f t="shared" si="15"/>
        <v>16.918701271689006</v>
      </c>
      <c r="U62" s="262">
        <f t="shared" si="15"/>
        <v>17.218363894340406</v>
      </c>
      <c r="V62" s="253">
        <f t="shared" si="16"/>
        <v>90.238187210015866</v>
      </c>
    </row>
    <row r="63" spans="1:23" x14ac:dyDescent="0.3">
      <c r="B63" s="265" t="s">
        <v>1048</v>
      </c>
      <c r="C63" s="266" t="s">
        <v>1048</v>
      </c>
      <c r="D63" s="262">
        <f t="shared" si="13"/>
        <v>51.230586514077018</v>
      </c>
      <c r="E63" s="262">
        <f t="shared" si="13"/>
        <v>58.279797929404886</v>
      </c>
      <c r="F63" s="262">
        <f t="shared" si="13"/>
        <v>58.881330126093765</v>
      </c>
      <c r="G63" s="262">
        <f t="shared" si="13"/>
        <v>58.864705002394892</v>
      </c>
      <c r="H63" s="262">
        <f t="shared" si="13"/>
        <v>58.775796084042838</v>
      </c>
      <c r="I63" s="253">
        <f t="shared" si="14"/>
        <v>286.03221565601336</v>
      </c>
      <c r="O63" s="265" t="s">
        <v>1048</v>
      </c>
      <c r="P63" s="266" t="s">
        <v>1048</v>
      </c>
      <c r="Q63" s="262">
        <f t="shared" si="15"/>
        <v>52.287807110607453</v>
      </c>
      <c r="R63" s="262">
        <f t="shared" si="15"/>
        <v>58.554713394961198</v>
      </c>
      <c r="S63" s="262">
        <f t="shared" si="15"/>
        <v>59.144281291822274</v>
      </c>
      <c r="T63" s="262">
        <f t="shared" si="15"/>
        <v>59.042391875047159</v>
      </c>
      <c r="U63" s="262">
        <f t="shared" si="15"/>
        <v>58.838838556860836</v>
      </c>
      <c r="V63" s="253">
        <f t="shared" si="16"/>
        <v>287.86803222929888</v>
      </c>
    </row>
    <row r="64" spans="1:23" x14ac:dyDescent="0.3">
      <c r="B64" s="265" t="s">
        <v>1064</v>
      </c>
      <c r="C64" s="266" t="s">
        <v>1049</v>
      </c>
      <c r="D64" s="262">
        <f t="shared" si="13"/>
        <v>50.295649224417865</v>
      </c>
      <c r="E64" s="262">
        <f t="shared" si="13"/>
        <v>30.576743167584599</v>
      </c>
      <c r="F64" s="262">
        <f t="shared" si="13"/>
        <v>30.469343911051936</v>
      </c>
      <c r="G64" s="262">
        <f t="shared" si="13"/>
        <v>31.775907204752102</v>
      </c>
      <c r="H64" s="262">
        <f t="shared" si="13"/>
        <v>21.100528212574591</v>
      </c>
      <c r="I64" s="253">
        <f t="shared" si="14"/>
        <v>164.21817172038112</v>
      </c>
      <c r="O64" s="265" t="s">
        <v>1064</v>
      </c>
      <c r="P64" s="266" t="s">
        <v>1049</v>
      </c>
      <c r="Q64" s="262">
        <f t="shared" si="15"/>
        <v>50.359460514373282</v>
      </c>
      <c r="R64" s="262">
        <f t="shared" si="15"/>
        <v>30.64425762893034</v>
      </c>
      <c r="S64" s="262">
        <f t="shared" si="15"/>
        <v>30.529573842621552</v>
      </c>
      <c r="T64" s="262">
        <f t="shared" si="15"/>
        <v>31.792261657706199</v>
      </c>
      <c r="U64" s="262">
        <f t="shared" si="15"/>
        <v>21.069008672194244</v>
      </c>
      <c r="V64" s="253">
        <f t="shared" si="16"/>
        <v>164.39456231582562</v>
      </c>
    </row>
    <row r="65" spans="1:23" x14ac:dyDescent="0.3">
      <c r="B65" s="265" t="s">
        <v>1080</v>
      </c>
      <c r="C65" s="266" t="s">
        <v>1050</v>
      </c>
      <c r="D65" s="262">
        <f t="shared" si="13"/>
        <v>43.67970622479146</v>
      </c>
      <c r="E65" s="262">
        <f t="shared" si="13"/>
        <v>15.359183288856579</v>
      </c>
      <c r="F65" s="262">
        <f t="shared" si="13"/>
        <v>3.3594601308123573</v>
      </c>
      <c r="G65" s="262">
        <f t="shared" si="13"/>
        <v>8.4079193927618761</v>
      </c>
      <c r="H65" s="262">
        <f t="shared" si="13"/>
        <v>11.45620044647865</v>
      </c>
      <c r="I65" s="253">
        <f t="shared" si="14"/>
        <v>82.262469483700926</v>
      </c>
      <c r="O65" s="265" t="s">
        <v>1080</v>
      </c>
      <c r="P65" s="266" t="s">
        <v>1050</v>
      </c>
      <c r="Q65" s="262">
        <f t="shared" si="15"/>
        <v>43.680281464648743</v>
      </c>
      <c r="R65" s="262">
        <f t="shared" si="15"/>
        <v>15.359536287824614</v>
      </c>
      <c r="S65" s="262">
        <f t="shared" si="15"/>
        <v>3.3595295042642315</v>
      </c>
      <c r="T65" s="262">
        <f t="shared" si="15"/>
        <v>8.4075915724454724</v>
      </c>
      <c r="U65" s="262">
        <f t="shared" si="15"/>
        <v>11.45601935984206</v>
      </c>
      <c r="V65" s="253">
        <f t="shared" si="16"/>
        <v>82.262958189025113</v>
      </c>
    </row>
    <row r="66" spans="1:23" x14ac:dyDescent="0.3">
      <c r="B66" s="265" t="s">
        <v>1068</v>
      </c>
      <c r="C66" s="266" t="s">
        <v>1040</v>
      </c>
      <c r="D66" s="262">
        <f t="shared" si="13"/>
        <v>21.254664827973897</v>
      </c>
      <c r="E66" s="262">
        <f t="shared" si="13"/>
        <v>21.391799286425254</v>
      </c>
      <c r="F66" s="262">
        <f t="shared" si="13"/>
        <v>21.580797076008423</v>
      </c>
      <c r="G66" s="262">
        <f t="shared" si="13"/>
        <v>21.811598695366541</v>
      </c>
      <c r="H66" s="262">
        <f t="shared" si="13"/>
        <v>22.081359453922289</v>
      </c>
      <c r="I66" s="253">
        <f t="shared" si="14"/>
        <v>108.1202193396964</v>
      </c>
      <c r="O66" s="265" t="s">
        <v>1068</v>
      </c>
      <c r="P66" s="266" t="s">
        <v>1040</v>
      </c>
      <c r="Q66" s="262">
        <f t="shared" si="15"/>
        <v>18.94994359716614</v>
      </c>
      <c r="R66" s="262">
        <f t="shared" si="15"/>
        <v>19.317291419050918</v>
      </c>
      <c r="S66" s="262">
        <f t="shared" si="15"/>
        <v>19.401317670618255</v>
      </c>
      <c r="T66" s="262">
        <f t="shared" si="15"/>
        <v>19.54050381204118</v>
      </c>
      <c r="U66" s="262">
        <f t="shared" si="15"/>
        <v>19.531254432479557</v>
      </c>
      <c r="V66" s="253">
        <f t="shared" si="16"/>
        <v>96.740310931356049</v>
      </c>
    </row>
    <row r="67" spans="1:23" x14ac:dyDescent="0.3">
      <c r="B67" s="265" t="s">
        <v>1069</v>
      </c>
      <c r="C67" s="272" t="s">
        <v>1042</v>
      </c>
      <c r="D67" s="273">
        <f>SUM(D60:D66)</f>
        <v>262.90917403040453</v>
      </c>
      <c r="E67" s="273">
        <f>SUM(E60:E66)</f>
        <v>227.0136480790172</v>
      </c>
      <c r="F67" s="273">
        <f>SUM(F60:F66)</f>
        <v>212.15495910169517</v>
      </c>
      <c r="G67" s="273">
        <f>SUM(G60:G66)</f>
        <v>214.91128246559057</v>
      </c>
      <c r="H67" s="273">
        <f>SUM(H60:H66)</f>
        <v>203.84482818371282</v>
      </c>
      <c r="I67" s="273">
        <f t="shared" si="14"/>
        <v>1120.8338918604204</v>
      </c>
      <c r="J67" s="241" t="b">
        <f>I67=I15</f>
        <v>1</v>
      </c>
      <c r="O67" s="265" t="s">
        <v>1069</v>
      </c>
      <c r="P67" s="272" t="s">
        <v>1042</v>
      </c>
      <c r="Q67" s="273">
        <f>SUM(Q60:Q66)</f>
        <v>256.23816265428741</v>
      </c>
      <c r="R67" s="273">
        <f>SUM(R60:R66)</f>
        <v>219.19983196870055</v>
      </c>
      <c r="S67" s="273">
        <f>SUM(S60:S66)</f>
        <v>204.29581106113667</v>
      </c>
      <c r="T67" s="273">
        <f>SUM(T60:T66)</f>
        <v>205.91965459292587</v>
      </c>
      <c r="U67" s="273">
        <f>SUM(U60:U66)</f>
        <v>193.09662254615921</v>
      </c>
      <c r="V67" s="273">
        <f t="shared" si="16"/>
        <v>1078.7500828232096</v>
      </c>
      <c r="W67" s="241" t="b">
        <f>V67=V15</f>
        <v>1</v>
      </c>
    </row>
    <row r="68" spans="1:23" x14ac:dyDescent="0.3">
      <c r="B68" s="265"/>
      <c r="C68" s="267"/>
      <c r="D68" s="253"/>
      <c r="E68" s="253"/>
      <c r="F68" s="253"/>
      <c r="G68" s="253"/>
      <c r="H68" s="253"/>
      <c r="I68" s="253"/>
      <c r="O68" s="265"/>
      <c r="P68" s="267"/>
      <c r="Q68" s="253"/>
      <c r="R68" s="253"/>
      <c r="S68" s="253"/>
      <c r="T68" s="253"/>
      <c r="U68" s="253"/>
      <c r="V68" s="253"/>
    </row>
    <row r="69" spans="1:23" x14ac:dyDescent="0.3">
      <c r="B69" s="265" t="s">
        <v>1070</v>
      </c>
      <c r="C69" s="266" t="s">
        <v>1051</v>
      </c>
      <c r="D69" s="262">
        <f t="shared" ref="D69:H70" si="17">SUMIF($A$40:$A$55,$B69,D$40:D$55)</f>
        <v>-30.096550892670905</v>
      </c>
      <c r="E69" s="262">
        <f t="shared" si="17"/>
        <v>-35.155437644918301</v>
      </c>
      <c r="F69" s="262">
        <f t="shared" si="17"/>
        <v>-35.86863064815855</v>
      </c>
      <c r="G69" s="262">
        <f t="shared" si="17"/>
        <v>-35.548399454310839</v>
      </c>
      <c r="H69" s="262">
        <f t="shared" si="17"/>
        <v>-35.204159768615874</v>
      </c>
      <c r="I69" s="262">
        <f t="shared" si="14"/>
        <v>-171.87317840867448</v>
      </c>
      <c r="O69" s="265" t="s">
        <v>1070</v>
      </c>
      <c r="P69" s="266" t="s">
        <v>1051</v>
      </c>
      <c r="Q69" s="262">
        <f t="shared" ref="Q69:U70" si="18">SUMIF($N$40:$N$55,$O69,Q$40:Q$55)</f>
        <v>-30.64228625373573</v>
      </c>
      <c r="R69" s="262">
        <f t="shared" si="18"/>
        <v>-35.040444966012224</v>
      </c>
      <c r="S69" s="262">
        <f t="shared" si="18"/>
        <v>-35.7471999334579</v>
      </c>
      <c r="T69" s="262">
        <f t="shared" si="18"/>
        <v>-35.34902448838006</v>
      </c>
      <c r="U69" s="262">
        <f t="shared" si="18"/>
        <v>-34.907537900201639</v>
      </c>
      <c r="V69" s="262">
        <f t="shared" si="16"/>
        <v>-171.68649354178754</v>
      </c>
    </row>
    <row r="70" spans="1:23" x14ac:dyDescent="0.3">
      <c r="B70" s="265" t="s">
        <v>1071</v>
      </c>
      <c r="C70" s="266" t="s">
        <v>1052</v>
      </c>
      <c r="D70" s="262">
        <f t="shared" si="17"/>
        <v>-0.87702162884397683</v>
      </c>
      <c r="E70" s="262">
        <f t="shared" si="17"/>
        <v>-0.87702162884397683</v>
      </c>
      <c r="F70" s="262">
        <f t="shared" si="17"/>
        <v>-0.87702162884397683</v>
      </c>
      <c r="G70" s="262">
        <f t="shared" si="17"/>
        <v>-0.87702162884397683</v>
      </c>
      <c r="H70" s="262">
        <f t="shared" si="17"/>
        <v>-0.87702162884397683</v>
      </c>
      <c r="I70" s="262">
        <f t="shared" si="14"/>
        <v>-4.3851081442198838</v>
      </c>
      <c r="O70" s="265" t="s">
        <v>1071</v>
      </c>
      <c r="P70" s="266" t="s">
        <v>1052</v>
      </c>
      <c r="Q70" s="262">
        <f t="shared" si="18"/>
        <v>-0.87702162884397683</v>
      </c>
      <c r="R70" s="262">
        <f t="shared" si="18"/>
        <v>-0.87702162884397683</v>
      </c>
      <c r="S70" s="262">
        <f t="shared" si="18"/>
        <v>-0.87702162884397683</v>
      </c>
      <c r="T70" s="262">
        <f t="shared" si="18"/>
        <v>-0.87702162884397683</v>
      </c>
      <c r="U70" s="262">
        <f t="shared" si="18"/>
        <v>-0.87702162884397683</v>
      </c>
      <c r="V70" s="262">
        <f t="shared" si="16"/>
        <v>-4.3851081442198838</v>
      </c>
    </row>
    <row r="71" spans="1:23" x14ac:dyDescent="0.3">
      <c r="B71" s="265" t="s">
        <v>1072</v>
      </c>
      <c r="C71" s="272" t="s">
        <v>1043</v>
      </c>
      <c r="D71" s="273">
        <f>SUM(D67:D70)</f>
        <v>231.93560150888965</v>
      </c>
      <c r="E71" s="273">
        <f>SUM(E67:E70)</f>
        <v>190.98118880525493</v>
      </c>
      <c r="F71" s="273">
        <f>SUM(F67:F70)</f>
        <v>175.40930682469264</v>
      </c>
      <c r="G71" s="273">
        <f>SUM(G67:G70)</f>
        <v>178.48586138243576</v>
      </c>
      <c r="H71" s="273">
        <f>SUM(H67:H70)</f>
        <v>167.76364678625296</v>
      </c>
      <c r="I71" s="273">
        <f t="shared" si="14"/>
        <v>944.57560530752596</v>
      </c>
      <c r="J71" s="241" t="b">
        <f>I71=I19</f>
        <v>1</v>
      </c>
      <c r="O71" s="265" t="s">
        <v>1072</v>
      </c>
      <c r="P71" s="272" t="s">
        <v>1043</v>
      </c>
      <c r="Q71" s="273">
        <f>SUM(Q67:Q70)</f>
        <v>224.7188547717077</v>
      </c>
      <c r="R71" s="273">
        <f>SUM(R67:R70)</f>
        <v>183.28236537384436</v>
      </c>
      <c r="S71" s="273">
        <f>SUM(S67:S70)</f>
        <v>167.67158949883481</v>
      </c>
      <c r="T71" s="273">
        <f>SUM(T67:T70)</f>
        <v>169.69360847570184</v>
      </c>
      <c r="U71" s="273">
        <f>SUM(U67:U70)</f>
        <v>157.31206301711359</v>
      </c>
      <c r="V71" s="273">
        <f t="shared" si="16"/>
        <v>902.67848113720231</v>
      </c>
      <c r="W71" s="241" t="b">
        <f>V71=V19</f>
        <v>1</v>
      </c>
    </row>
    <row r="72" spans="1:23" x14ac:dyDescent="0.3">
      <c r="B72" s="265"/>
      <c r="C72" s="267"/>
      <c r="D72" s="253"/>
      <c r="E72" s="253"/>
      <c r="F72" s="253"/>
      <c r="G72" s="253"/>
      <c r="H72" s="253"/>
      <c r="I72" s="253"/>
      <c r="O72" s="265"/>
      <c r="P72" s="267"/>
      <c r="Q72" s="253"/>
      <c r="R72" s="253"/>
      <c r="S72" s="253"/>
      <c r="T72" s="253"/>
      <c r="U72" s="253"/>
      <c r="V72" s="253"/>
    </row>
    <row r="73" spans="1:23" x14ac:dyDescent="0.3">
      <c r="B73" s="265" t="s">
        <v>1062</v>
      </c>
      <c r="C73" s="266" t="s">
        <v>1044</v>
      </c>
      <c r="D73" s="262">
        <f>SUMIF($A$40:$A$55,$B73,D$40:D$55)</f>
        <v>21.134035621406113</v>
      </c>
      <c r="E73" s="262">
        <f>SUMIF($A$40:$A$55,$B73,E$40:E$55)</f>
        <v>23.124360284486585</v>
      </c>
      <c r="F73" s="262">
        <f>SUMIF($A$40:$A$55,$B73,F$40:F$55)</f>
        <v>23.012699477935215</v>
      </c>
      <c r="G73" s="262">
        <f>SUMIF($A$40:$A$55,$B73,G$40:G$55)</f>
        <v>23.316305548084053</v>
      </c>
      <c r="H73" s="262">
        <f>SUMIF($A$40:$A$55,$B73,H$40:H$55)</f>
        <v>23.571636315426964</v>
      </c>
      <c r="I73" s="262">
        <f t="shared" si="14"/>
        <v>114.15903724733892</v>
      </c>
      <c r="O73" s="265" t="s">
        <v>1062</v>
      </c>
      <c r="P73" s="266" t="s">
        <v>1044</v>
      </c>
      <c r="Q73" s="262">
        <f>SUMIF($N$40:$N$55,$O73,Q$40:Q$55)</f>
        <v>21.645520856871723</v>
      </c>
      <c r="R73" s="262">
        <f>SUMIF($N$40:$N$55,$O73,R$40:R$55)</f>
        <v>23.514268428948974</v>
      </c>
      <c r="S73" s="262">
        <f>SUMIF($N$40:$N$55,$O73,S$40:S$55)</f>
        <v>23.397081358364375</v>
      </c>
      <c r="T73" s="262">
        <f>SUMIF($N$40:$N$55,$O73,T$40:T$55)</f>
        <v>23.693367386667099</v>
      </c>
      <c r="U73" s="262">
        <f>SUMIF($N$40:$N$55,$O73,U$40:U$55)</f>
        <v>23.931300656659197</v>
      </c>
      <c r="V73" s="262">
        <f t="shared" si="16"/>
        <v>116.18153868751136</v>
      </c>
    </row>
    <row r="77" spans="1:23" x14ac:dyDescent="0.3">
      <c r="A77" s="247" t="s">
        <v>1083</v>
      </c>
      <c r="B77" s="248"/>
      <c r="C77" s="249"/>
      <c r="D77" s="248"/>
      <c r="E77" s="248"/>
      <c r="F77" s="248"/>
      <c r="G77" s="248"/>
      <c r="H77" s="248"/>
      <c r="I77" s="250"/>
      <c r="J77" s="248"/>
      <c r="K77" s="248"/>
      <c r="L77" s="248"/>
      <c r="M77" s="248"/>
      <c r="N77" s="248"/>
      <c r="O77" s="248"/>
      <c r="P77" s="249"/>
      <c r="Q77" s="248"/>
      <c r="R77" s="248"/>
      <c r="S77" s="248"/>
      <c r="T77" s="248"/>
      <c r="U77" s="248"/>
      <c r="V77" s="250"/>
    </row>
    <row r="78" spans="1:23" x14ac:dyDescent="0.3">
      <c r="B78" s="265" t="s">
        <v>1063</v>
      </c>
      <c r="C78" s="266" t="s">
        <v>1045</v>
      </c>
      <c r="D78" s="262">
        <f t="shared" ref="D78:H83" si="19">SUMIF($A$7:$A$20,$B78,D$7:D$20)</f>
        <v>67.486620482420889</v>
      </c>
      <c r="E78" s="262">
        <f t="shared" si="19"/>
        <v>69.499053873491221</v>
      </c>
      <c r="F78" s="262">
        <f t="shared" si="19"/>
        <v>70.455116045862241</v>
      </c>
      <c r="G78" s="262">
        <f t="shared" si="19"/>
        <v>70.721788981706865</v>
      </c>
      <c r="H78" s="262">
        <f t="shared" si="19"/>
        <v>66.266332987972007</v>
      </c>
      <c r="I78" s="253">
        <f t="shared" ref="I78:I84" si="20">SUM(D78:H78)</f>
        <v>344.42891237145324</v>
      </c>
      <c r="O78" s="265" t="s">
        <v>1063</v>
      </c>
      <c r="P78" s="266" t="s">
        <v>1045</v>
      </c>
      <c r="Q78" s="262">
        <f t="shared" ref="Q78:U83" si="21">SUMIF($N$7:$N$20,$O78,Q$7:Q$20)</f>
        <v>63.414405730410564</v>
      </c>
      <c r="R78" s="262">
        <f t="shared" si="21"/>
        <v>64.840294401500657</v>
      </c>
      <c r="S78" s="262">
        <f t="shared" si="21"/>
        <v>65.121718079340241</v>
      </c>
      <c r="T78" s="262">
        <f t="shared" si="21"/>
        <v>64.612004028512672</v>
      </c>
      <c r="U78" s="262">
        <f t="shared" si="21"/>
        <v>59.332705068333084</v>
      </c>
      <c r="V78" s="253">
        <f t="shared" ref="V78:V84" si="22">SUM(Q78:U78)</f>
        <v>317.32112730809723</v>
      </c>
    </row>
    <row r="79" spans="1:23" x14ac:dyDescent="0.3">
      <c r="B79" s="265" t="s">
        <v>1047</v>
      </c>
      <c r="C79" s="266" t="s">
        <v>1047</v>
      </c>
      <c r="D79" s="262">
        <f t="shared" si="19"/>
        <v>24.833649463095554</v>
      </c>
      <c r="E79" s="262">
        <f t="shared" si="19"/>
        <v>25.309799268574036</v>
      </c>
      <c r="F79" s="262">
        <f t="shared" si="19"/>
        <v>21.714102311969302</v>
      </c>
      <c r="G79" s="262">
        <f t="shared" si="19"/>
        <v>22.035753563768175</v>
      </c>
      <c r="H79" s="262">
        <f t="shared" si="19"/>
        <v>22.286693015179839</v>
      </c>
      <c r="I79" s="253">
        <f t="shared" si="20"/>
        <v>116.1799976225869</v>
      </c>
      <c r="O79" s="265" t="s">
        <v>1047</v>
      </c>
      <c r="P79" s="266" t="s">
        <v>1047</v>
      </c>
      <c r="Q79" s="262">
        <f t="shared" si="21"/>
        <v>23.412729274197964</v>
      </c>
      <c r="R79" s="262">
        <f t="shared" si="21"/>
        <v>23.871900578356389</v>
      </c>
      <c r="S79" s="262">
        <f t="shared" si="21"/>
        <v>21.033324022189888</v>
      </c>
      <c r="T79" s="262">
        <f t="shared" si="21"/>
        <v>21.230626226149326</v>
      </c>
      <c r="U79" s="262">
        <f t="shared" si="21"/>
        <v>20.993683668640205</v>
      </c>
      <c r="V79" s="253">
        <f t="shared" si="22"/>
        <v>110.54226376953376</v>
      </c>
    </row>
    <row r="80" spans="1:23" x14ac:dyDescent="0.3">
      <c r="B80" s="265" t="s">
        <v>1062</v>
      </c>
      <c r="C80" s="266" t="s">
        <v>1044</v>
      </c>
      <c r="D80" s="262">
        <f t="shared" si="19"/>
        <v>21.134035621406113</v>
      </c>
      <c r="E80" s="262">
        <f t="shared" si="19"/>
        <v>23.124360284486585</v>
      </c>
      <c r="F80" s="262">
        <f t="shared" si="19"/>
        <v>23.012699477935215</v>
      </c>
      <c r="G80" s="262">
        <f t="shared" si="19"/>
        <v>23.316305548084053</v>
      </c>
      <c r="H80" s="262">
        <f t="shared" si="19"/>
        <v>23.571636315426964</v>
      </c>
      <c r="I80" s="253">
        <f t="shared" si="20"/>
        <v>114.15903724733892</v>
      </c>
      <c r="O80" s="265" t="s">
        <v>1062</v>
      </c>
      <c r="P80" s="266" t="s">
        <v>1044</v>
      </c>
      <c r="Q80" s="262">
        <f t="shared" si="21"/>
        <v>21.645520856871723</v>
      </c>
      <c r="R80" s="262">
        <f t="shared" si="21"/>
        <v>23.514268428948974</v>
      </c>
      <c r="S80" s="262">
        <f t="shared" si="21"/>
        <v>23.397081358364375</v>
      </c>
      <c r="T80" s="262">
        <f t="shared" si="21"/>
        <v>23.693367386667099</v>
      </c>
      <c r="U80" s="262">
        <f t="shared" si="21"/>
        <v>23.931300656659197</v>
      </c>
      <c r="V80" s="253">
        <f t="shared" si="22"/>
        <v>116.18153868751136</v>
      </c>
    </row>
    <row r="81" spans="2:36" x14ac:dyDescent="0.3">
      <c r="B81" s="265" t="s">
        <v>1064</v>
      </c>
      <c r="C81" s="266" t="s">
        <v>1049</v>
      </c>
      <c r="D81" s="262">
        <f t="shared" si="19"/>
        <v>54.423946518045703</v>
      </c>
      <c r="E81" s="262">
        <f t="shared" si="19"/>
        <v>37.174014432265231</v>
      </c>
      <c r="F81" s="262">
        <f t="shared" si="19"/>
        <v>36.164153410949091</v>
      </c>
      <c r="G81" s="262">
        <f t="shared" si="19"/>
        <v>33.069516829592231</v>
      </c>
      <c r="H81" s="262">
        <f t="shared" si="19"/>
        <v>22.978446196117183</v>
      </c>
      <c r="I81" s="253">
        <f t="shared" si="20"/>
        <v>183.81007738696943</v>
      </c>
      <c r="O81" s="265" t="s">
        <v>1064</v>
      </c>
      <c r="P81" s="266" t="s">
        <v>1049</v>
      </c>
      <c r="Q81" s="262">
        <f t="shared" si="21"/>
        <v>54.492995477256571</v>
      </c>
      <c r="R81" s="262">
        <f t="shared" si="21"/>
        <v>37.256095887006751</v>
      </c>
      <c r="S81" s="262">
        <f t="shared" si="21"/>
        <v>36.235640492901794</v>
      </c>
      <c r="T81" s="262">
        <f t="shared" si="21"/>
        <v>33.086537078730025</v>
      </c>
      <c r="U81" s="262">
        <f t="shared" si="21"/>
        <v>22.944121460003487</v>
      </c>
      <c r="V81" s="253">
        <f t="shared" si="22"/>
        <v>184.01539039589863</v>
      </c>
    </row>
    <row r="82" spans="2:36" x14ac:dyDescent="0.3">
      <c r="B82" s="265" t="s">
        <v>1080</v>
      </c>
      <c r="C82" s="266" t="s">
        <v>1050</v>
      </c>
      <c r="D82" s="262">
        <f t="shared" si="19"/>
        <v>43.67970622479146</v>
      </c>
      <c r="E82" s="262">
        <f t="shared" si="19"/>
        <v>15.359183288856579</v>
      </c>
      <c r="F82" s="262">
        <f t="shared" si="19"/>
        <v>3.3594601308123573</v>
      </c>
      <c r="G82" s="262">
        <f t="shared" si="19"/>
        <v>8.4079193927618761</v>
      </c>
      <c r="H82" s="262">
        <f t="shared" si="19"/>
        <v>11.45620044647865</v>
      </c>
      <c r="I82" s="253">
        <f t="shared" si="20"/>
        <v>82.262469483700926</v>
      </c>
      <c r="O82" s="265" t="s">
        <v>1080</v>
      </c>
      <c r="P82" s="266" t="s">
        <v>1050</v>
      </c>
      <c r="Q82" s="262">
        <f t="shared" si="21"/>
        <v>43.680281464648743</v>
      </c>
      <c r="R82" s="262">
        <f t="shared" si="21"/>
        <v>15.359536287824614</v>
      </c>
      <c r="S82" s="262">
        <f t="shared" si="21"/>
        <v>3.3595295042642315</v>
      </c>
      <c r="T82" s="262">
        <f t="shared" si="21"/>
        <v>8.4075915724454724</v>
      </c>
      <c r="U82" s="262">
        <f t="shared" si="21"/>
        <v>11.45601935984206</v>
      </c>
      <c r="V82" s="253">
        <f t="shared" si="22"/>
        <v>82.262958189025113</v>
      </c>
    </row>
    <row r="83" spans="2:36" x14ac:dyDescent="0.3">
      <c r="B83" s="265" t="s">
        <v>1068</v>
      </c>
      <c r="C83" s="266" t="s">
        <v>1040</v>
      </c>
      <c r="D83" s="262">
        <f t="shared" si="19"/>
        <v>21.254664827973897</v>
      </c>
      <c r="E83" s="262">
        <f t="shared" si="19"/>
        <v>21.391799286425254</v>
      </c>
      <c r="F83" s="262">
        <f t="shared" si="19"/>
        <v>21.580797076008423</v>
      </c>
      <c r="G83" s="262">
        <f t="shared" si="19"/>
        <v>21.811598695366541</v>
      </c>
      <c r="H83" s="262">
        <f t="shared" si="19"/>
        <v>22.081359453922289</v>
      </c>
      <c r="I83" s="253">
        <f t="shared" si="20"/>
        <v>108.1202193396964</v>
      </c>
      <c r="O83" s="265" t="s">
        <v>1068</v>
      </c>
      <c r="P83" s="266" t="s">
        <v>1040</v>
      </c>
      <c r="Q83" s="262">
        <f t="shared" si="21"/>
        <v>18.94994359716614</v>
      </c>
      <c r="R83" s="262">
        <f t="shared" si="21"/>
        <v>19.317291419050918</v>
      </c>
      <c r="S83" s="262">
        <f t="shared" si="21"/>
        <v>19.401317670618255</v>
      </c>
      <c r="T83" s="262">
        <f t="shared" si="21"/>
        <v>19.54050381204118</v>
      </c>
      <c r="U83" s="262">
        <f t="shared" si="21"/>
        <v>19.531254432479557</v>
      </c>
      <c r="V83" s="253">
        <f t="shared" si="22"/>
        <v>96.740310931356049</v>
      </c>
    </row>
    <row r="84" spans="2:36" x14ac:dyDescent="0.3">
      <c r="B84" s="265" t="s">
        <v>1072</v>
      </c>
      <c r="C84" s="272" t="s">
        <v>1043</v>
      </c>
      <c r="D84" s="273">
        <f>SUM(D78:D83)</f>
        <v>232.81262313773362</v>
      </c>
      <c r="E84" s="273">
        <f>SUM(E78:E83)</f>
        <v>191.85821043409891</v>
      </c>
      <c r="F84" s="273">
        <f>SUM(F78:F83)</f>
        <v>176.28632845353661</v>
      </c>
      <c r="G84" s="273">
        <f>SUM(G78:G83)</f>
        <v>179.36288301127973</v>
      </c>
      <c r="H84" s="273">
        <f>SUM(H78:H83)</f>
        <v>168.64066841509691</v>
      </c>
      <c r="I84" s="273">
        <f t="shared" si="20"/>
        <v>948.96071345174585</v>
      </c>
      <c r="J84" s="241" t="b">
        <f>I84=SUM(I7:I14,I17)</f>
        <v>1</v>
      </c>
      <c r="O84" s="265" t="s">
        <v>1072</v>
      </c>
      <c r="P84" s="272" t="s">
        <v>1043</v>
      </c>
      <c r="Q84" s="273">
        <f>SUM(Q78:Q83)</f>
        <v>225.5958764005517</v>
      </c>
      <c r="R84" s="273">
        <f>SUM(R78:R83)</f>
        <v>184.15938700268831</v>
      </c>
      <c r="S84" s="273">
        <f>SUM(S78:S83)</f>
        <v>168.54861112767878</v>
      </c>
      <c r="T84" s="273">
        <f>SUM(T78:T83)</f>
        <v>170.57063010454578</v>
      </c>
      <c r="U84" s="273">
        <f>SUM(U78:U83)</f>
        <v>158.18908464595759</v>
      </c>
      <c r="V84" s="273">
        <f t="shared" si="22"/>
        <v>907.0635892814222</v>
      </c>
      <c r="W84" s="241" t="b">
        <f>V84=SUM(V7:V14,V17)</f>
        <v>1</v>
      </c>
    </row>
    <row r="85" spans="2:36" x14ac:dyDescent="0.3">
      <c r="V85" s="241">
        <f>V84+V18</f>
        <v>902.67848113720231</v>
      </c>
    </row>
    <row r="90" spans="2:36" x14ac:dyDescent="0.3">
      <c r="C90" s="241"/>
      <c r="I90" s="241"/>
    </row>
    <row r="91" spans="2:36" ht="13.5" x14ac:dyDescent="0.3">
      <c r="C91" s="241"/>
      <c r="I91" s="241"/>
      <c r="K91" s="261"/>
      <c r="L91" s="261"/>
      <c r="AI91"/>
      <c r="AJ91"/>
    </row>
    <row r="92" spans="2:36" ht="13.5" x14ac:dyDescent="0.3">
      <c r="C92" s="241"/>
      <c r="I92" s="241"/>
      <c r="K92" s="262"/>
      <c r="L92" s="263"/>
      <c r="W92" s="254"/>
      <c r="X92" s="254"/>
      <c r="AI92"/>
      <c r="AJ92"/>
    </row>
    <row r="93" spans="2:36" ht="13.5" x14ac:dyDescent="0.3">
      <c r="C93" s="241"/>
      <c r="I93" s="241"/>
      <c r="K93" s="262"/>
      <c r="L93" s="263"/>
      <c r="W93" s="254"/>
      <c r="X93" s="254"/>
      <c r="AI93"/>
      <c r="AJ93"/>
    </row>
    <row r="94" spans="2:36" ht="13.5" x14ac:dyDescent="0.3">
      <c r="C94" s="241"/>
      <c r="I94" s="241"/>
      <c r="K94" s="262"/>
      <c r="L94" s="263"/>
      <c r="W94" s="254"/>
      <c r="X94" s="254"/>
      <c r="AI94"/>
      <c r="AJ94"/>
    </row>
    <row r="95" spans="2:36" ht="13.5" x14ac:dyDescent="0.3">
      <c r="C95" s="241"/>
      <c r="I95" s="241"/>
      <c r="K95" s="262"/>
      <c r="L95" s="263"/>
      <c r="W95" s="254"/>
      <c r="X95" s="254"/>
      <c r="AI95"/>
      <c r="AJ95"/>
    </row>
    <row r="96" spans="2:36" ht="13.5" x14ac:dyDescent="0.3">
      <c r="C96" s="241"/>
      <c r="I96" s="241"/>
      <c r="K96" s="262"/>
      <c r="L96" s="263"/>
      <c r="AI96"/>
      <c r="AJ96"/>
    </row>
    <row r="97" spans="3:36" ht="13.5" x14ac:dyDescent="0.3">
      <c r="C97" s="241"/>
      <c r="I97" s="241"/>
      <c r="K97" s="262"/>
      <c r="L97" s="263"/>
      <c r="W97" s="254"/>
      <c r="X97" s="254"/>
      <c r="AI97"/>
      <c r="AJ97"/>
    </row>
    <row r="98" spans="3:36" ht="13.5" x14ac:dyDescent="0.3">
      <c r="C98" s="241"/>
      <c r="I98" s="241"/>
      <c r="K98" s="262"/>
      <c r="L98" s="263"/>
      <c r="AI98"/>
      <c r="AJ98"/>
    </row>
    <row r="99" spans="3:36" ht="13.5" x14ac:dyDescent="0.3">
      <c r="C99" s="241"/>
      <c r="I99" s="241"/>
      <c r="K99" s="262"/>
      <c r="L99" s="263"/>
      <c r="M99" s="263"/>
      <c r="AI99"/>
      <c r="AJ99"/>
    </row>
    <row r="100" spans="3:36" ht="13.5" x14ac:dyDescent="0.3">
      <c r="C100" s="241"/>
      <c r="I100" s="241"/>
      <c r="K100" s="262"/>
      <c r="L100" s="263"/>
      <c r="M100" s="263"/>
      <c r="AI100"/>
      <c r="AJ100"/>
    </row>
    <row r="101" spans="3:36" ht="13.5" x14ac:dyDescent="0.3">
      <c r="C101" s="241"/>
      <c r="I101" s="241"/>
      <c r="K101" s="262"/>
      <c r="L101" s="263"/>
      <c r="M101" s="263"/>
      <c r="AI101"/>
      <c r="AJ101"/>
    </row>
    <row r="102" spans="3:36" ht="13.5" x14ac:dyDescent="0.3">
      <c r="C102" s="241"/>
      <c r="I102" s="241"/>
      <c r="K102" s="262"/>
      <c r="L102" s="263"/>
      <c r="M102" s="264"/>
      <c r="Q102" s="255"/>
      <c r="R102" s="254"/>
      <c r="S102" s="254"/>
      <c r="T102" s="254"/>
      <c r="U102" s="254"/>
      <c r="AI102"/>
      <c r="AJ102"/>
    </row>
    <row r="103" spans="3:36" ht="13.5" x14ac:dyDescent="0.3">
      <c r="C103" s="241"/>
      <c r="I103" s="241"/>
      <c r="L103" s="263"/>
      <c r="AI103"/>
      <c r="AJ103"/>
    </row>
    <row r="104" spans="3:36" ht="13.5" x14ac:dyDescent="0.3">
      <c r="C104" s="241"/>
      <c r="I104" s="241"/>
      <c r="K104" s="262"/>
      <c r="L104" s="263"/>
      <c r="M104" s="253"/>
      <c r="AI104"/>
      <c r="AJ104"/>
    </row>
    <row r="105" spans="3:36" ht="13.5" x14ac:dyDescent="0.3">
      <c r="C105" s="241"/>
      <c r="I105" s="241"/>
      <c r="K105" s="262"/>
      <c r="L105" s="263"/>
      <c r="M105" s="262"/>
      <c r="AI105"/>
      <c r="AJ105"/>
    </row>
    <row r="106" spans="3:36" x14ac:dyDescent="0.3">
      <c r="C106" s="241"/>
      <c r="I106" s="241"/>
    </row>
    <row r="107" spans="3:36" x14ac:dyDescent="0.3">
      <c r="C107" s="241"/>
      <c r="I107" s="241"/>
    </row>
    <row r="108" spans="3:36" x14ac:dyDescent="0.3">
      <c r="C108" s="241"/>
      <c r="I108" s="241"/>
    </row>
    <row r="109" spans="3:36" x14ac:dyDescent="0.3">
      <c r="C109" s="241"/>
      <c r="I109" s="241"/>
    </row>
    <row r="110" spans="3:36" x14ac:dyDescent="0.3">
      <c r="C110" s="241"/>
      <c r="I110" s="241"/>
    </row>
    <row r="111" spans="3:36" x14ac:dyDescent="0.3">
      <c r="C111" s="241"/>
      <c r="I111" s="241"/>
    </row>
    <row r="112" spans="3:36" x14ac:dyDescent="0.3">
      <c r="C112" s="241"/>
      <c r="I112" s="241"/>
    </row>
    <row r="113" spans="3:24" x14ac:dyDescent="0.3">
      <c r="C113" s="241"/>
      <c r="I113" s="241"/>
    </row>
    <row r="114" spans="3:24" x14ac:dyDescent="0.3">
      <c r="C114" s="241"/>
      <c r="I114" s="241"/>
    </row>
    <row r="115" spans="3:24" x14ac:dyDescent="0.3">
      <c r="C115" s="241"/>
      <c r="I115" s="241"/>
    </row>
    <row r="118" spans="3:24" x14ac:dyDescent="0.3">
      <c r="C118" s="256"/>
      <c r="D118" s="257"/>
      <c r="E118" s="257"/>
      <c r="F118" s="257"/>
      <c r="G118" s="257"/>
      <c r="H118" s="257"/>
      <c r="I118" s="257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</row>
    <row r="119" spans="3:24" x14ac:dyDescent="0.3">
      <c r="D119" s="246"/>
      <c r="E119" s="246"/>
      <c r="F119" s="246"/>
      <c r="G119" s="246"/>
      <c r="H119" s="246"/>
      <c r="I119" s="257"/>
    </row>
    <row r="120" spans="3:24" x14ac:dyDescent="0.3">
      <c r="C120" s="241"/>
    </row>
    <row r="121" spans="3:24" x14ac:dyDescent="0.3">
      <c r="C121" s="241"/>
    </row>
    <row r="122" spans="3:24" x14ac:dyDescent="0.3">
      <c r="D122" s="258" t="str">
        <f>IFERROR(D53/#REF!-1,"")</f>
        <v/>
      </c>
      <c r="E122" s="258" t="str">
        <f>IFERROR(E53/#REF!-1,"")</f>
        <v/>
      </c>
      <c r="F122" s="258" t="str">
        <f>IFERROR(F53/#REF!-1,"")</f>
        <v/>
      </c>
      <c r="G122" s="258" t="str">
        <f>IFERROR(G53/#REF!-1,"")</f>
        <v/>
      </c>
      <c r="H122" s="258" t="str">
        <f>IFERROR(H53/#REF!-1,"")</f>
        <v/>
      </c>
      <c r="I122" s="259" t="str">
        <f>IFERROR(I53/#REF!-1,"")</f>
        <v/>
      </c>
    </row>
  </sheetData>
  <conditionalFormatting sqref="J15">
    <cfRule type="cellIs" dxfId="27" priority="27" operator="equal">
      <formula>TRUE</formula>
    </cfRule>
    <cfRule type="cellIs" dxfId="26" priority="28" operator="equal">
      <formula>FALSE</formula>
    </cfRule>
  </conditionalFormatting>
  <conditionalFormatting sqref="J49">
    <cfRule type="cellIs" dxfId="25" priority="25" operator="equal">
      <formula>TRUE</formula>
    </cfRule>
    <cfRule type="cellIs" dxfId="24" priority="26" operator="equal">
      <formula>FALSE</formula>
    </cfRule>
  </conditionalFormatting>
  <conditionalFormatting sqref="J53">
    <cfRule type="cellIs" dxfId="23" priority="23" operator="equal">
      <formula>TRUE</formula>
    </cfRule>
    <cfRule type="cellIs" dxfId="22" priority="24" operator="equal">
      <formula>FALSE</formula>
    </cfRule>
  </conditionalFormatting>
  <conditionalFormatting sqref="J19">
    <cfRule type="cellIs" dxfId="21" priority="21" operator="equal">
      <formula>TRUE</formula>
    </cfRule>
    <cfRule type="cellIs" dxfId="20" priority="22" operator="equal">
      <formula>FALSE</formula>
    </cfRule>
  </conditionalFormatting>
  <conditionalFormatting sqref="W15">
    <cfRule type="cellIs" dxfId="19" priority="19" operator="equal">
      <formula>TRUE</formula>
    </cfRule>
    <cfRule type="cellIs" dxfId="18" priority="20" operator="equal">
      <formula>FALSE</formula>
    </cfRule>
  </conditionalFormatting>
  <conditionalFormatting sqref="W49">
    <cfRule type="cellIs" dxfId="17" priority="17" operator="equal">
      <formula>TRUE</formula>
    </cfRule>
    <cfRule type="cellIs" dxfId="16" priority="18" operator="equal">
      <formula>FALSE</formula>
    </cfRule>
  </conditionalFormatting>
  <conditionalFormatting sqref="W53">
    <cfRule type="cellIs" dxfId="15" priority="15" operator="equal">
      <formula>TRUE</formula>
    </cfRule>
    <cfRule type="cellIs" dxfId="14" priority="16" operator="equal">
      <formula>FALSE</formula>
    </cfRule>
  </conditionalFormatting>
  <conditionalFormatting sqref="W71">
    <cfRule type="cellIs" dxfId="13" priority="13" operator="equal">
      <formula>TRUE</formula>
    </cfRule>
    <cfRule type="cellIs" dxfId="12" priority="14" operator="equal">
      <formula>FALSE</formula>
    </cfRule>
  </conditionalFormatting>
  <conditionalFormatting sqref="W67">
    <cfRule type="cellIs" dxfId="11" priority="11" operator="equal">
      <formula>TRUE</formula>
    </cfRule>
    <cfRule type="cellIs" dxfId="10" priority="12" operator="equal">
      <formula>FALSE</formula>
    </cfRule>
  </conditionalFormatting>
  <conditionalFormatting sqref="J71">
    <cfRule type="cellIs" dxfId="9" priority="9" operator="equal">
      <formula>TRUE</formula>
    </cfRule>
    <cfRule type="cellIs" dxfId="8" priority="10" operator="equal">
      <formula>FALSE</formula>
    </cfRule>
  </conditionalFormatting>
  <conditionalFormatting sqref="J67">
    <cfRule type="cellIs" dxfId="7" priority="7" operator="equal">
      <formula>TRUE</formula>
    </cfRule>
    <cfRule type="cellIs" dxfId="6" priority="8" operator="equal">
      <formula>FALSE</formula>
    </cfRule>
  </conditionalFormatting>
  <conditionalFormatting sqref="J84">
    <cfRule type="cellIs" dxfId="5" priority="5" operator="equal">
      <formula>TRUE</formula>
    </cfRule>
    <cfRule type="cellIs" dxfId="4" priority="6" operator="equal">
      <formula>FALSE</formula>
    </cfRule>
  </conditionalFormatting>
  <conditionalFormatting sqref="W19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W84">
    <cfRule type="cellIs" dxfId="1" priority="1" operator="equal">
      <formula>TRUE</formula>
    </cfRule>
    <cfRule type="cellIs" dxfId="0" priority="2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V390"/>
  <sheetViews>
    <sheetView zoomScale="70" zoomScaleNormal="70" workbookViewId="0">
      <pane xSplit="5" ySplit="5" topLeftCell="F18" activePane="bottomRight" state="frozen"/>
      <selection activeCell="R66" sqref="R66"/>
      <selection pane="topRight" activeCell="R66" sqref="R66"/>
      <selection pane="bottomLeft" activeCell="R66" sqref="R66"/>
      <selection pane="bottomRight" activeCell="L39" sqref="L39"/>
    </sheetView>
  </sheetViews>
  <sheetFormatPr defaultColWidth="0" defaultRowHeight="13.5" zeroHeight="1" x14ac:dyDescent="0.3"/>
  <cols>
    <col min="1" max="1" width="2.4609375" customWidth="1"/>
    <col min="2" max="4" width="2.3828125" customWidth="1"/>
    <col min="5" max="5" width="27.3828125" bestFit="1" customWidth="1"/>
    <col min="6" max="6" width="10.23046875" customWidth="1"/>
    <col min="7" max="17" width="10.84375" bestFit="1" customWidth="1"/>
    <col min="18" max="18" width="10.23046875" customWidth="1"/>
    <col min="19" max="22" width="0" hidden="1" customWidth="1"/>
    <col min="23" max="16384" width="9" hidden="1"/>
  </cols>
  <sheetData>
    <row r="1" spans="1:18" x14ac:dyDescent="0.3">
      <c r="A1" s="13" t="str">
        <f>Control!$G$9</f>
        <v>UE Consolidated Capex</v>
      </c>
      <c r="B1" s="13"/>
      <c r="C1" s="14"/>
      <c r="D1" s="15"/>
      <c r="E1" s="16"/>
      <c r="F1" s="16"/>
      <c r="G1" s="18"/>
      <c r="H1" s="18"/>
      <c r="I1" s="19"/>
      <c r="J1" s="19"/>
      <c r="K1" s="16"/>
      <c r="L1" s="16"/>
      <c r="M1" s="16"/>
      <c r="N1" s="16"/>
      <c r="O1" s="16"/>
      <c r="P1" s="16"/>
      <c r="Q1" s="16"/>
      <c r="R1" s="16"/>
    </row>
    <row r="2" spans="1:18" x14ac:dyDescent="0.3">
      <c r="A2" s="21" t="str">
        <f ca="1" xml:space="preserve"> "Sheet: " &amp; RIGHT(CELL("filename", $A$1), LEN(CELL("filename", $A$1)) - SEARCH("]", CELL("filename", $A$1)))</f>
        <v xml:space="preserve">Sheet: Output|Functional - proposed </v>
      </c>
      <c r="B2" s="21"/>
      <c r="C2" s="14"/>
      <c r="D2" s="15"/>
      <c r="E2" s="16"/>
      <c r="F2" s="16"/>
      <c r="G2" s="22"/>
      <c r="H2" s="22"/>
      <c r="I2" s="19"/>
      <c r="J2" s="19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9"/>
      <c r="K3" s="16"/>
      <c r="L3" s="16"/>
      <c r="M3" s="16"/>
      <c r="N3" s="16"/>
      <c r="O3" s="16"/>
      <c r="P3" s="16"/>
      <c r="Q3" s="16"/>
      <c r="R3" s="16"/>
    </row>
    <row r="4" spans="1:18" x14ac:dyDescent="0.3">
      <c r="A4" s="21"/>
      <c r="B4" s="21"/>
      <c r="C4" s="14"/>
      <c r="D4" s="15"/>
      <c r="E4" s="16"/>
      <c r="F4" s="16"/>
      <c r="G4" s="22"/>
      <c r="H4" s="22"/>
      <c r="I4" s="19"/>
      <c r="J4" s="19"/>
      <c r="K4" s="16"/>
      <c r="L4" s="16"/>
      <c r="M4" s="16"/>
      <c r="N4" s="16"/>
      <c r="O4" s="16"/>
      <c r="P4" s="16"/>
      <c r="Q4" s="16"/>
      <c r="R4" s="16"/>
    </row>
    <row r="5" spans="1:18" x14ac:dyDescent="0.3">
      <c r="A5" s="21"/>
      <c r="B5" s="21"/>
      <c r="C5" s="21"/>
      <c r="D5" s="21"/>
      <c r="E5" s="21"/>
      <c r="F5" s="21"/>
      <c r="G5" s="30">
        <v>2015</v>
      </c>
      <c r="H5" s="30">
        <v>2016</v>
      </c>
      <c r="I5" s="30">
        <v>2017</v>
      </c>
      <c r="J5" s="30">
        <v>2018</v>
      </c>
      <c r="K5" s="30">
        <v>2019</v>
      </c>
      <c r="L5" s="30">
        <v>2020</v>
      </c>
      <c r="M5" s="30" t="s">
        <v>603</v>
      </c>
      <c r="N5" s="30" t="s">
        <v>604</v>
      </c>
      <c r="O5" s="30" t="s">
        <v>605</v>
      </c>
      <c r="P5" s="30" t="s">
        <v>606</v>
      </c>
      <c r="Q5" s="30" t="s">
        <v>607</v>
      </c>
      <c r="R5" s="16"/>
    </row>
    <row r="6" spans="1:18" x14ac:dyDescent="0.3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  <c r="M6" s="4"/>
      <c r="N6" s="4"/>
      <c r="O6" s="4"/>
      <c r="P6" s="4"/>
      <c r="Q6" s="4"/>
      <c r="R6" s="4"/>
    </row>
    <row r="7" spans="1:18" x14ac:dyDescent="0.3">
      <c r="A7" s="21" t="s">
        <v>88</v>
      </c>
      <c r="B7" s="21"/>
      <c r="C7" s="14"/>
      <c r="D7" s="23"/>
      <c r="E7" s="24"/>
      <c r="F7" s="2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24"/>
    </row>
    <row r="8" spans="1:1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A9" s="55" t="s">
        <v>58</v>
      </c>
      <c r="B9" s="12"/>
      <c r="C9" s="12"/>
      <c r="D9" s="12"/>
      <c r="E9" s="12"/>
      <c r="F9" s="12"/>
      <c r="G9" s="59" t="s">
        <v>609</v>
      </c>
      <c r="H9" s="59" t="s">
        <v>609</v>
      </c>
      <c r="I9" s="59" t="s">
        <v>609</v>
      </c>
      <c r="J9" s="59" t="s">
        <v>609</v>
      </c>
      <c r="K9" s="59" t="s">
        <v>609</v>
      </c>
      <c r="L9" s="59" t="s">
        <v>609</v>
      </c>
      <c r="M9" s="59" t="s">
        <v>609</v>
      </c>
      <c r="N9" s="59" t="s">
        <v>609</v>
      </c>
      <c r="O9" s="59" t="s">
        <v>609</v>
      </c>
      <c r="P9" s="59" t="s">
        <v>609</v>
      </c>
      <c r="Q9" s="59" t="s">
        <v>609</v>
      </c>
      <c r="R9" s="12"/>
    </row>
    <row r="10" spans="1:18" x14ac:dyDescent="0.3">
      <c r="A10" s="7"/>
      <c r="B10" s="7"/>
      <c r="C10" s="7"/>
      <c r="D10" s="7"/>
      <c r="E10" s="7"/>
      <c r="F10" s="7"/>
      <c r="G10" s="7" t="s">
        <v>50</v>
      </c>
      <c r="H10" s="7" t="s">
        <v>50</v>
      </c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7"/>
      <c r="B11" s="7"/>
      <c r="C11" s="7"/>
      <c r="D11" s="7"/>
      <c r="E11" s="38" t="s">
        <v>59</v>
      </c>
      <c r="F11" s="7"/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7"/>
    </row>
    <row r="12" spans="1:18" x14ac:dyDescent="0.3">
      <c r="A12" s="7"/>
      <c r="B12" s="7"/>
      <c r="C12" s="7"/>
      <c r="D12" s="7"/>
      <c r="E12" s="38" t="s">
        <v>28</v>
      </c>
      <c r="F12" s="7"/>
      <c r="G12" s="43">
        <v>17.547413404297771</v>
      </c>
      <c r="H12" s="43">
        <v>45.828592470554156</v>
      </c>
      <c r="I12" s="43">
        <v>44.561456819610669</v>
      </c>
      <c r="J12" s="43">
        <v>40.44926205318707</v>
      </c>
      <c r="K12" s="101">
        <v>38.261021576331821</v>
      </c>
      <c r="L12" s="101">
        <v>37.332675352147554</v>
      </c>
      <c r="M12" s="43">
        <v>47.238380666723302</v>
      </c>
      <c r="N12" s="43">
        <v>45.48481914064714</v>
      </c>
      <c r="O12" s="43">
        <v>48.632830870586481</v>
      </c>
      <c r="P12" s="43">
        <v>45.551115907582272</v>
      </c>
      <c r="Q12" s="43">
        <v>41.584803834893549</v>
      </c>
      <c r="R12" s="7"/>
    </row>
    <row r="13" spans="1:18" x14ac:dyDescent="0.3">
      <c r="A13" s="7"/>
      <c r="B13" s="7"/>
      <c r="C13" s="7"/>
      <c r="D13" s="7"/>
      <c r="E13" s="38" t="s">
        <v>29</v>
      </c>
      <c r="F13" s="7"/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7"/>
    </row>
    <row r="14" spans="1:18" x14ac:dyDescent="0.3">
      <c r="A14" s="7"/>
      <c r="B14" s="7"/>
      <c r="C14" s="7"/>
      <c r="D14" s="7"/>
      <c r="E14" s="38" t="s">
        <v>38</v>
      </c>
      <c r="F14" s="7"/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7"/>
    </row>
    <row r="15" spans="1:18" x14ac:dyDescent="0.3">
      <c r="A15" s="7"/>
      <c r="B15" s="7"/>
      <c r="C15" s="7"/>
      <c r="D15" s="7"/>
      <c r="E15" s="38" t="s">
        <v>30</v>
      </c>
      <c r="F15" s="7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7"/>
    </row>
    <row r="16" spans="1:18" x14ac:dyDescent="0.3">
      <c r="A16" s="7"/>
      <c r="B16" s="7"/>
      <c r="C16" s="7"/>
      <c r="D16" s="7"/>
      <c r="E16" s="38" t="s">
        <v>31</v>
      </c>
      <c r="F16" s="7"/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7"/>
    </row>
    <row r="17" spans="1:18" x14ac:dyDescent="0.3">
      <c r="A17" s="7"/>
      <c r="B17" s="7"/>
      <c r="C17" s="7"/>
      <c r="D17" s="7"/>
      <c r="E17" s="38" t="s">
        <v>8</v>
      </c>
      <c r="F17" s="7"/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7"/>
    </row>
    <row r="18" spans="1:18" x14ac:dyDescent="0.3">
      <c r="A18" s="7"/>
      <c r="B18" s="7"/>
      <c r="C18" s="7"/>
      <c r="D18" s="7"/>
      <c r="E18" s="38" t="s">
        <v>514</v>
      </c>
      <c r="F18" s="7"/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7"/>
    </row>
    <row r="19" spans="1:18" x14ac:dyDescent="0.3">
      <c r="A19" s="7"/>
      <c r="B19" s="7"/>
      <c r="C19" s="7"/>
      <c r="D19" s="7"/>
      <c r="E19" s="38" t="s">
        <v>44</v>
      </c>
      <c r="F19" s="7"/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7"/>
    </row>
    <row r="20" spans="1:18" x14ac:dyDescent="0.3">
      <c r="A20" s="7"/>
      <c r="B20" s="7"/>
      <c r="C20" s="7"/>
      <c r="D20" s="7"/>
      <c r="E20" s="38"/>
      <c r="F20" s="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7"/>
    </row>
    <row r="21" spans="1:18" x14ac:dyDescent="0.3">
      <c r="A21" s="7"/>
      <c r="B21" s="7"/>
      <c r="C21" s="7"/>
      <c r="D21" s="7"/>
      <c r="E21" s="7"/>
      <c r="F21" s="7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7"/>
    </row>
    <row r="22" spans="1:18" x14ac:dyDescent="0.3">
      <c r="A22" s="7"/>
      <c r="B22" s="7"/>
      <c r="C22" s="7"/>
      <c r="D22" s="7"/>
      <c r="E22" s="9" t="s">
        <v>20</v>
      </c>
      <c r="F22" s="7"/>
      <c r="G22" s="57">
        <f t="shared" ref="G22:Q22" si="0">SUM(G11:G19)</f>
        <v>17.547413404297771</v>
      </c>
      <c r="H22" s="57">
        <f t="shared" si="0"/>
        <v>45.828592470554156</v>
      </c>
      <c r="I22" s="119">
        <f t="shared" si="0"/>
        <v>44.561456819610669</v>
      </c>
      <c r="J22" s="119">
        <f t="shared" si="0"/>
        <v>40.44926205318707</v>
      </c>
      <c r="K22" s="119">
        <f t="shared" si="0"/>
        <v>38.261021576331821</v>
      </c>
      <c r="L22" s="119">
        <f t="shared" si="0"/>
        <v>37.332675352147554</v>
      </c>
      <c r="M22" s="57">
        <f t="shared" si="0"/>
        <v>47.238380666723302</v>
      </c>
      <c r="N22" s="57">
        <f t="shared" si="0"/>
        <v>45.48481914064714</v>
      </c>
      <c r="O22" s="57">
        <f t="shared" si="0"/>
        <v>48.632830870586481</v>
      </c>
      <c r="P22" s="57">
        <f t="shared" si="0"/>
        <v>45.551115907582272</v>
      </c>
      <c r="Q22" s="57">
        <f t="shared" si="0"/>
        <v>41.584803834893549</v>
      </c>
      <c r="R22" s="7"/>
    </row>
    <row r="23" spans="1:18" x14ac:dyDescent="0.3">
      <c r="A23" s="7"/>
      <c r="B23" s="7"/>
      <c r="C23" s="7"/>
      <c r="D23" s="7"/>
      <c r="E23" s="7"/>
      <c r="F23" s="7"/>
      <c r="G23" s="61" t="e">
        <f>G22-('Input|Customer Contributions'!#REF!/1000*Inflation!L$26)</f>
        <v>#REF!</v>
      </c>
      <c r="H23" s="61" t="e">
        <f>H22-('Input|Customer Contributions'!#REF!/1000*Inflation!M$26)</f>
        <v>#REF!</v>
      </c>
      <c r="I23" s="61" t="e">
        <f>I22-('Input|Customer Contributions'!#REF!/1000*Inflation!N$26)</f>
        <v>#REF!</v>
      </c>
      <c r="J23" s="61" t="e">
        <f>J22-('Input|Customer Contributions'!#REF!/1000*Inflation!O$26)</f>
        <v>#REF!</v>
      </c>
      <c r="K23" s="61" t="e">
        <f>K22-'Input|Customer Contributions'!#REF!/1000</f>
        <v>#REF!</v>
      </c>
      <c r="L23" s="61" t="e">
        <f>L22-'Input|Customer Contributions'!#REF!/1000</f>
        <v>#REF!</v>
      </c>
      <c r="M23" s="61">
        <f>M22-'Input|Customer Contributions'!J97/1000</f>
        <v>16.784184441061953</v>
      </c>
      <c r="N23" s="61">
        <f>N22-'Input|Customer Contributions'!K97/1000</f>
        <v>10.801458975350442</v>
      </c>
      <c r="O23" s="61">
        <f>O22-'Input|Customer Contributions'!L97/1000</f>
        <v>13.382906049810501</v>
      </c>
      <c r="P23" s="61">
        <f>P22-'Input|Customer Contributions'!M97/1000</f>
        <v>10.851676000282474</v>
      </c>
      <c r="Q23" s="61">
        <f>Q22-'Input|Customer Contributions'!N97/1000</f>
        <v>7.5203909018233119</v>
      </c>
      <c r="R23" s="7"/>
    </row>
    <row r="24" spans="1:18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">
      <c r="A25" s="55" t="s">
        <v>54</v>
      </c>
      <c r="B25" s="12"/>
      <c r="C25" s="12"/>
      <c r="D25" s="12"/>
      <c r="E25" s="12"/>
      <c r="F25" s="12"/>
      <c r="G25" s="59" t="s">
        <v>609</v>
      </c>
      <c r="H25" s="59" t="s">
        <v>609</v>
      </c>
      <c r="I25" s="59" t="s">
        <v>609</v>
      </c>
      <c r="J25" s="59" t="s">
        <v>609</v>
      </c>
      <c r="K25" s="59" t="s">
        <v>609</v>
      </c>
      <c r="L25" s="59" t="s">
        <v>609</v>
      </c>
      <c r="M25" s="59" t="s">
        <v>609</v>
      </c>
      <c r="N25" s="59" t="s">
        <v>609</v>
      </c>
      <c r="O25" s="59" t="s">
        <v>609</v>
      </c>
      <c r="P25" s="59" t="s">
        <v>609</v>
      </c>
      <c r="Q25" s="59" t="s">
        <v>609</v>
      </c>
      <c r="R25" s="12"/>
    </row>
    <row r="26" spans="1:18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">
      <c r="A27" s="7"/>
      <c r="B27" s="7"/>
      <c r="C27" s="7"/>
      <c r="D27" s="7"/>
      <c r="E27" s="38" t="s">
        <v>59</v>
      </c>
      <c r="F27" s="7"/>
      <c r="G27" s="43">
        <v>34.520363470830574</v>
      </c>
      <c r="H27" s="43">
        <v>19.486030746113229</v>
      </c>
      <c r="I27" s="43">
        <v>25.253755220980342</v>
      </c>
      <c r="J27" s="43">
        <v>22.236201177237373</v>
      </c>
      <c r="K27" s="43">
        <v>22.181432199733663</v>
      </c>
      <c r="L27" s="43">
        <v>23.262636700141748</v>
      </c>
      <c r="M27" s="101">
        <v>38.044317222374204</v>
      </c>
      <c r="N27" s="123">
        <v>37.986887474231445</v>
      </c>
      <c r="O27" s="43">
        <v>33.779026183974146</v>
      </c>
      <c r="P27" s="43">
        <v>35.843521554850632</v>
      </c>
      <c r="Q27" s="43">
        <v>28.660985452378732</v>
      </c>
      <c r="R27" s="7"/>
    </row>
    <row r="28" spans="1:18" x14ac:dyDescent="0.3">
      <c r="A28" s="7"/>
      <c r="B28" s="7"/>
      <c r="C28" s="7"/>
      <c r="D28" s="7"/>
      <c r="E28" s="38" t="s">
        <v>28</v>
      </c>
      <c r="F28" s="7"/>
      <c r="G28" s="43">
        <v>71.209575472911737</v>
      </c>
      <c r="H28" s="43">
        <v>74.131187570180373</v>
      </c>
      <c r="I28" s="43">
        <v>66.003677881566688</v>
      </c>
      <c r="J28" s="43">
        <v>49.11744487784739</v>
      </c>
      <c r="K28" s="43">
        <v>49.677084385791709</v>
      </c>
      <c r="L28" s="43">
        <v>56.654429131684857</v>
      </c>
      <c r="M28" s="101">
        <v>72.468265354563499</v>
      </c>
      <c r="N28" s="43">
        <v>69.821053370567725</v>
      </c>
      <c r="O28" s="43">
        <v>73.656222769748112</v>
      </c>
      <c r="P28" s="43">
        <v>70.782883464879177</v>
      </c>
      <c r="Q28" s="43">
        <v>64.805391463064609</v>
      </c>
      <c r="R28" s="7"/>
    </row>
    <row r="29" spans="1:18" x14ac:dyDescent="0.3">
      <c r="A29" s="7"/>
      <c r="B29" s="7"/>
      <c r="C29" s="7"/>
      <c r="D29" s="7"/>
      <c r="E29" s="38" t="s">
        <v>29</v>
      </c>
      <c r="F29" s="7"/>
      <c r="G29" s="43">
        <v>80.700485357057431</v>
      </c>
      <c r="H29" s="43">
        <v>83.012907455182628</v>
      </c>
      <c r="I29" s="43">
        <v>68.79747162337398</v>
      </c>
      <c r="J29" s="43">
        <v>54.273443945305822</v>
      </c>
      <c r="K29" s="43">
        <v>68.853266538403602</v>
      </c>
      <c r="L29" s="43">
        <v>68.019104527543448</v>
      </c>
      <c r="M29" s="101">
        <v>88.09998159445631</v>
      </c>
      <c r="N29" s="43">
        <v>105.1738023655078</v>
      </c>
      <c r="O29" s="43">
        <v>103.57360623298392</v>
      </c>
      <c r="P29" s="43">
        <v>100.82055784103549</v>
      </c>
      <c r="Q29" s="43">
        <v>87.147838001093717</v>
      </c>
      <c r="R29" s="7"/>
    </row>
    <row r="30" spans="1:18" x14ac:dyDescent="0.3">
      <c r="A30" s="7"/>
      <c r="B30" s="7"/>
      <c r="C30" s="7"/>
      <c r="D30" s="7"/>
      <c r="E30" s="38" t="s">
        <v>38</v>
      </c>
      <c r="F30" s="7"/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101">
        <v>0</v>
      </c>
      <c r="N30" s="43">
        <v>0</v>
      </c>
      <c r="O30" s="43">
        <v>0</v>
      </c>
      <c r="P30" s="43">
        <v>0</v>
      </c>
      <c r="Q30" s="43">
        <v>0</v>
      </c>
      <c r="R30" s="7"/>
    </row>
    <row r="31" spans="1:18" x14ac:dyDescent="0.3">
      <c r="A31" s="7"/>
      <c r="B31" s="7"/>
      <c r="C31" s="7"/>
      <c r="D31" s="7"/>
      <c r="E31" s="38" t="s">
        <v>30</v>
      </c>
      <c r="F31" s="7"/>
      <c r="G31" s="43">
        <v>30.911237550779244</v>
      </c>
      <c r="H31" s="43">
        <v>25.704347497123827</v>
      </c>
      <c r="I31" s="43">
        <v>27.991796729124125</v>
      </c>
      <c r="J31" s="43">
        <v>26.793467749864991</v>
      </c>
      <c r="K31" s="43">
        <v>17.893212030182454</v>
      </c>
      <c r="L31" s="43">
        <v>32</v>
      </c>
      <c r="M31" s="101">
        <v>55.465510763382923</v>
      </c>
      <c r="N31" s="43">
        <v>37.275136349779288</v>
      </c>
      <c r="O31" s="43">
        <v>37.991316331228184</v>
      </c>
      <c r="P31" s="43">
        <v>33.520609632884678</v>
      </c>
      <c r="Q31" s="43">
        <v>22.433033755477389</v>
      </c>
      <c r="R31" s="7"/>
    </row>
    <row r="32" spans="1:18" x14ac:dyDescent="0.3">
      <c r="A32" s="7"/>
      <c r="B32" s="7"/>
      <c r="C32" s="7"/>
      <c r="D32" s="7"/>
      <c r="E32" s="38" t="s">
        <v>31</v>
      </c>
      <c r="F32" s="7"/>
      <c r="G32" s="43">
        <v>7.6625243151490006</v>
      </c>
      <c r="H32" s="43">
        <v>6.2423729030260677</v>
      </c>
      <c r="I32" s="43">
        <v>4.9450413186718745</v>
      </c>
      <c r="J32" s="43">
        <v>3.2343724846775488</v>
      </c>
      <c r="K32" s="43">
        <v>6.3014744809331198</v>
      </c>
      <c r="L32" s="43">
        <v>19.469870379017504</v>
      </c>
      <c r="M32" s="101">
        <v>21.548680073019305</v>
      </c>
      <c r="N32" s="43">
        <v>17.040333123562661</v>
      </c>
      <c r="O32" s="43">
        <v>20.066813859952067</v>
      </c>
      <c r="P32" s="43">
        <v>14.028678992128011</v>
      </c>
      <c r="Q32" s="43">
        <v>11.45335066364758</v>
      </c>
      <c r="R32" s="7"/>
    </row>
    <row r="33" spans="1:18" x14ac:dyDescent="0.3">
      <c r="A33" s="7"/>
      <c r="B33" s="7"/>
      <c r="C33" s="7"/>
      <c r="D33" s="7"/>
      <c r="E33" s="38" t="s">
        <v>8</v>
      </c>
      <c r="F33" s="7"/>
      <c r="G33" s="43">
        <v>8.5971307812593547E-6</v>
      </c>
      <c r="H33" s="43">
        <v>1.3758128554108533E-5</v>
      </c>
      <c r="I33" s="43">
        <v>1.0793154937523653E-5</v>
      </c>
      <c r="J33" s="43">
        <v>0</v>
      </c>
      <c r="K33" s="43">
        <v>0</v>
      </c>
      <c r="L33" s="43">
        <v>0</v>
      </c>
      <c r="M33" s="101">
        <v>0</v>
      </c>
      <c r="N33" s="43">
        <v>0</v>
      </c>
      <c r="O33" s="43">
        <v>0</v>
      </c>
      <c r="P33" s="43">
        <v>0</v>
      </c>
      <c r="Q33" s="43">
        <v>0</v>
      </c>
      <c r="R33" s="7"/>
    </row>
    <row r="34" spans="1:18" x14ac:dyDescent="0.3">
      <c r="A34" s="7"/>
      <c r="B34" s="7"/>
      <c r="C34" s="7"/>
      <c r="D34" s="7"/>
      <c r="E34" s="38" t="s">
        <v>514</v>
      </c>
      <c r="F34" s="7"/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101">
        <v>0</v>
      </c>
      <c r="N34" s="43">
        <v>0</v>
      </c>
      <c r="O34" s="43">
        <v>0</v>
      </c>
      <c r="P34" s="43">
        <v>0</v>
      </c>
      <c r="Q34" s="43">
        <v>0</v>
      </c>
      <c r="R34" s="7"/>
    </row>
    <row r="35" spans="1:18" x14ac:dyDescent="0.3">
      <c r="A35" s="7"/>
      <c r="B35" s="7"/>
      <c r="C35" s="7"/>
      <c r="D35" s="7"/>
      <c r="E35" s="38" t="s">
        <v>44</v>
      </c>
      <c r="F35" s="7"/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7"/>
    </row>
    <row r="36" spans="1:18" x14ac:dyDescent="0.3">
      <c r="A36" s="7"/>
      <c r="B36" s="7"/>
      <c r="C36" s="7"/>
      <c r="D36" s="7"/>
      <c r="E36" s="38"/>
      <c r="F36" s="7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7"/>
    </row>
    <row r="37" spans="1:18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3">
      <c r="A38" s="7"/>
      <c r="B38" s="7"/>
      <c r="C38" s="7"/>
      <c r="D38" s="7"/>
      <c r="E38" s="9" t="s">
        <v>20</v>
      </c>
      <c r="F38" s="7"/>
      <c r="G38" s="57">
        <f>SUM(G27:G35)</f>
        <v>225.00419476385878</v>
      </c>
      <c r="H38" s="57">
        <f>SUM(H27:H35)</f>
        <v>208.57685992975468</v>
      </c>
      <c r="I38" s="57">
        <f t="shared" ref="I38:Q38" si="1">SUM(I27:I35)</f>
        <v>192.99175356687195</v>
      </c>
      <c r="J38" s="57">
        <f t="shared" si="1"/>
        <v>155.65493023493312</v>
      </c>
      <c r="K38" s="57">
        <f t="shared" si="1"/>
        <v>164.90646963504452</v>
      </c>
      <c r="L38" s="57">
        <f t="shared" si="1"/>
        <v>199.40604073838756</v>
      </c>
      <c r="M38" s="57">
        <f t="shared" si="1"/>
        <v>275.62675500779625</v>
      </c>
      <c r="N38" s="57">
        <f t="shared" si="1"/>
        <v>267.29721268364892</v>
      </c>
      <c r="O38" s="57">
        <f t="shared" si="1"/>
        <v>269.0669853778864</v>
      </c>
      <c r="P38" s="57">
        <f t="shared" si="1"/>
        <v>254.99625148577803</v>
      </c>
      <c r="Q38" s="57">
        <f t="shared" si="1"/>
        <v>214.500599335662</v>
      </c>
      <c r="R38" s="7"/>
    </row>
    <row r="39" spans="1:18" x14ac:dyDescent="0.3">
      <c r="A39" s="7"/>
      <c r="B39" s="7"/>
      <c r="C39" s="7"/>
      <c r="D39" s="7"/>
      <c r="E39" s="7"/>
      <c r="F39" s="7"/>
      <c r="G39" s="61" t="e">
        <f>G38-('Calc|Consolidated Capex'!#REF!/1000*Inflation!L$26)-#REF!</f>
        <v>#REF!</v>
      </c>
      <c r="H39" s="61" t="e">
        <f>H38-('Calc|Consolidated Capex'!#REF!/1000*Inflation!M$26)-#REF!</f>
        <v>#REF!</v>
      </c>
      <c r="I39" s="61" t="e">
        <f>I38-('Calc|Consolidated Capex'!#REF!/1000*Inflation!N$26)-#REF!</f>
        <v>#REF!</v>
      </c>
      <c r="J39" s="61" t="e">
        <f>J38-('Calc|Consolidated Capex'!#REF!/1000*Inflation!O$26)-#REF!</f>
        <v>#REF!</v>
      </c>
      <c r="K39" s="61" t="e">
        <f>K38-('Calc|Consolidated Capex'!#REF!/1000*Inflation!P$26)-#REF!</f>
        <v>#REF!</v>
      </c>
      <c r="L39" s="61" t="e">
        <f>L38-'Calc|Consolidated Capex'!#REF!/1000</f>
        <v>#REF!</v>
      </c>
      <c r="M39" s="61">
        <f>M38-'Calc|Consolidated Capex'!I210/1000</f>
        <v>39.457902540697773</v>
      </c>
      <c r="N39" s="61">
        <f>N38-'Calc|Consolidated Capex'!J210/1000</f>
        <v>69.192169807148872</v>
      </c>
      <c r="O39" s="61">
        <f>O38-'Calc|Consolidated Capex'!K210/1000</f>
        <v>86.5630535915069</v>
      </c>
      <c r="P39" s="61">
        <f>P38-'Calc|Consolidated Capex'!L210/1000</f>
        <v>71.715184193179823</v>
      </c>
      <c r="Q39" s="61">
        <f>Q38-'Calc|Consolidated Capex'!M210/1000</f>
        <v>44.656447970104807</v>
      </c>
      <c r="R39" s="7"/>
    </row>
    <row r="40" spans="1:18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3">
      <c r="A41" s="55" t="s">
        <v>56</v>
      </c>
      <c r="B41" s="12"/>
      <c r="C41" s="12"/>
      <c r="D41" s="12"/>
      <c r="E41" s="12"/>
      <c r="F41" s="12"/>
      <c r="G41" s="59" t="s">
        <v>609</v>
      </c>
      <c r="H41" s="59" t="s">
        <v>609</v>
      </c>
      <c r="I41" s="59" t="s">
        <v>609</v>
      </c>
      <c r="J41" s="59" t="s">
        <v>609</v>
      </c>
      <c r="K41" s="59" t="s">
        <v>609</v>
      </c>
      <c r="L41" s="59" t="s">
        <v>609</v>
      </c>
      <c r="M41" s="59" t="s">
        <v>609</v>
      </c>
      <c r="N41" s="59" t="s">
        <v>609</v>
      </c>
      <c r="O41" s="59" t="s">
        <v>609</v>
      </c>
      <c r="P41" s="59" t="s">
        <v>609</v>
      </c>
      <c r="Q41" s="59" t="s">
        <v>609</v>
      </c>
      <c r="R41" s="12"/>
    </row>
    <row r="42" spans="1:18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3">
      <c r="A43" s="7"/>
      <c r="B43" s="7"/>
      <c r="C43" s="7"/>
      <c r="D43" s="7"/>
      <c r="E43" s="38" t="s">
        <v>59</v>
      </c>
      <c r="F43" s="7"/>
      <c r="G43" s="43">
        <v>38.067963215327396</v>
      </c>
      <c r="H43" s="43">
        <v>21.955316335985689</v>
      </c>
      <c r="I43" s="131">
        <v>27.834840890346545</v>
      </c>
      <c r="J43" s="101">
        <v>26.117126508082013</v>
      </c>
      <c r="K43" s="43">
        <v>25.323966337970106</v>
      </c>
      <c r="L43" s="43">
        <v>26.705188990984333</v>
      </c>
      <c r="M43" s="43">
        <v>42.237840473036336</v>
      </c>
      <c r="N43" s="43">
        <v>41.891584236649202</v>
      </c>
      <c r="O43" s="123">
        <v>37.283658193344593</v>
      </c>
      <c r="P43" s="43">
        <v>39.626201266620122</v>
      </c>
      <c r="Q43" s="43">
        <v>32.135028298379559</v>
      </c>
      <c r="R43" s="7"/>
    </row>
    <row r="44" spans="1:18" x14ac:dyDescent="0.3">
      <c r="A44" s="7"/>
      <c r="B44" s="7"/>
      <c r="C44" s="7"/>
      <c r="D44" s="7"/>
      <c r="E44" s="38" t="s">
        <v>28</v>
      </c>
      <c r="F44" s="7"/>
      <c r="G44" s="43">
        <v>78.554382109536306</v>
      </c>
      <c r="H44" s="43">
        <v>83.539801549248864</v>
      </c>
      <c r="I44" s="131">
        <v>72.75322603410369</v>
      </c>
      <c r="J44" s="101">
        <v>57.690003404972835</v>
      </c>
      <c r="K44" s="43">
        <v>56.627720848356141</v>
      </c>
      <c r="L44" s="101">
        <v>65.038510321951307</v>
      </c>
      <c r="M44" s="101">
        <v>80.456248262055141</v>
      </c>
      <c r="N44" s="101">
        <v>76.998004660130277</v>
      </c>
      <c r="O44" s="101">
        <v>81.298182446212934</v>
      </c>
      <c r="P44" s="101">
        <v>78.252824073628005</v>
      </c>
      <c r="Q44" s="101">
        <v>72.660554258098841</v>
      </c>
      <c r="R44" s="7"/>
    </row>
    <row r="45" spans="1:18" x14ac:dyDescent="0.3">
      <c r="A45" s="7"/>
      <c r="B45" s="7"/>
      <c r="C45" s="7"/>
      <c r="D45" s="7"/>
      <c r="E45" s="38" t="s">
        <v>29</v>
      </c>
      <c r="F45" s="7"/>
      <c r="G45" s="43">
        <v>89.024217895735759</v>
      </c>
      <c r="H45" s="43">
        <v>93.548775382383198</v>
      </c>
      <c r="I45" s="131">
        <v>75.832713634098965</v>
      </c>
      <c r="J45" s="101">
        <v>63.745888528831678</v>
      </c>
      <c r="K45" s="43">
        <v>79.051568304522121</v>
      </c>
      <c r="L45" s="43">
        <v>78.085002350335358</v>
      </c>
      <c r="M45" s="43">
        <v>97.811006740203496</v>
      </c>
      <c r="N45" s="43">
        <v>115.98468561742845</v>
      </c>
      <c r="O45" s="43">
        <v>114.31954585104961</v>
      </c>
      <c r="P45" s="43">
        <v>111.46046882441813</v>
      </c>
      <c r="Q45" s="43">
        <v>97.711163663959624</v>
      </c>
      <c r="R45" s="7"/>
    </row>
    <row r="46" spans="1:18" x14ac:dyDescent="0.3">
      <c r="A46" s="7"/>
      <c r="B46" s="7"/>
      <c r="C46" s="7"/>
      <c r="D46" s="7"/>
      <c r="E46" s="38" t="s">
        <v>38</v>
      </c>
      <c r="F46" s="7"/>
      <c r="G46" s="43">
        <v>0</v>
      </c>
      <c r="H46" s="43">
        <v>0</v>
      </c>
      <c r="I46" s="131">
        <v>0</v>
      </c>
      <c r="J46" s="101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7"/>
    </row>
    <row r="47" spans="1:18" x14ac:dyDescent="0.3">
      <c r="A47" s="7"/>
      <c r="B47" s="7"/>
      <c r="C47" s="7"/>
      <c r="D47" s="7"/>
      <c r="E47" s="38" t="s">
        <v>30</v>
      </c>
      <c r="F47" s="7"/>
      <c r="G47" s="43">
        <v>30.911237550779244</v>
      </c>
      <c r="H47" s="43">
        <v>25.704347497123827</v>
      </c>
      <c r="I47" s="131">
        <v>27.991796729124125</v>
      </c>
      <c r="J47" s="101">
        <v>26.793467749864991</v>
      </c>
      <c r="K47" s="43">
        <v>18.584883082803923</v>
      </c>
      <c r="L47" s="43">
        <v>32</v>
      </c>
      <c r="M47" s="43">
        <v>55.465510763382923</v>
      </c>
      <c r="N47" s="43">
        <v>37.275136349779288</v>
      </c>
      <c r="O47" s="43">
        <v>37.991316331228184</v>
      </c>
      <c r="P47" s="43">
        <v>33.520609632884678</v>
      </c>
      <c r="Q47" s="43">
        <v>22.433033755477389</v>
      </c>
      <c r="R47" s="7"/>
    </row>
    <row r="48" spans="1:18" x14ac:dyDescent="0.3">
      <c r="A48" s="7"/>
      <c r="B48" s="7"/>
      <c r="C48" s="7"/>
      <c r="D48" s="7"/>
      <c r="E48" s="38" t="s">
        <v>31</v>
      </c>
      <c r="F48" s="7"/>
      <c r="G48" s="43">
        <v>7.6625243151490006</v>
      </c>
      <c r="H48" s="43">
        <v>6.2423729030260677</v>
      </c>
      <c r="I48" s="131">
        <v>4.9450413186718745</v>
      </c>
      <c r="J48" s="101">
        <v>3.2343724846775488</v>
      </c>
      <c r="K48" s="43">
        <v>6.3106160054914859</v>
      </c>
      <c r="L48" s="43">
        <v>19.469870379017504</v>
      </c>
      <c r="M48" s="43">
        <v>21.548680073019305</v>
      </c>
      <c r="N48" s="43">
        <v>17.040333123562661</v>
      </c>
      <c r="O48" s="43">
        <v>20.066813859952067</v>
      </c>
      <c r="P48" s="43">
        <v>14.028678992128011</v>
      </c>
      <c r="Q48" s="43">
        <v>11.45335066364758</v>
      </c>
      <c r="R48" s="7"/>
    </row>
    <row r="49" spans="1:18" x14ac:dyDescent="0.3">
      <c r="A49" s="7"/>
      <c r="B49" s="7"/>
      <c r="C49" s="7"/>
      <c r="D49" s="7"/>
      <c r="E49" s="38" t="s">
        <v>8</v>
      </c>
      <c r="F49" s="7"/>
      <c r="G49" s="43">
        <v>1.2961716201610907E-2</v>
      </c>
      <c r="H49" s="43">
        <v>3.8663537976940257E-3</v>
      </c>
      <c r="I49" s="131">
        <v>1.3798477687701088E-3</v>
      </c>
      <c r="J49" s="131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7"/>
    </row>
    <row r="50" spans="1:18" x14ac:dyDescent="0.3">
      <c r="A50" s="7"/>
      <c r="B50" s="7"/>
      <c r="C50" s="7"/>
      <c r="D50" s="7"/>
      <c r="E50" s="38" t="s">
        <v>514</v>
      </c>
      <c r="F50" s="7"/>
      <c r="G50" s="43">
        <v>0</v>
      </c>
      <c r="H50" s="43">
        <v>0</v>
      </c>
      <c r="I50" s="131">
        <v>0</v>
      </c>
      <c r="J50" s="131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7"/>
    </row>
    <row r="51" spans="1:18" x14ac:dyDescent="0.3">
      <c r="A51" s="7"/>
      <c r="B51" s="7"/>
      <c r="C51" s="7"/>
      <c r="D51" s="7"/>
      <c r="E51" s="38" t="s">
        <v>44</v>
      </c>
      <c r="F51" s="7"/>
      <c r="G51" s="43">
        <v>0</v>
      </c>
      <c r="H51" s="43">
        <v>0</v>
      </c>
      <c r="I51" s="131">
        <v>0</v>
      </c>
      <c r="J51" s="131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7"/>
    </row>
    <row r="52" spans="1:18" x14ac:dyDescent="0.3">
      <c r="A52" s="7"/>
      <c r="B52" s="7"/>
      <c r="C52" s="7"/>
      <c r="D52" s="7"/>
      <c r="E52" s="38"/>
      <c r="F52" s="7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7"/>
    </row>
    <row r="53" spans="1:18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x14ac:dyDescent="0.3">
      <c r="A54" s="7"/>
      <c r="B54" s="7"/>
      <c r="C54" s="7"/>
      <c r="D54" s="7"/>
      <c r="E54" s="9" t="s">
        <v>20</v>
      </c>
      <c r="F54" s="7"/>
      <c r="G54" s="57">
        <f>SUM(G43:G51)</f>
        <v>244.23328680272931</v>
      </c>
      <c r="H54" s="57">
        <f t="shared" ref="H54:Q54" si="2">SUM(H43:H51)</f>
        <v>230.99448002156535</v>
      </c>
      <c r="I54" s="57">
        <f t="shared" si="2"/>
        <v>209.35899845411399</v>
      </c>
      <c r="J54" s="57">
        <f t="shared" si="2"/>
        <v>177.58085867642907</v>
      </c>
      <c r="K54" s="57">
        <f t="shared" si="2"/>
        <v>185.89875457914374</v>
      </c>
      <c r="L54" s="57">
        <f t="shared" si="2"/>
        <v>221.29857204228847</v>
      </c>
      <c r="M54" s="57">
        <f t="shared" si="2"/>
        <v>297.51928631169716</v>
      </c>
      <c r="N54" s="57">
        <f t="shared" si="2"/>
        <v>289.18974398754989</v>
      </c>
      <c r="O54" s="57">
        <f t="shared" si="2"/>
        <v>290.95951668178736</v>
      </c>
      <c r="P54" s="57">
        <f t="shared" si="2"/>
        <v>276.88878278967888</v>
      </c>
      <c r="Q54" s="57">
        <f t="shared" si="2"/>
        <v>236.39313063956297</v>
      </c>
      <c r="R54" s="7"/>
    </row>
    <row r="55" spans="1:18" x14ac:dyDescent="0.3">
      <c r="A55" s="7"/>
      <c r="B55" s="7"/>
      <c r="C55" s="7"/>
      <c r="D55" s="7"/>
      <c r="E55" s="7"/>
      <c r="F55" s="7"/>
      <c r="G55" s="61" t="e">
        <f>G54-('Calc|Consolidated Capex'!#REF!/1000*Inflation!L$26)-#REF!</f>
        <v>#REF!</v>
      </c>
      <c r="H55" s="61" t="e">
        <f>H54-('Calc|Consolidated Capex'!#REF!/1000*Inflation!M$26)-#REF!</f>
        <v>#REF!</v>
      </c>
      <c r="I55" s="61" t="e">
        <f>I54-('Calc|Consolidated Capex'!#REF!/1000*Inflation!N$26)-#REF!</f>
        <v>#REF!</v>
      </c>
      <c r="J55" s="61" t="e">
        <f>J54-('Calc|Consolidated Capex'!#REF!/1000*Inflation!O$26)-#REF!</f>
        <v>#REF!</v>
      </c>
      <c r="K55" s="61" t="e">
        <f>K54-('Calc|Consolidated Capex'!#REF!/1000*Inflation!P$26)-#REF!</f>
        <v>#REF!</v>
      </c>
      <c r="L55" s="61" t="e">
        <f>L54-'Calc|Consolidated Capex'!#REF!/1000</f>
        <v>#REF!</v>
      </c>
      <c r="M55" s="61">
        <f>M54-'Calc|Consolidated Capex'!I415/1000</f>
        <v>42.632752910289554</v>
      </c>
      <c r="N55" s="61">
        <f>N54-'Calc|Consolidated Capex'!J415/1000</f>
        <v>72.139192255709588</v>
      </c>
      <c r="O55" s="127">
        <f>O54-'Calc|Consolidated Capex'!K415/1000</f>
        <v>89.584711227985423</v>
      </c>
      <c r="P55" s="61">
        <f>P54-'Calc|Consolidated Capex'!L415/1000</f>
        <v>74.767872301835382</v>
      </c>
      <c r="Q55" s="61">
        <f>Q54-'Calc|Consolidated Capex'!M415/1000</f>
        <v>47.902374287244015</v>
      </c>
      <c r="R55" s="7"/>
    </row>
    <row r="56" spans="1:18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3">
      <c r="A57" s="55" t="s">
        <v>83</v>
      </c>
      <c r="B57" s="12"/>
      <c r="C57" s="12"/>
      <c r="D57" s="12"/>
      <c r="E57" s="12"/>
      <c r="F57" s="12"/>
      <c r="G57" s="59" t="s">
        <v>609</v>
      </c>
      <c r="H57" s="59" t="s">
        <v>609</v>
      </c>
      <c r="I57" s="59" t="s">
        <v>609</v>
      </c>
      <c r="J57" s="59" t="s">
        <v>609</v>
      </c>
      <c r="K57" s="59" t="s">
        <v>609</v>
      </c>
      <c r="L57" s="59" t="s">
        <v>609</v>
      </c>
      <c r="M57" s="59" t="s">
        <v>609</v>
      </c>
      <c r="N57" s="59" t="s">
        <v>609</v>
      </c>
      <c r="O57" s="59" t="s">
        <v>609</v>
      </c>
      <c r="P57" s="59" t="s">
        <v>609</v>
      </c>
      <c r="Q57" s="59" t="s">
        <v>609</v>
      </c>
      <c r="R57" s="12"/>
    </row>
    <row r="58" spans="1:18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3">
      <c r="A59" s="7"/>
      <c r="B59" s="7"/>
      <c r="C59" s="7"/>
      <c r="D59" s="7"/>
      <c r="E59" s="38" t="s">
        <v>59</v>
      </c>
      <c r="F59" s="7"/>
      <c r="G59" s="43">
        <v>38.067963215327396</v>
      </c>
      <c r="H59" s="43">
        <v>21.955316335985689</v>
      </c>
      <c r="I59" s="43">
        <v>27.834840890346545</v>
      </c>
      <c r="J59" s="43">
        <v>26.117126508082013</v>
      </c>
      <c r="K59" s="43">
        <v>25.323966337970106</v>
      </c>
      <c r="L59" s="43">
        <v>26.705188990984333</v>
      </c>
      <c r="M59" s="43">
        <v>42.237840473036336</v>
      </c>
      <c r="N59" s="43">
        <v>41.891584236649202</v>
      </c>
      <c r="O59" s="43">
        <v>37.283658193344593</v>
      </c>
      <c r="P59" s="43">
        <v>39.626201266620122</v>
      </c>
      <c r="Q59" s="43">
        <v>32.135028298379559</v>
      </c>
      <c r="R59" s="7"/>
    </row>
    <row r="60" spans="1:18" x14ac:dyDescent="0.3">
      <c r="A60" s="7"/>
      <c r="B60" s="7"/>
      <c r="C60" s="7"/>
      <c r="D60" s="7"/>
      <c r="E60" s="38" t="s">
        <v>28</v>
      </c>
      <c r="F60" s="7"/>
      <c r="G60" s="43">
        <v>61.006968705238535</v>
      </c>
      <c r="H60" s="43">
        <v>37.711209078694708</v>
      </c>
      <c r="I60" s="43">
        <v>28.191769214493021</v>
      </c>
      <c r="J60" s="43">
        <v>17.240741351785765</v>
      </c>
      <c r="K60" s="43">
        <v>18.36669927202432</v>
      </c>
      <c r="L60" s="43">
        <v>27.705834969803753</v>
      </c>
      <c r="M60" s="43">
        <v>33.217867595331839</v>
      </c>
      <c r="N60" s="43">
        <v>31.513185519483137</v>
      </c>
      <c r="O60" s="43">
        <v>32.665351575626453</v>
      </c>
      <c r="P60" s="43">
        <v>32.701708166045734</v>
      </c>
      <c r="Q60" s="43">
        <v>31.075750423205292</v>
      </c>
      <c r="R60" s="7"/>
    </row>
    <row r="61" spans="1:18" x14ac:dyDescent="0.3">
      <c r="A61" s="7"/>
      <c r="B61" s="7"/>
      <c r="C61" s="7"/>
      <c r="D61" s="7"/>
      <c r="E61" s="38" t="s">
        <v>29</v>
      </c>
      <c r="F61" s="7"/>
      <c r="G61" s="43">
        <v>89.024217895735759</v>
      </c>
      <c r="H61" s="43">
        <v>93.548775382383198</v>
      </c>
      <c r="I61" s="43">
        <v>75.832713634098965</v>
      </c>
      <c r="J61" s="43">
        <v>63.745888528831678</v>
      </c>
      <c r="K61" s="43">
        <v>79.051568304522121</v>
      </c>
      <c r="L61" s="43">
        <v>78.085002350335358</v>
      </c>
      <c r="M61" s="43">
        <v>97.811006740203496</v>
      </c>
      <c r="N61" s="43">
        <v>115.98468561742845</v>
      </c>
      <c r="O61" s="43">
        <v>114.31954585104961</v>
      </c>
      <c r="P61" s="43">
        <v>111.46046882441813</v>
      </c>
      <c r="Q61" s="43">
        <v>97.711163663959624</v>
      </c>
      <c r="R61" s="7"/>
    </row>
    <row r="62" spans="1:18" x14ac:dyDescent="0.3">
      <c r="A62" s="7"/>
      <c r="B62" s="7"/>
      <c r="C62" s="7"/>
      <c r="D62" s="7"/>
      <c r="E62" s="38" t="s">
        <v>38</v>
      </c>
      <c r="F62" s="7"/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7"/>
    </row>
    <row r="63" spans="1:18" x14ac:dyDescent="0.3">
      <c r="A63" s="7"/>
      <c r="B63" s="7"/>
      <c r="C63" s="7"/>
      <c r="D63" s="7"/>
      <c r="E63" s="38" t="s">
        <v>30</v>
      </c>
      <c r="F63" s="7"/>
      <c r="G63" s="43">
        <v>30.911237550779244</v>
      </c>
      <c r="H63" s="43">
        <v>25.704347497123827</v>
      </c>
      <c r="I63" s="43">
        <v>27.991796729124125</v>
      </c>
      <c r="J63" s="43">
        <v>26.793467749864991</v>
      </c>
      <c r="K63" s="43">
        <v>18.584883082803923</v>
      </c>
      <c r="L63" s="43">
        <v>32</v>
      </c>
      <c r="M63" s="43">
        <v>55.465510763382923</v>
      </c>
      <c r="N63" s="43">
        <v>37.275136349779288</v>
      </c>
      <c r="O63" s="43">
        <v>37.991316331228184</v>
      </c>
      <c r="P63" s="43">
        <v>33.520609632884678</v>
      </c>
      <c r="Q63" s="43">
        <v>22.433033755477389</v>
      </c>
      <c r="R63" s="7"/>
    </row>
    <row r="64" spans="1:18" x14ac:dyDescent="0.3">
      <c r="A64" s="7"/>
      <c r="B64" s="7"/>
      <c r="C64" s="7"/>
      <c r="D64" s="7"/>
      <c r="E64" s="38" t="s">
        <v>31</v>
      </c>
      <c r="F64" s="7"/>
      <c r="G64" s="43">
        <v>7.6625243151490006</v>
      </c>
      <c r="H64" s="43">
        <v>6.2423729030260677</v>
      </c>
      <c r="I64" s="43">
        <v>4.9450413186718745</v>
      </c>
      <c r="J64" s="43">
        <v>3.2343724846775488</v>
      </c>
      <c r="K64" s="43">
        <v>6.3106160054914859</v>
      </c>
      <c r="L64" s="43">
        <v>19.469870379017504</v>
      </c>
      <c r="M64" s="43">
        <v>21.548680073019305</v>
      </c>
      <c r="N64" s="43">
        <v>17.040333123562661</v>
      </c>
      <c r="O64" s="43">
        <v>20.066813859952067</v>
      </c>
      <c r="P64" s="43">
        <v>14.028678992128011</v>
      </c>
      <c r="Q64" s="43">
        <v>11.45335066364758</v>
      </c>
      <c r="R64" s="7"/>
    </row>
    <row r="65" spans="1:18" x14ac:dyDescent="0.3">
      <c r="A65" s="7"/>
      <c r="B65" s="7"/>
      <c r="C65" s="7"/>
      <c r="D65" s="7"/>
      <c r="E65" s="38" t="s">
        <v>8</v>
      </c>
      <c r="F65" s="7"/>
      <c r="G65" s="43">
        <v>1.2961716201610907E-2</v>
      </c>
      <c r="H65" s="43">
        <v>3.8663537976940257E-3</v>
      </c>
      <c r="I65" s="43">
        <v>1.3798477687701088E-3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7"/>
    </row>
    <row r="66" spans="1:18" x14ac:dyDescent="0.3">
      <c r="A66" s="7"/>
      <c r="B66" s="7"/>
      <c r="C66" s="7"/>
      <c r="D66" s="7"/>
      <c r="E66" s="38" t="s">
        <v>514</v>
      </c>
      <c r="F66" s="7"/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7"/>
    </row>
    <row r="67" spans="1:18" x14ac:dyDescent="0.3">
      <c r="A67" s="7"/>
      <c r="B67" s="7"/>
      <c r="C67" s="7"/>
      <c r="D67" s="7"/>
      <c r="E67" s="38" t="s">
        <v>44</v>
      </c>
      <c r="F67" s="7"/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7"/>
    </row>
    <row r="68" spans="1:18" x14ac:dyDescent="0.3">
      <c r="A68" s="7"/>
      <c r="B68" s="7"/>
      <c r="C68" s="7"/>
      <c r="D68" s="7"/>
      <c r="E68" s="38"/>
      <c r="F68" s="7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7"/>
    </row>
    <row r="69" spans="1:18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3">
      <c r="A70" s="7"/>
      <c r="B70" s="7"/>
      <c r="C70" s="7"/>
      <c r="D70" s="7"/>
      <c r="E70" s="9" t="s">
        <v>20</v>
      </c>
      <c r="F70" s="7"/>
      <c r="G70" s="57">
        <f>SUM(G59:G67)</f>
        <v>226.68587339843154</v>
      </c>
      <c r="H70" s="57">
        <f>SUM(H59:H67)</f>
        <v>185.1658875510112</v>
      </c>
      <c r="I70" s="57">
        <f t="shared" ref="I70:Q70" si="3">SUM(I59:I67)</f>
        <v>164.79754163450332</v>
      </c>
      <c r="J70" s="57">
        <f t="shared" si="3"/>
        <v>137.13159662324199</v>
      </c>
      <c r="K70" s="57">
        <f t="shared" si="3"/>
        <v>147.63773300281196</v>
      </c>
      <c r="L70" s="57">
        <f t="shared" si="3"/>
        <v>183.96589669014094</v>
      </c>
      <c r="M70" s="57">
        <f t="shared" si="3"/>
        <v>250.28090564497393</v>
      </c>
      <c r="N70" s="57">
        <f t="shared" si="3"/>
        <v>243.70492484690277</v>
      </c>
      <c r="O70" s="57">
        <f t="shared" si="3"/>
        <v>242.32668581120092</v>
      </c>
      <c r="P70" s="57">
        <f t="shared" si="3"/>
        <v>231.3376668820967</v>
      </c>
      <c r="Q70" s="57">
        <f t="shared" si="3"/>
        <v>194.80832680466943</v>
      </c>
      <c r="R70" s="7"/>
    </row>
    <row r="71" spans="1:18" s="7" customFormat="1" x14ac:dyDescent="0.3">
      <c r="G71" s="61">
        <f>G54-G22-G70</f>
        <v>0</v>
      </c>
      <c r="H71" s="61">
        <f t="shared" ref="H71:Q71" si="4">H54-H22-H70</f>
        <v>0</v>
      </c>
      <c r="I71" s="61">
        <f t="shared" si="4"/>
        <v>0</v>
      </c>
      <c r="J71" s="61">
        <f t="shared" si="4"/>
        <v>0</v>
      </c>
      <c r="K71" s="61">
        <f t="shared" si="4"/>
        <v>0</v>
      </c>
      <c r="L71" s="61">
        <f t="shared" si="4"/>
        <v>0</v>
      </c>
      <c r="M71" s="61">
        <f t="shared" si="4"/>
        <v>0</v>
      </c>
      <c r="N71" s="61">
        <f t="shared" si="4"/>
        <v>0</v>
      </c>
      <c r="O71" s="61">
        <f t="shared" si="4"/>
        <v>0</v>
      </c>
      <c r="P71" s="61">
        <f t="shared" si="4"/>
        <v>0</v>
      </c>
      <c r="Q71" s="61">
        <f t="shared" si="4"/>
        <v>0</v>
      </c>
    </row>
    <row r="72" spans="1:18" s="7" customFormat="1" x14ac:dyDescent="0.3"/>
    <row r="73" spans="1:18" x14ac:dyDescent="0.3">
      <c r="A73" s="21" t="s">
        <v>90</v>
      </c>
      <c r="B73" s="21"/>
      <c r="C73" s="14"/>
      <c r="D73" s="23"/>
      <c r="E73" s="24"/>
      <c r="F73" s="2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24"/>
    </row>
    <row r="74" spans="1:18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3">
      <c r="A75" s="55" t="s">
        <v>58</v>
      </c>
      <c r="B75" s="12"/>
      <c r="C75" s="12"/>
      <c r="D75" s="12"/>
      <c r="E75" s="12"/>
      <c r="F75" s="12"/>
      <c r="G75" s="59" t="s">
        <v>609</v>
      </c>
      <c r="H75" s="59" t="s">
        <v>609</v>
      </c>
      <c r="I75" s="59" t="s">
        <v>609</v>
      </c>
      <c r="J75" s="59" t="s">
        <v>609</v>
      </c>
      <c r="K75" s="59" t="s">
        <v>609</v>
      </c>
      <c r="L75" s="59" t="s">
        <v>609</v>
      </c>
      <c r="M75" s="59" t="s">
        <v>609</v>
      </c>
      <c r="N75" s="59" t="s">
        <v>609</v>
      </c>
      <c r="O75" s="59" t="s">
        <v>609</v>
      </c>
      <c r="P75" s="59" t="s">
        <v>609</v>
      </c>
      <c r="Q75" s="59" t="s">
        <v>609</v>
      </c>
      <c r="R75" s="12"/>
    </row>
    <row r="76" spans="1:18" x14ac:dyDescent="0.3">
      <c r="A76" s="7"/>
      <c r="B76" s="7"/>
      <c r="C76" s="7"/>
      <c r="D76" s="7"/>
      <c r="E76" s="7"/>
      <c r="F76" s="7"/>
      <c r="G76" s="7" t="s">
        <v>50</v>
      </c>
      <c r="H76" s="7" t="s">
        <v>50</v>
      </c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x14ac:dyDescent="0.3">
      <c r="A77" s="7"/>
      <c r="B77" s="7"/>
      <c r="C77" s="7"/>
      <c r="D77" s="7"/>
      <c r="E77" s="38" t="s">
        <v>59</v>
      </c>
      <c r="F77" s="7"/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7"/>
    </row>
    <row r="78" spans="1:18" x14ac:dyDescent="0.3">
      <c r="A78" s="7"/>
      <c r="B78" s="7"/>
      <c r="C78" s="7"/>
      <c r="D78" s="7"/>
      <c r="E78" s="38" t="s">
        <v>28</v>
      </c>
      <c r="F78" s="7"/>
      <c r="G78" s="43">
        <v>17.547413404297771</v>
      </c>
      <c r="H78" s="43">
        <v>45.828592470554156</v>
      </c>
      <c r="I78" s="43">
        <v>44.561456819610669</v>
      </c>
      <c r="J78" s="43">
        <v>40.44926205318707</v>
      </c>
      <c r="K78" s="43">
        <v>38.261021576331821</v>
      </c>
      <c r="L78" s="43">
        <v>37.332675352147554</v>
      </c>
      <c r="M78" s="43">
        <v>47.984081811788649</v>
      </c>
      <c r="N78" s="43">
        <v>47.037092563624391</v>
      </c>
      <c r="O78" s="43">
        <v>51.194416554125652</v>
      </c>
      <c r="P78" s="43">
        <v>48.681103601338371</v>
      </c>
      <c r="Q78" s="43">
        <v>45.072911416872628</v>
      </c>
      <c r="R78" s="7"/>
    </row>
    <row r="79" spans="1:18" x14ac:dyDescent="0.3">
      <c r="A79" s="7"/>
      <c r="B79" s="7"/>
      <c r="C79" s="7"/>
      <c r="D79" s="7"/>
      <c r="E79" s="38" t="s">
        <v>29</v>
      </c>
      <c r="F79" s="7"/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7"/>
    </row>
    <row r="80" spans="1:18" x14ac:dyDescent="0.3">
      <c r="A80" s="7"/>
      <c r="B80" s="7"/>
      <c r="C80" s="7"/>
      <c r="D80" s="7"/>
      <c r="E80" s="38" t="s">
        <v>38</v>
      </c>
      <c r="F80" s="7"/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7"/>
    </row>
    <row r="81" spans="1:18" x14ac:dyDescent="0.3">
      <c r="A81" s="7"/>
      <c r="B81" s="7"/>
      <c r="C81" s="7"/>
      <c r="D81" s="7"/>
      <c r="E81" s="38" t="s">
        <v>30</v>
      </c>
      <c r="F81" s="7"/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7"/>
    </row>
    <row r="82" spans="1:18" x14ac:dyDescent="0.3">
      <c r="A82" s="7"/>
      <c r="B82" s="7"/>
      <c r="C82" s="7"/>
      <c r="D82" s="7"/>
      <c r="E82" s="38" t="s">
        <v>31</v>
      </c>
      <c r="F82" s="7"/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7"/>
    </row>
    <row r="83" spans="1:18" x14ac:dyDescent="0.3">
      <c r="A83" s="7"/>
      <c r="B83" s="7"/>
      <c r="C83" s="7"/>
      <c r="D83" s="7"/>
      <c r="E83" s="38" t="s">
        <v>8</v>
      </c>
      <c r="F83" s="7"/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7"/>
    </row>
    <row r="84" spans="1:18" x14ac:dyDescent="0.3">
      <c r="A84" s="7"/>
      <c r="B84" s="7"/>
      <c r="C84" s="7"/>
      <c r="D84" s="7"/>
      <c r="E84" s="38" t="s">
        <v>514</v>
      </c>
      <c r="F84" s="7"/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7"/>
    </row>
    <row r="85" spans="1:18" x14ac:dyDescent="0.3">
      <c r="A85" s="7"/>
      <c r="B85" s="7"/>
      <c r="C85" s="7"/>
      <c r="D85" s="7"/>
      <c r="E85" s="38" t="s">
        <v>44</v>
      </c>
      <c r="F85" s="7"/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7"/>
    </row>
    <row r="86" spans="1:18" x14ac:dyDescent="0.3">
      <c r="A86" s="7"/>
      <c r="B86" s="7"/>
      <c r="C86" s="7"/>
      <c r="D86" s="7"/>
      <c r="E86" s="38"/>
      <c r="F86" s="7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7"/>
    </row>
    <row r="87" spans="1:18" x14ac:dyDescent="0.3">
      <c r="A87" s="7"/>
      <c r="B87" s="7"/>
      <c r="C87" s="7"/>
      <c r="D87" s="7"/>
      <c r="E87" s="7"/>
      <c r="F87" s="7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7"/>
    </row>
    <row r="88" spans="1:18" x14ac:dyDescent="0.3">
      <c r="A88" s="7"/>
      <c r="B88" s="7"/>
      <c r="C88" s="7"/>
      <c r="D88" s="7"/>
      <c r="E88" s="9" t="s">
        <v>20</v>
      </c>
      <c r="F88" s="7"/>
      <c r="G88" s="57">
        <f t="shared" ref="G88:Q88" si="5">SUM(G77:G85)</f>
        <v>17.547413404297771</v>
      </c>
      <c r="H88" s="57">
        <f t="shared" si="5"/>
        <v>45.828592470554156</v>
      </c>
      <c r="I88" s="57">
        <f t="shared" si="5"/>
        <v>44.561456819610669</v>
      </c>
      <c r="J88" s="57">
        <f t="shared" si="5"/>
        <v>40.44926205318707</v>
      </c>
      <c r="K88" s="57">
        <f t="shared" si="5"/>
        <v>38.261021576331821</v>
      </c>
      <c r="L88" s="57">
        <f t="shared" si="5"/>
        <v>37.332675352147554</v>
      </c>
      <c r="M88" s="57">
        <f t="shared" si="5"/>
        <v>47.984081811788649</v>
      </c>
      <c r="N88" s="57">
        <f t="shared" si="5"/>
        <v>47.037092563624391</v>
      </c>
      <c r="O88" s="57">
        <f t="shared" si="5"/>
        <v>51.194416554125652</v>
      </c>
      <c r="P88" s="57">
        <f t="shared" si="5"/>
        <v>48.681103601338371</v>
      </c>
      <c r="Q88" s="57">
        <f t="shared" si="5"/>
        <v>45.072911416872628</v>
      </c>
      <c r="R88" s="7"/>
    </row>
    <row r="89" spans="1:18" x14ac:dyDescent="0.3">
      <c r="A89" s="7"/>
      <c r="B89" s="7"/>
      <c r="C89" s="7"/>
      <c r="D89" s="7"/>
      <c r="E89" s="7"/>
      <c r="F89" s="7"/>
      <c r="G89" s="61">
        <f>G88-G22</f>
        <v>0</v>
      </c>
      <c r="H89" s="61">
        <f t="shared" ref="H89:I89" si="6">H88-H22</f>
        <v>0</v>
      </c>
      <c r="I89" s="61">
        <f t="shared" si="6"/>
        <v>0</v>
      </c>
      <c r="J89" s="61">
        <f>J88-J22*(1+Inflation!O86)</f>
        <v>0</v>
      </c>
      <c r="K89" s="61">
        <f>K88-K22*(1+Inflation!P86)</f>
        <v>0</v>
      </c>
      <c r="L89" s="61">
        <f>L88-L22*(1+Inflation!Q86)</f>
        <v>0</v>
      </c>
      <c r="M89" s="61">
        <f>M88-M22*(1+Inflation!R86)</f>
        <v>0.45394928663652934</v>
      </c>
      <c r="N89" s="61">
        <f>N88-N22*(1+Inflation!S86)</f>
        <v>1.0839814956376586</v>
      </c>
      <c r="O89" s="61">
        <f>O88-O22*(1+Inflation!T86)</f>
        <v>1.875516235897166</v>
      </c>
      <c r="P89" s="61">
        <f>P88-P22*(1+Inflation!U86)</f>
        <v>2.2772562772371572</v>
      </c>
      <c r="Q89" s="61">
        <f>Q88-Q22*(1+Inflation!V86)</f>
        <v>2.4588461520125904</v>
      </c>
      <c r="R89" s="7"/>
    </row>
    <row r="90" spans="1:18" s="7" customFormat="1" x14ac:dyDescent="0.3"/>
    <row r="91" spans="1:18" s="7" customFormat="1" x14ac:dyDescent="0.3">
      <c r="A91" s="55" t="s">
        <v>54</v>
      </c>
      <c r="B91" s="12"/>
      <c r="C91" s="12"/>
      <c r="D91" s="12"/>
      <c r="E91" s="12"/>
      <c r="F91" s="12"/>
      <c r="G91" s="59" t="s">
        <v>609</v>
      </c>
      <c r="H91" s="59" t="s">
        <v>609</v>
      </c>
      <c r="I91" s="59" t="s">
        <v>609</v>
      </c>
      <c r="J91" s="59" t="s">
        <v>609</v>
      </c>
      <c r="K91" s="59" t="s">
        <v>609</v>
      </c>
      <c r="L91" s="59" t="s">
        <v>609</v>
      </c>
      <c r="M91" s="59" t="s">
        <v>609</v>
      </c>
      <c r="N91" s="59" t="s">
        <v>609</v>
      </c>
      <c r="O91" s="59" t="s">
        <v>609</v>
      </c>
      <c r="P91" s="59" t="s">
        <v>609</v>
      </c>
      <c r="Q91" s="59" t="s">
        <v>609</v>
      </c>
      <c r="R91" s="12"/>
    </row>
    <row r="92" spans="1:18" s="7" customFormat="1" x14ac:dyDescent="0.3"/>
    <row r="93" spans="1:18" s="7" customFormat="1" x14ac:dyDescent="0.3">
      <c r="E93" s="38" t="s">
        <v>59</v>
      </c>
      <c r="G93" s="43">
        <v>34.520363470830574</v>
      </c>
      <c r="H93" s="43">
        <v>19.486030746113229</v>
      </c>
      <c r="I93" s="43">
        <v>25.253755220980342</v>
      </c>
      <c r="J93" s="43">
        <v>22.236201177237373</v>
      </c>
      <c r="K93" s="43">
        <v>22.181432199733663</v>
      </c>
      <c r="L93" s="43">
        <v>23.262636700141748</v>
      </c>
      <c r="M93" s="129">
        <v>38.508813581069383</v>
      </c>
      <c r="N93" s="129">
        <v>38.978508346847633</v>
      </c>
      <c r="O93" s="129">
        <v>35.13722586838135</v>
      </c>
      <c r="P93" s="129">
        <v>37.729116657612963</v>
      </c>
      <c r="Q93" s="129">
        <v>30.505658880462381</v>
      </c>
    </row>
    <row r="94" spans="1:18" s="7" customFormat="1" x14ac:dyDescent="0.3">
      <c r="E94" s="38" t="s">
        <v>28</v>
      </c>
      <c r="G94" s="43">
        <v>71.209575472911737</v>
      </c>
      <c r="H94" s="43">
        <v>74.131187570180373</v>
      </c>
      <c r="I94" s="43">
        <v>66.003677881566688</v>
      </c>
      <c r="J94" s="43">
        <v>49.11744487784739</v>
      </c>
      <c r="K94" s="43">
        <v>49.677084385791709</v>
      </c>
      <c r="L94" s="43">
        <v>56.654429131684857</v>
      </c>
      <c r="M94" s="43">
        <v>73.612243359166555</v>
      </c>
      <c r="N94" s="43">
        <v>72.203856414727895</v>
      </c>
      <c r="O94" s="43">
        <v>77.535839118889569</v>
      </c>
      <c r="P94" s="43">
        <v>75.64664036214468</v>
      </c>
      <c r="Q94" s="43">
        <v>70.241227549076456</v>
      </c>
    </row>
    <row r="95" spans="1:18" s="7" customFormat="1" x14ac:dyDescent="0.3">
      <c r="E95" s="38" t="s">
        <v>29</v>
      </c>
      <c r="G95" s="43">
        <v>80.700485357057431</v>
      </c>
      <c r="H95" s="43">
        <v>83.012907455182628</v>
      </c>
      <c r="I95" s="43">
        <v>68.79747162337398</v>
      </c>
      <c r="J95" s="43">
        <v>54.273443945305822</v>
      </c>
      <c r="K95" s="43">
        <v>68.853266538403602</v>
      </c>
      <c r="L95" s="43">
        <v>68.019104527543448</v>
      </c>
      <c r="M95" s="129">
        <v>89.256402399113952</v>
      </c>
      <c r="N95" s="129">
        <v>108.12173954762108</v>
      </c>
      <c r="O95" s="129">
        <v>108.03988040581547</v>
      </c>
      <c r="P95" s="129">
        <v>106.51177297424752</v>
      </c>
      <c r="Q95" s="129">
        <v>93.147699402115947</v>
      </c>
    </row>
    <row r="96" spans="1:18" s="7" customFormat="1" x14ac:dyDescent="0.3">
      <c r="E96" s="38" t="s">
        <v>38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</row>
    <row r="97" spans="1:18" s="7" customFormat="1" x14ac:dyDescent="0.3">
      <c r="E97" s="38" t="s">
        <v>30</v>
      </c>
      <c r="G97" s="43">
        <v>30.911237550779244</v>
      </c>
      <c r="H97" s="43">
        <v>25.704347497123827</v>
      </c>
      <c r="I97" s="43">
        <v>27.991796729124125</v>
      </c>
      <c r="J97" s="43">
        <v>26.793467749864991</v>
      </c>
      <c r="K97" s="43">
        <v>17.893212030182454</v>
      </c>
      <c r="L97" s="43">
        <v>32</v>
      </c>
      <c r="M97" s="43">
        <v>56.262617582870924</v>
      </c>
      <c r="N97" s="43">
        <v>38.431417151463961</v>
      </c>
      <c r="O97" s="43">
        <v>39.809519360348439</v>
      </c>
      <c r="P97" s="43">
        <v>35.614308745686792</v>
      </c>
      <c r="Q97" s="43">
        <v>24.143290087472177</v>
      </c>
    </row>
    <row r="98" spans="1:18" s="7" customFormat="1" x14ac:dyDescent="0.3">
      <c r="E98" s="137" t="s">
        <v>31</v>
      </c>
      <c r="G98" s="43">
        <v>7.6625243151490006</v>
      </c>
      <c r="H98" s="43">
        <v>6.2423729030260677</v>
      </c>
      <c r="I98" s="43">
        <v>4.9450413186718745</v>
      </c>
      <c r="J98" s="43">
        <v>3.2343724846775488</v>
      </c>
      <c r="K98" s="43">
        <v>6.3014744809331198</v>
      </c>
      <c r="L98" s="43">
        <v>19.469870379017504</v>
      </c>
      <c r="M98" s="129">
        <v>21.664504293879897</v>
      </c>
      <c r="N98" s="129">
        <v>17.256151752900625</v>
      </c>
      <c r="O98" s="129">
        <v>20.340164385330336</v>
      </c>
      <c r="P98" s="129">
        <v>14.331804133337414</v>
      </c>
      <c r="Q98" s="129">
        <v>11.810931402694575</v>
      </c>
    </row>
    <row r="99" spans="1:18" s="7" customFormat="1" x14ac:dyDescent="0.3">
      <c r="E99" s="38" t="s">
        <v>8</v>
      </c>
      <c r="G99" s="43">
        <v>8.5971307812593547E-6</v>
      </c>
      <c r="H99" s="43">
        <v>1.3758128554108533E-5</v>
      </c>
      <c r="I99" s="43">
        <v>1.0793154937523653E-5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</row>
    <row r="100" spans="1:18" s="7" customFormat="1" x14ac:dyDescent="0.3">
      <c r="E100" s="38" t="s">
        <v>514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</row>
    <row r="101" spans="1:18" s="7" customFormat="1" x14ac:dyDescent="0.3">
      <c r="E101" s="38" t="s">
        <v>44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</row>
    <row r="102" spans="1:18" s="7" customFormat="1" x14ac:dyDescent="0.3">
      <c r="E102" s="38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</row>
    <row r="103" spans="1:18" s="7" customFormat="1" x14ac:dyDescent="0.3"/>
    <row r="104" spans="1:18" s="7" customFormat="1" x14ac:dyDescent="0.3">
      <c r="E104" s="9" t="s">
        <v>20</v>
      </c>
      <c r="G104" s="57">
        <f>SUM(G93:G101)</f>
        <v>225.00419476385878</v>
      </c>
      <c r="H104" s="57">
        <f>SUM(H93:H101)</f>
        <v>208.57685992975468</v>
      </c>
      <c r="I104" s="57">
        <f t="shared" ref="I104:Q104" si="7">SUM(I93:I101)</f>
        <v>192.99175356687195</v>
      </c>
      <c r="J104" s="57">
        <f t="shared" si="7"/>
        <v>155.65493023493312</v>
      </c>
      <c r="K104" s="57">
        <f t="shared" si="7"/>
        <v>164.90646963504452</v>
      </c>
      <c r="L104" s="57">
        <f t="shared" si="7"/>
        <v>199.40604073838756</v>
      </c>
      <c r="M104" s="57">
        <f t="shared" si="7"/>
        <v>279.3045812161007</v>
      </c>
      <c r="N104" s="57">
        <f t="shared" si="7"/>
        <v>274.99167321356117</v>
      </c>
      <c r="O104" s="57">
        <f t="shared" si="7"/>
        <v>280.86262913876516</v>
      </c>
      <c r="P104" s="57">
        <f t="shared" si="7"/>
        <v>269.83364287302936</v>
      </c>
      <c r="Q104" s="57">
        <f t="shared" si="7"/>
        <v>229.84880732182151</v>
      </c>
    </row>
    <row r="105" spans="1:18" s="7" customFormat="1" x14ac:dyDescent="0.3"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1:18" s="7" customFormat="1" x14ac:dyDescent="0.3"/>
    <row r="107" spans="1:18" s="7" customFormat="1" x14ac:dyDescent="0.3">
      <c r="A107" s="55" t="s">
        <v>56</v>
      </c>
      <c r="B107" s="12"/>
      <c r="C107" s="12"/>
      <c r="D107" s="12"/>
      <c r="E107" s="12"/>
      <c r="F107" s="12"/>
      <c r="G107" s="59" t="s">
        <v>609</v>
      </c>
      <c r="H107" s="59" t="s">
        <v>609</v>
      </c>
      <c r="I107" s="59" t="s">
        <v>609</v>
      </c>
      <c r="J107" s="59" t="s">
        <v>609</v>
      </c>
      <c r="K107" s="59" t="s">
        <v>609</v>
      </c>
      <c r="L107" s="59" t="s">
        <v>609</v>
      </c>
      <c r="M107" s="59" t="s">
        <v>609</v>
      </c>
      <c r="N107" s="59" t="s">
        <v>609</v>
      </c>
      <c r="O107" s="59" t="s">
        <v>609</v>
      </c>
      <c r="P107" s="59" t="s">
        <v>609</v>
      </c>
      <c r="Q107" s="59" t="s">
        <v>609</v>
      </c>
      <c r="R107" s="12"/>
    </row>
    <row r="108" spans="1:18" s="7" customFormat="1" x14ac:dyDescent="0.3"/>
    <row r="109" spans="1:18" s="7" customFormat="1" x14ac:dyDescent="0.3">
      <c r="E109" s="38" t="s">
        <v>59</v>
      </c>
      <c r="G109" s="43">
        <v>38.067963215327396</v>
      </c>
      <c r="H109" s="43">
        <v>21.955316335985689</v>
      </c>
      <c r="I109" s="43">
        <v>27.834840890346545</v>
      </c>
      <c r="J109" s="43">
        <v>26.117126508082013</v>
      </c>
      <c r="K109" s="43">
        <v>25.323966337970106</v>
      </c>
      <c r="L109" s="43">
        <v>26.838142427646257</v>
      </c>
      <c r="M109" s="43">
        <v>42.94010854412479</v>
      </c>
      <c r="N109" s="43">
        <v>43.177901061025594</v>
      </c>
      <c r="O109" s="43">
        <v>38.970306051222437</v>
      </c>
      <c r="P109" s="43">
        <v>41.937637794613821</v>
      </c>
      <c r="Q109" s="43">
        <v>34.438529415351141</v>
      </c>
    </row>
    <row r="110" spans="1:18" s="7" customFormat="1" x14ac:dyDescent="0.3">
      <c r="E110" s="38" t="s">
        <v>28</v>
      </c>
      <c r="G110" s="43">
        <v>78.554382109536306</v>
      </c>
      <c r="H110" s="43">
        <v>83.539801549248864</v>
      </c>
      <c r="I110" s="43">
        <v>72.75322603410369</v>
      </c>
      <c r="J110" s="43">
        <v>57.690003404972835</v>
      </c>
      <c r="K110" s="43">
        <v>56.627720848356141</v>
      </c>
      <c r="L110" s="43">
        <v>65.362308572006569</v>
      </c>
      <c r="M110" s="43">
        <v>82.082968185055236</v>
      </c>
      <c r="N110" s="43">
        <v>79.982818756371273</v>
      </c>
      <c r="O110" s="43">
        <v>85.994136011758698</v>
      </c>
      <c r="P110" s="43">
        <v>84.084698634122532</v>
      </c>
      <c r="Q110" s="43">
        <v>79.29691309400026</v>
      </c>
    </row>
    <row r="111" spans="1:18" s="7" customFormat="1" x14ac:dyDescent="0.3">
      <c r="E111" s="38" t="s">
        <v>29</v>
      </c>
      <c r="G111" s="43">
        <v>89.024217895735759</v>
      </c>
      <c r="H111" s="43">
        <v>93.548775382383198</v>
      </c>
      <c r="I111" s="43">
        <v>75.832713634098965</v>
      </c>
      <c r="J111" s="43">
        <v>63.745888528831678</v>
      </c>
      <c r="K111" s="43">
        <v>79.051568304522121</v>
      </c>
      <c r="L111" s="43">
        <v>78.47375336863881</v>
      </c>
      <c r="M111" s="43">
        <v>99.527335455490316</v>
      </c>
      <c r="N111" s="43">
        <v>119.7703547604002</v>
      </c>
      <c r="O111" s="43">
        <v>119.82582862185572</v>
      </c>
      <c r="P111" s="43">
        <v>118.39270440366407</v>
      </c>
      <c r="Q111" s="43">
        <v>105.15654811463733</v>
      </c>
    </row>
    <row r="112" spans="1:18" s="7" customFormat="1" x14ac:dyDescent="0.3">
      <c r="E112" s="38" t="s">
        <v>38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</row>
    <row r="113" spans="1:18" s="7" customFormat="1" x14ac:dyDescent="0.3">
      <c r="E113" s="38" t="s">
        <v>30</v>
      </c>
      <c r="G113" s="43">
        <v>30.911237550779244</v>
      </c>
      <c r="H113" s="43">
        <v>25.704347497123827</v>
      </c>
      <c r="I113" s="43">
        <v>27.991796729124125</v>
      </c>
      <c r="J113" s="43">
        <v>26.793467749864991</v>
      </c>
      <c r="K113" s="43">
        <v>18.584883082803923</v>
      </c>
      <c r="L113" s="43">
        <v>32</v>
      </c>
      <c r="M113" s="43">
        <v>56.262617582870924</v>
      </c>
      <c r="N113" s="43">
        <v>38.431417151463961</v>
      </c>
      <c r="O113" s="43">
        <v>39.809519360348439</v>
      </c>
      <c r="P113" s="43">
        <v>35.614308745686792</v>
      </c>
      <c r="Q113" s="43">
        <v>24.143290087472177</v>
      </c>
    </row>
    <row r="114" spans="1:18" s="7" customFormat="1" x14ac:dyDescent="0.3">
      <c r="E114" s="38" t="s">
        <v>31</v>
      </c>
      <c r="G114" s="43">
        <v>7.6625243151490006</v>
      </c>
      <c r="H114" s="43">
        <v>6.2423729030260677</v>
      </c>
      <c r="I114" s="43">
        <v>4.9450413186718745</v>
      </c>
      <c r="J114" s="43">
        <v>3.2343724846775488</v>
      </c>
      <c r="K114" s="43">
        <v>6.3106160054914859</v>
      </c>
      <c r="L114" s="43">
        <v>19.469870379017504</v>
      </c>
      <c r="M114" s="43">
        <v>21.664504293879897</v>
      </c>
      <c r="N114" s="43">
        <v>17.256151752900625</v>
      </c>
      <c r="O114" s="43">
        <v>20.340164385330336</v>
      </c>
      <c r="P114" s="43">
        <v>14.331804133337414</v>
      </c>
      <c r="Q114" s="43">
        <v>11.810931402694575</v>
      </c>
    </row>
    <row r="115" spans="1:18" s="7" customFormat="1" x14ac:dyDescent="0.3">
      <c r="E115" s="38" t="s">
        <v>8</v>
      </c>
      <c r="G115" s="43">
        <v>1.2961716201610907E-2</v>
      </c>
      <c r="H115" s="43">
        <v>3.8663537976940257E-3</v>
      </c>
      <c r="I115" s="43">
        <v>1.3798477687701088E-3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</row>
    <row r="116" spans="1:18" s="7" customFormat="1" x14ac:dyDescent="0.3">
      <c r="E116" s="38" t="s">
        <v>514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</row>
    <row r="117" spans="1:18" s="7" customFormat="1" x14ac:dyDescent="0.3">
      <c r="E117" s="38" t="s">
        <v>44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</row>
    <row r="118" spans="1:18" s="7" customFormat="1" x14ac:dyDescent="0.3">
      <c r="E118" s="38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</row>
    <row r="119" spans="1:18" s="7" customFormat="1" x14ac:dyDescent="0.3"/>
    <row r="120" spans="1:18" s="7" customFormat="1" x14ac:dyDescent="0.3">
      <c r="E120" s="9" t="s">
        <v>20</v>
      </c>
      <c r="G120" s="57">
        <f>SUM(G109:G117)</f>
        <v>244.23328680272931</v>
      </c>
      <c r="H120" s="57">
        <f>SUM(H109:H117)</f>
        <v>230.99448002156535</v>
      </c>
      <c r="I120" s="57">
        <f t="shared" ref="I120:Q120" si="8">SUM(I109:I117)</f>
        <v>209.35899845411399</v>
      </c>
      <c r="J120" s="57">
        <f t="shared" si="8"/>
        <v>177.58085867642907</v>
      </c>
      <c r="K120" s="57">
        <f t="shared" si="8"/>
        <v>185.89875457914374</v>
      </c>
      <c r="L120" s="57">
        <f t="shared" si="8"/>
        <v>222.14407474730913</v>
      </c>
      <c r="M120" s="57">
        <f t="shared" si="8"/>
        <v>302.47753406142112</v>
      </c>
      <c r="N120" s="57">
        <f t="shared" si="8"/>
        <v>298.61864348216164</v>
      </c>
      <c r="O120" s="57">
        <f t="shared" si="8"/>
        <v>304.93995443051563</v>
      </c>
      <c r="P120" s="57">
        <f t="shared" si="8"/>
        <v>294.36115371142461</v>
      </c>
      <c r="Q120" s="57">
        <f t="shared" si="8"/>
        <v>254.84621211415546</v>
      </c>
    </row>
    <row r="121" spans="1:18" s="7" customFormat="1" x14ac:dyDescent="0.3">
      <c r="G121" s="61" t="e">
        <f>G120-#REF!*Inflation!L26</f>
        <v>#REF!</v>
      </c>
      <c r="H121" s="127" t="e">
        <f>H120-#REF!*Inflation!M26</f>
        <v>#REF!</v>
      </c>
      <c r="I121" s="61" t="e">
        <f>I120-#REF!*Inflation!N26</f>
        <v>#REF!</v>
      </c>
      <c r="J121" s="61" t="e">
        <f>J120-#REF!*Inflation!O26</f>
        <v>#REF!</v>
      </c>
      <c r="K121" s="127" t="e">
        <f>K120-#REF!*Inflation!P26</f>
        <v>#REF!</v>
      </c>
      <c r="L121" s="127" t="e">
        <f>L120-#REF!*Inflation!Q26</f>
        <v>#REF!</v>
      </c>
      <c r="M121" s="61">
        <f>M120-'Output|PTRM'!G27</f>
        <v>46.239371407133774</v>
      </c>
      <c r="N121" s="61">
        <f>N120-'Output|PTRM'!H27</f>
        <v>79.418811513461122</v>
      </c>
      <c r="O121" s="61">
        <f>O120-'Output|PTRM'!I27</f>
        <v>100.64414336937892</v>
      </c>
      <c r="P121" s="61">
        <f>P120-'Output|PTRM'!J27</f>
        <v>88.44149911849874</v>
      </c>
      <c r="Q121" s="61">
        <f>Q120-'Output|PTRM'!K27</f>
        <v>61.749589567996253</v>
      </c>
    </row>
    <row r="122" spans="1:18" s="7" customFormat="1" x14ac:dyDescent="0.3">
      <c r="L122" s="43"/>
      <c r="M122" s="43"/>
      <c r="N122" s="43"/>
      <c r="O122" s="43"/>
    </row>
    <row r="123" spans="1:18" s="7" customFormat="1" x14ac:dyDescent="0.3">
      <c r="A123" s="55" t="s">
        <v>83</v>
      </c>
      <c r="B123" s="12"/>
      <c r="C123" s="12"/>
      <c r="D123" s="12"/>
      <c r="E123" s="12"/>
      <c r="F123" s="12"/>
      <c r="G123" s="59" t="s">
        <v>609</v>
      </c>
      <c r="H123" s="59" t="s">
        <v>609</v>
      </c>
      <c r="I123" s="59" t="s">
        <v>609</v>
      </c>
      <c r="J123" s="59" t="s">
        <v>609</v>
      </c>
      <c r="K123" s="59" t="s">
        <v>609</v>
      </c>
      <c r="L123" s="59" t="s">
        <v>609</v>
      </c>
      <c r="M123" s="59" t="s">
        <v>609</v>
      </c>
      <c r="N123" s="59" t="s">
        <v>609</v>
      </c>
      <c r="O123" s="59" t="s">
        <v>609</v>
      </c>
      <c r="P123" s="59" t="s">
        <v>609</v>
      </c>
      <c r="Q123" s="59" t="s">
        <v>609</v>
      </c>
      <c r="R123" s="12"/>
    </row>
    <row r="124" spans="1:18" s="7" customFormat="1" x14ac:dyDescent="0.3"/>
    <row r="125" spans="1:18" s="7" customFormat="1" x14ac:dyDescent="0.3">
      <c r="E125" s="38" t="s">
        <v>59</v>
      </c>
      <c r="G125" s="43">
        <v>38.067963215327396</v>
      </c>
      <c r="H125" s="43">
        <v>21.955316335985689</v>
      </c>
      <c r="I125" s="43">
        <v>27.834840890346545</v>
      </c>
      <c r="J125" s="43">
        <v>26.117126508082013</v>
      </c>
      <c r="K125" s="101">
        <v>25.323966337970106</v>
      </c>
      <c r="L125" s="43">
        <v>26.838142427646257</v>
      </c>
      <c r="M125" s="43">
        <v>42.94010854412479</v>
      </c>
      <c r="N125" s="43">
        <v>43.177901061025594</v>
      </c>
      <c r="O125" s="43">
        <v>38.970306051222437</v>
      </c>
      <c r="P125" s="43">
        <v>41.937637794613821</v>
      </c>
      <c r="Q125" s="43">
        <v>34.438529415351141</v>
      </c>
    </row>
    <row r="126" spans="1:18" s="7" customFormat="1" x14ac:dyDescent="0.3">
      <c r="E126" s="38" t="s">
        <v>28</v>
      </c>
      <c r="G126" s="43">
        <v>61.006968705238535</v>
      </c>
      <c r="H126" s="43">
        <v>37.711209078694708</v>
      </c>
      <c r="I126" s="43">
        <v>28.191769214493021</v>
      </c>
      <c r="J126" s="43">
        <v>17.240741351785765</v>
      </c>
      <c r="K126" s="101">
        <v>18.36669927202432</v>
      </c>
      <c r="L126" s="43">
        <v>28.029633219859015</v>
      </c>
      <c r="M126" s="43">
        <v>34.098886373266588</v>
      </c>
      <c r="N126" s="43">
        <v>32.945726192746882</v>
      </c>
      <c r="O126" s="43">
        <v>34.799719457633046</v>
      </c>
      <c r="P126" s="43">
        <v>35.40359503278416</v>
      </c>
      <c r="Q126" s="43">
        <v>34.224001677127632</v>
      </c>
    </row>
    <row r="127" spans="1:18" s="7" customFormat="1" x14ac:dyDescent="0.3">
      <c r="E127" s="38" t="s">
        <v>29</v>
      </c>
      <c r="G127" s="43">
        <v>89.024217895735759</v>
      </c>
      <c r="H127" s="43">
        <v>93.548775382383198</v>
      </c>
      <c r="I127" s="43">
        <v>75.832713634098965</v>
      </c>
      <c r="J127" s="43">
        <v>63.745888528831678</v>
      </c>
      <c r="K127" s="101">
        <v>79.051568304522121</v>
      </c>
      <c r="L127" s="43">
        <v>78.47375336863881</v>
      </c>
      <c r="M127" s="43">
        <v>99.527335455490316</v>
      </c>
      <c r="N127" s="43">
        <v>119.7703547604002</v>
      </c>
      <c r="O127" s="43">
        <v>119.82582862185572</v>
      </c>
      <c r="P127" s="43">
        <v>118.39270440366407</v>
      </c>
      <c r="Q127" s="43">
        <v>105.15654811463733</v>
      </c>
    </row>
    <row r="128" spans="1:18" s="7" customFormat="1" x14ac:dyDescent="0.3">
      <c r="E128" s="38" t="s">
        <v>38</v>
      </c>
      <c r="G128" s="43">
        <v>0</v>
      </c>
      <c r="H128" s="43">
        <v>0</v>
      </c>
      <c r="I128" s="43">
        <v>0</v>
      </c>
      <c r="J128" s="43">
        <v>0</v>
      </c>
      <c r="K128" s="101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</row>
    <row r="129" spans="1:18" s="7" customFormat="1" x14ac:dyDescent="0.3">
      <c r="E129" s="38" t="s">
        <v>30</v>
      </c>
      <c r="G129" s="43">
        <v>30.911237550779244</v>
      </c>
      <c r="H129" s="43">
        <v>25.704347497123827</v>
      </c>
      <c r="I129" s="43">
        <v>27.991796729124125</v>
      </c>
      <c r="J129" s="43">
        <v>26.793467749864991</v>
      </c>
      <c r="K129" s="101">
        <v>18.584883082803923</v>
      </c>
      <c r="L129" s="101">
        <v>32</v>
      </c>
      <c r="M129" s="131">
        <v>56.262617582870924</v>
      </c>
      <c r="N129" s="43">
        <v>38.431417151463961</v>
      </c>
      <c r="O129" s="43">
        <v>39.809519360348439</v>
      </c>
      <c r="P129" s="43">
        <v>35.614308745686792</v>
      </c>
      <c r="Q129" s="43">
        <v>24.143290087472177</v>
      </c>
    </row>
    <row r="130" spans="1:18" s="7" customFormat="1" x14ac:dyDescent="0.3">
      <c r="E130" s="38" t="s">
        <v>31</v>
      </c>
      <c r="G130" s="43">
        <v>7.6625243151490006</v>
      </c>
      <c r="H130" s="43">
        <v>6.2423729030260677</v>
      </c>
      <c r="I130" s="43">
        <v>4.9450413186718745</v>
      </c>
      <c r="J130" s="43">
        <v>3.2343724846775488</v>
      </c>
      <c r="K130" s="101">
        <v>6.3106160054914859</v>
      </c>
      <c r="L130" s="43">
        <v>19.469870379017504</v>
      </c>
      <c r="M130" s="43">
        <v>21.664504293879897</v>
      </c>
      <c r="N130" s="43">
        <v>17.256151752900625</v>
      </c>
      <c r="O130" s="43">
        <v>20.340164385330336</v>
      </c>
      <c r="P130" s="43">
        <v>14.331804133337414</v>
      </c>
      <c r="Q130" s="43">
        <v>11.810931402694575</v>
      </c>
    </row>
    <row r="131" spans="1:18" s="7" customFormat="1" x14ac:dyDescent="0.3">
      <c r="E131" s="38" t="s">
        <v>8</v>
      </c>
      <c r="G131" s="43">
        <v>1.2961716201610907E-2</v>
      </c>
      <c r="H131" s="43">
        <v>3.8663537976940257E-3</v>
      </c>
      <c r="I131" s="43">
        <v>1.3798477687701088E-3</v>
      </c>
      <c r="J131" s="43">
        <v>0</v>
      </c>
      <c r="K131" s="101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</row>
    <row r="132" spans="1:18" s="7" customFormat="1" x14ac:dyDescent="0.3">
      <c r="E132" s="38" t="s">
        <v>514</v>
      </c>
      <c r="G132" s="43">
        <v>0</v>
      </c>
      <c r="H132" s="43">
        <v>0</v>
      </c>
      <c r="I132" s="43">
        <v>0</v>
      </c>
      <c r="J132" s="43">
        <v>0</v>
      </c>
      <c r="K132" s="101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</row>
    <row r="133" spans="1:18" s="7" customFormat="1" x14ac:dyDescent="0.3">
      <c r="E133" s="38" t="s">
        <v>44</v>
      </c>
      <c r="G133" s="43">
        <v>0</v>
      </c>
      <c r="H133" s="43">
        <v>0</v>
      </c>
      <c r="I133" s="43">
        <v>0</v>
      </c>
      <c r="J133" s="43">
        <v>0</v>
      </c>
      <c r="K133" s="101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</row>
    <row r="134" spans="1:18" s="7" customFormat="1" x14ac:dyDescent="0.3">
      <c r="E134" s="38"/>
      <c r="G134" s="43"/>
      <c r="H134" s="43"/>
      <c r="I134" s="43"/>
      <c r="J134" s="43"/>
      <c r="K134" s="101"/>
      <c r="L134" s="43"/>
      <c r="M134" s="43"/>
      <c r="N134" s="43"/>
      <c r="O134" s="43"/>
      <c r="P134" s="43"/>
      <c r="Q134" s="43"/>
    </row>
    <row r="135" spans="1:18" s="7" customFormat="1" x14ac:dyDescent="0.3">
      <c r="K135" s="93"/>
    </row>
    <row r="136" spans="1:18" s="7" customFormat="1" x14ac:dyDescent="0.3">
      <c r="E136" s="9" t="s">
        <v>20</v>
      </c>
      <c r="G136" s="57">
        <f>SUM(G125:G133)</f>
        <v>226.68587339843154</v>
      </c>
      <c r="H136" s="57">
        <f>SUM(H125:H133)</f>
        <v>185.1658875510112</v>
      </c>
      <c r="I136" s="57">
        <f t="shared" ref="I136:Q136" si="9">SUM(I125:I133)</f>
        <v>164.79754163450332</v>
      </c>
      <c r="J136" s="57">
        <f t="shared" si="9"/>
        <v>137.13159662324199</v>
      </c>
      <c r="K136" s="119">
        <f t="shared" si="9"/>
        <v>147.63773300281196</v>
      </c>
      <c r="L136" s="57">
        <f t="shared" si="9"/>
        <v>184.81139939516157</v>
      </c>
      <c r="M136" s="57">
        <f t="shared" si="9"/>
        <v>254.4934522496325</v>
      </c>
      <c r="N136" s="57">
        <f t="shared" si="9"/>
        <v>251.58155091853723</v>
      </c>
      <c r="O136" s="57">
        <f t="shared" si="9"/>
        <v>253.74553787638996</v>
      </c>
      <c r="P136" s="57">
        <f t="shared" si="9"/>
        <v>245.68005011008626</v>
      </c>
      <c r="Q136" s="57">
        <f t="shared" si="9"/>
        <v>209.77330069728282</v>
      </c>
    </row>
    <row r="137" spans="1:18" s="7" customFormat="1" x14ac:dyDescent="0.3">
      <c r="G137" s="61">
        <f>G120-G88-G136</f>
        <v>0</v>
      </c>
      <c r="H137" s="61">
        <f t="shared" ref="H137:Q137" si="10">H120-H88-H136</f>
        <v>0</v>
      </c>
      <c r="I137" s="61">
        <f t="shared" si="10"/>
        <v>0</v>
      </c>
      <c r="J137" s="61">
        <f t="shared" si="10"/>
        <v>0</v>
      </c>
      <c r="K137" s="61">
        <f t="shared" si="10"/>
        <v>0</v>
      </c>
      <c r="L137" s="61">
        <f t="shared" si="10"/>
        <v>0</v>
      </c>
      <c r="M137" s="61">
        <f t="shared" si="10"/>
        <v>0</v>
      </c>
      <c r="N137" s="61">
        <f t="shared" si="10"/>
        <v>0</v>
      </c>
      <c r="O137" s="61">
        <f t="shared" si="10"/>
        <v>0</v>
      </c>
      <c r="P137" s="61">
        <f t="shared" si="10"/>
        <v>0</v>
      </c>
      <c r="Q137" s="61">
        <f t="shared" si="10"/>
        <v>0</v>
      </c>
    </row>
    <row r="138" spans="1:18" s="7" customFormat="1" x14ac:dyDescent="0.3">
      <c r="M138" s="93">
        <f>M136-'Output|PTRM - proposed'!G69</f>
        <v>254.4934522496325</v>
      </c>
      <c r="N138" s="93">
        <f>N136-'Output|PTRM - proposed'!H69</f>
        <v>251.58155091853723</v>
      </c>
      <c r="O138" s="93">
        <f>O136-'Output|PTRM - proposed'!I69</f>
        <v>253.74553787638996</v>
      </c>
      <c r="P138" s="93">
        <f>P136-'Output|PTRM - proposed'!J69</f>
        <v>245.68005011008626</v>
      </c>
      <c r="Q138" s="93">
        <f>Q136-'Output|PTRM - proposed'!K69</f>
        <v>207.12384041369472</v>
      </c>
    </row>
    <row r="139" spans="1:18" s="7" customFormat="1" x14ac:dyDescent="0.3"/>
    <row r="140" spans="1:18" s="7" customFormat="1" x14ac:dyDescent="0.3">
      <c r="A140" s="21" t="s">
        <v>4</v>
      </c>
      <c r="B140" s="21"/>
      <c r="C140" s="14"/>
      <c r="D140" s="23"/>
      <c r="E140" s="24"/>
      <c r="F140" s="24"/>
      <c r="G140" s="19"/>
      <c r="H140" s="19"/>
      <c r="I140" s="19"/>
      <c r="J140" s="19"/>
      <c r="K140" s="24"/>
      <c r="L140" s="24"/>
      <c r="M140" s="20"/>
      <c r="N140" s="20"/>
      <c r="O140" s="20"/>
      <c r="P140" s="20"/>
      <c r="Q140" s="20"/>
      <c r="R140" s="20"/>
    </row>
    <row r="141" spans="1:18" s="7" customFormat="1" x14ac:dyDescent="0.3"/>
    <row r="142" spans="1:18" s="7" customFormat="1" x14ac:dyDescent="0.3"/>
    <row r="143" spans="1:18" s="7" customFormat="1" hidden="1" x14ac:dyDescent="0.3"/>
    <row r="144" spans="1:18" s="7" customFormat="1" hidden="1" x14ac:dyDescent="0.3"/>
    <row r="145" s="7" customFormat="1" hidden="1" x14ac:dyDescent="0.3"/>
    <row r="146" s="7" customFormat="1" hidden="1" x14ac:dyDescent="0.3"/>
    <row r="147" s="7" customFormat="1" hidden="1" x14ac:dyDescent="0.3"/>
    <row r="148" s="7" customFormat="1" hidden="1" x14ac:dyDescent="0.3"/>
    <row r="149" s="7" customFormat="1" hidden="1" x14ac:dyDescent="0.3"/>
    <row r="150" s="7" customFormat="1" hidden="1" x14ac:dyDescent="0.3"/>
    <row r="151" s="7" customFormat="1" hidden="1" x14ac:dyDescent="0.3"/>
    <row r="152" s="7" customFormat="1" hidden="1" x14ac:dyDescent="0.3"/>
    <row r="153" s="7" customFormat="1" hidden="1" x14ac:dyDescent="0.3"/>
    <row r="154" s="7" customFormat="1" hidden="1" x14ac:dyDescent="0.3"/>
    <row r="155" s="7" customFormat="1" hidden="1" x14ac:dyDescent="0.3"/>
    <row r="156" s="7" customFormat="1" hidden="1" x14ac:dyDescent="0.3"/>
    <row r="157" s="7" customFormat="1" hidden="1" x14ac:dyDescent="0.3"/>
    <row r="158" s="7" customFormat="1" hidden="1" x14ac:dyDescent="0.3"/>
    <row r="159" s="7" customFormat="1" hidden="1" x14ac:dyDescent="0.3"/>
    <row r="160" s="7" customFormat="1" hidden="1" x14ac:dyDescent="0.3"/>
    <row r="161" s="7" customFormat="1" hidden="1" x14ac:dyDescent="0.3"/>
    <row r="162" s="7" customFormat="1" hidden="1" x14ac:dyDescent="0.3"/>
    <row r="163" s="7" customFormat="1" hidden="1" x14ac:dyDescent="0.3"/>
    <row r="164" s="7" customFormat="1" hidden="1" x14ac:dyDescent="0.3"/>
    <row r="165" s="7" customFormat="1" hidden="1" x14ac:dyDescent="0.3"/>
    <row r="166" s="7" customFormat="1" hidden="1" x14ac:dyDescent="0.3"/>
    <row r="167" s="7" customFormat="1" hidden="1" x14ac:dyDescent="0.3"/>
    <row r="168" s="7" customFormat="1" hidden="1" x14ac:dyDescent="0.3"/>
    <row r="169" s="7" customFormat="1" hidden="1" x14ac:dyDescent="0.3"/>
    <row r="170" s="7" customFormat="1" hidden="1" x14ac:dyDescent="0.3"/>
    <row r="171" s="7" customFormat="1" hidden="1" x14ac:dyDescent="0.3"/>
    <row r="172" s="7" customFormat="1" hidden="1" x14ac:dyDescent="0.3"/>
    <row r="173" s="7" customFormat="1" hidden="1" x14ac:dyDescent="0.3"/>
    <row r="174" s="7" customFormat="1" hidden="1" x14ac:dyDescent="0.3"/>
    <row r="175" s="7" customFormat="1" hidden="1" x14ac:dyDescent="0.3"/>
    <row r="176" s="7" customFormat="1" hidden="1" x14ac:dyDescent="0.3"/>
    <row r="177" s="7" customFormat="1" hidden="1" x14ac:dyDescent="0.3"/>
    <row r="178" s="7" customFormat="1" hidden="1" x14ac:dyDescent="0.3"/>
    <row r="179" s="7" customFormat="1" hidden="1" x14ac:dyDescent="0.3"/>
    <row r="180" s="7" customFormat="1" hidden="1" x14ac:dyDescent="0.3"/>
    <row r="181" s="7" customFormat="1" hidden="1" x14ac:dyDescent="0.3"/>
    <row r="182" s="7" customFormat="1" hidden="1" x14ac:dyDescent="0.3"/>
    <row r="183" s="7" customFormat="1" hidden="1" x14ac:dyDescent="0.3"/>
    <row r="184" s="7" customFormat="1" hidden="1" x14ac:dyDescent="0.3"/>
    <row r="185" s="7" customFormat="1" hidden="1" x14ac:dyDescent="0.3"/>
    <row r="186" s="7" customFormat="1" hidden="1" x14ac:dyDescent="0.3"/>
    <row r="187" s="7" customFormat="1" hidden="1" x14ac:dyDescent="0.3"/>
    <row r="188" s="7" customFormat="1" hidden="1" x14ac:dyDescent="0.3"/>
    <row r="189" s="7" customFormat="1" hidden="1" x14ac:dyDescent="0.3"/>
    <row r="190" s="7" customFormat="1" hidden="1" x14ac:dyDescent="0.3"/>
    <row r="191" s="7" customFormat="1" hidden="1" x14ac:dyDescent="0.3"/>
    <row r="192" s="7" customFormat="1" hidden="1" x14ac:dyDescent="0.3"/>
    <row r="193" s="7" customFormat="1" hidden="1" x14ac:dyDescent="0.3"/>
    <row r="194" s="7" customFormat="1" hidden="1" x14ac:dyDescent="0.3"/>
    <row r="195" s="7" customFormat="1" hidden="1" x14ac:dyDescent="0.3"/>
    <row r="196" s="7" customFormat="1" hidden="1" x14ac:dyDescent="0.3"/>
    <row r="197" s="7" customFormat="1" hidden="1" x14ac:dyDescent="0.3"/>
    <row r="198" s="7" customFormat="1" hidden="1" x14ac:dyDescent="0.3"/>
    <row r="199" s="7" customFormat="1" hidden="1" x14ac:dyDescent="0.3"/>
    <row r="200" s="7" customFormat="1" hidden="1" x14ac:dyDescent="0.3"/>
    <row r="201" s="7" customFormat="1" hidden="1" x14ac:dyDescent="0.3"/>
    <row r="202" s="7" customFormat="1" hidden="1" x14ac:dyDescent="0.3"/>
    <row r="203" s="7" customFormat="1" hidden="1" x14ac:dyDescent="0.3"/>
    <row r="204" s="7" customFormat="1" hidden="1" x14ac:dyDescent="0.3"/>
    <row r="205" s="7" customFormat="1" hidden="1" x14ac:dyDescent="0.3"/>
    <row r="206" s="7" customFormat="1" hidden="1" x14ac:dyDescent="0.3"/>
    <row r="207" s="7" customFormat="1" hidden="1" x14ac:dyDescent="0.3"/>
    <row r="208" s="7" customFormat="1" hidden="1" x14ac:dyDescent="0.3"/>
    <row r="209" s="7" customFormat="1" hidden="1" x14ac:dyDescent="0.3"/>
    <row r="210" s="7" customFormat="1" hidden="1" x14ac:dyDescent="0.3"/>
    <row r="211" s="7" customFormat="1" hidden="1" x14ac:dyDescent="0.3"/>
    <row r="212" s="7" customFormat="1" hidden="1" x14ac:dyDescent="0.3"/>
    <row r="213" s="7" customFormat="1" hidden="1" x14ac:dyDescent="0.3"/>
    <row r="214" s="7" customFormat="1" hidden="1" x14ac:dyDescent="0.3"/>
    <row r="215" s="7" customFormat="1" hidden="1" x14ac:dyDescent="0.3"/>
    <row r="216" s="7" customFormat="1" hidden="1" x14ac:dyDescent="0.3"/>
    <row r="217" s="7" customFormat="1" hidden="1" x14ac:dyDescent="0.3"/>
    <row r="218" s="7" customFormat="1" hidden="1" x14ac:dyDescent="0.3"/>
    <row r="219" s="7" customFormat="1" hidden="1" x14ac:dyDescent="0.3"/>
    <row r="220" s="7" customFormat="1" hidden="1" x14ac:dyDescent="0.3"/>
    <row r="221" s="7" customFormat="1" hidden="1" x14ac:dyDescent="0.3"/>
    <row r="222" s="7" customFormat="1" hidden="1" x14ac:dyDescent="0.3"/>
    <row r="223" s="7" customFormat="1" hidden="1" x14ac:dyDescent="0.3"/>
    <row r="224" s="7" customFormat="1" hidden="1" x14ac:dyDescent="0.3"/>
    <row r="225" s="7" customFormat="1" hidden="1" x14ac:dyDescent="0.3"/>
    <row r="226" s="7" customFormat="1" hidden="1" x14ac:dyDescent="0.3"/>
    <row r="227" s="7" customFormat="1" hidden="1" x14ac:dyDescent="0.3"/>
    <row r="228" s="7" customFormat="1" hidden="1" x14ac:dyDescent="0.3"/>
    <row r="229" s="7" customFormat="1" hidden="1" x14ac:dyDescent="0.3"/>
    <row r="230" s="7" customFormat="1" hidden="1" x14ac:dyDescent="0.3"/>
    <row r="231" s="7" customFormat="1" hidden="1" x14ac:dyDescent="0.3"/>
    <row r="232" s="7" customFormat="1" hidden="1" x14ac:dyDescent="0.3"/>
    <row r="233" s="7" customFormat="1" hidden="1" x14ac:dyDescent="0.3"/>
    <row r="234" s="7" customFormat="1" hidden="1" x14ac:dyDescent="0.3"/>
    <row r="235" s="7" customFormat="1" hidden="1" x14ac:dyDescent="0.3"/>
    <row r="236" s="7" customFormat="1" hidden="1" x14ac:dyDescent="0.3"/>
    <row r="237" s="7" customFormat="1" hidden="1" x14ac:dyDescent="0.3"/>
    <row r="238" s="7" customFormat="1" hidden="1" x14ac:dyDescent="0.3"/>
    <row r="239" s="7" customFormat="1" hidden="1" x14ac:dyDescent="0.3"/>
    <row r="240" s="7" customFormat="1" hidden="1" x14ac:dyDescent="0.3"/>
    <row r="241" s="7" customFormat="1" hidden="1" x14ac:dyDescent="0.3"/>
    <row r="242" s="7" customFormat="1" hidden="1" x14ac:dyDescent="0.3"/>
    <row r="243" s="7" customFormat="1" hidden="1" x14ac:dyDescent="0.3"/>
    <row r="244" s="7" customFormat="1" hidden="1" x14ac:dyDescent="0.3"/>
    <row r="245" s="7" customFormat="1" hidden="1" x14ac:dyDescent="0.3"/>
    <row r="246" s="7" customFormat="1" hidden="1" x14ac:dyDescent="0.3"/>
    <row r="247" s="7" customFormat="1" hidden="1" x14ac:dyDescent="0.3"/>
    <row r="248" s="7" customFormat="1" hidden="1" x14ac:dyDescent="0.3"/>
    <row r="249" s="7" customFormat="1" hidden="1" x14ac:dyDescent="0.3"/>
    <row r="250" s="7" customFormat="1" hidden="1" x14ac:dyDescent="0.3"/>
    <row r="251" s="7" customFormat="1" hidden="1" x14ac:dyDescent="0.3"/>
    <row r="252" s="7" customFormat="1" hidden="1" x14ac:dyDescent="0.3"/>
    <row r="253" s="7" customFormat="1" hidden="1" x14ac:dyDescent="0.3"/>
    <row r="254" s="7" customFormat="1" hidden="1" x14ac:dyDescent="0.3"/>
    <row r="255" s="7" customFormat="1" hidden="1" x14ac:dyDescent="0.3"/>
    <row r="256" s="7" customFormat="1" hidden="1" x14ac:dyDescent="0.3"/>
    <row r="257" s="7" customFormat="1" hidden="1" x14ac:dyDescent="0.3"/>
    <row r="258" s="7" customFormat="1" hidden="1" x14ac:dyDescent="0.3"/>
    <row r="259" s="7" customFormat="1" hidden="1" x14ac:dyDescent="0.3"/>
    <row r="260" s="7" customFormat="1" hidden="1" x14ac:dyDescent="0.3"/>
    <row r="261" s="7" customFormat="1" hidden="1" x14ac:dyDescent="0.3"/>
    <row r="262" s="7" customFormat="1" hidden="1" x14ac:dyDescent="0.3"/>
    <row r="263" s="7" customFormat="1" hidden="1" x14ac:dyDescent="0.3"/>
    <row r="264" s="7" customFormat="1" hidden="1" x14ac:dyDescent="0.3"/>
    <row r="265" s="7" customFormat="1" hidden="1" x14ac:dyDescent="0.3"/>
    <row r="266" s="7" customFormat="1" hidden="1" x14ac:dyDescent="0.3"/>
    <row r="267" s="7" customFormat="1" hidden="1" x14ac:dyDescent="0.3"/>
    <row r="268" s="7" customFormat="1" hidden="1" x14ac:dyDescent="0.3"/>
    <row r="269" s="7" customFormat="1" hidden="1" x14ac:dyDescent="0.3"/>
    <row r="270" s="7" customFormat="1" hidden="1" x14ac:dyDescent="0.3"/>
    <row r="271" s="7" customFormat="1" hidden="1" x14ac:dyDescent="0.3"/>
    <row r="272" s="7" customFormat="1" hidden="1" x14ac:dyDescent="0.3"/>
    <row r="273" s="7" customFormat="1" hidden="1" x14ac:dyDescent="0.3"/>
    <row r="274" s="7" customFormat="1" hidden="1" x14ac:dyDescent="0.3"/>
    <row r="275" s="7" customFormat="1" hidden="1" x14ac:dyDescent="0.3"/>
    <row r="276" s="7" customFormat="1" hidden="1" x14ac:dyDescent="0.3"/>
    <row r="277" s="7" customFormat="1" hidden="1" x14ac:dyDescent="0.3"/>
    <row r="278" s="7" customFormat="1" hidden="1" x14ac:dyDescent="0.3"/>
    <row r="279" s="7" customFormat="1" hidden="1" x14ac:dyDescent="0.3"/>
    <row r="280" s="7" customFormat="1" hidden="1" x14ac:dyDescent="0.3"/>
    <row r="281" s="7" customFormat="1" hidden="1" x14ac:dyDescent="0.3"/>
    <row r="282" s="7" customFormat="1" hidden="1" x14ac:dyDescent="0.3"/>
    <row r="283" s="7" customFormat="1" hidden="1" x14ac:dyDescent="0.3"/>
    <row r="284" s="7" customFormat="1" hidden="1" x14ac:dyDescent="0.3"/>
    <row r="285" s="7" customFormat="1" hidden="1" x14ac:dyDescent="0.3"/>
    <row r="286" s="7" customFormat="1" hidden="1" x14ac:dyDescent="0.3"/>
    <row r="287" s="7" customFormat="1" hidden="1" x14ac:dyDescent="0.3"/>
    <row r="288" s="7" customFormat="1" hidden="1" x14ac:dyDescent="0.3"/>
    <row r="289" s="7" customFormat="1" hidden="1" x14ac:dyDescent="0.3"/>
    <row r="290" s="7" customFormat="1" hidden="1" x14ac:dyDescent="0.3"/>
    <row r="291" s="7" customFormat="1" hidden="1" x14ac:dyDescent="0.3"/>
    <row r="292" s="7" customFormat="1" hidden="1" x14ac:dyDescent="0.3"/>
    <row r="293" s="7" customFormat="1" hidden="1" x14ac:dyDescent="0.3"/>
    <row r="294" s="7" customFormat="1" hidden="1" x14ac:dyDescent="0.3"/>
    <row r="295" s="7" customFormat="1" hidden="1" x14ac:dyDescent="0.3"/>
    <row r="296" s="7" customFormat="1" hidden="1" x14ac:dyDescent="0.3"/>
    <row r="297" s="7" customFormat="1" hidden="1" x14ac:dyDescent="0.3"/>
    <row r="298" s="7" customFormat="1" hidden="1" x14ac:dyDescent="0.3"/>
    <row r="299" s="7" customFormat="1" hidden="1" x14ac:dyDescent="0.3"/>
    <row r="300" s="7" customFormat="1" hidden="1" x14ac:dyDescent="0.3"/>
    <row r="301" s="7" customFormat="1" hidden="1" x14ac:dyDescent="0.3"/>
    <row r="302" s="7" customFormat="1" hidden="1" x14ac:dyDescent="0.3"/>
    <row r="303" s="7" customFormat="1" hidden="1" x14ac:dyDescent="0.3"/>
    <row r="304" s="7" customFormat="1" hidden="1" x14ac:dyDescent="0.3"/>
    <row r="305" s="7" customFormat="1" hidden="1" x14ac:dyDescent="0.3"/>
    <row r="306" s="7" customFormat="1" hidden="1" x14ac:dyDescent="0.3"/>
    <row r="307" s="7" customFormat="1" hidden="1" x14ac:dyDescent="0.3"/>
    <row r="308" s="7" customFormat="1" hidden="1" x14ac:dyDescent="0.3"/>
    <row r="309" s="7" customFormat="1" hidden="1" x14ac:dyDescent="0.3"/>
    <row r="310" s="7" customFormat="1" hidden="1" x14ac:dyDescent="0.3"/>
    <row r="311" s="7" customFormat="1" hidden="1" x14ac:dyDescent="0.3"/>
    <row r="312" s="7" customFormat="1" hidden="1" x14ac:dyDescent="0.3"/>
    <row r="313" s="7" customFormat="1" hidden="1" x14ac:dyDescent="0.3"/>
    <row r="314" s="7" customFormat="1" hidden="1" x14ac:dyDescent="0.3"/>
    <row r="315" s="7" customFormat="1" hidden="1" x14ac:dyDescent="0.3"/>
    <row r="316" s="7" customFormat="1" hidden="1" x14ac:dyDescent="0.3"/>
    <row r="317" s="7" customFormat="1" hidden="1" x14ac:dyDescent="0.3"/>
    <row r="318" s="7" customFormat="1" hidden="1" x14ac:dyDescent="0.3"/>
    <row r="319" s="7" customFormat="1" hidden="1" x14ac:dyDescent="0.3"/>
    <row r="320" s="7" customFormat="1" hidden="1" x14ac:dyDescent="0.3"/>
    <row r="321" s="7" customFormat="1" hidden="1" x14ac:dyDescent="0.3"/>
    <row r="322" s="7" customFormat="1" hidden="1" x14ac:dyDescent="0.3"/>
    <row r="323" s="7" customFormat="1" hidden="1" x14ac:dyDescent="0.3"/>
    <row r="324" s="7" customFormat="1" hidden="1" x14ac:dyDescent="0.3"/>
    <row r="325" s="7" customFormat="1" hidden="1" x14ac:dyDescent="0.3"/>
    <row r="326" s="7" customFormat="1" hidden="1" x14ac:dyDescent="0.3"/>
    <row r="327" s="7" customFormat="1" hidden="1" x14ac:dyDescent="0.3"/>
    <row r="328" s="7" customFormat="1" hidden="1" x14ac:dyDescent="0.3"/>
    <row r="329" s="7" customFormat="1" hidden="1" x14ac:dyDescent="0.3"/>
    <row r="330" s="7" customFormat="1" hidden="1" x14ac:dyDescent="0.3"/>
    <row r="331" s="7" customFormat="1" hidden="1" x14ac:dyDescent="0.3"/>
    <row r="332" s="7" customFormat="1" hidden="1" x14ac:dyDescent="0.3"/>
    <row r="333" s="7" customFormat="1" hidden="1" x14ac:dyDescent="0.3"/>
    <row r="334" s="7" customFormat="1" hidden="1" x14ac:dyDescent="0.3"/>
    <row r="335" s="7" customFormat="1" hidden="1" x14ac:dyDescent="0.3"/>
    <row r="336" s="7" customFormat="1" hidden="1" x14ac:dyDescent="0.3"/>
    <row r="337" s="7" customFormat="1" hidden="1" x14ac:dyDescent="0.3"/>
    <row r="338" s="7" customFormat="1" hidden="1" x14ac:dyDescent="0.3"/>
    <row r="339" s="7" customFormat="1" hidden="1" x14ac:dyDescent="0.3"/>
    <row r="340" s="7" customFormat="1" hidden="1" x14ac:dyDescent="0.3"/>
    <row r="341" s="7" customFormat="1" hidden="1" x14ac:dyDescent="0.3"/>
    <row r="342" s="7" customFormat="1" hidden="1" x14ac:dyDescent="0.3"/>
    <row r="343" s="7" customFormat="1" hidden="1" x14ac:dyDescent="0.3"/>
    <row r="344" s="7" customFormat="1" hidden="1" x14ac:dyDescent="0.3"/>
    <row r="345" s="7" customFormat="1" hidden="1" x14ac:dyDescent="0.3"/>
    <row r="346" s="7" customFormat="1" hidden="1" x14ac:dyDescent="0.3"/>
    <row r="347" s="7" customFormat="1" hidden="1" x14ac:dyDescent="0.3"/>
    <row r="348" s="7" customFormat="1" hidden="1" x14ac:dyDescent="0.3"/>
    <row r="349" s="7" customFormat="1" hidden="1" x14ac:dyDescent="0.3"/>
    <row r="350" s="7" customFormat="1" hidden="1" x14ac:dyDescent="0.3"/>
    <row r="351" s="7" customFormat="1" hidden="1" x14ac:dyDescent="0.3"/>
    <row r="352" s="7" customFormat="1" hidden="1" x14ac:dyDescent="0.3"/>
    <row r="353" s="7" customFormat="1" hidden="1" x14ac:dyDescent="0.3"/>
    <row r="354" s="7" customFormat="1" hidden="1" x14ac:dyDescent="0.3"/>
    <row r="355" s="7" customFormat="1" hidden="1" x14ac:dyDescent="0.3"/>
    <row r="356" s="7" customFormat="1" hidden="1" x14ac:dyDescent="0.3"/>
    <row r="357" s="7" customFormat="1" hidden="1" x14ac:dyDescent="0.3"/>
    <row r="358" s="7" customFormat="1" hidden="1" x14ac:dyDescent="0.3"/>
    <row r="359" s="7" customFormat="1" hidden="1" x14ac:dyDescent="0.3"/>
    <row r="360" s="7" customFormat="1" hidden="1" x14ac:dyDescent="0.3"/>
    <row r="361" s="7" customFormat="1" hidden="1" x14ac:dyDescent="0.3"/>
    <row r="362" s="7" customFormat="1" hidden="1" x14ac:dyDescent="0.3"/>
    <row r="363" s="7" customFormat="1" hidden="1" x14ac:dyDescent="0.3"/>
    <row r="364" s="7" customFormat="1" hidden="1" x14ac:dyDescent="0.3"/>
    <row r="365" s="7" customFormat="1" hidden="1" x14ac:dyDescent="0.3"/>
    <row r="366" s="7" customFormat="1" hidden="1" x14ac:dyDescent="0.3"/>
    <row r="367" s="7" customFormat="1" hidden="1" x14ac:dyDescent="0.3"/>
    <row r="368" s="7" customFormat="1" hidden="1" x14ac:dyDescent="0.3"/>
    <row r="369" s="7" customFormat="1" hidden="1" x14ac:dyDescent="0.3"/>
    <row r="370" s="7" customFormat="1" hidden="1" x14ac:dyDescent="0.3"/>
    <row r="371" s="7" customFormat="1" hidden="1" x14ac:dyDescent="0.3"/>
    <row r="372" s="7" customFormat="1" hidden="1" x14ac:dyDescent="0.3"/>
    <row r="373" s="7" customFormat="1" hidden="1" x14ac:dyDescent="0.3"/>
    <row r="374" s="7" customFormat="1" hidden="1" x14ac:dyDescent="0.3"/>
    <row r="375" s="7" customFormat="1" hidden="1" x14ac:dyDescent="0.3"/>
    <row r="376" s="7" customFormat="1" hidden="1" x14ac:dyDescent="0.3"/>
    <row r="377" s="7" customFormat="1" hidden="1" x14ac:dyDescent="0.3"/>
    <row r="378" s="7" customFormat="1" hidden="1" x14ac:dyDescent="0.3"/>
    <row r="379" s="7" customFormat="1" hidden="1" x14ac:dyDescent="0.3"/>
    <row r="380" s="7" customFormat="1" hidden="1" x14ac:dyDescent="0.3"/>
    <row r="381" s="7" customFormat="1" hidden="1" x14ac:dyDescent="0.3"/>
    <row r="382" s="7" customFormat="1" hidden="1" x14ac:dyDescent="0.3"/>
    <row r="383" s="7" customFormat="1" hidden="1" x14ac:dyDescent="0.3"/>
    <row r="384" s="7" customFormat="1" hidden="1" x14ac:dyDescent="0.3"/>
    <row r="385" spans="1:18" s="7" customFormat="1" hidden="1" x14ac:dyDescent="0.3"/>
    <row r="386" spans="1:18" s="7" customFormat="1" hidden="1" x14ac:dyDescent="0.3"/>
    <row r="387" spans="1:18" s="7" customFormat="1" hidden="1" x14ac:dyDescent="0.3"/>
    <row r="388" spans="1:18" s="7" customFormat="1" hidden="1" x14ac:dyDescent="0.3"/>
    <row r="389" spans="1:18" s="7" customFormat="1" hidden="1" x14ac:dyDescent="0.3"/>
    <row r="390" spans="1:18" hidden="1" x14ac:dyDescent="0.3">
      <c r="A390" s="21"/>
      <c r="B390" s="21"/>
      <c r="C390" s="14"/>
      <c r="D390" s="23"/>
      <c r="E390" s="24"/>
      <c r="F390" s="24"/>
      <c r="G390" s="25"/>
      <c r="H390" s="25"/>
      <c r="I390" s="19"/>
      <c r="J390" s="19"/>
      <c r="K390" s="24"/>
      <c r="L390" s="24"/>
      <c r="M390" s="20"/>
      <c r="N390" s="20"/>
      <c r="O390" s="20"/>
      <c r="P390" s="20"/>
      <c r="Q390" s="20"/>
      <c r="R390" s="20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V116"/>
  <sheetViews>
    <sheetView zoomScale="80" zoomScaleNormal="80" workbookViewId="0">
      <pane xSplit="5" ySplit="5" topLeftCell="F6" activePane="bottomRight" state="frozen"/>
      <selection activeCell="R66" sqref="R66"/>
      <selection pane="topRight" activeCell="R66" sqref="R66"/>
      <selection pane="bottomLeft" activeCell="R66" sqref="R66"/>
      <selection pane="bottomRight" activeCell="K55" sqref="K55"/>
    </sheetView>
  </sheetViews>
  <sheetFormatPr defaultColWidth="0" defaultRowHeight="12.75" customHeight="1" zeroHeight="1" x14ac:dyDescent="0.3"/>
  <cols>
    <col min="1" max="1" width="2.4609375" customWidth="1"/>
    <col min="2" max="4" width="2.3828125" customWidth="1"/>
    <col min="5" max="5" width="27.3828125" bestFit="1" customWidth="1"/>
    <col min="6" max="12" width="10.23046875" customWidth="1"/>
    <col min="13" max="22" width="0" hidden="1" customWidth="1"/>
    <col min="23" max="16384" width="9" hidden="1"/>
  </cols>
  <sheetData>
    <row r="1" spans="1:12" ht="13.5" x14ac:dyDescent="0.3">
      <c r="A1" s="13" t="str">
        <f>Control!$G$9</f>
        <v>UE Consolidated Capex</v>
      </c>
      <c r="B1" s="13"/>
      <c r="C1" s="14"/>
      <c r="D1" s="15"/>
      <c r="E1" s="16"/>
      <c r="F1" s="16"/>
      <c r="G1" s="18"/>
      <c r="H1" s="18"/>
      <c r="I1" s="19"/>
      <c r="J1" s="19"/>
      <c r="K1" s="16"/>
      <c r="L1" s="16"/>
    </row>
    <row r="2" spans="1:12" ht="13.5" x14ac:dyDescent="0.3">
      <c r="A2" s="21" t="str">
        <f ca="1" xml:space="preserve"> "Sheet: " &amp; RIGHT(CELL("filename", $A$1), LEN(CELL("filename", $A$1)) - SEARCH("]", CELL("filename", $A$1)))</f>
        <v>Sheet: Output|PTRM - proposed</v>
      </c>
      <c r="B2" s="21"/>
      <c r="C2" s="14"/>
      <c r="D2" s="15"/>
      <c r="E2" s="16"/>
      <c r="F2" s="16"/>
      <c r="G2" s="22"/>
      <c r="H2" s="22"/>
      <c r="I2" s="19"/>
      <c r="J2" s="19"/>
      <c r="K2" s="16"/>
      <c r="L2" s="16"/>
    </row>
    <row r="3" spans="1:12" ht="13.5" x14ac:dyDescent="0.3">
      <c r="A3" s="21" t="s">
        <v>0</v>
      </c>
      <c r="B3" s="21"/>
      <c r="C3" s="14"/>
      <c r="D3" s="15"/>
      <c r="E3" s="15"/>
      <c r="F3" s="15"/>
      <c r="G3" s="15"/>
      <c r="H3" s="15"/>
      <c r="I3" s="15"/>
      <c r="J3" s="19"/>
      <c r="K3" s="16"/>
      <c r="L3" s="16"/>
    </row>
    <row r="4" spans="1:12" ht="13.5" x14ac:dyDescent="0.3">
      <c r="A4" s="21"/>
      <c r="B4" s="21"/>
      <c r="C4" s="14"/>
      <c r="D4" s="15"/>
      <c r="E4" s="16"/>
      <c r="F4" s="16"/>
      <c r="G4" s="22"/>
      <c r="H4" s="22"/>
      <c r="I4" s="19"/>
      <c r="J4" s="19"/>
      <c r="K4" s="16"/>
      <c r="L4" s="16"/>
    </row>
    <row r="5" spans="1:12" ht="13.5" x14ac:dyDescent="0.3">
      <c r="A5" s="21"/>
      <c r="B5" s="21"/>
      <c r="C5" s="21"/>
      <c r="D5" s="21"/>
      <c r="E5" s="21"/>
      <c r="F5" s="21"/>
      <c r="G5" s="30" t="s">
        <v>603</v>
      </c>
      <c r="H5" s="30" t="s">
        <v>604</v>
      </c>
      <c r="I5" s="30" t="s">
        <v>605</v>
      </c>
      <c r="J5" s="30" t="s">
        <v>606</v>
      </c>
      <c r="K5" s="30" t="s">
        <v>607</v>
      </c>
      <c r="L5" s="16"/>
    </row>
    <row r="6" spans="1:12" ht="13.5" x14ac:dyDescent="0.3">
      <c r="A6" s="1"/>
      <c r="B6" s="1"/>
      <c r="C6" s="2"/>
      <c r="D6" s="3"/>
      <c r="E6" s="4"/>
      <c r="F6" s="4"/>
      <c r="G6" s="5"/>
      <c r="H6" s="5"/>
      <c r="I6" s="6"/>
      <c r="J6" s="6"/>
      <c r="K6" s="4"/>
      <c r="L6" s="4"/>
    </row>
    <row r="7" spans="1:12" ht="13.5" x14ac:dyDescent="0.3">
      <c r="A7" s="21" t="s">
        <v>600</v>
      </c>
      <c r="B7" s="21"/>
      <c r="C7" s="14"/>
      <c r="D7" s="23"/>
      <c r="E7" s="24"/>
      <c r="F7" s="24"/>
      <c r="G7" s="34"/>
      <c r="H7" s="34"/>
      <c r="I7" s="34"/>
      <c r="J7" s="34"/>
      <c r="K7" s="34"/>
      <c r="L7" s="24"/>
    </row>
    <row r="8" spans="1:12" ht="13.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3.5" x14ac:dyDescent="0.3">
      <c r="A9" s="55" t="s">
        <v>56</v>
      </c>
      <c r="B9" s="12"/>
      <c r="C9" s="12"/>
      <c r="D9" s="12"/>
      <c r="E9" s="12"/>
      <c r="F9" s="12"/>
      <c r="G9" s="59" t="s">
        <v>609</v>
      </c>
      <c r="H9" s="59" t="s">
        <v>609</v>
      </c>
      <c r="I9" s="59" t="s">
        <v>609</v>
      </c>
      <c r="J9" s="59" t="s">
        <v>609</v>
      </c>
      <c r="K9" s="59" t="s">
        <v>609</v>
      </c>
      <c r="L9" s="12"/>
    </row>
    <row r="10" spans="1:12" ht="13.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3.5" x14ac:dyDescent="0.3">
      <c r="A11" s="7"/>
      <c r="B11" s="7"/>
      <c r="C11" s="7"/>
      <c r="D11" s="7"/>
      <c r="E11" s="38" t="s">
        <v>36</v>
      </c>
      <c r="F11" s="7"/>
      <c r="G11" s="101">
        <v>22.449935461311618</v>
      </c>
      <c r="H11" s="43">
        <v>23.99955496858302</v>
      </c>
      <c r="I11" s="43">
        <v>24.64989773914138</v>
      </c>
      <c r="J11" s="43">
        <v>24.298647907481094</v>
      </c>
      <c r="K11" s="43">
        <v>21.943277918351338</v>
      </c>
      <c r="L11" s="7"/>
    </row>
    <row r="12" spans="1:12" ht="13.5" x14ac:dyDescent="0.3">
      <c r="A12" s="7"/>
      <c r="B12" s="7"/>
      <c r="C12" s="7"/>
      <c r="D12" s="7"/>
      <c r="E12" s="38" t="s">
        <v>39</v>
      </c>
      <c r="F12" s="7"/>
      <c r="G12" s="129">
        <v>191.93831209662858</v>
      </c>
      <c r="H12" s="129">
        <v>205.13498037821887</v>
      </c>
      <c r="I12" s="129">
        <v>210.70953864056918</v>
      </c>
      <c r="J12" s="129">
        <v>207.67272949610023</v>
      </c>
      <c r="K12" s="129">
        <v>187.5925275006426</v>
      </c>
      <c r="L12" s="7"/>
    </row>
    <row r="13" spans="1:12" ht="13.5" x14ac:dyDescent="0.3">
      <c r="A13" s="7"/>
      <c r="B13" s="7"/>
      <c r="C13" s="7"/>
      <c r="D13" s="7"/>
      <c r="E13" s="38" t="s">
        <v>40</v>
      </c>
      <c r="F13" s="7"/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7"/>
    </row>
    <row r="14" spans="1:12" ht="13.5" x14ac:dyDescent="0.3">
      <c r="A14" s="7"/>
      <c r="B14" s="7"/>
      <c r="C14" s="7"/>
      <c r="D14" s="7"/>
      <c r="E14" s="38" t="s">
        <v>41</v>
      </c>
      <c r="F14" s="7"/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7"/>
    </row>
    <row r="15" spans="1:12" ht="13.5" x14ac:dyDescent="0.3">
      <c r="A15" s="7"/>
      <c r="B15" s="7"/>
      <c r="C15" s="7"/>
      <c r="D15" s="7"/>
      <c r="E15" s="38" t="s">
        <v>580</v>
      </c>
      <c r="F15" s="7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7"/>
    </row>
    <row r="16" spans="1:12" ht="13.5" x14ac:dyDescent="0.3">
      <c r="A16" s="7"/>
      <c r="B16" s="7"/>
      <c r="C16" s="7"/>
      <c r="D16" s="7"/>
      <c r="E16" s="38" t="s">
        <v>579</v>
      </c>
      <c r="F16" s="7"/>
      <c r="G16" s="43">
        <v>10.16216462673016</v>
      </c>
      <c r="H16" s="43">
        <v>13.796539230995172</v>
      </c>
      <c r="I16" s="43">
        <v>9.4308343051263037</v>
      </c>
      <c r="J16" s="43">
        <v>12.443663428819102</v>
      </c>
      <c r="K16" s="43">
        <v>9.3561852049948087</v>
      </c>
      <c r="L16" s="7"/>
    </row>
    <row r="17" spans="1:12" ht="13.5" x14ac:dyDescent="0.3">
      <c r="A17" s="7"/>
      <c r="B17" s="7"/>
      <c r="C17" s="7"/>
      <c r="D17" s="7"/>
      <c r="E17" s="130" t="s">
        <v>30</v>
      </c>
      <c r="F17" s="7"/>
      <c r="G17" s="43">
        <v>4.7287175349583066</v>
      </c>
      <c r="H17" s="43">
        <v>3.2300544124124215</v>
      </c>
      <c r="I17" s="43">
        <v>3.345880094900771</v>
      </c>
      <c r="J17" s="43">
        <v>2.9932842355422196</v>
      </c>
      <c r="K17" s="43">
        <v>2.0291768156725922</v>
      </c>
      <c r="L17" s="7"/>
    </row>
    <row r="18" spans="1:12" ht="13.5" x14ac:dyDescent="0.3">
      <c r="A18" s="7"/>
      <c r="B18" s="7"/>
      <c r="C18" s="7"/>
      <c r="D18" s="7"/>
      <c r="E18" s="38" t="s">
        <v>31</v>
      </c>
      <c r="F18" s="7"/>
      <c r="G18" s="43">
        <v>21.664504293879897</v>
      </c>
      <c r="H18" s="43">
        <v>17.256151752900625</v>
      </c>
      <c r="I18" s="43">
        <v>13.985905119006672</v>
      </c>
      <c r="J18" s="43">
        <v>12.213717711229526</v>
      </c>
      <c r="K18" s="43">
        <v>11.810931402694575</v>
      </c>
      <c r="L18" s="7"/>
    </row>
    <row r="19" spans="1:12" ht="13.5" x14ac:dyDescent="0.3">
      <c r="A19" s="7"/>
      <c r="B19" s="7"/>
      <c r="C19" s="7"/>
      <c r="D19" s="7"/>
      <c r="E19" s="38" t="s">
        <v>8</v>
      </c>
      <c r="F19" s="7"/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7"/>
    </row>
    <row r="20" spans="1:12" ht="13.5" x14ac:dyDescent="0.3">
      <c r="A20" s="7"/>
      <c r="B20" s="7"/>
      <c r="C20" s="7"/>
      <c r="D20" s="7"/>
      <c r="E20" s="38" t="s">
        <v>611</v>
      </c>
      <c r="F20" s="7"/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7"/>
    </row>
    <row r="21" spans="1:12" ht="13.5" x14ac:dyDescent="0.3">
      <c r="A21" s="7"/>
      <c r="B21" s="7"/>
      <c r="C21" s="7"/>
      <c r="D21" s="7"/>
      <c r="E21" s="38" t="s">
        <v>612</v>
      </c>
      <c r="F21" s="7"/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7"/>
    </row>
    <row r="22" spans="1:12" ht="13.5" x14ac:dyDescent="0.3">
      <c r="A22" s="7"/>
      <c r="B22" s="7"/>
      <c r="C22" s="7"/>
      <c r="D22" s="7"/>
      <c r="E22" s="38" t="s">
        <v>44</v>
      </c>
      <c r="F22" s="7"/>
      <c r="G22" s="43">
        <v>0</v>
      </c>
      <c r="H22" s="43">
        <v>0</v>
      </c>
      <c r="I22" s="43">
        <v>6.3542592663236661</v>
      </c>
      <c r="J22" s="43">
        <v>2.1180864221078881</v>
      </c>
      <c r="K22" s="43">
        <v>0</v>
      </c>
      <c r="L22" s="7"/>
    </row>
    <row r="23" spans="1:12" ht="13.5" x14ac:dyDescent="0.3">
      <c r="A23" s="7"/>
      <c r="B23" s="7"/>
      <c r="C23" s="7"/>
      <c r="D23" s="7"/>
      <c r="E23" s="130" t="s">
        <v>610</v>
      </c>
      <c r="F23" s="7"/>
      <c r="G23" s="43">
        <v>51.533900047912617</v>
      </c>
      <c r="H23" s="43">
        <v>35.20136273905154</v>
      </c>
      <c r="I23" s="43">
        <v>36.463639265447668</v>
      </c>
      <c r="J23" s="43">
        <v>32.621024510144572</v>
      </c>
      <c r="K23" s="43">
        <v>22.114113271799585</v>
      </c>
      <c r="L23" s="7"/>
    </row>
    <row r="24" spans="1:12" ht="13.5" x14ac:dyDescent="0.3">
      <c r="A24" s="7"/>
      <c r="B24" s="7"/>
      <c r="C24" s="7"/>
      <c r="D24" s="7"/>
      <c r="E24" s="122"/>
      <c r="F24" s="7"/>
      <c r="G24" s="43"/>
      <c r="H24" s="43"/>
      <c r="I24" s="43"/>
      <c r="J24" s="43"/>
      <c r="K24" s="43"/>
      <c r="L24" s="7"/>
    </row>
    <row r="25" spans="1:12" ht="13.5" x14ac:dyDescent="0.3">
      <c r="A25" s="7"/>
      <c r="B25" s="7"/>
      <c r="C25" s="7"/>
      <c r="D25" s="7"/>
      <c r="E25" s="122"/>
      <c r="F25" s="7"/>
      <c r="G25" s="43"/>
      <c r="H25" s="43"/>
      <c r="I25" s="43"/>
      <c r="J25" s="43"/>
      <c r="K25" s="43"/>
      <c r="L25" s="7"/>
    </row>
    <row r="26" spans="1:12" ht="13.5" x14ac:dyDescent="0.3">
      <c r="A26" s="7"/>
      <c r="B26" s="7"/>
      <c r="C26" s="7"/>
      <c r="D26" s="7"/>
      <c r="E26" s="7"/>
      <c r="F26" s="7"/>
      <c r="G26" s="43"/>
      <c r="H26" s="43"/>
      <c r="I26" s="43"/>
      <c r="J26" s="43"/>
      <c r="K26" s="43"/>
      <c r="L26" s="7"/>
    </row>
    <row r="27" spans="1:12" ht="13.5" x14ac:dyDescent="0.3">
      <c r="A27" s="7"/>
      <c r="B27" s="7"/>
      <c r="C27" s="7"/>
      <c r="D27" s="7"/>
      <c r="E27" s="9" t="s">
        <v>20</v>
      </c>
      <c r="F27" s="7"/>
      <c r="G27" s="57">
        <f t="shared" ref="G27" si="0">SUM(G11:G25)</f>
        <v>302.47753406142118</v>
      </c>
      <c r="H27" s="57">
        <f t="shared" ref="H27:K27" si="1">SUM(H11:H25)</f>
        <v>298.61864348216164</v>
      </c>
      <c r="I27" s="57">
        <f t="shared" si="1"/>
        <v>304.93995443051563</v>
      </c>
      <c r="J27" s="57">
        <f t="shared" si="1"/>
        <v>294.36115371142466</v>
      </c>
      <c r="K27" s="57">
        <f t="shared" si="1"/>
        <v>254.84621211415549</v>
      </c>
      <c r="L27" s="7"/>
    </row>
    <row r="28" spans="1:12" ht="13.5" x14ac:dyDescent="0.3">
      <c r="A28" s="7"/>
      <c r="B28" s="7"/>
      <c r="C28" s="7"/>
      <c r="D28" s="7"/>
      <c r="E28" s="7"/>
      <c r="F28" s="7"/>
      <c r="G28" s="128">
        <f>G27-'Output|Functional'!G120</f>
        <v>46.239371407133774</v>
      </c>
      <c r="H28" s="128">
        <f>H27-'Output|Functional'!H120</f>
        <v>79.418811513461122</v>
      </c>
      <c r="I28" s="128">
        <f>I27-'Output|Functional'!I120</f>
        <v>100.64414336937892</v>
      </c>
      <c r="J28" s="128">
        <f>J27-'Output|Functional'!J120</f>
        <v>88.441499118498797</v>
      </c>
      <c r="K28" s="128">
        <f>K27-'Output|Functional'!K120</f>
        <v>61.749589567996281</v>
      </c>
      <c r="L28" s="7"/>
    </row>
    <row r="29" spans="1:12" ht="13.5" x14ac:dyDescent="0.3">
      <c r="A29" s="7"/>
      <c r="B29" s="7"/>
      <c r="C29" s="7"/>
      <c r="D29" s="7"/>
      <c r="E29" s="132" t="s">
        <v>614</v>
      </c>
      <c r="F29" s="132"/>
      <c r="G29" s="135">
        <f>G23/SUM(G17,G23)</f>
        <v>0.91595276334249409</v>
      </c>
      <c r="H29" s="135">
        <f t="shared" ref="H29:K29" si="2">H23/SUM(H17,H23)</f>
        <v>0.91595276334249409</v>
      </c>
      <c r="I29" s="135">
        <f t="shared" si="2"/>
        <v>0.91595276334249398</v>
      </c>
      <c r="J29" s="135">
        <f t="shared" si="2"/>
        <v>0.91595276334249409</v>
      </c>
      <c r="K29" s="135">
        <f t="shared" si="2"/>
        <v>0.91595276334249398</v>
      </c>
      <c r="L29" s="7"/>
    </row>
    <row r="30" spans="1:12" ht="13.5" x14ac:dyDescent="0.3">
      <c r="A30" s="55" t="s">
        <v>58</v>
      </c>
      <c r="B30" s="12"/>
      <c r="C30" s="12"/>
      <c r="D30" s="12"/>
      <c r="E30" s="12"/>
      <c r="F30" s="12"/>
      <c r="G30" s="59" t="s">
        <v>609</v>
      </c>
      <c r="H30" s="59" t="s">
        <v>609</v>
      </c>
      <c r="I30" s="59" t="s">
        <v>609</v>
      </c>
      <c r="J30" s="59" t="s">
        <v>609</v>
      </c>
      <c r="K30" s="59" t="s">
        <v>609</v>
      </c>
      <c r="L30" s="12"/>
    </row>
    <row r="31" spans="1:12" ht="13.5" x14ac:dyDescent="0.3">
      <c r="A31" s="7"/>
      <c r="B31" s="7"/>
      <c r="C31" s="7"/>
      <c r="D31" s="7"/>
      <c r="E31" s="7"/>
      <c r="F31" s="7"/>
      <c r="G31" s="7" t="s">
        <v>50</v>
      </c>
      <c r="H31" s="7" t="s">
        <v>50</v>
      </c>
      <c r="I31" s="7" t="s">
        <v>50</v>
      </c>
      <c r="J31" s="7" t="s">
        <v>50</v>
      </c>
      <c r="K31" s="7" t="s">
        <v>50</v>
      </c>
      <c r="L31" s="7"/>
    </row>
    <row r="32" spans="1:12" ht="13.5" x14ac:dyDescent="0.3">
      <c r="A32" s="7"/>
      <c r="B32" s="7"/>
      <c r="C32" s="7"/>
      <c r="D32" s="7"/>
      <c r="E32" s="38" t="s">
        <v>36</v>
      </c>
      <c r="F32" s="7"/>
      <c r="G32" s="43">
        <v>5.0245332460657268</v>
      </c>
      <c r="H32" s="43">
        <v>4.9253716328513395</v>
      </c>
      <c r="I32" s="43">
        <v>5.3606954280814554</v>
      </c>
      <c r="J32" s="43">
        <v>5.09752014135658</v>
      </c>
      <c r="K32" s="43">
        <v>4.7196973112740297</v>
      </c>
      <c r="L32" s="7"/>
    </row>
    <row r="33" spans="1:12" ht="13.5" x14ac:dyDescent="0.3">
      <c r="A33" s="7"/>
      <c r="B33" s="7"/>
      <c r="C33" s="7"/>
      <c r="D33" s="7"/>
      <c r="E33" s="38" t="s">
        <v>39</v>
      </c>
      <c r="F33" s="7"/>
      <c r="G33" s="43">
        <v>42.959548565722919</v>
      </c>
      <c r="H33" s="43">
        <v>42.111720930773046</v>
      </c>
      <c r="I33" s="43">
        <v>45.833721126044189</v>
      </c>
      <c r="J33" s="43">
        <v>43.583583459981774</v>
      </c>
      <c r="K33" s="43">
        <v>40.353214105598596</v>
      </c>
      <c r="L33" s="7"/>
    </row>
    <row r="34" spans="1:12" ht="13.5" x14ac:dyDescent="0.3">
      <c r="A34" s="7"/>
      <c r="B34" s="7"/>
      <c r="C34" s="7"/>
      <c r="D34" s="7"/>
      <c r="E34" s="38" t="s">
        <v>40</v>
      </c>
      <c r="F34" s="7"/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7"/>
    </row>
    <row r="35" spans="1:12" ht="13.5" x14ac:dyDescent="0.3">
      <c r="A35" s="7"/>
      <c r="B35" s="7"/>
      <c r="C35" s="7"/>
      <c r="D35" s="7"/>
      <c r="E35" s="38" t="s">
        <v>41</v>
      </c>
      <c r="F35" s="7"/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7"/>
    </row>
    <row r="36" spans="1:12" ht="13.5" x14ac:dyDescent="0.3">
      <c r="A36" s="7"/>
      <c r="B36" s="7"/>
      <c r="C36" s="7"/>
      <c r="D36" s="7"/>
      <c r="E36" s="38" t="s">
        <v>580</v>
      </c>
      <c r="F36" s="7"/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7"/>
    </row>
    <row r="37" spans="1:12" ht="13.5" x14ac:dyDescent="0.3">
      <c r="A37" s="7"/>
      <c r="B37" s="7"/>
      <c r="C37" s="7"/>
      <c r="D37" s="7"/>
      <c r="E37" s="38" t="s">
        <v>579</v>
      </c>
      <c r="F37" s="7"/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7"/>
    </row>
    <row r="38" spans="1:12" ht="13.5" x14ac:dyDescent="0.3">
      <c r="A38" s="7"/>
      <c r="B38" s="7"/>
      <c r="C38" s="7"/>
      <c r="D38" s="7"/>
      <c r="E38" s="38" t="s">
        <v>30</v>
      </c>
      <c r="F38" s="7"/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7"/>
    </row>
    <row r="39" spans="1:12" ht="13.5" x14ac:dyDescent="0.3">
      <c r="A39" s="7"/>
      <c r="B39" s="7"/>
      <c r="C39" s="7"/>
      <c r="D39" s="7"/>
      <c r="E39" s="38" t="s">
        <v>31</v>
      </c>
      <c r="F39" s="7"/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7"/>
    </row>
    <row r="40" spans="1:12" ht="13.5" x14ac:dyDescent="0.3">
      <c r="A40" s="7"/>
      <c r="B40" s="7"/>
      <c r="C40" s="7"/>
      <c r="D40" s="7"/>
      <c r="E40" s="38" t="s">
        <v>8</v>
      </c>
      <c r="F40" s="7"/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7"/>
    </row>
    <row r="41" spans="1:12" ht="13.5" x14ac:dyDescent="0.3">
      <c r="A41" s="7"/>
      <c r="B41" s="7"/>
      <c r="C41" s="7"/>
      <c r="D41" s="7"/>
      <c r="E41" s="38" t="s">
        <v>611</v>
      </c>
      <c r="F41" s="7"/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7"/>
    </row>
    <row r="42" spans="1:12" ht="13.5" x14ac:dyDescent="0.3">
      <c r="A42" s="7"/>
      <c r="B42" s="7"/>
      <c r="C42" s="7"/>
      <c r="D42" s="7"/>
      <c r="E42" s="38" t="s">
        <v>612</v>
      </c>
      <c r="F42" s="7"/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7"/>
    </row>
    <row r="43" spans="1:12" ht="13.5" x14ac:dyDescent="0.3">
      <c r="A43" s="7"/>
      <c r="B43" s="7"/>
      <c r="C43" s="7"/>
      <c r="D43" s="7"/>
      <c r="E43" s="38" t="s">
        <v>44</v>
      </c>
      <c r="F43" s="7"/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7"/>
    </row>
    <row r="44" spans="1:12" ht="13.5" x14ac:dyDescent="0.3">
      <c r="A44" s="7"/>
      <c r="B44" s="7"/>
      <c r="C44" s="7"/>
      <c r="D44" s="7"/>
      <c r="E44" s="38" t="s">
        <v>610</v>
      </c>
      <c r="F44" s="7"/>
      <c r="G44" s="43"/>
      <c r="H44" s="43"/>
      <c r="I44" s="43"/>
      <c r="J44" s="43"/>
      <c r="K44" s="43"/>
      <c r="L44" s="7"/>
    </row>
    <row r="45" spans="1:12" ht="13.5" x14ac:dyDescent="0.3">
      <c r="A45" s="7"/>
      <c r="B45" s="7"/>
      <c r="C45" s="7"/>
      <c r="D45" s="7"/>
      <c r="E45" s="122"/>
      <c r="F45" s="7"/>
      <c r="G45" s="43"/>
      <c r="H45" s="43"/>
      <c r="I45" s="43"/>
      <c r="J45" s="43"/>
      <c r="K45" s="43"/>
      <c r="L45" s="7"/>
    </row>
    <row r="46" spans="1:12" ht="13.5" x14ac:dyDescent="0.3">
      <c r="A46" s="7"/>
      <c r="B46" s="7"/>
      <c r="C46" s="7"/>
      <c r="D46" s="7"/>
      <c r="E46" s="122"/>
      <c r="F46" s="7"/>
      <c r="G46" s="43"/>
      <c r="H46" s="43"/>
      <c r="I46" s="43"/>
      <c r="J46" s="43"/>
      <c r="K46" s="43"/>
      <c r="L46" s="7"/>
    </row>
    <row r="47" spans="1:12" ht="13.5" x14ac:dyDescent="0.3">
      <c r="A47" s="7"/>
      <c r="B47" s="7"/>
      <c r="C47" s="7"/>
      <c r="D47" s="7"/>
      <c r="E47" s="7"/>
      <c r="F47" s="7"/>
      <c r="G47" s="43"/>
      <c r="H47" s="43"/>
      <c r="I47" s="43"/>
      <c r="J47" s="43"/>
      <c r="K47" s="43"/>
      <c r="L47" s="7"/>
    </row>
    <row r="48" spans="1:12" ht="13.5" x14ac:dyDescent="0.3">
      <c r="A48" s="7"/>
      <c r="B48" s="7"/>
      <c r="C48" s="7"/>
      <c r="D48" s="7"/>
      <c r="E48" s="9" t="s">
        <v>20</v>
      </c>
      <c r="F48" s="7"/>
      <c r="G48" s="57">
        <f t="shared" ref="G48:K48" si="3">SUM(G32:G46)</f>
        <v>47.984081811788649</v>
      </c>
      <c r="H48" s="57">
        <f t="shared" si="3"/>
        <v>47.037092563624384</v>
      </c>
      <c r="I48" s="57">
        <f t="shared" si="3"/>
        <v>51.194416554125645</v>
      </c>
      <c r="J48" s="57">
        <f t="shared" si="3"/>
        <v>48.681103601338357</v>
      </c>
      <c r="K48" s="57">
        <f t="shared" si="3"/>
        <v>45.072911416872628</v>
      </c>
      <c r="L48" s="7"/>
    </row>
    <row r="49" spans="1:12" ht="13.5" x14ac:dyDescent="0.3">
      <c r="A49" s="7"/>
      <c r="B49" s="7"/>
      <c r="C49" s="7"/>
      <c r="D49" s="7"/>
      <c r="E49" s="7"/>
      <c r="F49" s="7"/>
      <c r="G49" s="61">
        <f>G48-'Output|Functional'!G88</f>
        <v>17.341795558052915</v>
      </c>
      <c r="H49" s="61">
        <f>H48-'Output|Functional'!H88</f>
        <v>11.996647597612153</v>
      </c>
      <c r="I49" s="61">
        <f>I48-'Output|Functional'!I88</f>
        <v>15.447216620667739</v>
      </c>
      <c r="J49" s="61">
        <f>J48-'Output|Functional'!J88</f>
        <v>13.33207911295829</v>
      </c>
      <c r="K49" s="61">
        <f>K48-'Output|Functional'!K88</f>
        <v>10.165373516670982</v>
      </c>
      <c r="L49" s="7"/>
    </row>
    <row r="50" spans="1:12" ht="13.5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3.5" x14ac:dyDescent="0.3">
      <c r="A51" s="55" t="s">
        <v>57</v>
      </c>
      <c r="B51" s="12"/>
      <c r="C51" s="12"/>
      <c r="D51" s="12"/>
      <c r="E51" s="12"/>
      <c r="F51" s="12"/>
      <c r="G51" s="59" t="s">
        <v>609</v>
      </c>
      <c r="H51" s="59" t="s">
        <v>609</v>
      </c>
      <c r="I51" s="59" t="s">
        <v>609</v>
      </c>
      <c r="J51" s="59" t="s">
        <v>609</v>
      </c>
      <c r="K51" s="59" t="s">
        <v>609</v>
      </c>
      <c r="L51" s="12"/>
    </row>
    <row r="52" spans="1:12" ht="13.5" x14ac:dyDescent="0.3">
      <c r="A52" s="7"/>
      <c r="B52" s="7"/>
      <c r="C52" s="7"/>
      <c r="D52" s="7"/>
      <c r="E52" s="7"/>
      <c r="F52" s="7"/>
      <c r="G52" s="7" t="s">
        <v>50</v>
      </c>
      <c r="H52" s="7" t="s">
        <v>50</v>
      </c>
      <c r="I52" s="7" t="s">
        <v>50</v>
      </c>
      <c r="J52" s="7" t="s">
        <v>50</v>
      </c>
      <c r="K52" s="7" t="s">
        <v>50</v>
      </c>
      <c r="L52" s="7"/>
    </row>
    <row r="53" spans="1:12" ht="13.5" x14ac:dyDescent="0.3">
      <c r="A53" s="7"/>
      <c r="B53" s="7"/>
      <c r="C53" s="7"/>
      <c r="D53" s="7"/>
      <c r="E53" s="38" t="s">
        <v>36</v>
      </c>
      <c r="F53" s="7"/>
      <c r="G53" s="43"/>
      <c r="H53" s="43"/>
      <c r="I53" s="43"/>
      <c r="J53" s="43"/>
      <c r="K53" s="43"/>
      <c r="L53" s="7"/>
    </row>
    <row r="54" spans="1:12" ht="13.5" x14ac:dyDescent="0.3">
      <c r="A54" s="7"/>
      <c r="B54" s="7"/>
      <c r="C54" s="7"/>
      <c r="D54" s="7"/>
      <c r="E54" s="38" t="s">
        <v>39</v>
      </c>
      <c r="F54" s="7"/>
      <c r="G54" s="146">
        <v>0</v>
      </c>
      <c r="H54" s="146">
        <v>0</v>
      </c>
      <c r="I54" s="146">
        <v>0</v>
      </c>
      <c r="J54" s="146">
        <v>0</v>
      </c>
      <c r="K54" s="146">
        <v>2.6494602835881</v>
      </c>
      <c r="L54" s="7"/>
    </row>
    <row r="55" spans="1:12" ht="13.5" x14ac:dyDescent="0.3">
      <c r="A55" s="7"/>
      <c r="B55" s="7"/>
      <c r="C55" s="7"/>
      <c r="D55" s="7"/>
      <c r="E55" s="38" t="s">
        <v>40</v>
      </c>
      <c r="F55" s="7"/>
      <c r="G55" s="43"/>
      <c r="H55" s="43"/>
      <c r="I55" s="43"/>
      <c r="J55" s="43"/>
      <c r="K55" s="43"/>
      <c r="L55" s="7"/>
    </row>
    <row r="56" spans="1:12" ht="13.5" x14ac:dyDescent="0.3">
      <c r="A56" s="7"/>
      <c r="B56" s="7"/>
      <c r="C56" s="7"/>
      <c r="D56" s="7"/>
      <c r="E56" s="38" t="s">
        <v>41</v>
      </c>
      <c r="F56" s="7"/>
      <c r="G56" s="43"/>
      <c r="H56" s="43"/>
      <c r="I56" s="43"/>
      <c r="J56" s="43"/>
      <c r="K56" s="43"/>
      <c r="L56" s="7"/>
    </row>
    <row r="57" spans="1:12" ht="13.5" x14ac:dyDescent="0.3">
      <c r="A57" s="7"/>
      <c r="B57" s="7"/>
      <c r="C57" s="7"/>
      <c r="D57" s="7"/>
      <c r="E57" s="38" t="s">
        <v>580</v>
      </c>
      <c r="F57" s="7"/>
      <c r="G57" s="43"/>
      <c r="H57" s="43"/>
      <c r="I57" s="43"/>
      <c r="J57" s="43"/>
      <c r="K57" s="43"/>
      <c r="L57" s="7"/>
    </row>
    <row r="58" spans="1:12" ht="13.5" x14ac:dyDescent="0.3">
      <c r="A58" s="7"/>
      <c r="B58" s="7"/>
      <c r="C58" s="7"/>
      <c r="D58" s="7"/>
      <c r="E58" s="38" t="s">
        <v>579</v>
      </c>
      <c r="F58" s="7"/>
      <c r="G58" s="43"/>
      <c r="H58" s="43"/>
      <c r="I58" s="43"/>
      <c r="J58" s="43"/>
      <c r="K58" s="43"/>
      <c r="L58" s="7"/>
    </row>
    <row r="59" spans="1:12" ht="13.5" x14ac:dyDescent="0.3">
      <c r="A59" s="7"/>
      <c r="B59" s="7"/>
      <c r="C59" s="7"/>
      <c r="D59" s="7"/>
      <c r="E59" s="38" t="s">
        <v>30</v>
      </c>
      <c r="F59" s="7"/>
      <c r="G59" s="43"/>
      <c r="H59" s="43"/>
      <c r="I59" s="43"/>
      <c r="J59" s="43"/>
      <c r="K59" s="43"/>
      <c r="L59" s="7"/>
    </row>
    <row r="60" spans="1:12" ht="13.5" x14ac:dyDescent="0.3">
      <c r="A60" s="7"/>
      <c r="B60" s="7"/>
      <c r="C60" s="7"/>
      <c r="D60" s="7"/>
      <c r="E60" s="38" t="s">
        <v>31</v>
      </c>
      <c r="F60" s="7"/>
      <c r="G60" s="43"/>
      <c r="H60" s="43"/>
      <c r="I60" s="43"/>
      <c r="J60" s="43"/>
      <c r="K60" s="43"/>
      <c r="L60" s="7"/>
    </row>
    <row r="61" spans="1:12" ht="13.5" x14ac:dyDescent="0.3">
      <c r="A61" s="7"/>
      <c r="B61" s="7"/>
      <c r="C61" s="7"/>
      <c r="D61" s="7"/>
      <c r="E61" s="38" t="s">
        <v>8</v>
      </c>
      <c r="F61" s="7"/>
      <c r="G61" s="43"/>
      <c r="H61" s="43"/>
      <c r="I61" s="43"/>
      <c r="J61" s="43"/>
      <c r="K61" s="43"/>
      <c r="L61" s="7"/>
    </row>
    <row r="62" spans="1:12" ht="13.5" x14ac:dyDescent="0.3">
      <c r="A62" s="7"/>
      <c r="B62" s="7"/>
      <c r="C62" s="7"/>
      <c r="D62" s="7"/>
      <c r="E62" s="38" t="s">
        <v>611</v>
      </c>
      <c r="F62" s="7"/>
      <c r="G62" s="43"/>
      <c r="H62" s="43"/>
      <c r="I62" s="43"/>
      <c r="J62" s="43"/>
      <c r="K62" s="43"/>
      <c r="L62" s="7"/>
    </row>
    <row r="63" spans="1:12" ht="13.5" x14ac:dyDescent="0.3">
      <c r="A63" s="7"/>
      <c r="B63" s="7"/>
      <c r="C63" s="7"/>
      <c r="D63" s="7"/>
      <c r="E63" s="38" t="s">
        <v>612</v>
      </c>
      <c r="F63" s="7"/>
      <c r="G63" s="43"/>
      <c r="H63" s="43"/>
      <c r="I63" s="43"/>
      <c r="J63" s="43"/>
      <c r="K63" s="43"/>
      <c r="L63" s="7"/>
    </row>
    <row r="64" spans="1:12" ht="13.5" x14ac:dyDescent="0.3">
      <c r="A64" s="7"/>
      <c r="B64" s="7"/>
      <c r="C64" s="7"/>
      <c r="D64" s="7"/>
      <c r="E64" s="38" t="s">
        <v>44</v>
      </c>
      <c r="F64" s="7"/>
      <c r="G64" s="43"/>
      <c r="H64" s="43"/>
      <c r="I64" s="43"/>
      <c r="J64" s="43"/>
      <c r="K64" s="43"/>
      <c r="L64" s="7"/>
    </row>
    <row r="65" spans="1:12" ht="13.5" x14ac:dyDescent="0.3">
      <c r="A65" s="7"/>
      <c r="B65" s="7"/>
      <c r="C65" s="7"/>
      <c r="D65" s="7"/>
      <c r="E65" s="38" t="s">
        <v>610</v>
      </c>
      <c r="F65" s="7"/>
      <c r="G65" s="43"/>
      <c r="H65" s="43"/>
      <c r="I65" s="43"/>
      <c r="J65" s="43"/>
      <c r="K65" s="43"/>
      <c r="L65" s="7"/>
    </row>
    <row r="66" spans="1:12" ht="13.5" x14ac:dyDescent="0.3">
      <c r="A66" s="7"/>
      <c r="B66" s="7"/>
      <c r="C66" s="7"/>
      <c r="D66" s="7"/>
      <c r="E66" s="122"/>
      <c r="F66" s="7"/>
      <c r="G66" s="43"/>
      <c r="H66" s="43"/>
      <c r="I66" s="43"/>
      <c r="J66" s="43"/>
      <c r="K66" s="43"/>
      <c r="L66" s="7"/>
    </row>
    <row r="67" spans="1:12" ht="13.5" x14ac:dyDescent="0.3">
      <c r="A67" s="7"/>
      <c r="B67" s="7"/>
      <c r="C67" s="7"/>
      <c r="D67" s="7"/>
      <c r="E67" s="122"/>
      <c r="F67" s="7"/>
      <c r="G67" s="43"/>
      <c r="H67" s="43"/>
      <c r="I67" s="43"/>
      <c r="J67" s="43"/>
      <c r="K67" s="43"/>
      <c r="L67" s="7"/>
    </row>
    <row r="68" spans="1:12" ht="13.5" x14ac:dyDescent="0.3">
      <c r="A68" s="7"/>
      <c r="B68" s="7"/>
      <c r="C68" s="7"/>
      <c r="D68" s="7"/>
      <c r="E68" s="7"/>
      <c r="F68" s="7"/>
      <c r="G68" s="43"/>
      <c r="H68" s="43"/>
      <c r="I68" s="43"/>
      <c r="J68" s="43"/>
      <c r="K68" s="43"/>
      <c r="L68" s="7"/>
    </row>
    <row r="69" spans="1:12" ht="13.5" x14ac:dyDescent="0.3">
      <c r="A69" s="7"/>
      <c r="B69" s="7"/>
      <c r="C69" s="7"/>
      <c r="D69" s="7"/>
      <c r="E69" s="9" t="s">
        <v>20</v>
      </c>
      <c r="F69" s="7"/>
      <c r="G69" s="57">
        <f t="shared" ref="G69:K69" si="4">SUM(G53:G67)</f>
        <v>0</v>
      </c>
      <c r="H69" s="57">
        <f t="shared" si="4"/>
        <v>0</v>
      </c>
      <c r="I69" s="57">
        <f t="shared" si="4"/>
        <v>0</v>
      </c>
      <c r="J69" s="57">
        <f t="shared" si="4"/>
        <v>0</v>
      </c>
      <c r="K69" s="57">
        <f t="shared" si="4"/>
        <v>2.6494602835881</v>
      </c>
      <c r="L69" s="7"/>
    </row>
    <row r="70" spans="1:12" ht="13.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3.5" x14ac:dyDescent="0.3">
      <c r="A71" s="55" t="s">
        <v>83</v>
      </c>
      <c r="B71" s="12"/>
      <c r="C71" s="12"/>
      <c r="D71" s="12"/>
      <c r="E71" s="12"/>
      <c r="F71" s="12"/>
      <c r="G71" s="59" t="s">
        <v>609</v>
      </c>
      <c r="H71" s="59" t="s">
        <v>609</v>
      </c>
      <c r="I71" s="59" t="s">
        <v>609</v>
      </c>
      <c r="J71" s="59" t="s">
        <v>609</v>
      </c>
      <c r="K71" s="59" t="s">
        <v>609</v>
      </c>
      <c r="L71" s="12"/>
    </row>
    <row r="72" spans="1:12" ht="13.5" x14ac:dyDescent="0.3">
      <c r="A72" s="7"/>
      <c r="B72" s="7"/>
      <c r="C72" s="7"/>
      <c r="D72" s="7"/>
      <c r="E72" s="7"/>
      <c r="F72" s="7"/>
      <c r="G72" s="7" t="s">
        <v>50</v>
      </c>
      <c r="H72" s="7" t="s">
        <v>50</v>
      </c>
      <c r="I72" s="7" t="s">
        <v>50</v>
      </c>
      <c r="J72" s="7" t="s">
        <v>50</v>
      </c>
      <c r="K72" s="7" t="s">
        <v>50</v>
      </c>
      <c r="L72" s="7"/>
    </row>
    <row r="73" spans="1:12" ht="13.5" x14ac:dyDescent="0.3">
      <c r="A73" s="7"/>
      <c r="B73" s="7"/>
      <c r="C73" s="7"/>
      <c r="D73" s="7"/>
      <c r="E73" s="38" t="s">
        <v>36</v>
      </c>
      <c r="F73" s="7"/>
      <c r="G73" s="43">
        <v>17.425402215245892</v>
      </c>
      <c r="H73" s="43">
        <v>19.074183335731682</v>
      </c>
      <c r="I73" s="43">
        <v>19.289202311059924</v>
      </c>
      <c r="J73" s="43">
        <v>19.201127766124515</v>
      </c>
      <c r="K73" s="43">
        <v>17.223580607077309</v>
      </c>
      <c r="L73" s="7"/>
    </row>
    <row r="74" spans="1:12" ht="13.5" x14ac:dyDescent="0.3">
      <c r="A74" s="7"/>
      <c r="B74" s="7"/>
      <c r="C74" s="7"/>
      <c r="D74" s="7"/>
      <c r="E74" s="38" t="s">
        <v>39</v>
      </c>
      <c r="F74" s="7"/>
      <c r="G74" s="43">
        <v>148.97876353090567</v>
      </c>
      <c r="H74" s="43">
        <v>163.02325944744581</v>
      </c>
      <c r="I74" s="43">
        <v>164.87581751452498</v>
      </c>
      <c r="J74" s="43">
        <v>164.08914603611845</v>
      </c>
      <c r="K74" s="43">
        <v>147.23931339504401</v>
      </c>
      <c r="L74" s="7"/>
    </row>
    <row r="75" spans="1:12" ht="13.5" x14ac:dyDescent="0.3">
      <c r="A75" s="7"/>
      <c r="B75" s="7"/>
      <c r="C75" s="7"/>
      <c r="D75" s="7"/>
      <c r="E75" s="38" t="s">
        <v>40</v>
      </c>
      <c r="F75" s="7"/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7"/>
    </row>
    <row r="76" spans="1:12" ht="13.5" x14ac:dyDescent="0.3">
      <c r="A76" s="7"/>
      <c r="B76" s="7"/>
      <c r="C76" s="7"/>
      <c r="D76" s="7"/>
      <c r="E76" s="38" t="s">
        <v>41</v>
      </c>
      <c r="F76" s="7"/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7"/>
    </row>
    <row r="77" spans="1:12" ht="13.5" x14ac:dyDescent="0.3">
      <c r="A77" s="7"/>
      <c r="B77" s="7"/>
      <c r="C77" s="7"/>
      <c r="D77" s="7"/>
      <c r="E77" s="38" t="s">
        <v>580</v>
      </c>
      <c r="F77" s="7"/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7"/>
    </row>
    <row r="78" spans="1:12" ht="13.5" x14ac:dyDescent="0.3">
      <c r="A78" s="7"/>
      <c r="B78" s="7"/>
      <c r="C78" s="7"/>
      <c r="D78" s="7"/>
      <c r="E78" s="38" t="s">
        <v>579</v>
      </c>
      <c r="F78" s="7"/>
      <c r="G78" s="43">
        <v>10.16216462673016</v>
      </c>
      <c r="H78" s="43">
        <v>13.796539230995172</v>
      </c>
      <c r="I78" s="43">
        <v>9.4308343051263037</v>
      </c>
      <c r="J78" s="43">
        <v>12.443663428819102</v>
      </c>
      <c r="K78" s="43">
        <v>9.3561852049948087</v>
      </c>
      <c r="L78" s="7"/>
    </row>
    <row r="79" spans="1:12" ht="13.5" x14ac:dyDescent="0.3">
      <c r="A79" s="7"/>
      <c r="B79" s="7"/>
      <c r="C79" s="7"/>
      <c r="D79" s="7"/>
      <c r="E79" s="38" t="s">
        <v>30</v>
      </c>
      <c r="F79" s="7"/>
      <c r="G79" s="43">
        <v>4.7287175349583066</v>
      </c>
      <c r="H79" s="43">
        <v>3.2300544124124215</v>
      </c>
      <c r="I79" s="43">
        <v>3.345880094900771</v>
      </c>
      <c r="J79" s="43">
        <v>2.9932842355422196</v>
      </c>
      <c r="K79" s="43">
        <v>2.0291768156725922</v>
      </c>
      <c r="L79" s="7"/>
    </row>
    <row r="80" spans="1:12" ht="13.5" x14ac:dyDescent="0.3">
      <c r="A80" s="7"/>
      <c r="B80" s="7"/>
      <c r="C80" s="7"/>
      <c r="D80" s="7"/>
      <c r="E80" s="38" t="s">
        <v>31</v>
      </c>
      <c r="F80" s="7"/>
      <c r="G80" s="43">
        <v>21.664504293879897</v>
      </c>
      <c r="H80" s="43">
        <v>17.256151752900625</v>
      </c>
      <c r="I80" s="43">
        <v>13.985905119006672</v>
      </c>
      <c r="J80" s="43">
        <v>12.213717711229526</v>
      </c>
      <c r="K80" s="43">
        <v>11.810931402694575</v>
      </c>
      <c r="L80" s="7"/>
    </row>
    <row r="81" spans="1:12" ht="13.5" x14ac:dyDescent="0.3">
      <c r="A81" s="7"/>
      <c r="B81" s="7"/>
      <c r="C81" s="7"/>
      <c r="D81" s="7"/>
      <c r="E81" s="38" t="s">
        <v>8</v>
      </c>
      <c r="F81" s="7"/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7"/>
    </row>
    <row r="82" spans="1:12" ht="13.5" x14ac:dyDescent="0.3">
      <c r="A82" s="7"/>
      <c r="B82" s="7"/>
      <c r="C82" s="7"/>
      <c r="D82" s="7"/>
      <c r="E82" s="38" t="s">
        <v>611</v>
      </c>
      <c r="F82" s="7"/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7"/>
    </row>
    <row r="83" spans="1:12" ht="13.5" x14ac:dyDescent="0.3">
      <c r="A83" s="7"/>
      <c r="B83" s="7"/>
      <c r="C83" s="7"/>
      <c r="D83" s="7"/>
      <c r="E83" s="38" t="s">
        <v>612</v>
      </c>
      <c r="F83" s="7"/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7"/>
    </row>
    <row r="84" spans="1:12" ht="13.5" x14ac:dyDescent="0.3">
      <c r="A84" s="7"/>
      <c r="B84" s="7"/>
      <c r="C84" s="7"/>
      <c r="D84" s="7"/>
      <c r="E84" s="38" t="s">
        <v>44</v>
      </c>
      <c r="F84" s="7"/>
      <c r="G84" s="43">
        <v>0</v>
      </c>
      <c r="H84" s="43">
        <v>0</v>
      </c>
      <c r="I84" s="43">
        <v>6.3542592663236661</v>
      </c>
      <c r="J84" s="43">
        <v>2.1180864221078881</v>
      </c>
      <c r="K84" s="43">
        <v>0</v>
      </c>
      <c r="L84" s="7"/>
    </row>
    <row r="85" spans="1:12" ht="13.5" x14ac:dyDescent="0.3">
      <c r="A85" s="7"/>
      <c r="B85" s="7"/>
      <c r="C85" s="7"/>
      <c r="D85" s="7"/>
      <c r="E85" s="38" t="s">
        <v>610</v>
      </c>
      <c r="F85" s="7"/>
      <c r="G85" s="43">
        <v>51.533900047912617</v>
      </c>
      <c r="H85" s="43">
        <v>35.20136273905154</v>
      </c>
      <c r="I85" s="43">
        <v>36.463639265447668</v>
      </c>
      <c r="J85" s="43">
        <v>32.621024510144572</v>
      </c>
      <c r="K85" s="43">
        <v>22.114113271799585</v>
      </c>
      <c r="L85" s="7"/>
    </row>
    <row r="86" spans="1:12" ht="13.5" x14ac:dyDescent="0.3">
      <c r="A86" s="7"/>
      <c r="B86" s="7"/>
      <c r="C86" s="7"/>
      <c r="D86" s="7"/>
      <c r="E86" s="38"/>
      <c r="F86" s="7"/>
      <c r="G86" s="43"/>
      <c r="H86" s="43"/>
      <c r="I86" s="43"/>
      <c r="J86" s="43"/>
      <c r="K86" s="43"/>
      <c r="L86" s="7"/>
    </row>
    <row r="87" spans="1:12" ht="13.5" x14ac:dyDescent="0.3">
      <c r="A87" s="7"/>
      <c r="B87" s="7"/>
      <c r="C87" s="7"/>
      <c r="D87" s="7"/>
      <c r="E87" s="38"/>
      <c r="F87" s="7"/>
      <c r="G87" s="43"/>
      <c r="H87" s="43"/>
      <c r="I87" s="43"/>
      <c r="J87" s="43"/>
      <c r="K87" s="43"/>
      <c r="L87" s="7"/>
    </row>
    <row r="88" spans="1:12" ht="13.5" x14ac:dyDescent="0.3">
      <c r="A88" s="7"/>
      <c r="B88" s="7"/>
      <c r="C88" s="7"/>
      <c r="D88" s="7"/>
      <c r="E88" s="7"/>
      <c r="F88" s="7"/>
      <c r="G88" s="43"/>
      <c r="H88" s="43"/>
      <c r="I88" s="43"/>
      <c r="J88" s="43"/>
      <c r="K88" s="43"/>
      <c r="L88" s="7"/>
    </row>
    <row r="89" spans="1:12" ht="13.5" x14ac:dyDescent="0.3">
      <c r="A89" s="7"/>
      <c r="B89" s="7"/>
      <c r="C89" s="7"/>
      <c r="D89" s="7"/>
      <c r="E89" s="9" t="s">
        <v>20</v>
      </c>
      <c r="F89" s="7"/>
      <c r="G89" s="57">
        <f t="shared" ref="G89:K89" si="5">SUM(G73:G87)</f>
        <v>254.49345224963258</v>
      </c>
      <c r="H89" s="57">
        <f t="shared" si="5"/>
        <v>251.58155091853723</v>
      </c>
      <c r="I89" s="57">
        <f t="shared" si="5"/>
        <v>253.74553787639002</v>
      </c>
      <c r="J89" s="57">
        <f t="shared" si="5"/>
        <v>245.68005011008623</v>
      </c>
      <c r="K89" s="57">
        <f t="shared" si="5"/>
        <v>209.77330069728288</v>
      </c>
      <c r="L89" s="93">
        <f>SUM(G89:K89)</f>
        <v>1215.273891851929</v>
      </c>
    </row>
    <row r="90" spans="1:12" ht="13.5" x14ac:dyDescent="0.3">
      <c r="A90" s="7"/>
      <c r="B90" s="7"/>
      <c r="C90" s="7"/>
      <c r="D90" s="7"/>
      <c r="E90" s="7"/>
      <c r="F90" s="7"/>
      <c r="G90" s="61">
        <f>G89-'Output|Functional'!G136</f>
        <v>28.897575849080937</v>
      </c>
      <c r="H90" s="61">
        <f>H89-'Output|Functional'!H136</f>
        <v>67.422163915848955</v>
      </c>
      <c r="I90" s="61">
        <f>I89-'Output|Functional'!I136</f>
        <v>85.196926748711178</v>
      </c>
      <c r="J90" s="61">
        <f>J89-'Output|Functional'!J136</f>
        <v>75.109420005540443</v>
      </c>
      <c r="K90" s="61">
        <f>K89-'Output|Functional'!K136</f>
        <v>51.584216051325313</v>
      </c>
      <c r="L90" s="7"/>
    </row>
    <row r="91" spans="1:12" ht="13.5" x14ac:dyDescent="0.3">
      <c r="A91" s="7"/>
      <c r="B91" s="7"/>
      <c r="C91" s="7"/>
      <c r="D91" s="7"/>
      <c r="E91" s="7"/>
      <c r="F91" s="7"/>
      <c r="G91" s="61"/>
      <c r="H91" s="61"/>
      <c r="I91" s="61"/>
      <c r="J91" s="61"/>
      <c r="K91" s="61"/>
      <c r="L91" s="7"/>
    </row>
    <row r="92" spans="1:12" ht="13.5" x14ac:dyDescent="0.3">
      <c r="A92" s="55" t="s">
        <v>1037</v>
      </c>
      <c r="B92" s="12"/>
      <c r="C92" s="12"/>
      <c r="D92" s="12"/>
      <c r="E92" s="12"/>
      <c r="F92" s="12"/>
      <c r="G92" s="59" t="s">
        <v>609</v>
      </c>
      <c r="H92" s="59" t="s">
        <v>609</v>
      </c>
      <c r="I92" s="59" t="s">
        <v>609</v>
      </c>
      <c r="J92" s="59" t="s">
        <v>609</v>
      </c>
      <c r="K92" s="59" t="s">
        <v>609</v>
      </c>
      <c r="L92" s="12"/>
    </row>
    <row r="93" spans="1:12" ht="13.5" x14ac:dyDescent="0.3">
      <c r="A93" s="7"/>
      <c r="B93" s="7"/>
      <c r="C93" s="7"/>
      <c r="D93" s="7"/>
      <c r="E93" s="7"/>
      <c r="F93" s="7"/>
      <c r="G93" s="7" t="s">
        <v>50</v>
      </c>
      <c r="H93" s="7" t="s">
        <v>50</v>
      </c>
      <c r="I93" s="7" t="s">
        <v>50</v>
      </c>
      <c r="J93" s="7" t="s">
        <v>50</v>
      </c>
      <c r="K93" s="7" t="s">
        <v>50</v>
      </c>
      <c r="L93" s="7"/>
    </row>
    <row r="94" spans="1:12" ht="13.5" x14ac:dyDescent="0.3">
      <c r="A94" s="7"/>
      <c r="B94" s="7"/>
      <c r="C94" s="7"/>
      <c r="D94" s="7"/>
      <c r="E94" s="38" t="s">
        <v>36</v>
      </c>
      <c r="F94" s="7"/>
      <c r="G94" s="43">
        <v>7.3557321472474637</v>
      </c>
      <c r="H94" s="43">
        <v>8.02806411559847</v>
      </c>
      <c r="I94" s="43">
        <v>7.8933179619502818</v>
      </c>
      <c r="J94" s="43">
        <v>7.9754151993126223</v>
      </c>
      <c r="K94" s="43">
        <v>7.4196823132217036</v>
      </c>
      <c r="L94" s="7"/>
    </row>
    <row r="95" spans="1:12" ht="13.5" x14ac:dyDescent="0.3">
      <c r="A95" s="7"/>
      <c r="B95" s="7"/>
      <c r="C95" s="7"/>
      <c r="D95" s="7"/>
      <c r="E95" s="38" t="s">
        <v>39</v>
      </c>
      <c r="F95" s="7"/>
      <c r="G95" s="43">
        <v>62.888680237439843</v>
      </c>
      <c r="H95" s="43">
        <v>68.619471360372799</v>
      </c>
      <c r="I95" s="43">
        <v>67.472790504314489</v>
      </c>
      <c r="J95" s="43">
        <v>68.163308905595557</v>
      </c>
      <c r="K95" s="43">
        <v>63.430676290393059</v>
      </c>
      <c r="L95" s="7"/>
    </row>
    <row r="96" spans="1:12" ht="13.5" x14ac:dyDescent="0.3">
      <c r="A96" s="7"/>
      <c r="B96" s="7"/>
      <c r="C96" s="7"/>
      <c r="D96" s="7"/>
      <c r="E96" s="38" t="s">
        <v>40</v>
      </c>
      <c r="F96" s="7"/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7"/>
    </row>
    <row r="97" spans="1:12" ht="13.5" x14ac:dyDescent="0.3">
      <c r="A97" s="7"/>
      <c r="B97" s="7"/>
      <c r="C97" s="7"/>
      <c r="D97" s="7"/>
      <c r="E97" s="38" t="s">
        <v>41</v>
      </c>
      <c r="F97" s="7"/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7"/>
    </row>
    <row r="98" spans="1:12" ht="13.5" x14ac:dyDescent="0.3">
      <c r="A98" s="7"/>
      <c r="B98" s="7"/>
      <c r="C98" s="7"/>
      <c r="D98" s="7"/>
      <c r="E98" s="38" t="s">
        <v>580</v>
      </c>
      <c r="F98" s="7"/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7"/>
    </row>
    <row r="99" spans="1:12" ht="13.5" x14ac:dyDescent="0.3">
      <c r="A99" s="7"/>
      <c r="B99" s="7"/>
      <c r="C99" s="7"/>
      <c r="D99" s="7"/>
      <c r="E99" s="38" t="s">
        <v>579</v>
      </c>
      <c r="F99" s="7"/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7"/>
    </row>
    <row r="100" spans="1:12" ht="13.5" x14ac:dyDescent="0.3">
      <c r="A100" s="7"/>
      <c r="B100" s="7"/>
      <c r="C100" s="7"/>
      <c r="D100" s="7"/>
      <c r="E100" s="38" t="s">
        <v>30</v>
      </c>
      <c r="F100" s="7"/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7"/>
    </row>
    <row r="101" spans="1:12" ht="13.5" x14ac:dyDescent="0.3">
      <c r="A101" s="7"/>
      <c r="B101" s="7"/>
      <c r="C101" s="7"/>
      <c r="D101" s="7"/>
      <c r="E101" s="38" t="s">
        <v>31</v>
      </c>
      <c r="F101" s="7"/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7"/>
    </row>
    <row r="102" spans="1:12" ht="13.5" x14ac:dyDescent="0.3">
      <c r="A102" s="7"/>
      <c r="B102" s="7"/>
      <c r="C102" s="7"/>
      <c r="D102" s="7"/>
      <c r="E102" s="38" t="s">
        <v>8</v>
      </c>
      <c r="F102" s="7"/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7"/>
    </row>
    <row r="103" spans="1:12" ht="13.5" x14ac:dyDescent="0.3">
      <c r="A103" s="7"/>
      <c r="B103" s="7"/>
      <c r="C103" s="7"/>
      <c r="D103" s="7"/>
      <c r="E103" s="38" t="s">
        <v>611</v>
      </c>
      <c r="F103" s="7"/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7"/>
    </row>
    <row r="104" spans="1:12" ht="13.5" x14ac:dyDescent="0.3">
      <c r="A104" s="7"/>
      <c r="B104" s="7"/>
      <c r="C104" s="7"/>
      <c r="D104" s="7"/>
      <c r="E104" s="38" t="s">
        <v>612</v>
      </c>
      <c r="F104" s="7"/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7"/>
    </row>
    <row r="105" spans="1:12" ht="13.5" x14ac:dyDescent="0.3">
      <c r="A105" s="7"/>
      <c r="B105" s="7"/>
      <c r="C105" s="7"/>
      <c r="D105" s="7"/>
      <c r="E105" s="38" t="s">
        <v>44</v>
      </c>
      <c r="F105" s="7"/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7"/>
    </row>
    <row r="106" spans="1:12" ht="13.5" x14ac:dyDescent="0.3">
      <c r="A106" s="7"/>
      <c r="B106" s="7"/>
      <c r="C106" s="7"/>
      <c r="D106" s="7"/>
      <c r="E106" s="38" t="s">
        <v>610</v>
      </c>
      <c r="F106" s="7"/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7"/>
    </row>
    <row r="107" spans="1:12" ht="13.5" x14ac:dyDescent="0.3">
      <c r="A107" s="7"/>
      <c r="B107" s="7"/>
      <c r="C107" s="7"/>
      <c r="D107" s="7"/>
      <c r="E107" s="38"/>
      <c r="F107" s="7"/>
      <c r="G107" s="43"/>
      <c r="H107" s="43"/>
      <c r="I107" s="43"/>
      <c r="J107" s="43"/>
      <c r="K107" s="43"/>
      <c r="L107" s="7"/>
    </row>
    <row r="108" spans="1:12" ht="13.5" x14ac:dyDescent="0.3">
      <c r="A108" s="7"/>
      <c r="B108" s="7"/>
      <c r="C108" s="7"/>
      <c r="D108" s="7"/>
      <c r="E108" s="38"/>
      <c r="F108" s="7"/>
      <c r="G108" s="43"/>
      <c r="H108" s="43"/>
      <c r="I108" s="43"/>
      <c r="J108" s="43"/>
      <c r="K108" s="43"/>
      <c r="L108" s="7"/>
    </row>
    <row r="109" spans="1:12" ht="13.5" x14ac:dyDescent="0.3">
      <c r="A109" s="7"/>
      <c r="B109" s="7"/>
      <c r="C109" s="7"/>
      <c r="D109" s="7"/>
      <c r="E109" s="7"/>
      <c r="F109" s="7"/>
      <c r="G109" s="43"/>
      <c r="H109" s="43"/>
      <c r="I109" s="43"/>
      <c r="J109" s="43"/>
      <c r="K109" s="43"/>
      <c r="L109" s="7"/>
    </row>
    <row r="110" spans="1:12" ht="13.5" x14ac:dyDescent="0.3">
      <c r="A110" s="7"/>
      <c r="B110" s="7"/>
      <c r="C110" s="7"/>
      <c r="D110" s="7"/>
      <c r="E110" s="9" t="s">
        <v>20</v>
      </c>
      <c r="F110" s="7"/>
      <c r="G110" s="57">
        <f t="shared" ref="G110:K110" si="6">SUM(G94:G108)</f>
        <v>70.244412384687308</v>
      </c>
      <c r="H110" s="57">
        <f t="shared" si="6"/>
        <v>76.647535475971267</v>
      </c>
      <c r="I110" s="57">
        <f t="shared" si="6"/>
        <v>75.366108466264777</v>
      </c>
      <c r="J110" s="57">
        <f t="shared" si="6"/>
        <v>76.138724104908178</v>
      </c>
      <c r="K110" s="57">
        <f t="shared" si="6"/>
        <v>70.850358603614765</v>
      </c>
      <c r="L110" s="7"/>
    </row>
    <row r="111" spans="1:12" ht="13.5" x14ac:dyDescent="0.3">
      <c r="A111" s="7"/>
      <c r="B111" s="7"/>
      <c r="C111" s="7"/>
      <c r="D111" s="7"/>
      <c r="E111" s="7"/>
      <c r="F111" s="7"/>
      <c r="G111" s="61">
        <f>G110-'Immediate deductions'!M26/10^3</f>
        <v>10.415353755514154</v>
      </c>
      <c r="H111" s="61">
        <f>H110-'Immediate deductions'!N26/10^3</f>
        <v>15.844608191537866</v>
      </c>
      <c r="I111" s="61">
        <f>I110-'Immediate deductions'!O26/10^3</f>
        <v>14.476285186790193</v>
      </c>
      <c r="J111" s="61">
        <f>J110-'Immediate deductions'!P26/10^3</f>
        <v>16.148686590936116</v>
      </c>
      <c r="K111" s="61">
        <f>K110-'Immediate deductions'!Q26/10^3</f>
        <v>16.945865753920685</v>
      </c>
      <c r="L111" s="7"/>
    </row>
    <row r="112" spans="1:12" ht="13.5" x14ac:dyDescent="0.3">
      <c r="A112" s="7"/>
      <c r="B112" s="7"/>
      <c r="C112" s="7"/>
      <c r="D112" s="7"/>
      <c r="E112" s="7"/>
      <c r="F112" s="7"/>
      <c r="G112" s="61"/>
      <c r="H112" s="61"/>
      <c r="I112" s="61"/>
      <c r="J112" s="61"/>
      <c r="K112" s="61"/>
      <c r="L112" s="7"/>
    </row>
    <row r="113" spans="1:17" ht="13.5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7" s="7" customFormat="1" ht="13.5" x14ac:dyDescent="0.3">
      <c r="A114" s="21" t="s">
        <v>4</v>
      </c>
      <c r="B114" s="21"/>
      <c r="C114" s="14"/>
      <c r="D114" s="23"/>
      <c r="E114" s="24"/>
      <c r="F114" s="24"/>
      <c r="G114" s="19"/>
      <c r="H114" s="19"/>
      <c r="I114" s="19"/>
      <c r="J114" s="19"/>
      <c r="K114" s="24"/>
      <c r="L114" s="20"/>
      <c r="M114" s="20"/>
      <c r="N114" s="20"/>
      <c r="O114" s="20"/>
      <c r="P114" s="20"/>
      <c r="Q114" s="20"/>
    </row>
    <row r="115" spans="1:17" s="7" customFormat="1" ht="13.5" x14ac:dyDescent="0.3"/>
    <row r="116" spans="1:17" s="7" customFormat="1" ht="13.5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Control</vt:lpstr>
      <vt:lpstr>Inflation</vt:lpstr>
      <vt:lpstr>Mapping</vt:lpstr>
      <vt:lpstr>Input|Historical Data</vt:lpstr>
      <vt:lpstr>Input|Forecast Data</vt:lpstr>
      <vt:lpstr>Input|Customer Contributions</vt:lpstr>
      <vt:lpstr>Input|VBRC Calc</vt:lpstr>
      <vt:lpstr>Calc|Weightings</vt:lpstr>
      <vt:lpstr>Calc|Overheads</vt:lpstr>
      <vt:lpstr>Calc|Consolidated Capex</vt:lpstr>
      <vt:lpstr>2018 Tax mapping</vt:lpstr>
      <vt:lpstr>Immediate deductions</vt:lpstr>
      <vt:lpstr>Output|Functional</vt:lpstr>
      <vt:lpstr>Output|PTRM</vt:lpstr>
      <vt:lpstr>RP_comparison</vt:lpstr>
      <vt:lpstr>Output|Functional - proposed </vt:lpstr>
      <vt:lpstr>Output|PTRM -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2020-09-14T00:49:25Z</dcterms:created>
  <dcterms:modified xsi:type="dcterms:W3CDTF">2021-04-14T04:31:03Z</dcterms:modified>
</cp:coreProperties>
</file>