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lavko\Reset\2019-24 final decision Overviews\For Jim-Board-DNSPs\Attachments - Locked down\Endeavour\"/>
    </mc:Choice>
  </mc:AlternateContent>
  <bookViews>
    <workbookView xWindow="0" yWindow="0" windowWidth="19200" windowHeight="7050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H13" i="2" l="1"/>
  <c r="G13" i="2"/>
  <c r="F13" i="2"/>
  <c r="E13" i="2"/>
  <c r="D13" i="2"/>
  <c r="D18" i="2"/>
  <c r="E18" i="2"/>
  <c r="F18" i="2"/>
  <c r="G18" i="2"/>
  <c r="H18" i="2"/>
  <c r="G7" i="13"/>
  <c r="F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41" i="4"/>
  <c r="E41" i="4"/>
  <c r="F41" i="4" s="1"/>
  <c r="G41" i="4" s="1"/>
  <c r="H41" i="4" s="1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23" i="3"/>
  <c r="H12" i="3"/>
  <c r="I16" i="3"/>
  <c r="I23" i="3"/>
  <c r="I12" i="3"/>
  <c r="L16" i="3"/>
  <c r="L23" i="3"/>
  <c r="L12" i="3"/>
  <c r="K16" i="3"/>
  <c r="K23" i="3"/>
  <c r="K12" i="3"/>
  <c r="J16" i="3"/>
  <c r="J23" i="3"/>
  <c r="J12" i="3"/>
  <c r="L22" i="13"/>
  <c r="G22" i="13"/>
  <c r="H22" i="13"/>
  <c r="I22" i="13"/>
  <c r="J22" i="13"/>
  <c r="K22" i="13"/>
  <c r="H9" i="4"/>
  <c r="H8" i="4"/>
  <c r="G19" i="4"/>
  <c r="D25" i="4"/>
  <c r="D27" i="4" s="1"/>
  <c r="D28" i="4" s="1"/>
  <c r="M14" i="13"/>
  <c r="M22" i="13"/>
  <c r="E25" i="4" s="1"/>
  <c r="E9" i="4"/>
  <c r="M9" i="13"/>
  <c r="N9" i="13"/>
  <c r="O9" i="13"/>
  <c r="P9" i="13"/>
  <c r="C15" i="13"/>
  <c r="G15" i="13"/>
  <c r="H15" i="13"/>
  <c r="I15" i="13"/>
  <c r="J15" i="13"/>
  <c r="K15" i="13"/>
  <c r="C10" i="13"/>
  <c r="G8" i="4"/>
  <c r="F8" i="4"/>
  <c r="E8" i="4"/>
  <c r="F9" i="4"/>
  <c r="B1" i="2"/>
  <c r="B1" i="10"/>
  <c r="G9" i="4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H11" i="4"/>
  <c r="C42" i="4"/>
  <c r="C44" i="4"/>
  <c r="G10" i="13"/>
  <c r="H10" i="13"/>
  <c r="I10" i="13"/>
  <c r="J10" i="13"/>
  <c r="K10" i="13"/>
  <c r="L10" i="13"/>
  <c r="I30" i="3"/>
  <c r="F10" i="4"/>
  <c r="E10" i="4"/>
  <c r="G11" i="4"/>
  <c r="F11" i="4"/>
  <c r="E11" i="4"/>
  <c r="F19" i="4"/>
  <c r="E19" i="4"/>
  <c r="G10" i="4"/>
  <c r="H10" i="4"/>
  <c r="H12" i="4"/>
  <c r="H20" i="4"/>
  <c r="N14" i="13"/>
  <c r="L15" i="13"/>
  <c r="M15" i="13"/>
  <c r="B1" i="5"/>
  <c r="B1" i="3"/>
  <c r="B1" i="13"/>
  <c r="B1" i="4"/>
  <c r="F13" i="4"/>
  <c r="G13" i="4"/>
  <c r="E13" i="4"/>
  <c r="H13" i="4"/>
  <c r="H30" i="3"/>
  <c r="H31" i="3"/>
  <c r="D26" i="4"/>
  <c r="F12" i="4"/>
  <c r="F20" i="4"/>
  <c r="E12" i="4"/>
  <c r="G14" i="4"/>
  <c r="N22" i="13"/>
  <c r="F25" i="4"/>
  <c r="G12" i="4"/>
  <c r="G20" i="4"/>
  <c r="N15" i="13"/>
  <c r="M10" i="13"/>
  <c r="N10" i="13"/>
  <c r="K30" i="3"/>
  <c r="O14" i="13"/>
  <c r="O22" i="13"/>
  <c r="I31" i="3"/>
  <c r="E26" i="4"/>
  <c r="E18" i="4"/>
  <c r="G15" i="4"/>
  <c r="G18" i="4"/>
  <c r="H15" i="4"/>
  <c r="H16" i="4"/>
  <c r="H14" i="4"/>
  <c r="E20" i="4"/>
  <c r="F14" i="4"/>
  <c r="F18" i="4"/>
  <c r="J30" i="3"/>
  <c r="J31" i="3"/>
  <c r="F26" i="4"/>
  <c r="O10" i="13"/>
  <c r="P10" i="13"/>
  <c r="P14" i="13"/>
  <c r="G25" i="4"/>
  <c r="G27" i="4" s="1"/>
  <c r="G28" i="4" s="1"/>
  <c r="K31" i="3"/>
  <c r="G26" i="4"/>
  <c r="O15" i="13"/>
  <c r="F21" i="4"/>
  <c r="G21" i="4"/>
  <c r="E21" i="4"/>
  <c r="H18" i="4"/>
  <c r="P22" i="13"/>
  <c r="H25" i="4"/>
  <c r="P15" i="13"/>
  <c r="L30" i="3"/>
  <c r="L31" i="3"/>
  <c r="H26" i="4"/>
  <c r="H21" i="4"/>
  <c r="D35" i="4"/>
  <c r="E27" i="4" l="1"/>
  <c r="E28" i="4" s="1"/>
  <c r="F27" i="4"/>
  <c r="F28" i="4" s="1"/>
  <c r="D31" i="4" s="1"/>
  <c r="H27" i="4"/>
  <c r="H28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N8" i="10" s="1"/>
  <c r="O8" i="10" s="1"/>
  <c r="M8" i="10"/>
  <c r="D44" i="4" l="1"/>
</calcChain>
</file>

<file path=xl/comments1.xml><?xml version="1.0" encoding="utf-8"?>
<comments xmlns="http://schemas.openxmlformats.org/spreadsheetml/2006/main">
  <authors>
    <author>Author</author>
    <author>RG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<sst xmlns="http://schemas.openxmlformats.org/spreadsheetml/2006/main" count="202" uniqueCount="110">
  <si>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</si>
  <si>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</si>
  <si>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</si>
  <si>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</si>
  <si>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</si>
  <si>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</si>
  <si>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</si>
  <si>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</si>
  <si>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</si>
  <si>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</si>
  <si>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</si>
  <si>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</si>
  <si>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</si>
  <si>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</si>
  <si>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</si>
  <si>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</si>
  <si>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</si>
  <si>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</si>
  <si>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</si>
  <si>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</si>
  <si>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</si>
  <si>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</si>
  <si>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</si>
  <si>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</si>
  <si>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</si>
  <si>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</si>
  <si>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</si>
  <si>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</si>
  <si>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</si>
  <si>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</si>
  <si>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</si>
  <si>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</si>
  <si>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</si>
  <si>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</si>
  <si>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</si>
  <si>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</si>
  <si>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</si>
  <si>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</si>
  <si>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</si>
  <si>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</si>
  <si>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</si>
  <si>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</si>
  <si>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</si>
  <si>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</si>
  <si>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</si>
  <si>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</si>
  <si>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</si>
  <si>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</si>
  <si>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</si>
  <si>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</si>
  <si>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</si>
  <si>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</si>
  <si>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</si>
  <si>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</si>
  <si>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</si>
  <si>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</si>
  <si>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</si>
  <si>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</si>
  <si>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</si>
  <si>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</si>
  <si>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</si>
  <si>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</si>
  <si>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</si>
  <si>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</si>
  <si>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</si>
  <si>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</si>
  <si>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</si>
  <si>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</si>
  <si>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</si>
  <si>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</si>
  <si>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</si>
  <si>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</si>
  <si>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</si>
  <si>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</si>
  <si>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</si>
  <si>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</si>
  <si>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</si>
  <si>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</si>
  <si>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</si>
  <si>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</si>
  <si>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</si>
  <si>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</si>
  <si>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</si>
  <si>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</si>
  <si>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</si>
  <si>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</si>
  <si>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</si>
  <si>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</si>
  <si>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</si>
  <si>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</si>
  <si>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</si>
  <si>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</si>
  <si>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</si>
  <si>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</si>
  <si>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</si>
  <si>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</si>
  <si>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</si>
  <si>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</si>
  <si>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</si>
  <si>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</si>
  <si>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</si>
  <si>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</si>
  <si>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</si>
  <si>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Final Decision</t>
  </si>
  <si>
    <t>2019-24</t>
  </si>
  <si>
    <t>2019-20</t>
  </si>
  <si>
    <t>No</t>
  </si>
  <si>
    <t>AER Final Decision</t>
  </si>
  <si>
    <t>Endeavour Energy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</si>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</sst>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-* #,##0.0000000_-;\-* #,##0.00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7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1" fillId="56" borderId="0" xfId="265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17" fillId="0" borderId="34" xfId="268" applyNumberFormat="1" applyFont="1" applyFill="1" applyBorder="1" applyAlignment="1" applyProtection="1">
      <alignment horizontal="right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43" xfId="265" applyNumberFormat="1" applyFont="1" applyFill="1" applyBorder="1" applyAlignment="1" applyProtection="1">
      <alignment horizontal="right" vertical="center"/>
    </xf>
    <xf numFmtId="2" fontId="17" fillId="0" borderId="5" xfId="265" applyNumberFormat="1" applyFont="1" applyFill="1" applyBorder="1" applyAlignment="1" applyProtection="1">
      <alignment horizontal="right" vertical="center"/>
    </xf>
    <xf numFmtId="192" fontId="17" fillId="0" borderId="0" xfId="304" applyNumberFormat="1" applyFont="1" applyProtection="1"/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CCFF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>
      <selection activeCell="B1" sqref="B1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Endeavour Energy 2019-24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8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8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8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8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8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8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D14" sqref="D14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8" width="12.7265625" style="14" customWidth="1"/>
    <col min="9" max="9" width="9.453125" style="14" customWidth="1"/>
    <col min="10" max="10" width="9.269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Endeavour Energy 2019-24 Final Decision - Capital expenditure sharing scheme model</v>
      </c>
      <c r="F1" s="104"/>
      <c r="G1" s="105" t="s">
        <v>47</v>
      </c>
      <c r="H1" s="158" t="s">
        <v>48</v>
      </c>
      <c r="I1" s="163" t="s">
        <v>36</v>
      </c>
      <c r="M1" s="106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59" t="s">
        <v>108</v>
      </c>
      <c r="J6" s="78"/>
      <c r="K6" s="78"/>
      <c r="L6" s="78"/>
      <c r="M6" s="78"/>
    </row>
    <row r="7" spans="1:13" s="69" customFormat="1" ht="11.25" customHeight="1">
      <c r="C7" s="68" t="s">
        <v>91</v>
      </c>
      <c r="D7" s="159" t="s">
        <v>103</v>
      </c>
      <c r="I7" s="78"/>
      <c r="J7" s="78"/>
      <c r="K7" s="78"/>
      <c r="L7" s="78"/>
    </row>
    <row r="8" spans="1:13" s="69" customFormat="1" ht="11.25" customHeight="1">
      <c r="C8" s="68" t="s">
        <v>92</v>
      </c>
      <c r="D8" s="159" t="s">
        <v>104</v>
      </c>
      <c r="J8" s="78"/>
      <c r="K8" s="78"/>
      <c r="L8" s="78"/>
      <c r="M8" s="78"/>
    </row>
    <row r="9" spans="1:13" s="69" customFormat="1" ht="11.25" customHeight="1">
      <c r="C9" s="187" t="s">
        <v>102</v>
      </c>
      <c r="D9" s="159" t="s">
        <v>105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4" t="s">
        <v>90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64</v>
      </c>
      <c r="E12" s="70" t="s">
        <v>65</v>
      </c>
      <c r="F12" s="70" t="s">
        <v>66</v>
      </c>
      <c r="G12" s="70" t="s">
        <v>67</v>
      </c>
      <c r="H12" s="70" t="s">
        <v>68</v>
      </c>
      <c r="J12" s="78"/>
      <c r="K12" s="78"/>
      <c r="L12" s="78"/>
      <c r="M12" s="78"/>
    </row>
    <row r="13" spans="1:13" s="69" customFormat="1" ht="11.25" customHeight="1">
      <c r="C13" s="68" t="s">
        <v>62</v>
      </c>
      <c r="D13" s="186" t="str">
        <f t="shared" ref="D13:F13" si="0">IF(LEN(E13)&gt;4,CONCATENATE(LEFT(E13,4)-1&amp;"–"&amp;IF(RIGHT(E13,2)="00","99",IF(RIGHT(E13,2)-1&lt;10,"0","")&amp;RIGHT(E13,2)-1)),E13-1)</f>
        <v>2014–15</v>
      </c>
      <c r="E13" s="186" t="str">
        <f t="shared" si="0"/>
        <v>2015–16</v>
      </c>
      <c r="F13" s="186" t="str">
        <f t="shared" si="0"/>
        <v>2016–17</v>
      </c>
      <c r="G13" s="186" t="str">
        <f>IF(LEN(H13)&gt;4,CONCATENATE(LEFT(H13,4)-1&amp;"–"&amp;IF(RIGHT(H13,2)="00","99",IF(RIGHT(H13,2)-1&lt;10,"0","")&amp;RIGHT(H13,2)-1)),H13-1)</f>
        <v>2017–18</v>
      </c>
      <c r="H13" s="186" t="str">
        <f>IF(LEN(D9)&gt;4,CONCATENATE(LEFT(D9,4)-1&amp;"–"&amp;IF(RIGHT(D9,2)="00","99",IF(RIGHT(D9,2)-1&lt;10,"0","")&amp;RIGHT(D9,2)-1)),D9-1)</f>
        <v>2018–19</v>
      </c>
      <c r="J13" s="78"/>
      <c r="K13" s="78"/>
      <c r="L13" s="78"/>
      <c r="M13" s="78"/>
    </row>
    <row r="14" spans="1:13" s="69" customFormat="1" ht="11.25" customHeight="1">
      <c r="C14" s="68" t="s">
        <v>1</v>
      </c>
      <c r="D14" s="159" t="s">
        <v>106</v>
      </c>
      <c r="E14" s="159" t="s">
        <v>8</v>
      </c>
      <c r="F14" s="159" t="s">
        <v>8</v>
      </c>
      <c r="G14" s="159" t="s">
        <v>8</v>
      </c>
      <c r="H14" s="159" t="s">
        <v>8</v>
      </c>
      <c r="J14" s="78"/>
      <c r="K14" s="78"/>
      <c r="L14" s="78"/>
      <c r="M14" s="78"/>
    </row>
    <row r="15" spans="1:13" s="69" customFormat="1" ht="11.25" customHeight="1">
      <c r="C15" s="68" t="s">
        <v>2</v>
      </c>
      <c r="D15" s="159" t="s">
        <v>109</v>
      </c>
      <c r="E15" s="159" t="s">
        <v>7</v>
      </c>
      <c r="F15" s="159" t="s">
        <v>7</v>
      </c>
      <c r="G15" s="159" t="s">
        <v>7</v>
      </c>
      <c r="H15" s="159" t="s">
        <v>29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64</v>
      </c>
      <c r="E17" s="70" t="s">
        <v>65</v>
      </c>
      <c r="F17" s="70" t="s">
        <v>66</v>
      </c>
      <c r="G17" s="70" t="s">
        <v>67</v>
      </c>
      <c r="H17" s="70" t="s">
        <v>68</v>
      </c>
      <c r="J17" s="78"/>
      <c r="K17" s="78"/>
      <c r="L17" s="78"/>
      <c r="M17" s="78"/>
    </row>
    <row r="18" spans="1:13" s="69" customFormat="1" ht="11.25" customHeight="1">
      <c r="C18" s="68" t="s">
        <v>63</v>
      </c>
      <c r="D18" s="186" t="str">
        <f>D9</f>
        <v>2019-20</v>
      </c>
      <c r="E18" s="186" t="str">
        <f>IF(LEN(D18)&gt;4,CONCATENATE(LEFT(D18,4)+1&amp;"–"&amp;IF(RIGHT(D18,2)+1&gt;9,"","0")&amp;RIGHT(D18,2)+1),D18+1)</f>
        <v>2020–21</v>
      </c>
      <c r="F18" s="186" t="str">
        <f t="shared" ref="F18:H18" si="1">IF(LEN(E18)&gt;4,CONCATENATE(LEFT(E18,4)+1&amp;"–"&amp;IF(RIGHT(E18,2)+1&gt;9,"","0")&amp;RIGHT(E18,2)+1),E18+1)</f>
        <v>2021–22</v>
      </c>
      <c r="G18" s="186" t="str">
        <f t="shared" si="1"/>
        <v>2022–23</v>
      </c>
      <c r="H18" s="186" t="str">
        <f t="shared" si="1"/>
        <v>2023–24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9" customFormat="1" ht="11.25" customHeight="1">
      <c r="J20" s="78"/>
      <c r="K20" s="78"/>
      <c r="L20" s="78"/>
      <c r="M20" s="78"/>
    </row>
    <row r="21" spans="1:13" s="61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M108" sqref="M108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20" s="11" customFormat="1" ht="18" customHeight="1">
      <c r="B1" s="3" t="str">
        <f>'Input | General'!$B$1</f>
        <v>Endeavour Energy 2019-24 Final Decision - Capital expenditure sharing scheme model</v>
      </c>
      <c r="D1" s="12"/>
      <c r="E1" s="12"/>
      <c r="F1" s="12"/>
      <c r="G1" s="104"/>
      <c r="I1" s="105" t="s">
        <v>47</v>
      </c>
      <c r="J1" s="158" t="s">
        <v>48</v>
      </c>
      <c r="K1" s="163" t="s">
        <v>36</v>
      </c>
      <c r="L1" s="189" t="s">
        <v>107</v>
      </c>
      <c r="N1" s="106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43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N5" s="11"/>
    </row>
    <row r="6" spans="1:20" ht="11.25" customHeight="1">
      <c r="A6" s="11"/>
      <c r="B6" s="11"/>
      <c r="C6" s="16"/>
      <c r="D6" s="74" t="s">
        <v>6</v>
      </c>
      <c r="E6" s="74" t="s">
        <v>52</v>
      </c>
      <c r="F6" s="74"/>
      <c r="N6" s="11"/>
    </row>
    <row r="7" spans="1:20" ht="11.25" customHeight="1">
      <c r="A7" s="11"/>
      <c r="B7" s="11"/>
      <c r="C7" s="16"/>
      <c r="D7" s="78"/>
      <c r="E7" s="78"/>
      <c r="F7" s="173" t="str">
        <f>IF(LEN(G7)&gt;4,CONCATENATE(LEFT(G7,4)-1&amp;"–"&amp;IF(RIGHT(G7,2)="00","99",IF(RIGHT(G7,2)-1&lt;10,"0","")&amp;RIGHT(G7,2)-1)),G7-1)</f>
        <v>2013–14</v>
      </c>
      <c r="G7" s="172" t="str">
        <f>'Input | General'!D13</f>
        <v>2014–15</v>
      </c>
      <c r="H7" s="172" t="str">
        <f>'Input | General'!E13</f>
        <v>2015–16</v>
      </c>
      <c r="I7" s="172" t="str">
        <f>'Input | General'!F13</f>
        <v>2016–17</v>
      </c>
      <c r="J7" s="172" t="str">
        <f>'Input | General'!G13</f>
        <v>2017–18</v>
      </c>
      <c r="K7" s="172" t="str">
        <f>'Input | General'!H13</f>
        <v>2018–19</v>
      </c>
      <c r="L7" s="172" t="str">
        <f>'Input | General'!D18</f>
        <v>2019-20</v>
      </c>
      <c r="M7" s="172" t="str">
        <f>'Input | General'!E18</f>
        <v>2020–21</v>
      </c>
      <c r="N7" s="172" t="str">
        <f>'Input | General'!F18</f>
        <v>2021–22</v>
      </c>
      <c r="O7" s="172" t="str">
        <f>'Input | General'!G18</f>
        <v>2022–23</v>
      </c>
      <c r="P7" s="172" t="str">
        <f>'Input | General'!H18</f>
        <v>2023–24</v>
      </c>
    </row>
    <row r="8" spans="1:20" ht="11.25" customHeight="1">
      <c r="A8" s="11"/>
      <c r="B8" s="11"/>
      <c r="C8" s="79" t="s">
        <v>83</v>
      </c>
      <c r="D8" s="77" t="s">
        <v>88</v>
      </c>
      <c r="E8" s="77" t="s">
        <v>51</v>
      </c>
      <c r="F8" s="77"/>
      <c r="G8" s="160">
        <v>2.4879227053140163E-2</v>
      </c>
      <c r="H8" s="160">
        <v>1.5083667216591934E-2</v>
      </c>
      <c r="I8" s="160">
        <v>1.2769909449732886E-2</v>
      </c>
      <c r="J8" s="160">
        <v>1.9486474094452033E-2</v>
      </c>
      <c r="K8" s="160">
        <v>1.9638522329714192E-2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84</v>
      </c>
      <c r="D9" s="77" t="s">
        <v>88</v>
      </c>
      <c r="E9" s="77" t="s">
        <v>51</v>
      </c>
      <c r="F9" s="77"/>
      <c r="G9" s="129"/>
      <c r="H9" s="129"/>
      <c r="I9" s="129"/>
      <c r="J9" s="129"/>
      <c r="K9" s="129"/>
      <c r="L9" s="160">
        <v>1.9316698463889059E-2</v>
      </c>
      <c r="M9" s="142">
        <f t="shared" ref="M9:P9" si="0">L9</f>
        <v>1.9316698463889059E-2</v>
      </c>
      <c r="N9" s="142">
        <f t="shared" si="0"/>
        <v>1.9316698463889059E-2</v>
      </c>
      <c r="O9" s="142">
        <f t="shared" si="0"/>
        <v>1.9316698463889059E-2</v>
      </c>
      <c r="P9" s="142">
        <f t="shared" si="0"/>
        <v>1.9316698463889059E-2</v>
      </c>
    </row>
    <row r="10" spans="1:20" ht="11.25" customHeight="1">
      <c r="A10" s="11"/>
      <c r="B10" s="11"/>
      <c r="C10" s="139" t="str">
        <f>"CPI Index (base year "&amp;F7&amp;")"</f>
        <v>CPI Index (base year 2013–14)</v>
      </c>
      <c r="D10" s="77" t="s">
        <v>88</v>
      </c>
      <c r="E10" s="77" t="s">
        <v>30</v>
      </c>
      <c r="F10" s="137">
        <v>1</v>
      </c>
      <c r="G10" s="122">
        <f>IF(G7&lt;&gt;"",(F10*(1+G8)),"")</f>
        <v>1.0248792270531402</v>
      </c>
      <c r="H10" s="122">
        <f>IF(H7&lt;&gt;"",(G10*(1+H8)),"")</f>
        <v>1.0403381642512077</v>
      </c>
      <c r="I10" s="122">
        <f>IF(I7&lt;&gt;"",(H10*(1+I8)),"")</f>
        <v>1.0536231884057969</v>
      </c>
      <c r="J10" s="122">
        <f>IF(J7&lt;&gt;"",(I10*(1+J8)),"")</f>
        <v>1.0741545893719804</v>
      </c>
      <c r="K10" s="122">
        <f>IF(K7&lt;&gt;"",(J10*(1+K8)),"")</f>
        <v>1.095249398260927</v>
      </c>
      <c r="L10" s="86">
        <f t="shared" ref="L10:P10" si="1">IF(L7&lt;&gt;"",(K10*(1+L9)),"")</f>
        <v>1.1164060006298893</v>
      </c>
      <c r="M10" s="86">
        <f t="shared" si="1"/>
        <v>1.1379712787073333</v>
      </c>
      <c r="N10" s="86">
        <f t="shared" si="1"/>
        <v>1.1599531267586891</v>
      </c>
      <c r="O10" s="86">
        <f t="shared" si="1"/>
        <v>1.1823595915405321</v>
      </c>
      <c r="P10" s="86">
        <f t="shared" si="1"/>
        <v>1.2051988752462075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30"/>
      <c r="L11" s="130"/>
      <c r="M11" s="130"/>
      <c r="N11" s="130"/>
      <c r="O11" s="130"/>
      <c r="P11" s="130"/>
    </row>
    <row r="12" spans="1:20" ht="11.25" customHeight="1">
      <c r="A12" s="11"/>
      <c r="B12" s="11"/>
      <c r="C12" s="79"/>
      <c r="D12" s="77"/>
      <c r="E12" s="77"/>
      <c r="F12" s="77"/>
      <c r="G12" s="126"/>
      <c r="H12" s="126"/>
      <c r="I12" s="126"/>
      <c r="J12" s="126"/>
      <c r="K12" s="24"/>
      <c r="L12" s="24"/>
      <c r="M12" s="24"/>
    </row>
    <row r="13" spans="1:20" ht="11.25" customHeight="1">
      <c r="A13" s="11"/>
      <c r="B13" s="11"/>
      <c r="C13" s="79" t="s">
        <v>83</v>
      </c>
      <c r="D13" s="77" t="s">
        <v>49</v>
      </c>
      <c r="E13" s="77" t="s">
        <v>51</v>
      </c>
      <c r="F13" s="77"/>
      <c r="G13" s="160">
        <v>2.4879227053140163E-2</v>
      </c>
      <c r="H13" s="160">
        <v>1.5083667216591934E-2</v>
      </c>
      <c r="I13" s="160">
        <v>1.2769909449732886E-2</v>
      </c>
      <c r="J13" s="160">
        <v>1.9486474094452033E-2</v>
      </c>
      <c r="K13" s="190">
        <v>1.9114009444569424E-2</v>
      </c>
      <c r="L13" s="126"/>
      <c r="M13" s="126"/>
      <c r="N13" s="126"/>
      <c r="O13" s="126"/>
      <c r="P13" s="126"/>
    </row>
    <row r="14" spans="1:20" ht="11.25" customHeight="1">
      <c r="A14" s="11"/>
      <c r="B14" s="11"/>
      <c r="C14" s="79" t="s">
        <v>84</v>
      </c>
      <c r="D14" s="77" t="s">
        <v>49</v>
      </c>
      <c r="E14" s="77" t="s">
        <v>51</v>
      </c>
      <c r="F14" s="77"/>
      <c r="G14" s="85"/>
      <c r="H14" s="85"/>
      <c r="I14" s="85"/>
      <c r="J14" s="85"/>
      <c r="K14" s="85"/>
      <c r="L14" s="160">
        <v>2.4248746575396697E-2</v>
      </c>
      <c r="M14" s="142">
        <f t="shared" ref="M14:P14" si="2">L14</f>
        <v>2.4248746575396697E-2</v>
      </c>
      <c r="N14" s="142">
        <f t="shared" si="2"/>
        <v>2.4248746575396697E-2</v>
      </c>
      <c r="O14" s="142">
        <f t="shared" si="2"/>
        <v>2.4248746575396697E-2</v>
      </c>
      <c r="P14" s="142">
        <f t="shared" si="2"/>
        <v>2.4248746575396697E-2</v>
      </c>
    </row>
    <row r="15" spans="1:20" ht="11.25" customHeight="1">
      <c r="A15" s="11"/>
      <c r="B15" s="11"/>
      <c r="C15" s="139" t="str">
        <f>"CPI Index (base year "&amp;F7&amp;")"</f>
        <v>CPI Index (base year 2013–14)</v>
      </c>
      <c r="D15" s="77" t="s">
        <v>49</v>
      </c>
      <c r="E15" s="77" t="s">
        <v>30</v>
      </c>
      <c r="F15" s="137">
        <v>1</v>
      </c>
      <c r="G15" s="122">
        <f>IF(G7&lt;&gt;"",(F15*(1+G13)),"")</f>
        <v>1.0248792270531402</v>
      </c>
      <c r="H15" s="122">
        <f>IF(H7&lt;&gt;"",(G15*(1+H13)),"")</f>
        <v>1.0403381642512077</v>
      </c>
      <c r="I15" s="122">
        <f>IF(I7&lt;&gt;"",(H15*(1+I13)),"")</f>
        <v>1.0536231884057969</v>
      </c>
      <c r="J15" s="122">
        <f>IF(J7&lt;&gt;"",(I15*(1+J13)),"")</f>
        <v>1.0741545893719804</v>
      </c>
      <c r="K15" s="86">
        <f>IF(K7&lt;&gt;"",(J15*(1+K13)),"")</f>
        <v>1.094685990338164</v>
      </c>
      <c r="L15" s="86">
        <f t="shared" ref="L15:P15" si="3">IF(L7&lt;&gt;"",(K15*(1+L14)),"")</f>
        <v>1.1212307534975112</v>
      </c>
      <c r="M15" s="86">
        <f t="shared" si="3"/>
        <v>1.1484191938916135</v>
      </c>
      <c r="N15" s="86">
        <f t="shared" si="3"/>
        <v>1.1762669198866125</v>
      </c>
      <c r="O15" s="86">
        <f t="shared" si="3"/>
        <v>1.2047899183319652</v>
      </c>
      <c r="P15" s="86">
        <f t="shared" si="3"/>
        <v>1.23400456373819</v>
      </c>
    </row>
    <row r="16" spans="1:20" s="128" customFormat="1" ht="11.25" customHeight="1">
      <c r="A16" s="2"/>
      <c r="B16" s="2"/>
      <c r="C16" s="79"/>
      <c r="D16" s="127"/>
      <c r="E16" s="127"/>
      <c r="F16" s="127"/>
      <c r="G16" s="85"/>
      <c r="H16" s="85"/>
      <c r="I16" s="85"/>
      <c r="J16" s="85"/>
      <c r="K16" s="131"/>
      <c r="L16" s="131"/>
      <c r="M16" s="131"/>
      <c r="N16" s="131"/>
      <c r="O16" s="131"/>
      <c r="P16" s="131"/>
    </row>
    <row r="17" spans="1:16" s="80" customFormat="1" ht="12.75" customHeight="1">
      <c r="C17" s="29" t="s">
        <v>69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6</v>
      </c>
      <c r="E19" s="74" t="s">
        <v>52</v>
      </c>
      <c r="F19" s="78"/>
      <c r="G19" s="172" t="str">
        <f>G7</f>
        <v>2014–15</v>
      </c>
      <c r="H19" s="172" t="str">
        <f t="shared" ref="H19:P19" si="4">H7</f>
        <v>2015–16</v>
      </c>
      <c r="I19" s="172" t="str">
        <f t="shared" si="4"/>
        <v>2016–17</v>
      </c>
      <c r="J19" s="172" t="str">
        <f t="shared" si="4"/>
        <v>2017–18</v>
      </c>
      <c r="K19" s="172" t="str">
        <f t="shared" si="4"/>
        <v>2018–19</v>
      </c>
      <c r="L19" s="172" t="str">
        <f t="shared" si="4"/>
        <v>2019-20</v>
      </c>
      <c r="M19" s="172" t="str">
        <f t="shared" si="4"/>
        <v>2020–21</v>
      </c>
      <c r="N19" s="172" t="str">
        <f t="shared" si="4"/>
        <v>2021–22</v>
      </c>
      <c r="O19" s="172" t="str">
        <f t="shared" si="4"/>
        <v>2022–23</v>
      </c>
      <c r="P19" s="172" t="str">
        <f t="shared" si="4"/>
        <v>2023–24</v>
      </c>
    </row>
    <row r="20" spans="1:16" ht="11.25" customHeight="1">
      <c r="C20" s="79" t="s">
        <v>10</v>
      </c>
      <c r="D20" s="77" t="s">
        <v>49</v>
      </c>
      <c r="E20" s="77" t="s">
        <v>51</v>
      </c>
      <c r="F20" s="78"/>
      <c r="G20" s="160">
        <v>4.2254018761887169E-2</v>
      </c>
      <c r="H20" s="160">
        <v>4.1635476942148572E-2</v>
      </c>
      <c r="I20" s="160">
        <v>4.0761033280446404E-2</v>
      </c>
      <c r="J20" s="160">
        <v>3.9860233470544723E-2</v>
      </c>
      <c r="K20" s="160">
        <v>3.8827966039358633E-2</v>
      </c>
      <c r="L20" s="85"/>
      <c r="M20" s="85"/>
      <c r="N20" s="85"/>
      <c r="O20" s="85"/>
      <c r="P20" s="85"/>
    </row>
    <row r="21" spans="1:16" ht="11.25" customHeight="1">
      <c r="C21" s="154" t="s">
        <v>98</v>
      </c>
      <c r="D21" s="77" t="s">
        <v>49</v>
      </c>
      <c r="E21" s="77" t="s">
        <v>51</v>
      </c>
      <c r="F21" s="78"/>
      <c r="G21" s="78"/>
      <c r="H21" s="78"/>
      <c r="I21" s="78"/>
      <c r="J21" s="78"/>
      <c r="K21" s="78"/>
      <c r="L21" s="190">
        <v>3.2267767254609933E-2</v>
      </c>
      <c r="M21" s="190">
        <v>3.0841315485542566E-2</v>
      </c>
      <c r="N21" s="190">
        <v>2.9414863716475323E-2</v>
      </c>
      <c r="O21" s="190">
        <v>2.7988411947407955E-2</v>
      </c>
      <c r="P21" s="190">
        <v>2.6561960178340716E-2</v>
      </c>
    </row>
    <row r="22" spans="1:16" ht="11.25" customHeight="1">
      <c r="C22" s="79" t="s">
        <v>70</v>
      </c>
      <c r="D22" s="77" t="s">
        <v>61</v>
      </c>
      <c r="E22" s="77" t="s">
        <v>51</v>
      </c>
      <c r="F22" s="78"/>
      <c r="G22" s="143">
        <f>IF(AND(G13&lt;&gt;"",G20&lt;&gt;""),((1+G20)*(1+G13)-1),"")</f>
        <v>6.8184493141711933E-2</v>
      </c>
      <c r="H22" s="143">
        <f>IF(AND(H13&lt;&gt;"",H20&lt;&gt;""),((1+H20)*(1+H13)-1),"")</f>
        <v>5.7347159837339845E-2</v>
      </c>
      <c r="I22" s="143">
        <f>IF(AND(I13&lt;&gt;"",I20&lt;&gt;""),((1+I20)*(1+I13)-1),"")</f>
        <v>5.4051457434248107E-2</v>
      </c>
      <c r="J22" s="143">
        <f>IF(AND(J13&lt;&gt;"",J20&lt;&gt;""),((1+J20)*(1+J13)-1),"")</f>
        <v>6.0123442971919294E-2</v>
      </c>
      <c r="K22" s="143">
        <f>IF(AND(K13&lt;&gt;"",K20&lt;&gt;""),((1+K20)*(1+K13)-1),"")</f>
        <v>5.8684133593517762E-2</v>
      </c>
      <c r="L22" s="143">
        <f>IF(AND(L14&lt;&gt;"",L21&lt;&gt;""),((1+L21)*(1+L14)-1),"")</f>
        <v>5.729896674071755E-2</v>
      </c>
      <c r="M22" s="143">
        <f t="shared" ref="M22:P22" si="5">IF(AND(M14&lt;&gt;"",M21&lt;&gt;""),((1+M21)*(1+M14)-1),"")</f>
        <v>5.5837925304199842E-2</v>
      </c>
      <c r="N22" s="143">
        <f t="shared" si="5"/>
        <v>5.4376883867682579E-2</v>
      </c>
      <c r="O22" s="143">
        <f t="shared" si="5"/>
        <v>5.2915842431165094E-2</v>
      </c>
      <c r="P22" s="143">
        <f t="shared" si="5"/>
        <v>5.1454800994647609E-2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34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I9" sqref="I9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4" width="12.7265625" style="11" hidden="1"/>
  </cols>
  <sheetData>
    <row r="1" spans="2:14" ht="18" customHeight="1">
      <c r="B1" s="3" t="str">
        <f>'Input | General'!$B$1</f>
        <v>Endeavour Energy 2019-24 Final Decision - Capital expenditure sharing scheme model</v>
      </c>
      <c r="D1" s="12"/>
      <c r="E1" s="12"/>
      <c r="F1" s="12"/>
      <c r="G1" s="12"/>
      <c r="H1" s="104"/>
      <c r="I1" s="105" t="s">
        <v>47</v>
      </c>
      <c r="J1" s="158" t="s">
        <v>48</v>
      </c>
      <c r="K1" s="163" t="s">
        <v>36</v>
      </c>
      <c r="L1" s="78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52</v>
      </c>
      <c r="F6" s="74" t="s">
        <v>4</v>
      </c>
      <c r="G6" s="63"/>
      <c r="H6" s="174" t="str">
        <f>IF('Input | General'!D14="Yes",'Input | General'!D13,"n/a")</f>
        <v>n/a</v>
      </c>
      <c r="I6" s="174" t="str">
        <f>IF('Input | General'!E14="Yes",'Input | General'!E13,"n/a")</f>
        <v>2015–16</v>
      </c>
      <c r="J6" s="174" t="str">
        <f>IF('Input | General'!F14="Yes",'Input | General'!F13,"n/a")</f>
        <v>2016–17</v>
      </c>
      <c r="K6" s="174" t="str">
        <f>IF('Input | General'!G14="Yes",'Input | General'!G13,"n/a")</f>
        <v>2017–18</v>
      </c>
      <c r="L6" s="174" t="str">
        <f>IF('Input | General'!H14="Yes",'Input | General'!H13,"n/a")</f>
        <v>2018–19</v>
      </c>
      <c r="M6" s="107"/>
      <c r="N6" s="107"/>
    </row>
    <row r="7" spans="2:14" s="67" customFormat="1" ht="10.5" customHeight="1">
      <c r="M7" s="107"/>
      <c r="N7" s="107"/>
    </row>
    <row r="8" spans="2:14" ht="10.5" customHeight="1">
      <c r="C8" s="79" t="s">
        <v>3</v>
      </c>
      <c r="D8" s="77" t="s">
        <v>49</v>
      </c>
      <c r="E8" s="77" t="s">
        <v>50</v>
      </c>
      <c r="F8" s="177" t="str">
        <f>'Input | Inflation and Disc Rate'!$F$7</f>
        <v>2013–14</v>
      </c>
      <c r="G8" s="67"/>
      <c r="H8" s="161"/>
      <c r="I8" s="161">
        <v>420.97636745664255</v>
      </c>
      <c r="J8" s="161">
        <v>369.47412516094568</v>
      </c>
      <c r="K8" s="161">
        <v>359.76082432108711</v>
      </c>
      <c r="L8" s="161">
        <v>346.643576302773</v>
      </c>
      <c r="M8" s="2"/>
      <c r="N8" s="2"/>
    </row>
    <row r="9" spans="2:14" ht="10.5" customHeight="1">
      <c r="C9" s="79" t="s">
        <v>100</v>
      </c>
      <c r="D9" s="77" t="s">
        <v>49</v>
      </c>
      <c r="E9" s="77" t="s">
        <v>50</v>
      </c>
      <c r="F9" s="177" t="str">
        <f>'Input | Inflation and Disc Rate'!$F$7</f>
        <v>2013–14</v>
      </c>
      <c r="G9" s="67"/>
      <c r="H9" s="161"/>
      <c r="I9" s="161">
        <v>79.299185467146302</v>
      </c>
      <c r="J9" s="161">
        <v>79.299185467146287</v>
      </c>
      <c r="K9" s="161">
        <v>79.299185467146287</v>
      </c>
      <c r="L9" s="161">
        <v>79.299185467146273</v>
      </c>
      <c r="M9" s="2"/>
      <c r="N9" s="2"/>
    </row>
    <row r="10" spans="2:14" ht="10.5" customHeight="1">
      <c r="C10" s="79" t="s">
        <v>94</v>
      </c>
      <c r="D10" s="77" t="s">
        <v>49</v>
      </c>
      <c r="E10" s="77" t="s">
        <v>50</v>
      </c>
      <c r="F10" s="177" t="str">
        <f>'Input | Inflation and Disc Rate'!$F$7</f>
        <v>2013–14</v>
      </c>
      <c r="G10" s="67"/>
      <c r="H10" s="161"/>
      <c r="I10" s="161">
        <v>6.7772313336512831</v>
      </c>
      <c r="J10" s="161">
        <v>7.1803255283452074</v>
      </c>
      <c r="K10" s="161">
        <v>5.6472337066388905</v>
      </c>
      <c r="L10" s="161">
        <v>4.7757367192968756</v>
      </c>
      <c r="M10" s="2"/>
      <c r="N10" s="2"/>
    </row>
    <row r="11" spans="2:14" s="67" customFormat="1" ht="10.5" customHeight="1">
      <c r="H11" s="66"/>
      <c r="I11" s="66"/>
      <c r="J11" s="66"/>
      <c r="K11" s="66"/>
      <c r="L11" s="66"/>
      <c r="M11" s="107"/>
      <c r="N11" s="107"/>
    </row>
    <row r="12" spans="2:14" ht="10.5" customHeight="1">
      <c r="C12" s="76" t="s">
        <v>5</v>
      </c>
      <c r="D12" s="75" t="s">
        <v>61</v>
      </c>
      <c r="E12" s="175" t="s">
        <v>50</v>
      </c>
      <c r="F12" s="176" t="str">
        <f>'Input | Inflation and Disc Rate'!$F$7</f>
        <v>2013–14</v>
      </c>
      <c r="G12" s="67"/>
      <c r="H12" s="65">
        <f>IF(H6="", "", H8-H9-H10)</f>
        <v>0</v>
      </c>
      <c r="I12" s="65">
        <f t="shared" ref="I12:L12" si="0">IF(I6="", "", I8-I9-I10)</f>
        <v>334.89995065584498</v>
      </c>
      <c r="J12" s="65">
        <f t="shared" si="0"/>
        <v>282.99461416545421</v>
      </c>
      <c r="K12" s="65">
        <f t="shared" si="0"/>
        <v>274.81440514730195</v>
      </c>
      <c r="L12" s="65">
        <f t="shared" si="0"/>
        <v>262.56865411632981</v>
      </c>
      <c r="M12" s="2"/>
      <c r="N12" s="2"/>
    </row>
    <row r="13" spans="2:14" ht="10.5" customHeight="1">
      <c r="D13" s="67"/>
      <c r="E13" s="67"/>
      <c r="F13" s="67"/>
      <c r="G13" s="67"/>
      <c r="M13" s="71"/>
      <c r="N13" s="71"/>
    </row>
    <row r="14" spans="2:14" s="8" customFormat="1" ht="12.75" customHeight="1">
      <c r="B14" s="73" t="s">
        <v>41</v>
      </c>
      <c r="D14" s="18"/>
      <c r="E14" s="18"/>
      <c r="F14" s="18"/>
      <c r="G14" s="18"/>
    </row>
    <row r="15" spans="2:14" s="2" customFormat="1" ht="10.5" customHeight="1">
      <c r="B15" s="72"/>
      <c r="D15" s="21"/>
      <c r="E15" s="21"/>
      <c r="F15" s="21"/>
      <c r="G15" s="21"/>
    </row>
    <row r="16" spans="2:14" s="2" customFormat="1" ht="10.5" customHeight="1">
      <c r="B16" s="72"/>
      <c r="C16" s="67"/>
      <c r="D16" s="74" t="s">
        <v>6</v>
      </c>
      <c r="E16" s="74" t="s">
        <v>52</v>
      </c>
      <c r="F16" s="74" t="s">
        <v>4</v>
      </c>
      <c r="G16" s="63"/>
      <c r="H16" s="174" t="str">
        <f>H6</f>
        <v>n/a</v>
      </c>
      <c r="I16" s="174" t="str">
        <f t="shared" ref="I16:L16" si="1">I6</f>
        <v>2015–16</v>
      </c>
      <c r="J16" s="174" t="str">
        <f t="shared" si="1"/>
        <v>2016–17</v>
      </c>
      <c r="K16" s="174" t="str">
        <f t="shared" si="1"/>
        <v>2017–18</v>
      </c>
      <c r="L16" s="174" t="str">
        <f t="shared" si="1"/>
        <v>2018–19</v>
      </c>
      <c r="M16" s="107"/>
      <c r="N16" s="107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7"/>
      <c r="N17" s="107"/>
    </row>
    <row r="18" spans="2:14" s="2" customFormat="1" ht="10.5" customHeight="1">
      <c r="B18" s="72"/>
      <c r="C18" s="79" t="s">
        <v>78</v>
      </c>
      <c r="D18" s="77" t="s">
        <v>49</v>
      </c>
      <c r="E18" s="77" t="s">
        <v>50</v>
      </c>
      <c r="F18" s="77" t="s">
        <v>53</v>
      </c>
      <c r="G18" s="67"/>
      <c r="H18" s="161"/>
      <c r="I18" s="161">
        <v>368.90501559719809</v>
      </c>
      <c r="J18" s="161">
        <v>365.34482746471645</v>
      </c>
      <c r="K18" s="161">
        <v>506.78261895175848</v>
      </c>
      <c r="L18" s="161">
        <v>516.21048631610302</v>
      </c>
    </row>
    <row r="19" spans="2:14" s="2" customFormat="1" ht="10.5" customHeight="1">
      <c r="B19" s="72"/>
      <c r="C19" s="79" t="s">
        <v>100</v>
      </c>
      <c r="D19" s="77" t="s">
        <v>49</v>
      </c>
      <c r="E19" s="77" t="s">
        <v>50</v>
      </c>
      <c r="F19" s="77" t="s">
        <v>53</v>
      </c>
      <c r="G19" s="141"/>
      <c r="H19" s="162"/>
      <c r="I19" s="161">
        <v>123.76522134760557</v>
      </c>
      <c r="J19" s="161">
        <v>164.13646668199999</v>
      </c>
      <c r="K19" s="161">
        <v>147.79521836257712</v>
      </c>
      <c r="L19" s="161">
        <v>116.66806117448668</v>
      </c>
    </row>
    <row r="20" spans="2:14" s="2" customFormat="1" ht="10.5" customHeight="1">
      <c r="B20" s="72"/>
      <c r="C20" s="140" t="s">
        <v>94</v>
      </c>
      <c r="D20" s="77" t="s">
        <v>49</v>
      </c>
      <c r="E20" s="77" t="s">
        <v>50</v>
      </c>
      <c r="F20" s="77" t="s">
        <v>53</v>
      </c>
      <c r="G20" s="141"/>
      <c r="H20" s="162"/>
      <c r="I20" s="161">
        <v>34.691021289865475</v>
      </c>
      <c r="J20" s="161">
        <v>11.011952588420806</v>
      </c>
      <c r="K20" s="161">
        <v>3.718586622505399</v>
      </c>
      <c r="L20" s="161">
        <v>1.9127630237167317</v>
      </c>
    </row>
    <row r="21" spans="2:14" s="2" customFormat="1" ht="10.5" customHeight="1">
      <c r="B21" s="72"/>
      <c r="C21" s="155" t="s">
        <v>99</v>
      </c>
      <c r="D21" s="77" t="s">
        <v>49</v>
      </c>
      <c r="E21" s="77" t="s">
        <v>50</v>
      </c>
      <c r="F21" s="77" t="s">
        <v>53</v>
      </c>
      <c r="G21" s="67"/>
      <c r="H21" s="162"/>
      <c r="I21" s="161"/>
      <c r="J21" s="161"/>
      <c r="K21" s="161"/>
      <c r="L21" s="161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7"/>
      <c r="N22" s="107"/>
    </row>
    <row r="23" spans="2:14" s="2" customFormat="1" ht="10.5" customHeight="1">
      <c r="B23" s="72"/>
      <c r="C23" s="76" t="s">
        <v>77</v>
      </c>
      <c r="D23" s="75" t="s">
        <v>61</v>
      </c>
      <c r="E23" s="178" t="s">
        <v>50</v>
      </c>
      <c r="F23" s="178" t="s">
        <v>53</v>
      </c>
      <c r="G23" s="67"/>
      <c r="H23" s="65">
        <f>IF(H16="", "", H18-H19-H20-H21)</f>
        <v>0</v>
      </c>
      <c r="I23" s="65">
        <f t="shared" ref="I23:L23" si="2">IF(I16="", "", I18-I19-I20-I21)</f>
        <v>210.44877295972702</v>
      </c>
      <c r="J23" s="65">
        <f t="shared" si="2"/>
        <v>190.19640819429566</v>
      </c>
      <c r="K23" s="65">
        <f t="shared" si="2"/>
        <v>355.26881396667591</v>
      </c>
      <c r="L23" s="65">
        <f t="shared" si="2"/>
        <v>397.62966211789961</v>
      </c>
    </row>
    <row r="24" spans="2:14" s="2" customFormat="1" ht="10.5" customHeight="1">
      <c r="B24" s="72"/>
      <c r="D24" s="21"/>
      <c r="E24" s="21"/>
      <c r="F24" s="21"/>
      <c r="G24" s="21"/>
      <c r="M24" s="71"/>
      <c r="N24" s="71"/>
    </row>
    <row r="25" spans="2:14" s="8" customFormat="1" ht="12.75" customHeight="1">
      <c r="B25" s="73" t="s">
        <v>42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74" t="str">
        <f>'Input | General'!D18</f>
        <v>2019-20</v>
      </c>
      <c r="I27" s="174" t="str">
        <f>'Input | General'!E18</f>
        <v>2020–21</v>
      </c>
      <c r="J27" s="174" t="str">
        <f>'Input | General'!F18</f>
        <v>2021–22</v>
      </c>
      <c r="K27" s="174" t="str">
        <f>'Input | General'!G18</f>
        <v>2022–23</v>
      </c>
      <c r="L27" s="174" t="str">
        <f>'Input | General'!H18</f>
        <v>2023–24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3" t="s">
        <v>87</v>
      </c>
      <c r="D29" s="64" t="s">
        <v>88</v>
      </c>
      <c r="E29" s="77" t="s">
        <v>50</v>
      </c>
      <c r="F29" s="77" t="s">
        <v>53</v>
      </c>
      <c r="G29" s="67"/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2"/>
      <c r="N29" s="2"/>
    </row>
    <row r="30" spans="2:14" ht="11.25" customHeight="1">
      <c r="C30" s="83" t="s">
        <v>87</v>
      </c>
      <c r="D30" s="64" t="s">
        <v>61</v>
      </c>
      <c r="E30" s="77" t="s">
        <v>50</v>
      </c>
      <c r="F30" s="77" t="str">
        <f>'Input | Inflation and Disc Rate'!$F$7</f>
        <v>2013–14</v>
      </c>
      <c r="G30" s="67"/>
      <c r="H30" s="149">
        <f>IF(H29&lt;&gt;"",H29/('Input | Inflation and Disc Rate'!K10*(1+'Input | Inflation and Disc Rate'!L9)^0.5),"")</f>
        <v>0</v>
      </c>
      <c r="I30" s="149">
        <f>IF(I29&lt;&gt;"",I29/('Input | Inflation and Disc Rate'!L10*(1+'Input | Inflation and Disc Rate'!M9)^0.5),"")</f>
        <v>0</v>
      </c>
      <c r="J30" s="149">
        <f>IF(J29&lt;&gt;"",J29/('Input | Inflation and Disc Rate'!M10*(1+'Input | Inflation and Disc Rate'!N9)^0.5),"")</f>
        <v>0</v>
      </c>
      <c r="K30" s="149">
        <f>IF(K29&lt;&gt;"",K29/('Input | Inflation and Disc Rate'!N10*(1+'Input | Inflation and Disc Rate'!O9)^0.5),"")</f>
        <v>0</v>
      </c>
      <c r="L30" s="149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3" t="s">
        <v>87</v>
      </c>
      <c r="D31" s="64" t="s">
        <v>49</v>
      </c>
      <c r="E31" s="77" t="s">
        <v>50</v>
      </c>
      <c r="F31" s="77" t="s">
        <v>53</v>
      </c>
      <c r="G31" s="67"/>
      <c r="H31" s="149">
        <f>IF(H29&lt;&gt;"",H30*'Input | Inflation and Disc Rate'!K15*(1+'Input | Inflation and Disc Rate'!L14)^0.5,"")</f>
        <v>0</v>
      </c>
      <c r="I31" s="149">
        <f>IF(I29&lt;&gt;"",I30*'Input | Inflation and Disc Rate'!L15*(1+'Input | Inflation and Disc Rate'!M14)^0.5,"")</f>
        <v>0</v>
      </c>
      <c r="J31" s="149">
        <f>IF(J29&lt;&gt;"",J30*'Input | Inflation and Disc Rate'!M15*(1+'Input | Inflation and Disc Rate'!N14)^0.5,"")</f>
        <v>0</v>
      </c>
      <c r="K31" s="149">
        <f>IF(K29&lt;&gt;"",K30*'Input | Inflation and Disc Rate'!N15*(1+'Input | Inflation and Disc Rate'!O14)^0.5,"")</f>
        <v>0</v>
      </c>
      <c r="L31" s="149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7"/>
      <c r="E32" s="67"/>
      <c r="F32" s="67"/>
      <c r="G32" s="67"/>
      <c r="M32" s="71"/>
      <c r="N32" s="71"/>
    </row>
    <row r="33" spans="1:6" s="61" customFormat="1" ht="12.75" customHeight="1">
      <c r="A33" s="8"/>
      <c r="B33" s="29" t="s">
        <v>34</v>
      </c>
      <c r="D33" s="62"/>
      <c r="E33" s="62"/>
      <c r="F33" s="62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F32" sqref="F32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Endeavour Energy 2019-24 Final Decision - Capital expenditure sharing scheme model</v>
      </c>
      <c r="J1" s="121"/>
      <c r="K1" s="105" t="s">
        <v>47</v>
      </c>
      <c r="L1" s="158" t="s">
        <v>48</v>
      </c>
      <c r="M1" s="163" t="s">
        <v>36</v>
      </c>
      <c r="N1"/>
      <c r="Q1" s="106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4" t="str">
        <f>IF('Input | General'!D14="Yes",'Input | General'!D13,"n/a")</f>
        <v>n/a</v>
      </c>
      <c r="E7" s="174" t="str">
        <f>IF('Input | General'!E14="Yes",'Input | General'!E13,"n/a")</f>
        <v>2015–16</v>
      </c>
      <c r="F7" s="174" t="str">
        <f>IF('Input | General'!F14="Yes",'Input | General'!F13,"n/a")</f>
        <v>2016–17</v>
      </c>
      <c r="G7" s="174" t="str">
        <f>IF('Input | General'!G14="Yes",'Input | General'!G13,"n/a")</f>
        <v>2017–18</v>
      </c>
      <c r="H7" s="179" t="str">
        <f>IF('Input | General'!H14="Yes",'Input | General'!H13,"n/a")</f>
        <v>2018–19</v>
      </c>
      <c r="I7" s="96"/>
    </row>
    <row r="8" spans="2:23" ht="11.25" customHeight="1">
      <c r="C8" s="144" t="s">
        <v>96</v>
      </c>
      <c r="D8" s="191"/>
      <c r="E8" s="164">
        <f>'Input | Inflation and Disc Rate'!H20</f>
        <v>4.1635476942148572E-2</v>
      </c>
      <c r="F8" s="164">
        <f>'Input | Inflation and Disc Rate'!I20</f>
        <v>4.0761033280446404E-2</v>
      </c>
      <c r="G8" s="164">
        <f>'Input | Inflation and Disc Rate'!J20</f>
        <v>3.9860233470544723E-2</v>
      </c>
      <c r="H8" s="165">
        <f>'Input | Inflation and Disc Rate'!K20</f>
        <v>3.8827966039358633E-2</v>
      </c>
      <c r="I8" s="96"/>
      <c r="J8" s="78"/>
      <c r="K8" s="78"/>
    </row>
    <row r="9" spans="2:23" ht="11.25" customHeight="1">
      <c r="C9" s="147" t="s">
        <v>97</v>
      </c>
      <c r="D9" s="192"/>
      <c r="E9" s="164">
        <f>'Input | Inflation and Disc Rate'!H22</f>
        <v>5.7347159837339845E-2</v>
      </c>
      <c r="F9" s="164">
        <f>'Input | Inflation and Disc Rate'!I22</f>
        <v>5.4051457434248107E-2</v>
      </c>
      <c r="G9" s="164">
        <f>'Input | Inflation and Disc Rate'!J22</f>
        <v>6.0123442971919294E-2</v>
      </c>
      <c r="H9" s="165">
        <f>'Input | Inflation and Disc Rate'!K22</f>
        <v>5.8684133593517762E-2</v>
      </c>
      <c r="I9" s="96"/>
      <c r="J9" s="78"/>
      <c r="K9" s="78"/>
    </row>
    <row r="10" spans="2:23" ht="11.25" customHeight="1">
      <c r="C10" s="112" t="s">
        <v>13</v>
      </c>
      <c r="D10" s="193"/>
      <c r="E10" s="166">
        <f>'Input | Reported Capex'!I$12*'Input | Inflation and Disc Rate'!H$15*(1+'Input | Inflation and Disc Rate'!H$20)^0.5</f>
        <v>355.58832691871925</v>
      </c>
      <c r="F10" s="166">
        <f>'Input | Reported Capex'!J$12*'Input | Inflation and Disc Rate'!I$15*(1+'Input | Inflation and Disc Rate'!I$20)^0.5</f>
        <v>304.18584606124341</v>
      </c>
      <c r="G10" s="166">
        <f>'Input | Reported Capex'!K$12*'Input | Inflation and Disc Rate'!J$15*(1+'Input | Inflation and Disc Rate'!J$20)^0.5</f>
        <v>301.0189018910886</v>
      </c>
      <c r="H10" s="167">
        <f>'Input | Reported Capex'!L$12*'Input | Inflation and Disc Rate'!K$15*(1+'Input | Inflation and Disc Rate'!K$20)^0.5</f>
        <v>292.95725283737357</v>
      </c>
      <c r="I10" s="96"/>
      <c r="J10" s="78"/>
      <c r="K10" s="78"/>
      <c r="N10" s="138"/>
    </row>
    <row r="11" spans="2:23" ht="11.25" customHeight="1">
      <c r="C11" s="112" t="s">
        <v>15</v>
      </c>
      <c r="D11" s="194"/>
      <c r="E11" s="166">
        <f>'Input | Reported Capex'!I23*(1+E$9)^0.5</f>
        <v>216.39897503821726</v>
      </c>
      <c r="F11" s="166">
        <f>'Input | Reported Capex'!J23*(1+F$9)^0.5</f>
        <v>195.26896201179693</v>
      </c>
      <c r="G11" s="166">
        <f>'Input | Reported Capex'!K23*(1+G$9)^0.5</f>
        <v>365.79292838633518</v>
      </c>
      <c r="H11" s="167">
        <f>'Input | Reported Capex'!L23*(1+H$9)^0.5</f>
        <v>409.13061277288062</v>
      </c>
      <c r="I11" s="96"/>
      <c r="J11" s="78"/>
      <c r="K11" s="78"/>
    </row>
    <row r="12" spans="2:23" s="19" customFormat="1" ht="11.25" customHeight="1">
      <c r="C12" s="112" t="s">
        <v>17</v>
      </c>
      <c r="D12" s="157"/>
      <c r="E12" s="145">
        <f>(E10-E11)</f>
        <v>139.18935188050199</v>
      </c>
      <c r="F12" s="145">
        <f t="shared" ref="F12:H12" si="0">(F10-F11)</f>
        <v>108.91688404944648</v>
      </c>
      <c r="G12" s="145">
        <f t="shared" si="0"/>
        <v>-64.774026495246574</v>
      </c>
      <c r="H12" s="150">
        <f t="shared" si="0"/>
        <v>-116.17335993550705</v>
      </c>
      <c r="I12" s="96"/>
      <c r="J12" s="78"/>
      <c r="K12" s="78"/>
    </row>
    <row r="13" spans="2:23" ht="11.25" customHeight="1">
      <c r="C13" s="112" t="s">
        <v>72</v>
      </c>
      <c r="D13" s="88"/>
      <c r="E13" s="145">
        <f>$D$12*$E$8</f>
        <v>0</v>
      </c>
      <c r="F13" s="145">
        <f>$D$12*$F$8*(1+'Input | Inflation and Disc Rate'!H13)</f>
        <v>0</v>
      </c>
      <c r="G13" s="145">
        <f>$D$12*$G$8*(1+'Input | Inflation and Disc Rate'!H13)*(1+'Input | Inflation and Disc Rate'!I13)</f>
        <v>0</v>
      </c>
      <c r="H13" s="150">
        <f>$D$12*$H$8*(1+'Input | Inflation and Disc Rate'!H13)*(1+'Input | Inflation and Disc Rate'!I13)*(1+'Input | Inflation and Disc Rate'!J13)</f>
        <v>0</v>
      </c>
      <c r="I13" s="96"/>
      <c r="J13" s="78"/>
      <c r="K13" s="78"/>
      <c r="L13" s="95"/>
      <c r="M13" s="95"/>
      <c r="N13" s="95"/>
      <c r="O13" s="95"/>
    </row>
    <row r="14" spans="2:23" ht="11.25" customHeight="1">
      <c r="C14" s="112" t="s">
        <v>73</v>
      </c>
      <c r="D14" s="88"/>
      <c r="E14" s="146"/>
      <c r="F14" s="145">
        <f>$E$12*F$8</f>
        <v>5.673501804284907</v>
      </c>
      <c r="G14" s="145">
        <f>$E$12*G$8*(1+'Input | Inflation and Disc Rate'!I13)</f>
        <v>5.6189690533858858</v>
      </c>
      <c r="H14" s="150">
        <f>$E$12*H$8*(1+'Input | Inflation and Disc Rate'!I13)*(1+'Input | Inflation and Disc Rate'!J13)</f>
        <v>5.58011194234449</v>
      </c>
      <c r="I14" s="96"/>
      <c r="J14" s="78"/>
      <c r="K14" s="78"/>
      <c r="L14" s="95"/>
      <c r="M14" s="95"/>
      <c r="N14" s="96"/>
      <c r="O14" s="96"/>
    </row>
    <row r="15" spans="2:23" ht="11.25" customHeight="1">
      <c r="C15" s="112" t="s">
        <v>74</v>
      </c>
      <c r="D15" s="88"/>
      <c r="E15" s="145"/>
      <c r="F15" s="145"/>
      <c r="G15" s="145">
        <f>$F$12*G$8</f>
        <v>4.3414524270951853</v>
      </c>
      <c r="H15" s="150">
        <f>$F$12*$H$8*(1+'Input | Inflation and Disc Rate'!J13)</f>
        <v>4.3114297846072498</v>
      </c>
      <c r="I15" s="96"/>
      <c r="J15" s="78"/>
      <c r="K15" s="78"/>
      <c r="L15" s="95"/>
      <c r="M15" s="95"/>
      <c r="N15" s="95"/>
      <c r="O15" s="95"/>
    </row>
    <row r="16" spans="2:23" ht="11.25" customHeight="1">
      <c r="C16" s="112" t="s">
        <v>75</v>
      </c>
      <c r="D16" s="88"/>
      <c r="E16" s="145"/>
      <c r="F16" s="145"/>
      <c r="G16" s="145"/>
      <c r="H16" s="150">
        <f>$G$12*$H$8</f>
        <v>-2.5150437009899504</v>
      </c>
      <c r="I16" s="96"/>
      <c r="J16" s="78"/>
      <c r="K16" s="78"/>
      <c r="L16" s="95"/>
      <c r="M16" s="95"/>
      <c r="N16" s="95"/>
      <c r="O16" s="95"/>
    </row>
    <row r="17" spans="3:15" ht="11.25" customHeight="1">
      <c r="C17" s="112" t="s">
        <v>76</v>
      </c>
      <c r="D17" s="88"/>
      <c r="E17" s="145"/>
      <c r="F17" s="145"/>
      <c r="G17" s="145"/>
      <c r="H17" s="150"/>
      <c r="I17" s="96"/>
      <c r="J17" s="78"/>
      <c r="K17" s="78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89"/>
      <c r="E18" s="151">
        <f>SUM(E13:E17)</f>
        <v>0</v>
      </c>
      <c r="F18" s="151">
        <f t="shared" ref="F18:H18" si="1">SUM(F13:F17)</f>
        <v>5.673501804284907</v>
      </c>
      <c r="G18" s="151">
        <f t="shared" si="1"/>
        <v>9.9604214804810702</v>
      </c>
      <c r="H18" s="152">
        <f t="shared" si="1"/>
        <v>7.3764980259617889</v>
      </c>
      <c r="I18" s="96"/>
      <c r="J18" s="78"/>
      <c r="K18" s="78"/>
      <c r="L18" s="95"/>
      <c r="M18" s="95"/>
      <c r="N18" s="95"/>
      <c r="O18" s="95"/>
    </row>
    <row r="19" spans="3:15" ht="11.25" customHeight="1">
      <c r="C19" s="114" t="s">
        <v>95</v>
      </c>
      <c r="D19" s="125"/>
      <c r="E19" s="151">
        <f>F19*(1+F$9)</f>
        <v>1.1829997581602174</v>
      </c>
      <c r="F19" s="151">
        <f>G19*(1+G$9)</f>
        <v>1.1223358687249034</v>
      </c>
      <c r="G19" s="151">
        <f>H19*(1+H$9)</f>
        <v>1.0586841335935178</v>
      </c>
      <c r="H19" s="153">
        <v>1</v>
      </c>
      <c r="I19" s="96"/>
      <c r="J19" s="78"/>
      <c r="K19" s="78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88"/>
      <c r="E20" s="145">
        <f>E12*E19</f>
        <v>164.66096961311126</v>
      </c>
      <c r="F20" s="145">
        <f t="shared" ref="F20:H20" si="2">F12*F19</f>
        <v>122.24132567844509</v>
      </c>
      <c r="G20" s="145">
        <f t="shared" si="2"/>
        <v>-68.575234119483682</v>
      </c>
      <c r="H20" s="150">
        <f t="shared" si="2"/>
        <v>-116.17335993550705</v>
      </c>
      <c r="I20" s="96"/>
      <c r="J20" s="78"/>
      <c r="K20" s="78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89"/>
      <c r="E21" s="151">
        <f>E18*E19</f>
        <v>0</v>
      </c>
      <c r="F21" s="151">
        <f t="shared" ref="F21:H21" si="3">F18*F19</f>
        <v>6.367574576224408</v>
      </c>
      <c r="G21" s="151">
        <f t="shared" si="3"/>
        <v>10.544940185289365</v>
      </c>
      <c r="H21" s="152">
        <f t="shared" si="3"/>
        <v>7.3764980259617889</v>
      </c>
      <c r="I21" s="96"/>
      <c r="J21" s="78"/>
      <c r="K21" s="78"/>
      <c r="L21" s="96"/>
      <c r="M21" s="96"/>
      <c r="N21" s="96"/>
      <c r="O21" s="96"/>
    </row>
    <row r="22" spans="3:15" s="78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8"/>
      <c r="K23" s="78"/>
      <c r="L23" s="96"/>
      <c r="M23" s="96"/>
      <c r="N23" s="96"/>
      <c r="O23" s="96"/>
    </row>
    <row r="24" spans="3:15" ht="11.25" customHeight="1">
      <c r="C24" s="111" t="s">
        <v>9</v>
      </c>
      <c r="D24" s="180" t="str">
        <f>'Input | General'!$D$18</f>
        <v>2019-20</v>
      </c>
      <c r="E24" s="180" t="str">
        <f>'Input | General'!$E$18</f>
        <v>2020–21</v>
      </c>
      <c r="F24" s="180" t="str">
        <f>'Input | General'!$F$18</f>
        <v>2021–22</v>
      </c>
      <c r="G24" s="180" t="str">
        <f>'Input | General'!$G$18</f>
        <v>2022–23</v>
      </c>
      <c r="H24" s="181" t="str">
        <f>'Input | General'!$H$18</f>
        <v>2023–24</v>
      </c>
      <c r="I24" s="96"/>
      <c r="J24" s="78"/>
      <c r="K24" s="78"/>
      <c r="L24" s="96"/>
      <c r="M24" s="96"/>
      <c r="N24" s="96"/>
      <c r="O24" s="96"/>
    </row>
    <row r="25" spans="3:15" ht="11.25" customHeight="1">
      <c r="C25" s="115" t="s">
        <v>71</v>
      </c>
      <c r="D25" s="168">
        <f>'Input | Inflation and Disc Rate'!L$22</f>
        <v>5.729896674071755E-2</v>
      </c>
      <c r="E25" s="168">
        <f>'Input | Inflation and Disc Rate'!M$22</f>
        <v>5.5837925304199842E-2</v>
      </c>
      <c r="F25" s="168">
        <f>'Input | Inflation and Disc Rate'!N$22</f>
        <v>5.4376883867682579E-2</v>
      </c>
      <c r="G25" s="168">
        <f>'Input | Inflation and Disc Rate'!O$22</f>
        <v>5.2915842431165094E-2</v>
      </c>
      <c r="H25" s="169">
        <f>'Input | Inflation and Disc Rate'!P$22</f>
        <v>5.1454800994647609E-2</v>
      </c>
      <c r="I25" s="96"/>
      <c r="J25" s="78"/>
      <c r="K25" s="78"/>
      <c r="L25" s="96"/>
      <c r="M25" s="96"/>
      <c r="N25" s="96"/>
      <c r="O25" s="96"/>
    </row>
    <row r="26" spans="3:15" ht="11.25" customHeight="1">
      <c r="C26" s="116" t="s">
        <v>14</v>
      </c>
      <c r="D26" s="166">
        <f>'Input | Reported Capex'!H31</f>
        <v>0</v>
      </c>
      <c r="E26" s="166">
        <f>'Input | Reported Capex'!I31</f>
        <v>0</v>
      </c>
      <c r="F26" s="166">
        <f>'Input | Reported Capex'!J31</f>
        <v>0</v>
      </c>
      <c r="G26" s="166">
        <f>'Input | Reported Capex'!K31</f>
        <v>0</v>
      </c>
      <c r="H26" s="167">
        <f>'Input | Reported Capex'!L31</f>
        <v>0</v>
      </c>
      <c r="I26" s="96"/>
      <c r="J26" s="78"/>
      <c r="K26" s="78"/>
      <c r="L26" s="96"/>
      <c r="M26" s="96"/>
      <c r="N26" s="96"/>
      <c r="O26" s="96"/>
    </row>
    <row r="27" spans="3:15" ht="11.25" customHeight="1">
      <c r="C27" s="116" t="s">
        <v>16</v>
      </c>
      <c r="D27" s="123">
        <f>1/(1+D25)^(0.5)</f>
        <v>0.97252572076988586</v>
      </c>
      <c r="E27" s="123">
        <f>1/((1+E25)^(0.5)*(1+D25))</f>
        <v>0.92045712408618807</v>
      </c>
      <c r="F27" s="123">
        <f>1/((1+F25)^(0.5)*(1+E25)*(1+D25))</f>
        <v>0.87238260361531506</v>
      </c>
      <c r="G27" s="123">
        <f>1/((1+G25)^(0.5)*(1+F25)*(1+E25)*(1+D25))</f>
        <v>0.82796547665719489</v>
      </c>
      <c r="H27" s="124">
        <f>1/((1+H25)^(0.5)*(1+G25)*(1+F25)*(1+E25)*(1+D25))</f>
        <v>0.7869009946503327</v>
      </c>
      <c r="I27" s="96"/>
      <c r="J27" s="78"/>
      <c r="K27" s="78"/>
      <c r="L27" s="96"/>
      <c r="M27" s="96"/>
      <c r="N27" s="96"/>
      <c r="O27" s="96"/>
    </row>
    <row r="28" spans="3:15" ht="11.25" customHeight="1">
      <c r="C28" s="111" t="s">
        <v>18</v>
      </c>
      <c r="D28" s="90">
        <f>D26*D27</f>
        <v>0</v>
      </c>
      <c r="E28" s="90">
        <f t="shared" ref="E28:G28" si="4">E26*E27</f>
        <v>0</v>
      </c>
      <c r="F28" s="90">
        <f t="shared" si="4"/>
        <v>0</v>
      </c>
      <c r="G28" s="90">
        <f t="shared" si="4"/>
        <v>0</v>
      </c>
      <c r="H28" s="91">
        <f>H26*H27</f>
        <v>0</v>
      </c>
      <c r="I28" s="96"/>
      <c r="J28" s="78"/>
      <c r="K28" s="78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8"/>
      <c r="K29" s="78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8"/>
      <c r="K30" s="78"/>
      <c r="L30" s="96"/>
      <c r="M30" s="96"/>
      <c r="N30" s="96"/>
      <c r="O30" s="96"/>
    </row>
    <row r="31" spans="3:15" ht="11.25" customHeight="1">
      <c r="C31" s="112" t="s">
        <v>23</v>
      </c>
      <c r="D31" s="101">
        <f>SUM(D20:H20)-SUM(D28:H28)</f>
        <v>102.15370123656561</v>
      </c>
      <c r="E31" s="95"/>
      <c r="F31" s="95"/>
      <c r="G31" s="95"/>
      <c r="H31" s="95"/>
      <c r="I31" s="96"/>
      <c r="J31" s="78"/>
      <c r="K31" s="78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8"/>
      <c r="K32" s="78"/>
      <c r="L32" s="96"/>
      <c r="M32" s="96"/>
      <c r="N32" s="96"/>
      <c r="O32" s="96"/>
    </row>
    <row r="33" spans="1:16382" ht="11.25" customHeight="1">
      <c r="C33" s="112" t="s">
        <v>25</v>
      </c>
      <c r="D33" s="101">
        <f>(1-D32)*D31</f>
        <v>71.507590865595915</v>
      </c>
      <c r="E33" s="95"/>
      <c r="F33" s="95"/>
      <c r="G33" s="95"/>
      <c r="H33" s="95"/>
      <c r="I33" s="96"/>
      <c r="J33" s="78"/>
      <c r="K33" s="78"/>
      <c r="L33" s="96"/>
      <c r="M33" s="96"/>
      <c r="N33" s="96"/>
      <c r="O33" s="96"/>
    </row>
    <row r="34" spans="1:16382" ht="11.25" customHeight="1">
      <c r="C34" s="112" t="s">
        <v>26</v>
      </c>
      <c r="D34" s="101">
        <f>D32*D31</f>
        <v>30.64611037096968</v>
      </c>
      <c r="E34" s="95"/>
      <c r="F34" s="95"/>
      <c r="G34" s="95"/>
      <c r="H34" s="95"/>
      <c r="I34" s="96"/>
      <c r="J34" s="78"/>
      <c r="K34" s="78"/>
      <c r="L34" s="96"/>
      <c r="M34" s="96"/>
      <c r="N34" s="96"/>
      <c r="O34" s="96"/>
    </row>
    <row r="35" spans="1:16382" ht="11.25" customHeight="1">
      <c r="C35" s="112" t="s">
        <v>27</v>
      </c>
      <c r="D35" s="101">
        <f>SUM(D21:H21)</f>
        <v>24.289012787475563</v>
      </c>
      <c r="E35" s="95"/>
      <c r="F35" s="95"/>
      <c r="G35" s="95"/>
      <c r="H35" s="95"/>
      <c r="I35" s="96"/>
      <c r="J35" s="78"/>
      <c r="K35" s="78"/>
      <c r="L35" s="96"/>
      <c r="M35" s="96"/>
      <c r="N35" s="96"/>
      <c r="O35" s="96"/>
    </row>
    <row r="36" spans="1:16382" ht="11.25" customHeight="1">
      <c r="C36" s="113" t="s">
        <v>28</v>
      </c>
      <c r="D36" s="102">
        <f>D34-D35</f>
        <v>6.3570975834941166</v>
      </c>
      <c r="E36" s="95"/>
      <c r="F36" s="95"/>
      <c r="G36" s="95"/>
      <c r="H36" s="95"/>
      <c r="I36" s="96"/>
      <c r="J36" s="78"/>
      <c r="K36" s="78"/>
      <c r="L36" s="96"/>
      <c r="M36" s="96"/>
      <c r="N36" s="96"/>
      <c r="O36" s="96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2"/>
      <c r="D40" s="182" t="str">
        <f>'Input | General'!D18</f>
        <v>2019-20</v>
      </c>
      <c r="E40" s="182" t="str">
        <f>'Input | General'!E18</f>
        <v>2020–21</v>
      </c>
      <c r="F40" s="182" t="str">
        <f>'Input | General'!F18</f>
        <v>2021–22</v>
      </c>
      <c r="G40" s="182" t="str">
        <f>'Input | General'!G18</f>
        <v>2022–23</v>
      </c>
      <c r="H40" s="182" t="str">
        <f>'Input | General'!H18</f>
        <v>2023–24</v>
      </c>
      <c r="I40" s="93"/>
      <c r="J40" s="93"/>
      <c r="K40" s="93"/>
      <c r="L40" s="93"/>
      <c r="M40" s="93"/>
      <c r="N40" s="93"/>
      <c r="O40" s="93"/>
    </row>
    <row r="41" spans="1:16382" s="30" customFormat="1" ht="11.25" customHeight="1">
      <c r="C41" s="99" t="s">
        <v>101</v>
      </c>
      <c r="D41" s="170">
        <f>1/(1+'Input | Inflation and Disc Rate'!L21)</f>
        <v>0.96874089429293297</v>
      </c>
      <c r="E41" s="170">
        <f>D41/(1+'Input | Inflation and Disc Rate'!M21)</f>
        <v>0.93975753565585485</v>
      </c>
      <c r="F41" s="170">
        <f>E41/(1+'Input | Inflation and Disc Rate'!N21)</f>
        <v>0.912904572081918</v>
      </c>
      <c r="G41" s="170">
        <f>F41/(1+'Input | Inflation and Disc Rate'!O21)</f>
        <v>0.888049477476622</v>
      </c>
      <c r="H41" s="171">
        <f>G41/(1+'Input | Inflation and Disc Rate'!P21)</f>
        <v>0.86507148318874449</v>
      </c>
      <c r="I41" s="93"/>
      <c r="J41" s="93"/>
      <c r="K41" s="93"/>
      <c r="L41" s="93"/>
      <c r="M41" s="93"/>
      <c r="N41" s="93"/>
      <c r="O41" s="93"/>
    </row>
    <row r="42" spans="1:16382" s="30" customFormat="1" ht="11.25" customHeight="1">
      <c r="C42" s="188" t="str">
        <f>CONCATENATE("CESS Payment Per Year ($", 'Output | Models'!$F$8," million)")</f>
        <v>CESS Payment Per Year ($2018–19 million)</v>
      </c>
      <c r="D42" s="109">
        <f>D36/(SUM(D41:H41))</f>
        <v>1.3896741246377589</v>
      </c>
      <c r="E42" s="109">
        <f>D42</f>
        <v>1.3896741246377589</v>
      </c>
      <c r="F42" s="109">
        <f t="shared" ref="F42:H42" si="5">E42</f>
        <v>1.3896741246377589</v>
      </c>
      <c r="G42" s="109">
        <f t="shared" si="5"/>
        <v>1.3896741246377589</v>
      </c>
      <c r="H42" s="148">
        <f t="shared" si="5"/>
        <v>1.3896741246377589</v>
      </c>
      <c r="I42" s="93"/>
      <c r="J42" s="93"/>
      <c r="K42" s="93"/>
      <c r="L42" s="93"/>
      <c r="M42" s="93"/>
      <c r="N42" s="93"/>
      <c r="O42" s="93"/>
    </row>
    <row r="43" spans="1:16382" s="78" customFormat="1" ht="11.25" customHeight="1"/>
    <row r="44" spans="1:16382" s="30" customFormat="1" ht="11.25" customHeight="1">
      <c r="C44" s="188" t="str">
        <f>CONCATENATE("Total CESS Payment ($", 'Output | Models'!$F$8," million)")</f>
        <v>Total CESS Payment ($2018–19 million)</v>
      </c>
      <c r="D44" s="156">
        <f>SUM(D42:H42)</f>
        <v>6.9483706231887945</v>
      </c>
      <c r="E44" s="69"/>
      <c r="F44" s="69"/>
      <c r="G44" s="69"/>
      <c r="H44" s="69"/>
      <c r="I44" s="93"/>
      <c r="J44" s="93"/>
      <c r="K44" s="93"/>
      <c r="L44" s="93"/>
      <c r="M44" s="93"/>
      <c r="N44" s="93"/>
      <c r="O44" s="93"/>
    </row>
    <row r="45" spans="1:16382" s="30" customFormat="1" ht="11.25" customHeight="1">
      <c r="C45" s="68"/>
      <c r="D45" s="98"/>
      <c r="E45" s="69"/>
      <c r="F45" s="69"/>
      <c r="G45" s="69"/>
      <c r="H45" s="69"/>
      <c r="I45" s="93"/>
      <c r="J45" s="93"/>
      <c r="K45" s="93"/>
      <c r="L45" s="93"/>
      <c r="M45" s="93"/>
      <c r="N45" s="93"/>
      <c r="O45" s="93"/>
    </row>
    <row r="46" spans="1:16382" s="30" customFormat="1" ht="11.25" customHeight="1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6382" ht="12" customHeight="1">
      <c r="A47" s="29"/>
      <c r="B47" s="29" t="s">
        <v>34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10" sqref="J10"/>
    </sheetView>
  </sheetViews>
  <sheetFormatPr defaultColWidth="0" defaultRowHeight="11.25" customHeight="1" zeroHeight="1"/>
  <cols>
    <col min="1" max="2" width="1.26953125" style="51" customWidth="1"/>
    <col min="3" max="3" width="36" style="51" customWidth="1"/>
    <col min="4" max="4" width="23.54296875" style="52" bestFit="1" customWidth="1"/>
    <col min="5" max="5" width="13.54296875" style="52" customWidth="1"/>
    <col min="6" max="6" width="9.1796875" style="52" customWidth="1"/>
    <col min="7" max="9" width="2.81640625" style="52" customWidth="1"/>
    <col min="10" max="15" width="9.26953125" style="51" customWidth="1"/>
    <col min="16" max="17" width="3" style="51" customWidth="1"/>
    <col min="18" max="24" width="9.26953125" style="51" hidden="1" customWidth="1"/>
    <col min="25" max="48" width="0" style="51" hidden="1" customWidth="1"/>
    <col min="49" max="16384" width="0" style="51" hidden="1"/>
  </cols>
  <sheetData>
    <row r="1" spans="1:27" s="34" customFormat="1" ht="15.5">
      <c r="B1" s="3" t="str">
        <f>'Input | General'!$B$1</f>
        <v>Endeavour Energy 2019-24 Final Decision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47</v>
      </c>
      <c r="L1" s="158" t="s">
        <v>48</v>
      </c>
      <c r="M1" s="163" t="s">
        <v>36</v>
      </c>
      <c r="R1" s="106"/>
      <c r="S1" s="78"/>
      <c r="T1" s="78"/>
      <c r="U1" s="78"/>
      <c r="V1" s="78"/>
      <c r="W1" s="78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42"/>
      <c r="E3" s="42"/>
      <c r="F3" s="42"/>
      <c r="G3" s="42"/>
      <c r="H3" s="42"/>
      <c r="I3" s="42"/>
      <c r="J3" s="196"/>
      <c r="K3" s="196"/>
      <c r="L3" s="196"/>
      <c r="M3" s="42"/>
      <c r="N3" s="196"/>
      <c r="O3" s="196"/>
      <c r="P3" s="196"/>
      <c r="Q3" s="196"/>
      <c r="R3" s="196"/>
      <c r="S3" s="196"/>
      <c r="T3" s="196"/>
      <c r="U3" s="43"/>
      <c r="V3" s="43"/>
      <c r="W3" s="43"/>
      <c r="X3" s="43"/>
      <c r="Y3" s="43"/>
      <c r="Z3" s="43"/>
      <c r="AA3" s="43"/>
    </row>
    <row r="4" spans="1:27" s="50" customFormat="1" ht="13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83" t="str">
        <f>'Calc | CESS Revenue Increments'!D40</f>
        <v>2019-20</v>
      </c>
      <c r="K6" s="183" t="str">
        <f>'Calc | CESS Revenue Increments'!E40</f>
        <v>2020–21</v>
      </c>
      <c r="L6" s="183" t="str">
        <f>'Calc | CESS Revenue Increments'!F40</f>
        <v>2021–22</v>
      </c>
      <c r="M6" s="183" t="str">
        <f>'Calc | CESS Revenue Increments'!G40</f>
        <v>2022–23</v>
      </c>
      <c r="N6" s="183" t="str">
        <f>'Calc | CESS Revenue Increments'!H40</f>
        <v>2023–24</v>
      </c>
      <c r="O6" s="56" t="s">
        <v>89</v>
      </c>
      <c r="P6" s="135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4"/>
      <c r="D7" s="55"/>
      <c r="E7" s="55"/>
      <c r="F7" s="55"/>
      <c r="H7" s="55"/>
      <c r="I7" s="55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7" t="s">
        <v>85</v>
      </c>
      <c r="D8" s="185" t="s">
        <v>58</v>
      </c>
      <c r="E8" s="52" t="s">
        <v>50</v>
      </c>
      <c r="F8" s="184" t="str">
        <f>IF(LEN(J6)&gt;4,CONCATENATE(LEFT(J6,4)-1&amp;"–"&amp;IF(RIGHT(J6,2)="00","99",IF(RIGHT(J6,2)-1&lt;10,"0","")&amp;RIGHT(J6,2)-1)),J6-1)</f>
        <v>2018–19</v>
      </c>
      <c r="H8" s="55"/>
      <c r="I8" s="55"/>
      <c r="J8" s="132">
        <f>'Calc | CESS Revenue Increments'!D42</f>
        <v>1.3896741246377589</v>
      </c>
      <c r="K8" s="132">
        <f>'Calc | CESS Revenue Increments'!E42</f>
        <v>1.3896741246377589</v>
      </c>
      <c r="L8" s="132">
        <f>'Calc | CESS Revenue Increments'!F42</f>
        <v>1.3896741246377589</v>
      </c>
      <c r="M8" s="132">
        <f>'Calc | CESS Revenue Increments'!G42</f>
        <v>1.3896741246377589</v>
      </c>
      <c r="N8" s="132">
        <f>'Calc | CESS Revenue Increments'!H42</f>
        <v>1.3896741246377589</v>
      </c>
      <c r="O8" s="59">
        <f>SUM(J8:N8)</f>
        <v>6.9483706231887945</v>
      </c>
      <c r="P8" s="136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7"/>
      <c r="D9" s="58"/>
      <c r="H9" s="55"/>
      <c r="I9" s="55"/>
      <c r="J9" s="195"/>
      <c r="K9" s="195"/>
      <c r="L9" s="195"/>
      <c r="M9" s="195"/>
      <c r="N9" s="195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8"/>
      <c r="H10" s="55"/>
      <c r="I10" s="55"/>
      <c r="J10" s="133"/>
      <c r="K10" s="133"/>
      <c r="L10" s="133"/>
      <c r="M10" s="133"/>
      <c r="N10" s="133"/>
      <c r="Q10" s="78"/>
      <c r="R10" s="78"/>
      <c r="S10" s="78"/>
      <c r="T10" s="78"/>
      <c r="U10" s="78"/>
      <c r="V10" s="78"/>
      <c r="W10" s="78"/>
      <c r="X10" s="78"/>
    </row>
    <row r="11" spans="1:27" s="50" customFormat="1" ht="13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60"/>
      <c r="N17" s="60"/>
      <c r="O17" s="60"/>
      <c r="P17" s="60"/>
      <c r="Q17" s="60"/>
      <c r="R17" s="60"/>
      <c r="S17" s="60"/>
      <c r="T17" s="60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Jovanoski, Slavko</cp:lastModifiedBy>
  <dcterms:created xsi:type="dcterms:W3CDTF">2017-09-22T02:00:05Z</dcterms:created>
  <dcterms:modified xsi:type="dcterms:W3CDTF">2019-05-06T19:41:49Z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