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75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  <c r="G10" i="9"/>
  <c r="G11" i="9"/>
  <c r="G12" i="9"/>
  <c r="G9" i="9"/>
  <c r="P22" i="4" l="1"/>
  <c r="P21" i="4"/>
  <c r="H22" i="4"/>
  <c r="H21" i="4"/>
  <c r="D23" i="3"/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L21" i="4" l="1"/>
  <c r="L22" i="4"/>
  <c r="Q14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H25" i="8" l="1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P24" i="4" l="1"/>
  <c r="H24" i="4"/>
  <c r="H25" i="4"/>
  <c r="L24" i="4"/>
  <c r="E18" i="7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D19" i="3"/>
  <c r="L23" i="4" l="1"/>
  <c r="L26" i="4"/>
  <c r="B13" i="9"/>
  <c r="Q8" i="4"/>
  <c r="P23" i="4" s="1"/>
  <c r="E16" i="7" s="1"/>
  <c r="K18" i="7"/>
  <c r="E26" i="7"/>
  <c r="B34" i="7"/>
  <c r="H34" i="7" s="1"/>
  <c r="N34" i="7" s="1"/>
  <c r="T34" i="7" s="1"/>
  <c r="H23" i="4" l="1"/>
  <c r="E13" i="9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I6" i="8" l="1"/>
  <c r="J6" i="8" l="1"/>
  <c r="I44" i="8"/>
  <c r="I25" i="8"/>
  <c r="J25" i="8" l="1"/>
  <c r="I63" i="8"/>
  <c r="J44" i="8"/>
  <c r="K6" i="8"/>
  <c r="K44" i="8" l="1"/>
  <c r="F6" i="7"/>
  <c r="B35" i="7" s="1"/>
  <c r="J63" i="8"/>
  <c r="K25" i="8"/>
  <c r="L6" i="7" l="1"/>
  <c r="H35" i="7" s="1"/>
  <c r="E35" i="7"/>
  <c r="E36" i="7" s="1"/>
  <c r="B9" i="9" s="1"/>
  <c r="K63" i="8"/>
  <c r="R6" i="7"/>
  <c r="N35" i="7" s="1"/>
  <c r="Q35" i="7" l="1"/>
  <c r="Q36" i="7" s="1"/>
  <c r="B11" i="9" s="1"/>
  <c r="E11" i="9" s="1"/>
  <c r="E9" i="9"/>
  <c r="K35" i="7"/>
  <c r="K36" i="7" s="1"/>
  <c r="B10" i="9" s="1"/>
  <c r="E10" i="9" s="1"/>
  <c r="X6" i="7"/>
  <c r="T35" i="7" s="1"/>
  <c r="W35" i="7" l="1"/>
  <c r="W36" i="7" s="1"/>
  <c r="B12" i="9" s="1"/>
  <c r="E12" i="9" s="1"/>
  <c r="E15" i="9" l="1"/>
  <c r="E16" i="9" s="1"/>
  <c r="E17" i="9" s="1"/>
  <c r="B15" i="9"/>
  <c r="B16" i="9" s="1"/>
  <c r="B17" i="9" s="1"/>
</calcChain>
</file>

<file path=xl/sharedStrings.xml><?xml version="1.0" encoding="utf-8"?>
<sst xmlns="http://schemas.openxmlformats.org/spreadsheetml/2006/main" count="470" uniqueCount="178">
  <si>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</si>
  <si>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</si>
  <si>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</si>
  <si>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</si>
  <si>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</si>
  <si>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</si>
  <si>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</si>
  <si>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</si>
  <si>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</si>
  <si>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</si>
  <si>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</si>
  <si>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</si>
  <si>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</si>
  <si>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</si>
  <si>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</si>
  <si>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</si>
  <si>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</si>
  <si>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</si>
  <si>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</si>
  <si>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</si>
  <si>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</si>
  <si>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</si>
  <si>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</si>
  <si>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</si>
  <si>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– Takes various values for the opex value, OEF margin, efficiency target and productivity trend and feeds these through the models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</si>
  <si>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</si>
  <si>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</si>
  <si>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</si>
  <si>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</si>
  <si>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</si>
  <si>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</si>
  <si>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</si>
  <si>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</si>
  <si>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</si>
  <si>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</si>
  <si>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</si>
  <si>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</si>
  <si>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</si>
  <si>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</si>
  <si>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</si>
  <si>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</si>
  <si>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</si>
  <si>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</si>
  <si>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</si>
  <si>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</si>
  <si>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</si>
  <si>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</si>
  <si>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</si>
  <si>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</si>
  <si>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</si>
  <si>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</si>
  <si>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</si>
  <si>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</si>
  <si>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</si>
  <si>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</si>
  <si>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</si>
  <si>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</si>
  <si>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</si>
  <si>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</si>
  <si>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</si>
  <si>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</si>
  <si>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</si>
  <si>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</si>
  <si>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</si>
  <si>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</si>
  <si>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</si>
  <si>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</si>
  <si>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</si>
  <si>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</si>
  <si>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</si>
  <si>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</si>
  <si>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</si>
  <si>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</si>
  <si>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</si>
  <si>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</si>
  <si>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</si>
  <si>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</si>
  <si>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</si>
  <si>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</si>
  <si>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</si>
  <si>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</si>
  <si>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</si>
  <si>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</si>
  <si>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</si>
  <si>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</si>
  <si>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</si>
  <si>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</si>
  <si>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</si>
  <si>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</si>
  <si>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</si>
  <si>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</si>
  <si>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</si>
  <si>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</si>
  <si>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</si>
  <si>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</si>
  <si>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</si>
  <si>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</si>
  <si>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</si>
  <si>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</si>
  <si>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</si>
  <si>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</si>
  <si>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</si>
  <si>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</si>
  <si>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</si>
  <si>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</si>
  <si>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</si>
  <si>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</si>
  <si>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</si>
  <si>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</si>
  <si>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</si>
  <si>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</si>
  <si>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</si>
  <si>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</si>
  <si>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</si>
  <si>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</si>
  <si>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</si>
  <si>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</si>
  <si>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</si>
  <si>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</si>
  <si>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</si>
  <si>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</si>
  <si>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</si>
  <si>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Translog SFA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</si>
  <si>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</si>
  <si>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</si>
  <si>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</si>
  <si>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</si>
  <si>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</si>
  <si>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</si>
  <si>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</si>
  <si>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</si>
  <si>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</si>
  <si>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</si>
  <si>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</si>
  <si>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</si>
  <si>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</si>
  <si>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</si>
  <si>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</si>
  <si>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</si>
  <si>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</si>
  <si>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</si>
  <si>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</si>
  <si>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</si>
  <si>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</si>
  <si>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</si>
  <si>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</si>
  <si>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</si>
  <si>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</si>
  <si>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</si>
  <si>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</si>
  <si>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</si>
  <si>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</si>
  <si>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</si>
  <si>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</si>
  <si>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Difference ($)</t>
  </si>
  <si>
    <t>Difference (%)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</si>
  <si>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</si>
  <si>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</si>
  <si>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</si>
  <si>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</si>
  <si>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</si>
  <si>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</si>
  <si>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</si>
  <si>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Network services opex (reflecting 2013 CAM) base year</t>
  </si>
  <si>
    <t>ABR Results</t>
  </si>
  <si>
    <t/>
  </si>
  <si>
    <t>Capitalisation</t>
  </si>
  <si>
    <t>Average 2006-19 opex ($'000RY2018)</t>
  </si>
  <si>
    <t>Average 2006-19</t>
  </si>
  <si>
    <t>Avr to 2018</t>
  </si>
  <si>
    <t>Inputs</t>
  </si>
  <si>
    <t>E. Inputs</t>
  </si>
  <si>
    <t>F. Summary</t>
  </si>
  <si>
    <t>AusNet Services</t>
  </si>
  <si>
    <t>Source: Economic Insights Results for the 2020 AER Annual Benchmarking Report</t>
  </si>
  <si>
    <t>2020 Annual Benchmarking report</t>
  </si>
  <si>
    <t>Exclusions for monotonicity</t>
  </si>
  <si>
    <t>OEF assumption: Sapere/Merz OEFs and updated OEFs for vegetation management and capitalisation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</si>
</sst>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16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0" fontId="12" fillId="9" borderId="12" xfId="4" applyFont="1" applyFill="1" applyBorder="1"/>
    <xf numFmtId="0" fontId="14" fillId="0" borderId="0" xfId="4" applyFont="1"/>
    <xf numFmtId="0" fontId="15" fillId="0" borderId="0" xfId="6" applyFont="1" applyBorder="1"/>
    <xf numFmtId="0" fontId="15" fillId="11" borderId="13" xfId="4" applyFont="1" applyFill="1" applyBorder="1" applyAlignment="1">
      <alignment horizontal="right" vertical="center" wrapText="1"/>
    </xf>
    <xf numFmtId="0" fontId="15" fillId="11" borderId="13" xfId="4" applyFont="1" applyFill="1" applyBorder="1" applyAlignment="1">
      <alignment vertical="center" wrapText="1"/>
    </xf>
    <xf numFmtId="0" fontId="7" fillId="11" borderId="14" xfId="4" applyFont="1" applyFill="1" applyBorder="1"/>
    <xf numFmtId="0" fontId="7" fillId="11" borderId="0" xfId="4" applyFont="1" applyFill="1" applyBorder="1"/>
    <xf numFmtId="0" fontId="7" fillId="11" borderId="15" xfId="4" applyFont="1" applyFill="1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5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5" xfId="4" applyNumberFormat="1" applyFont="1" applyFill="1" applyBorder="1"/>
    <xf numFmtId="175" fontId="7" fillId="11" borderId="0" xfId="4" applyNumberFormat="1" applyFont="1" applyFill="1" applyBorder="1"/>
    <xf numFmtId="175" fontId="7" fillId="11" borderId="14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164" fontId="26" fillId="3" borderId="0" xfId="12" applyNumberFormat="1" applyFont="1" applyFill="1"/>
    <xf numFmtId="0" fontId="24" fillId="0" borderId="0" xfId="4" applyFont="1"/>
    <xf numFmtId="174" fontId="23" fillId="3" borderId="0" xfId="12" applyNumberFormat="1" applyFill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  <xf numFmtId="1" fontId="5" fillId="8" borderId="5" xfId="4" applyNumberFormat="1" applyFont="1" applyFill="1" applyBorder="1" applyAlignment="1">
      <alignment wrapText="1"/>
    </xf>
    <xf numFmtId="167" fontId="7" fillId="5" borderId="11" xfId="7" applyNumberFormat="1" applyFont="1" applyFill="1" applyBorder="1" applyAlignment="1">
      <alignment horizontal="right" vertical="center"/>
    </xf>
    <xf numFmtId="164" fontId="23" fillId="3" borderId="0" xfId="16" applyFont="1" applyFill="1"/>
    <xf numFmtId="167" fontId="0" fillId="0" borderId="0" xfId="14" applyNumberFormat="1" applyFont="1"/>
    <xf numFmtId="167" fontId="19" fillId="0" borderId="0" xfId="14" applyNumberFormat="1" applyFont="1" applyFill="1" applyBorder="1"/>
    <xf numFmtId="167" fontId="21" fillId="0" borderId="0" xfId="14" applyNumberFormat="1" applyFont="1" applyFill="1" applyBorder="1" applyAlignment="1">
      <alignment horizontal="left" vertical="top" wrapText="1"/>
    </xf>
    <xf numFmtId="167" fontId="22" fillId="0" borderId="0" xfId="14" applyNumberFormat="1" applyFont="1" applyFill="1" applyBorder="1" applyAlignment="1">
      <alignment horizontal="left" vertical="top" wrapText="1"/>
    </xf>
    <xf numFmtId="167" fontId="20" fillId="12" borderId="0" xfId="14" applyNumberFormat="1" applyFont="1" applyFill="1" applyBorder="1" applyAlignment="1">
      <alignment horizontal="center"/>
    </xf>
    <xf numFmtId="167" fontId="20" fillId="0" borderId="0" xfId="14" applyNumberFormat="1" applyFont="1" applyFill="1" applyBorder="1"/>
    <xf numFmtId="0" fontId="11" fillId="0" borderId="0" xfId="5" applyFill="1"/>
    <xf numFmtId="0" fontId="15" fillId="0" borderId="0" xfId="6" applyFont="1" applyFill="1" applyBorder="1"/>
    <xf numFmtId="0" fontId="1" fillId="0" borderId="0" xfId="6" applyFill="1" applyBorder="1"/>
    <xf numFmtId="0" fontId="9" fillId="0" borderId="0" xfId="6" applyFont="1" applyFill="1" applyBorder="1"/>
    <xf numFmtId="0" fontId="16" fillId="0" borderId="0" xfId="6" applyFont="1" applyFill="1" applyBorder="1"/>
    <xf numFmtId="3" fontId="15" fillId="0" borderId="0" xfId="6" applyNumberFormat="1" applyFont="1" applyFill="1" applyBorder="1"/>
    <xf numFmtId="0" fontId="15" fillId="0" borderId="0" xfId="6" applyNumberFormat="1" applyFont="1" applyFill="1" applyBorder="1"/>
    <xf numFmtId="9" fontId="15" fillId="0" borderId="0" xfId="6" applyNumberFormat="1" applyFont="1" applyFill="1" applyBorder="1"/>
    <xf numFmtId="0" fontId="5" fillId="0" borderId="0" xfId="4" applyFill="1" applyBorder="1"/>
    <xf numFmtId="0" fontId="2" fillId="0" borderId="0" xfId="1" applyFill="1" applyBorder="1"/>
    <xf numFmtId="0" fontId="9" fillId="0" borderId="0" xfId="4" applyFont="1" applyFill="1" applyBorder="1"/>
    <xf numFmtId="0" fontId="15" fillId="0" borderId="0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right" vertical="center" wrapText="1"/>
    </xf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Services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203.25317692099591</c:v>
                </c:pt>
                <c:pt idx="1">
                  <c:v>214.00477561091199</c:v>
                </c:pt>
                <c:pt idx="2">
                  <c:v>201.46112244239154</c:v>
                </c:pt>
                <c:pt idx="3">
                  <c:v>206.15263671590029</c:v>
                </c:pt>
                <c:pt idx="4">
                  <c:v>201.66410214856504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Services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206.21792792254993</c:v>
                </c:pt>
                <c:pt idx="1">
                  <c:v>206.21792792254993</c:v>
                </c:pt>
                <c:pt idx="2">
                  <c:v>206.21792792254993</c:v>
                </c:pt>
                <c:pt idx="3">
                  <c:v>206.21792792254993</c:v>
                </c:pt>
                <c:pt idx="4">
                  <c:v>206.21792792254993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36" sqref="A36"/>
    </sheetView>
  </sheetViews>
  <sheetFormatPr defaultColWidth="9.140625" defaultRowHeight="15" zeroHeight="1" x14ac:dyDescent="0.25"/>
  <cols>
    <col min="1" max="1" width="20.5703125" style="5" customWidth="1"/>
    <col min="2" max="9" width="9.140625" style="5"/>
    <col min="10" max="16384" width="9.140625" style="6"/>
  </cols>
  <sheetData>
    <row r="1" spans="1:14" s="3" customFormat="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25">
      <c r="A2" s="4"/>
    </row>
    <row r="3" spans="1:14" x14ac:dyDescent="0.25"/>
    <row r="4" spans="1:14" x14ac:dyDescent="0.25">
      <c r="A4" s="7" t="s">
        <v>1</v>
      </c>
    </row>
    <row r="5" spans="1:14" x14ac:dyDescent="0.25">
      <c r="A5" s="5" t="str">
        <f>"– This spreadsheet contains the modelling for opex base year adjustments for "&amp;Inputs!C2</f>
        <v>– This spreadsheet contains the modelling for opex base year adjustments for AusNet Services</v>
      </c>
    </row>
    <row r="6" spans="1:14" x14ac:dyDescent="0.25">
      <c r="A6" s="5" t="s">
        <v>2</v>
      </c>
    </row>
    <row r="7" spans="1:14" x14ac:dyDescent="0.25">
      <c r="A7" s="5" t="s">
        <v>3</v>
      </c>
    </row>
    <row r="8" spans="1:14" x14ac:dyDescent="0.25"/>
    <row r="9" spans="1:14" x14ac:dyDescent="0.25">
      <c r="A9" s="7" t="s">
        <v>4</v>
      </c>
    </row>
    <row r="10" spans="1:14" x14ac:dyDescent="0.25">
      <c r="A10" s="5" t="s">
        <v>5</v>
      </c>
      <c r="B10" s="8" t="s">
        <v>6</v>
      </c>
    </row>
    <row r="11" spans="1:14" x14ac:dyDescent="0.25">
      <c r="A11" s="5" t="s">
        <v>7</v>
      </c>
      <c r="B11" s="9" t="s">
        <v>8</v>
      </c>
    </row>
    <row r="12" spans="1:14" x14ac:dyDescent="0.25">
      <c r="A12" s="5" t="s">
        <v>9</v>
      </c>
      <c r="B12" s="10" t="s">
        <v>10</v>
      </c>
    </row>
    <row r="13" spans="1:14" x14ac:dyDescent="0.25"/>
    <row r="14" spans="1:14" x14ac:dyDescent="0.25">
      <c r="A14" s="11" t="s">
        <v>11</v>
      </c>
      <c r="N14" s="7" t="s">
        <v>12</v>
      </c>
    </row>
    <row r="15" spans="1:14" x14ac:dyDescent="0.25">
      <c r="A15" s="5" t="s">
        <v>13</v>
      </c>
      <c r="N15" s="12" t="s">
        <v>14</v>
      </c>
    </row>
    <row r="16" spans="1:14" x14ac:dyDescent="0.25">
      <c r="A16" s="45" t="str">
        <f>"– historical and forecast data on opex and cost driver for "&amp;Inputs!C2</f>
        <v>– historical and forecast data on opex and cost driver for AusNet Services</v>
      </c>
    </row>
    <row r="17" spans="1:14" x14ac:dyDescent="0.25"/>
    <row r="18" spans="1:14" x14ac:dyDescent="0.25">
      <c r="A18" s="11" t="s">
        <v>15</v>
      </c>
    </row>
    <row r="19" spans="1:14" x14ac:dyDescent="0.25">
      <c r="A19" s="5" t="s">
        <v>16</v>
      </c>
      <c r="N19" s="12" t="s">
        <v>17</v>
      </c>
    </row>
    <row r="20" spans="1:14" x14ac:dyDescent="0.25">
      <c r="A20" s="5" t="s">
        <v>18</v>
      </c>
    </row>
    <row r="21" spans="1:14" x14ac:dyDescent="0.25"/>
    <row r="22" spans="1:14" x14ac:dyDescent="0.25">
      <c r="A22" s="11" t="s">
        <v>19</v>
      </c>
    </row>
    <row r="23" spans="1:14" x14ac:dyDescent="0.25">
      <c r="A23" s="5" t="s">
        <v>20</v>
      </c>
      <c r="N23" s="13" t="s">
        <v>21</v>
      </c>
    </row>
    <row r="24" spans="1:14" x14ac:dyDescent="0.25">
      <c r="A24" s="45" t="str">
        <f>"– Setting out efficiency target for "&amp;Inputs!C2</f>
        <v>– Setting out efficiency target for AusNet Services</v>
      </c>
    </row>
    <row r="25" spans="1:14" x14ac:dyDescent="0.25"/>
    <row r="26" spans="1:14" x14ac:dyDescent="0.25">
      <c r="A26" s="5" t="s">
        <v>22</v>
      </c>
      <c r="N26" s="13" t="s">
        <v>23</v>
      </c>
    </row>
    <row r="27" spans="1:14" x14ac:dyDescent="0.25">
      <c r="A27" s="5" t="str">
        <f>"– Modelling efficient opex (base year) for "&amp;Inputs!C2&amp;", based on the efficiency target chosen"</f>
        <v>– Modelling efficient opex (base year) for AusNet Services, based on the efficiency target chosen</v>
      </c>
    </row>
    <row r="28" spans="1:14" x14ac:dyDescent="0.25"/>
    <row r="29" spans="1:14" x14ac:dyDescent="0.25"/>
    <row r="30" spans="1:14" x14ac:dyDescent="0.25"/>
    <row r="31" spans="1:14" x14ac:dyDescent="0.25"/>
    <row r="32" spans="1:14" x14ac:dyDescent="0.25">
      <c r="A32" s="5" t="s">
        <v>171</v>
      </c>
      <c r="N32" s="184" t="s">
        <v>170</v>
      </c>
    </row>
    <row r="33" spans="1:14" x14ac:dyDescent="0.25">
      <c r="A33" s="5" t="s">
        <v>24</v>
      </c>
      <c r="N33" s="22"/>
    </row>
    <row r="34" spans="1:14" x14ac:dyDescent="0.25">
      <c r="N34" s="22"/>
    </row>
    <row r="35" spans="1:14" x14ac:dyDescent="0.25">
      <c r="A35" s="5" t="s">
        <v>172</v>
      </c>
      <c r="N35" s="184" t="s">
        <v>119</v>
      </c>
    </row>
    <row r="36" spans="1:14" x14ac:dyDescent="0.2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AusNet Services's proposed opex</v>
      </c>
      <c r="N36" s="22"/>
    </row>
    <row r="37" spans="1:14" x14ac:dyDescent="0.25"/>
    <row r="38" spans="1:14" x14ac:dyDescent="0.25"/>
    <row r="39" spans="1:14" x14ac:dyDescent="0.25">
      <c r="A39" s="11"/>
    </row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"/>
    <hyperlink ref="N35" location="Summary!A1" display="Summary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E5" sqref="E5"/>
    </sheetView>
  </sheetViews>
  <sheetFormatPr defaultColWidth="8.7109375" defaultRowHeight="12.75" zeroHeight="1" x14ac:dyDescent="0.2"/>
  <cols>
    <col min="1" max="1" width="31" style="16" customWidth="1"/>
    <col min="2" max="2" width="10.85546875" style="16" customWidth="1"/>
    <col min="3" max="3" width="8.7109375" style="22"/>
    <col min="4" max="4" width="9.5703125" style="16" customWidth="1"/>
    <col min="5" max="5" width="9.42578125" style="16" customWidth="1"/>
    <col min="6" max="7" width="9.7109375" style="16" customWidth="1"/>
    <col min="8" max="8" width="11.5703125" style="16" customWidth="1"/>
    <col min="9" max="9" width="10" style="16" customWidth="1"/>
    <col min="10" max="17" width="11" style="16" customWidth="1"/>
    <col min="18" max="16384" width="8.7109375" style="16"/>
  </cols>
  <sheetData>
    <row r="1" spans="1:17" s="43" customFormat="1" ht="15" x14ac:dyDescent="0.25">
      <c r="A1" s="85" t="str">
        <f>"Opex Cost Drivers – "&amp;Inputs!C3</f>
        <v>Opex Cost Drivers – AND</v>
      </c>
      <c r="C1" s="45" t="s">
        <v>153</v>
      </c>
      <c r="D1" s="78" t="str">
        <f>CONCATENATE(D3,Inputs!$C$3)</f>
        <v>2006AND</v>
      </c>
      <c r="E1" s="78" t="str">
        <f>CONCATENATE(E3,Inputs!$C$3)</f>
        <v>2007AND</v>
      </c>
      <c r="F1" s="78" t="str">
        <f>CONCATENATE(F3,Inputs!$C$3)</f>
        <v>2008AND</v>
      </c>
      <c r="G1" s="78" t="str">
        <f>CONCATENATE(G3,Inputs!$C$3)</f>
        <v>2009AND</v>
      </c>
      <c r="H1" s="78" t="str">
        <f>CONCATENATE(H3,Inputs!$C$3)</f>
        <v>2010AND</v>
      </c>
      <c r="I1" s="78" t="str">
        <f>CONCATENATE(I3,Inputs!$C$3)</f>
        <v>2011AND</v>
      </c>
      <c r="J1" s="78" t="str">
        <f>CONCATENATE(J3,Inputs!$C$3)</f>
        <v>2012AND</v>
      </c>
      <c r="K1" s="78" t="str">
        <f>CONCATENATE(K3,Inputs!$C$3)</f>
        <v>2013AND</v>
      </c>
      <c r="L1" s="78" t="str">
        <f>CONCATENATE(L3,Inputs!$C$3)</f>
        <v>2014AND</v>
      </c>
      <c r="M1" s="78" t="str">
        <f>CONCATENATE(M3,Inputs!$C$3)</f>
        <v>2015AND</v>
      </c>
      <c r="N1" s="78" t="str">
        <f>CONCATENATE(N3,Inputs!$C$3)</f>
        <v>2016AND</v>
      </c>
      <c r="O1" s="78" t="str">
        <f>CONCATENATE(O3,Inputs!$C$3)</f>
        <v>2017AND</v>
      </c>
      <c r="P1" s="78" t="str">
        <f>CONCATENATE(P3,Inputs!$C$3)</f>
        <v>2018AND</v>
      </c>
      <c r="Q1" s="78" t="str">
        <f>CONCATENATE(Q3,Inputs!$C$3)</f>
        <v>2019AND</v>
      </c>
    </row>
    <row r="2" spans="1:17" s="82" customFormat="1" ht="15" x14ac:dyDescent="0.25">
      <c r="C2" s="8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s="43" customFormat="1" ht="15" x14ac:dyDescent="0.25">
      <c r="A3" s="66" t="s">
        <v>112</v>
      </c>
      <c r="B3" s="81" t="s">
        <v>111</v>
      </c>
      <c r="C3" s="80"/>
      <c r="D3" s="79">
        <v>2006</v>
      </c>
      <c r="E3" s="79">
        <v>2007</v>
      </c>
      <c r="F3" s="79">
        <v>2008</v>
      </c>
      <c r="G3" s="79">
        <v>2009</v>
      </c>
      <c r="H3" s="79">
        <v>2010</v>
      </c>
      <c r="I3" s="79">
        <v>2011</v>
      </c>
      <c r="J3" s="79">
        <v>2012</v>
      </c>
      <c r="K3" s="79">
        <v>2013</v>
      </c>
      <c r="L3" s="79">
        <v>2014</v>
      </c>
      <c r="M3" s="79">
        <v>2015</v>
      </c>
      <c r="N3" s="79">
        <v>2016</v>
      </c>
      <c r="O3" s="79">
        <v>2017</v>
      </c>
      <c r="P3" s="79">
        <v>2018</v>
      </c>
      <c r="Q3" s="79">
        <v>2019</v>
      </c>
    </row>
    <row r="4" spans="1:17" s="43" customFormat="1" ht="15" x14ac:dyDescent="0.25"/>
    <row r="5" spans="1:17" s="43" customFormat="1" ht="15" x14ac:dyDescent="0.25">
      <c r="A5" s="51" t="s">
        <v>149</v>
      </c>
      <c r="B5" s="61" t="s">
        <v>110</v>
      </c>
      <c r="C5" s="68"/>
      <c r="D5" s="160">
        <v>605407.99999997998</v>
      </c>
      <c r="E5" s="160">
        <v>616585.49999997998</v>
      </c>
      <c r="F5" s="160">
        <v>627552.49999997998</v>
      </c>
      <c r="G5" s="160">
        <v>638613.49999996996</v>
      </c>
      <c r="H5" s="160">
        <v>645694.49999998999</v>
      </c>
      <c r="I5" s="160">
        <v>654640.99999997998</v>
      </c>
      <c r="J5" s="160">
        <v>668702.99999996996</v>
      </c>
      <c r="K5" s="160">
        <v>681298.99999996996</v>
      </c>
      <c r="L5" s="160">
        <v>685193.99999998999</v>
      </c>
      <c r="M5" s="160">
        <v>706424</v>
      </c>
      <c r="N5" s="160">
        <v>712767</v>
      </c>
      <c r="O5" s="160">
        <v>734644</v>
      </c>
      <c r="P5" s="160">
        <v>741836</v>
      </c>
      <c r="Q5" s="160">
        <v>762382</v>
      </c>
    </row>
    <row r="6" spans="1:17" s="43" customFormat="1" ht="15" x14ac:dyDescent="0.25">
      <c r="A6" s="51" t="s">
        <v>152</v>
      </c>
      <c r="B6" s="61" t="s">
        <v>107</v>
      </c>
      <c r="C6" s="68"/>
      <c r="D6" s="160">
        <v>41507.07</v>
      </c>
      <c r="E6" s="160">
        <v>41835.892999999996</v>
      </c>
      <c r="F6" s="160">
        <v>42110.843000000001</v>
      </c>
      <c r="G6" s="160">
        <v>42711.531000000003</v>
      </c>
      <c r="H6" s="160">
        <v>42968.714999999997</v>
      </c>
      <c r="I6" s="160">
        <v>43213.931000000004</v>
      </c>
      <c r="J6" s="160">
        <v>43702.130999999994</v>
      </c>
      <c r="K6" s="160">
        <v>43821.926999999996</v>
      </c>
      <c r="L6" s="160">
        <v>44255.045791259996</v>
      </c>
      <c r="M6" s="160">
        <v>44349.203980980004</v>
      </c>
      <c r="N6" s="160">
        <v>44703.30605698</v>
      </c>
      <c r="O6" s="160">
        <v>44907.44428797</v>
      </c>
      <c r="P6" s="160">
        <v>45114.59</v>
      </c>
      <c r="Q6" s="160">
        <v>45494.429999999993</v>
      </c>
    </row>
    <row r="7" spans="1:17" s="43" customFormat="1" ht="15" x14ac:dyDescent="0.25">
      <c r="A7" s="51" t="s">
        <v>150</v>
      </c>
      <c r="B7" s="61" t="s">
        <v>108</v>
      </c>
      <c r="C7" s="68"/>
      <c r="D7" s="160">
        <v>1616.768</v>
      </c>
      <c r="E7" s="160">
        <v>1689.1969999999999</v>
      </c>
      <c r="F7" s="160">
        <v>1801.394</v>
      </c>
      <c r="G7" s="160">
        <v>1930.99232807</v>
      </c>
      <c r="H7" s="160">
        <v>1937.704264</v>
      </c>
      <c r="I7" s="160">
        <v>1838.472352</v>
      </c>
      <c r="J7" s="160">
        <v>1793.255484</v>
      </c>
      <c r="K7" s="160">
        <v>1881.4148680000001</v>
      </c>
      <c r="L7" s="160">
        <v>1942.955156</v>
      </c>
      <c r="M7" s="160">
        <v>1816.759</v>
      </c>
      <c r="N7" s="160">
        <v>1951.7954540000001</v>
      </c>
      <c r="O7" s="160">
        <v>1942.0717212</v>
      </c>
      <c r="P7" s="160">
        <v>1942.1035879999999</v>
      </c>
      <c r="Q7" s="160">
        <v>2026.9370560000002</v>
      </c>
    </row>
    <row r="8" spans="1:17" s="43" customFormat="1" ht="15" x14ac:dyDescent="0.25">
      <c r="A8" s="51" t="s">
        <v>109</v>
      </c>
      <c r="B8" s="61" t="s">
        <v>108</v>
      </c>
      <c r="C8" s="68"/>
      <c r="D8" s="78">
        <f>MAX(D7)</f>
        <v>1616.768</v>
      </c>
      <c r="E8" s="78">
        <f t="shared" ref="E8:Q8" si="0">MAX(D8,E7)</f>
        <v>1689.1969999999999</v>
      </c>
      <c r="F8" s="78">
        <f t="shared" si="0"/>
        <v>1801.394</v>
      </c>
      <c r="G8" s="78">
        <f t="shared" si="0"/>
        <v>1930.99232807</v>
      </c>
      <c r="H8" s="78">
        <f t="shared" si="0"/>
        <v>1937.704264</v>
      </c>
      <c r="I8" s="78">
        <f t="shared" si="0"/>
        <v>1937.704264</v>
      </c>
      <c r="J8" s="78">
        <f t="shared" si="0"/>
        <v>1937.704264</v>
      </c>
      <c r="K8" s="78">
        <f t="shared" si="0"/>
        <v>1937.704264</v>
      </c>
      <c r="L8" s="78">
        <f t="shared" si="0"/>
        <v>1942.955156</v>
      </c>
      <c r="M8" s="78">
        <f t="shared" si="0"/>
        <v>1942.955156</v>
      </c>
      <c r="N8" s="78">
        <f t="shared" si="0"/>
        <v>1951.7954540000001</v>
      </c>
      <c r="O8" s="78">
        <f t="shared" si="0"/>
        <v>1951.7954540000001</v>
      </c>
      <c r="P8" s="78">
        <f t="shared" si="0"/>
        <v>1951.7954540000001</v>
      </c>
      <c r="Q8" s="78">
        <f t="shared" si="0"/>
        <v>2026.9370560000002</v>
      </c>
    </row>
    <row r="9" spans="1:17" s="43" customFormat="1" ht="15" x14ac:dyDescent="0.25">
      <c r="A9" s="51" t="s">
        <v>148</v>
      </c>
      <c r="B9" s="61" t="s">
        <v>107</v>
      </c>
      <c r="C9" s="68"/>
      <c r="D9" s="160">
        <v>3864.759</v>
      </c>
      <c r="E9" s="160">
        <v>4111.4009999999998</v>
      </c>
      <c r="F9" s="160">
        <v>4290.7219999999998</v>
      </c>
      <c r="G9" s="160">
        <v>4612.5159999999996</v>
      </c>
      <c r="H9" s="160">
        <v>4792.9139999999998</v>
      </c>
      <c r="I9" s="160">
        <v>5069.076</v>
      </c>
      <c r="J9" s="160">
        <v>5322.3950000000004</v>
      </c>
      <c r="K9" s="160">
        <v>5502.2719999999999</v>
      </c>
      <c r="L9" s="160">
        <v>5728.1507942199996</v>
      </c>
      <c r="M9" s="160">
        <v>5965.9348250000003</v>
      </c>
      <c r="N9" s="160">
        <v>6267.0513379800004</v>
      </c>
      <c r="O9" s="160">
        <v>6574.8889099799999</v>
      </c>
      <c r="P9" s="160">
        <v>6908.59</v>
      </c>
      <c r="Q9" s="160">
        <v>7305.5300000000007</v>
      </c>
    </row>
    <row r="10" spans="1:17" s="43" customFormat="1" ht="15" x14ac:dyDescent="0.25">
      <c r="A10" s="51" t="s">
        <v>96</v>
      </c>
      <c r="B10" s="61" t="s">
        <v>106</v>
      </c>
      <c r="C10" s="68"/>
      <c r="D10" s="77">
        <f t="shared" ref="D10:Q10" si="1">D9/D6</f>
        <v>9.3110860390771988E-2</v>
      </c>
      <c r="E10" s="77">
        <f t="shared" si="1"/>
        <v>9.827448884621634E-2</v>
      </c>
      <c r="F10" s="77">
        <f t="shared" si="1"/>
        <v>0.10189114475813271</v>
      </c>
      <c r="G10" s="77">
        <f t="shared" si="1"/>
        <v>0.10799228901441157</v>
      </c>
      <c r="H10" s="77">
        <f t="shared" si="1"/>
        <v>0.11154427122151547</v>
      </c>
      <c r="I10" s="77">
        <f t="shared" si="1"/>
        <v>0.11730189507638172</v>
      </c>
      <c r="J10" s="77">
        <f t="shared" si="1"/>
        <v>0.12178799702009957</v>
      </c>
      <c r="K10" s="77">
        <f t="shared" si="1"/>
        <v>0.12555979110640206</v>
      </c>
      <c r="L10" s="77">
        <f t="shared" si="1"/>
        <v>0.12943497609827945</v>
      </c>
      <c r="M10" s="77">
        <f t="shared" si="1"/>
        <v>0.13452180173422287</v>
      </c>
      <c r="N10" s="77">
        <f t="shared" si="1"/>
        <v>0.14019212203213458</v>
      </c>
      <c r="O10" s="77">
        <f t="shared" si="1"/>
        <v>0.14640977713668976</v>
      </c>
      <c r="P10" s="77">
        <f t="shared" si="1"/>
        <v>0.15313427430017651</v>
      </c>
      <c r="Q10" s="77">
        <f t="shared" si="1"/>
        <v>0.16058075680913031</v>
      </c>
    </row>
    <row r="11" spans="1:17" s="43" customFormat="1" ht="15" x14ac:dyDescent="0.25">
      <c r="A11" s="51" t="s">
        <v>151</v>
      </c>
      <c r="B11" s="61" t="s">
        <v>105</v>
      </c>
      <c r="C11" s="68"/>
      <c r="D11" s="160">
        <v>81250.614026765543</v>
      </c>
      <c r="E11" s="160">
        <v>103209.38645113776</v>
      </c>
      <c r="F11" s="160">
        <v>116017.52463473017</v>
      </c>
      <c r="G11" s="160">
        <v>137883.29635850366</v>
      </c>
      <c r="H11" s="160">
        <v>137860.36087647689</v>
      </c>
      <c r="I11" s="160">
        <v>143839.81850797526</v>
      </c>
      <c r="J11" s="160">
        <v>157205.91921771257</v>
      </c>
      <c r="K11" s="160">
        <v>179574.56650939499</v>
      </c>
      <c r="L11" s="160">
        <v>189806.67514137062</v>
      </c>
      <c r="M11" s="160">
        <v>204651.59938180444</v>
      </c>
      <c r="N11" s="160">
        <v>229428.02527883899</v>
      </c>
      <c r="O11" s="160">
        <v>204947.924709871</v>
      </c>
      <c r="P11" s="160">
        <v>193557.933375539</v>
      </c>
      <c r="Q11" s="160">
        <v>204177.44023405801</v>
      </c>
    </row>
    <row r="12" spans="1:17" s="43" customFormat="1" ht="15" x14ac:dyDescent="0.25">
      <c r="A12" s="51"/>
      <c r="B12" s="61"/>
      <c r="C12" s="68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s="43" customFormat="1" ht="15" x14ac:dyDescent="0.25">
      <c r="A13" s="51" t="s">
        <v>159</v>
      </c>
      <c r="B13" s="173" t="s">
        <v>104</v>
      </c>
      <c r="C13" s="68"/>
      <c r="D13" s="165">
        <v>1.0258476465181641</v>
      </c>
      <c r="E13" s="165">
        <v>1.0650547188806361</v>
      </c>
      <c r="F13" s="165">
        <v>1.1122878618798167</v>
      </c>
      <c r="G13" s="165">
        <v>1.1400308454887336</v>
      </c>
      <c r="H13" s="165">
        <v>1.178546598199947</v>
      </c>
      <c r="I13" s="165">
        <v>1.2206323874885738</v>
      </c>
      <c r="J13" s="165">
        <v>1.2580479670432216</v>
      </c>
      <c r="K13" s="165">
        <v>1.2966368788866152</v>
      </c>
      <c r="L13" s="165">
        <v>1.3299716632564171</v>
      </c>
      <c r="M13" s="165">
        <v>1.3538343217460784</v>
      </c>
      <c r="N13" s="165">
        <v>1.3778751883264413</v>
      </c>
      <c r="O13" s="165">
        <v>1.4052358278483659</v>
      </c>
      <c r="P13" s="165">
        <v>1.4413653470691277</v>
      </c>
      <c r="Q13" s="165">
        <v>1.4719176166201573</v>
      </c>
    </row>
    <row r="14" spans="1:17" s="43" customFormat="1" ht="15" x14ac:dyDescent="0.25">
      <c r="A14" s="51" t="s">
        <v>103</v>
      </c>
      <c r="B14" s="61" t="s">
        <v>38</v>
      </c>
      <c r="C14" s="68"/>
      <c r="D14" s="75"/>
      <c r="E14" s="74">
        <f t="shared" ref="E14:Q14" si="2">E13/D13-1</f>
        <v>3.8219196091685781E-2</v>
      </c>
      <c r="F14" s="74">
        <f t="shared" si="2"/>
        <v>4.4348090442547727E-2</v>
      </c>
      <c r="G14" s="74">
        <f t="shared" si="2"/>
        <v>2.4942269496702085E-2</v>
      </c>
      <c r="H14" s="74">
        <f t="shared" si="2"/>
        <v>3.3784833860965868E-2</v>
      </c>
      <c r="I14" s="74">
        <f t="shared" si="2"/>
        <v>3.5709906891171261E-2</v>
      </c>
      <c r="J14" s="74">
        <f t="shared" si="2"/>
        <v>3.0652619034326589E-2</v>
      </c>
      <c r="K14" s="73">
        <f t="shared" si="2"/>
        <v>3.0673641112499705E-2</v>
      </c>
      <c r="L14" s="73">
        <f t="shared" si="2"/>
        <v>2.5708650519354004E-2</v>
      </c>
      <c r="M14" s="73">
        <f t="shared" si="2"/>
        <v>1.7942230762446387E-2</v>
      </c>
      <c r="N14" s="73">
        <f t="shared" si="2"/>
        <v>1.7757613464368882E-2</v>
      </c>
      <c r="O14" s="73">
        <f t="shared" si="2"/>
        <v>1.98571247626258E-2</v>
      </c>
      <c r="P14" s="73">
        <f t="shared" si="2"/>
        <v>2.5710644793395021E-2</v>
      </c>
      <c r="Q14" s="73">
        <f t="shared" si="2"/>
        <v>2.1196755987754612E-2</v>
      </c>
    </row>
    <row r="15" spans="1:17" s="43" customFormat="1" ht="15" x14ac:dyDescent="0.25">
      <c r="A15" s="51" t="s">
        <v>102</v>
      </c>
      <c r="B15" s="61" t="s">
        <v>101</v>
      </c>
      <c r="C15" s="68"/>
      <c r="D15" s="72">
        <f t="shared" ref="D15:P15" si="3">D11/D13*$P13</f>
        <v>114161.02564913865</v>
      </c>
      <c r="E15" s="72">
        <f t="shared" si="3"/>
        <v>139675.85935799056</v>
      </c>
      <c r="F15" s="72">
        <f t="shared" si="3"/>
        <v>150342.0520822941</v>
      </c>
      <c r="G15" s="72">
        <f t="shared" si="3"/>
        <v>174328.79653849162</v>
      </c>
      <c r="H15" s="72">
        <f t="shared" si="3"/>
        <v>168603.55560424479</v>
      </c>
      <c r="I15" s="72">
        <f t="shared" si="3"/>
        <v>169851.08051464744</v>
      </c>
      <c r="J15" s="72">
        <f t="shared" si="3"/>
        <v>180113.29476340604</v>
      </c>
      <c r="K15" s="72">
        <f t="shared" si="3"/>
        <v>199618.38321601212</v>
      </c>
      <c r="L15" s="72">
        <f t="shared" si="3"/>
        <v>205704.20539736925</v>
      </c>
      <c r="M15" s="72">
        <f t="shared" si="3"/>
        <v>217883.17730840616</v>
      </c>
      <c r="N15" s="72">
        <f t="shared" si="3"/>
        <v>239999.68072948026</v>
      </c>
      <c r="O15" s="72">
        <f t="shared" si="3"/>
        <v>210217.26800322995</v>
      </c>
      <c r="P15" s="72">
        <f t="shared" si="3"/>
        <v>193557.933375539</v>
      </c>
      <c r="Q15" s="72">
        <f t="shared" ref="Q15" si="4">Q11/Q13*$P13</f>
        <v>199939.37410873084</v>
      </c>
    </row>
    <row r="16" spans="1:17" s="43" customFormat="1" ht="15" x14ac:dyDescent="0.25">
      <c r="A16" s="51"/>
      <c r="B16" s="61"/>
      <c r="C16" s="68"/>
      <c r="D16" s="72"/>
      <c r="E16" s="72"/>
      <c r="F16" s="72"/>
      <c r="G16" s="72"/>
      <c r="H16" s="72"/>
      <c r="I16" s="72"/>
      <c r="J16" s="72"/>
      <c r="K16" s="72"/>
      <c r="L16" s="72"/>
      <c r="M16" s="57"/>
      <c r="N16" s="72"/>
      <c r="O16" s="72"/>
      <c r="P16" s="72"/>
      <c r="Q16" s="72"/>
    </row>
    <row r="17" spans="1:30" s="43" customFormat="1" ht="15" x14ac:dyDescent="0.25">
      <c r="A17" s="51"/>
      <c r="B17" s="61"/>
      <c r="C17" s="68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/>
      <c r="P17" s="69"/>
      <c r="Q17" s="69"/>
    </row>
    <row r="18" spans="1:30" s="43" customFormat="1" ht="15" x14ac:dyDescent="0.25">
      <c r="A18" s="51"/>
      <c r="B18" s="61"/>
      <c r="C18" s="68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30" s="43" customFormat="1" ht="15" x14ac:dyDescent="0.25">
      <c r="C19" s="4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30" s="43" customFormat="1" ht="15" x14ac:dyDescent="0.25">
      <c r="A20" s="66" t="s">
        <v>100</v>
      </c>
      <c r="C20" s="45"/>
      <c r="D20" s="57"/>
      <c r="E20" s="57"/>
      <c r="F20" s="57"/>
      <c r="G20" s="57"/>
      <c r="H20" s="64" t="str">
        <f>"Average "&amp;Inputs!C5&amp;"-"&amp;RIGHT(Inputs!C6,2)</f>
        <v>Average 2006-19</v>
      </c>
      <c r="I20" s="57"/>
      <c r="J20" s="64"/>
      <c r="K20" s="64"/>
      <c r="L20" s="64" t="s">
        <v>162</v>
      </c>
      <c r="M20" s="64"/>
      <c r="N20" s="64"/>
      <c r="O20" s="65"/>
      <c r="P20" s="64" t="s">
        <v>169</v>
      </c>
      <c r="Q20" s="64"/>
    </row>
    <row r="21" spans="1:30" s="43" customFormat="1" ht="15" x14ac:dyDescent="0.25">
      <c r="A21" s="51" t="s">
        <v>99</v>
      </c>
      <c r="C21" s="45"/>
      <c r="D21" s="57"/>
      <c r="E21" s="57"/>
      <c r="F21" s="57"/>
      <c r="G21" s="57"/>
      <c r="H21" s="60">
        <f>AVERAGE(D5:Q5)</f>
        <v>677267.42857141502</v>
      </c>
      <c r="I21" s="57"/>
      <c r="J21" s="60"/>
      <c r="K21" s="60"/>
      <c r="L21" s="60">
        <f>P5</f>
        <v>741836</v>
      </c>
      <c r="M21" s="60"/>
      <c r="N21" s="56"/>
      <c r="O21" s="65"/>
      <c r="P21" s="56">
        <f>LN(P5/AVERAGE($D5:$Q5))</f>
        <v>9.1061979520358965E-2</v>
      </c>
      <c r="Q21" s="56"/>
    </row>
    <row r="22" spans="1:30" s="43" customFormat="1" ht="15" x14ac:dyDescent="0.25">
      <c r="A22" s="51" t="s">
        <v>98</v>
      </c>
      <c r="C22" s="45"/>
      <c r="D22" s="57"/>
      <c r="E22" s="57"/>
      <c r="F22" s="57"/>
      <c r="G22" s="57"/>
      <c r="H22" s="60">
        <f>AVERAGE(D6:Q6)</f>
        <v>43621.147222656422</v>
      </c>
      <c r="I22" s="57"/>
      <c r="J22" s="60"/>
      <c r="K22" s="60"/>
      <c r="L22" s="60">
        <f>P6</f>
        <v>45114.59</v>
      </c>
      <c r="M22" s="60"/>
      <c r="N22" s="56"/>
      <c r="O22" s="65"/>
      <c r="P22" s="56">
        <f>LN(P6/AVERAGE($D6:$Q6))</f>
        <v>3.3663636709169803E-2</v>
      </c>
      <c r="Q22" s="56"/>
    </row>
    <row r="23" spans="1:30" s="43" customFormat="1" ht="15" x14ac:dyDescent="0.25">
      <c r="A23" s="51" t="s">
        <v>97</v>
      </c>
      <c r="C23" s="45"/>
      <c r="D23" s="57"/>
      <c r="E23" s="57"/>
      <c r="F23" s="57"/>
      <c r="G23" s="57"/>
      <c r="H23" s="60">
        <f>AVERAGE(D8:Q8)</f>
        <v>1896.9572938621427</v>
      </c>
      <c r="I23" s="57"/>
      <c r="J23" s="60"/>
      <c r="K23" s="60"/>
      <c r="L23" s="60">
        <f>P8</f>
        <v>1951.7954540000001</v>
      </c>
      <c r="M23" s="60"/>
      <c r="N23" s="56"/>
      <c r="O23" s="65"/>
      <c r="P23" s="56">
        <f>LN(P8/AVERAGE($D8:$Q8))</f>
        <v>2.8498516351612466E-2</v>
      </c>
      <c r="Q23" s="56"/>
    </row>
    <row r="24" spans="1:30" s="43" customFormat="1" ht="15" x14ac:dyDescent="0.25">
      <c r="A24" s="51" t="s">
        <v>96</v>
      </c>
      <c r="C24" s="45"/>
      <c r="D24" s="57"/>
      <c r="E24" s="57"/>
      <c r="F24" s="57"/>
      <c r="G24" s="57"/>
      <c r="H24" s="63">
        <f>AVERAGE(D10:Q10)</f>
        <v>0.12440974611032606</v>
      </c>
      <c r="I24" s="57"/>
      <c r="J24" s="62"/>
      <c r="K24" s="62"/>
      <c r="L24" s="62">
        <f>P10</f>
        <v>0.15313427430017651</v>
      </c>
      <c r="M24" s="62"/>
      <c r="N24" s="56"/>
      <c r="O24" s="65"/>
      <c r="P24" s="56">
        <f>LN(P10/AVERAGE($D10:$Q10))</f>
        <v>0.20773462414860194</v>
      </c>
      <c r="Q24" s="56"/>
    </row>
    <row r="25" spans="1:30" s="43" customFormat="1" ht="15" x14ac:dyDescent="0.25">
      <c r="A25" s="51" t="s">
        <v>95</v>
      </c>
      <c r="B25" s="61"/>
      <c r="C25" s="45"/>
      <c r="D25" s="57"/>
      <c r="E25" s="57"/>
      <c r="F25" s="57"/>
      <c r="G25" s="57"/>
      <c r="H25" s="60">
        <f>AVERAGE(D15:Q15)</f>
        <v>183142.54904635577</v>
      </c>
      <c r="I25" s="57"/>
      <c r="J25" s="59"/>
      <c r="K25" s="59"/>
      <c r="L25" s="59">
        <f>P15</f>
        <v>193557.933375539</v>
      </c>
      <c r="M25" s="59"/>
      <c r="N25" s="58"/>
      <c r="O25" s="58"/>
      <c r="P25" s="58"/>
      <c r="Q25" s="58"/>
    </row>
    <row r="26" spans="1:30" s="43" customFormat="1" ht="15" x14ac:dyDescent="0.25">
      <c r="A26" s="54" t="s">
        <v>94</v>
      </c>
      <c r="C26" s="45"/>
      <c r="D26" s="57"/>
      <c r="E26" s="57"/>
      <c r="F26" s="57"/>
      <c r="G26" s="57"/>
      <c r="H26" s="57"/>
      <c r="I26" s="57"/>
      <c r="J26" s="56"/>
      <c r="K26" s="56"/>
      <c r="L26" s="56">
        <f>L25/$H25-1</f>
        <v>5.6870368919823999E-2</v>
      </c>
      <c r="M26" s="56"/>
      <c r="N26" s="57"/>
      <c r="O26" s="57"/>
      <c r="P26" s="57"/>
      <c r="Q26" s="57"/>
    </row>
    <row r="27" spans="1:30" s="43" customFormat="1" ht="15" x14ac:dyDescent="0.25">
      <c r="A27" s="54" t="s">
        <v>93</v>
      </c>
      <c r="C27" s="45"/>
      <c r="D27" s="57"/>
      <c r="E27" s="57"/>
      <c r="F27" s="57"/>
      <c r="G27" s="57"/>
      <c r="H27" s="57"/>
      <c r="I27" s="57"/>
      <c r="J27" s="56"/>
      <c r="K27" s="56"/>
      <c r="L27" s="56">
        <f>'Opex Forecasts'!E32</f>
        <v>0.11991786036383956</v>
      </c>
      <c r="M27" s="56"/>
      <c r="N27" s="55"/>
      <c r="O27" s="55"/>
      <c r="P27" s="55"/>
      <c r="Q27" s="55"/>
    </row>
    <row r="28" spans="1:30" s="43" customFormat="1" ht="15" x14ac:dyDescent="0.25">
      <c r="A28" s="54" t="s">
        <v>92</v>
      </c>
      <c r="C28" s="45"/>
      <c r="D28" s="57"/>
      <c r="E28" s="57"/>
      <c r="F28" s="57"/>
      <c r="G28" s="57"/>
      <c r="H28" s="57"/>
      <c r="I28" s="57"/>
      <c r="J28" s="56"/>
      <c r="K28" s="56"/>
      <c r="L28" s="56">
        <f>L26-L27</f>
        <v>-6.3047491444015558E-2</v>
      </c>
      <c r="M28" s="56"/>
      <c r="N28" s="55"/>
      <c r="O28" s="55"/>
      <c r="P28" s="55"/>
      <c r="Q28" s="55"/>
    </row>
    <row r="29" spans="1:30" s="43" customFormat="1" ht="11.25" hidden="1" customHeight="1" x14ac:dyDescent="0.25">
      <c r="A29" s="54"/>
      <c r="C29" s="45"/>
      <c r="D29" s="47"/>
      <c r="E29" s="47"/>
      <c r="F29" s="46"/>
      <c r="G29" s="46"/>
      <c r="H29" s="46"/>
      <c r="I29" s="46"/>
      <c r="J29" s="53"/>
      <c r="K29" s="46"/>
      <c r="L29" s="46"/>
      <c r="M29" s="46"/>
      <c r="N29" s="46"/>
      <c r="O29" s="46"/>
      <c r="P29" s="46"/>
      <c r="Q29" s="46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spans="1:30" s="43" customFormat="1" ht="15" hidden="1" x14ac:dyDescent="0.25">
      <c r="A30" s="52"/>
      <c r="C30" s="45"/>
      <c r="D30" s="47"/>
      <c r="E30" s="47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 s="43" customFormat="1" ht="15" hidden="1" x14ac:dyDescent="0.25">
      <c r="A31" s="51"/>
      <c r="C31" s="4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30" s="43" customFormat="1" ht="15" hidden="1" x14ac:dyDescent="0.25">
      <c r="A32" s="51"/>
      <c r="C32" s="45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s="43" customFormat="1" ht="15" hidden="1" x14ac:dyDescent="0.25">
      <c r="A33" s="46"/>
      <c r="C33" s="45"/>
      <c r="J33" s="47"/>
      <c r="K33" s="47"/>
      <c r="L33" s="47"/>
      <c r="M33" s="47"/>
      <c r="N33" s="47"/>
      <c r="O33" s="47"/>
      <c r="P33" s="47"/>
      <c r="Q33" s="47"/>
    </row>
    <row r="34" spans="1:17" s="43" customFormat="1" ht="15" hidden="1" x14ac:dyDescent="0.25">
      <c r="A34" s="46"/>
      <c r="B34" s="49"/>
      <c r="C34" s="50"/>
      <c r="D34" s="49"/>
      <c r="E34" s="49"/>
      <c r="F34" s="49"/>
      <c r="G34" s="49"/>
      <c r="H34" s="49"/>
      <c r="I34" s="49"/>
      <c r="J34" s="48"/>
      <c r="K34" s="47"/>
      <c r="L34" s="47"/>
      <c r="M34" s="47"/>
      <c r="N34" s="47"/>
      <c r="O34" s="47"/>
      <c r="P34" s="47"/>
      <c r="Q34" s="47"/>
    </row>
    <row r="35" spans="1:17" s="43" customFormat="1" ht="15" hidden="1" x14ac:dyDescent="0.25">
      <c r="A35" s="46"/>
      <c r="B35" s="49"/>
      <c r="C35" s="50"/>
      <c r="D35" s="49"/>
      <c r="E35" s="49"/>
      <c r="F35" s="49"/>
      <c r="G35" s="49"/>
      <c r="H35" s="49"/>
      <c r="I35" s="49"/>
      <c r="J35" s="48"/>
      <c r="K35" s="47"/>
      <c r="L35" s="47"/>
      <c r="M35" s="47"/>
      <c r="N35" s="47"/>
      <c r="O35" s="47"/>
      <c r="P35" s="47"/>
      <c r="Q35" s="47"/>
    </row>
    <row r="36" spans="1:17" s="43" customFormat="1" ht="15" hidden="1" x14ac:dyDescent="0.25">
      <c r="A36" s="46"/>
      <c r="C36" s="45"/>
    </row>
    <row r="37" spans="1:17" s="43" customFormat="1" ht="15" hidden="1" x14ac:dyDescent="0.25">
      <c r="C37" s="45"/>
      <c r="I37" s="44"/>
    </row>
    <row r="38" spans="1:17" hidden="1" x14ac:dyDescent="0.2">
      <c r="I38" s="42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AA17" sqref="AA17"/>
    </sheetView>
  </sheetViews>
  <sheetFormatPr defaultColWidth="9.140625" defaultRowHeight="15" zeroHeight="1" x14ac:dyDescent="0.25"/>
  <cols>
    <col min="1" max="1" width="11.42578125" style="87" customWidth="1"/>
    <col min="2" max="2" width="10.28515625" style="87" customWidth="1"/>
    <col min="3" max="3" width="11.140625" style="87" customWidth="1"/>
    <col min="4" max="6" width="9.140625" style="87"/>
    <col min="7" max="7" width="12.85546875" style="88" customWidth="1"/>
    <col min="8" max="8" width="9.140625" style="87"/>
    <col min="9" max="9" width="11.140625" style="87" customWidth="1"/>
    <col min="10" max="11" width="9.140625" style="87"/>
    <col min="12" max="12" width="11.140625" style="87" customWidth="1"/>
    <col min="13" max="16" width="9.140625" style="87"/>
    <col min="17" max="19" width="9.140625" style="86"/>
    <col min="20" max="20" width="13" style="86" customWidth="1"/>
    <col min="21" max="16384" width="9.140625" style="86"/>
  </cols>
  <sheetData>
    <row r="1" spans="1:27" x14ac:dyDescent="0.25">
      <c r="A1" s="92" t="s">
        <v>113</v>
      </c>
      <c r="P1" s="86"/>
    </row>
    <row r="2" spans="1:27" x14ac:dyDescent="0.25">
      <c r="A2" s="99" t="s">
        <v>174</v>
      </c>
      <c r="P2" s="86"/>
    </row>
    <row r="3" spans="1:27" x14ac:dyDescent="0.25">
      <c r="A3" s="92"/>
      <c r="P3" s="86"/>
    </row>
    <row r="4" spans="1:27" x14ac:dyDescent="0.25">
      <c r="A4" s="92" t="s">
        <v>41</v>
      </c>
      <c r="H4" s="98" t="s">
        <v>42</v>
      </c>
      <c r="O4" s="98" t="s">
        <v>43</v>
      </c>
      <c r="Q4" s="87"/>
      <c r="R4" s="87"/>
      <c r="S4" s="87"/>
      <c r="T4" s="87"/>
      <c r="V4" s="92" t="s">
        <v>44</v>
      </c>
      <c r="W4" s="87"/>
      <c r="X4" s="87"/>
      <c r="Y4" s="87"/>
      <c r="Z4" s="87"/>
      <c r="AA4" s="87"/>
    </row>
    <row r="5" spans="1:27" x14ac:dyDescent="0.25">
      <c r="G5" s="87"/>
      <c r="N5" s="86"/>
      <c r="Q5" s="87"/>
      <c r="R5" s="87"/>
      <c r="S5" s="87"/>
      <c r="T5" s="87"/>
      <c r="V5" s="87"/>
      <c r="W5" s="87"/>
      <c r="X5" s="87"/>
      <c r="Y5" s="87"/>
      <c r="Z5" s="87"/>
      <c r="AA5" s="87"/>
    </row>
    <row r="6" spans="1:27" x14ac:dyDescent="0.25">
      <c r="A6" s="92" t="s">
        <v>45</v>
      </c>
      <c r="E6" s="92" t="s">
        <v>46</v>
      </c>
      <c r="G6" s="87"/>
      <c r="H6" s="92" t="s">
        <v>45</v>
      </c>
      <c r="L6" s="92" t="s">
        <v>46</v>
      </c>
      <c r="N6" s="86"/>
      <c r="O6" s="92" t="s">
        <v>45</v>
      </c>
      <c r="Q6" s="87"/>
      <c r="R6" s="87"/>
      <c r="S6" s="92" t="s">
        <v>46</v>
      </c>
      <c r="T6" s="87"/>
      <c r="V6" s="92" t="s">
        <v>45</v>
      </c>
      <c r="W6" s="87"/>
      <c r="X6" s="87"/>
      <c r="Y6" s="87"/>
      <c r="Z6" s="92" t="s">
        <v>46</v>
      </c>
      <c r="AA6" s="87"/>
    </row>
    <row r="7" spans="1:27" x14ac:dyDescent="0.25">
      <c r="A7" s="92"/>
      <c r="E7" s="92"/>
      <c r="G7" s="87"/>
      <c r="H7" s="92"/>
      <c r="L7" s="92"/>
      <c r="N7" s="86"/>
      <c r="O7" s="92"/>
      <c r="Q7" s="87"/>
      <c r="R7" s="87"/>
      <c r="S7" s="92"/>
      <c r="T7" s="87"/>
      <c r="V7" s="92"/>
      <c r="W7" s="87"/>
      <c r="X7" s="87"/>
      <c r="Y7" s="87"/>
      <c r="Z7" s="92"/>
      <c r="AA7" s="87"/>
    </row>
    <row r="8" spans="1:27" ht="15.75" thickBot="1" x14ac:dyDescent="0.3">
      <c r="E8" s="97" t="s">
        <v>25</v>
      </c>
      <c r="F8" s="97" t="s">
        <v>47</v>
      </c>
      <c r="G8" s="87"/>
      <c r="L8" s="97" t="s">
        <v>25</v>
      </c>
      <c r="M8" s="97" t="s">
        <v>48</v>
      </c>
      <c r="N8" s="86"/>
      <c r="Q8" s="87"/>
      <c r="R8" s="87"/>
      <c r="S8" s="97" t="s">
        <v>25</v>
      </c>
      <c r="T8" s="97" t="s">
        <v>49</v>
      </c>
      <c r="V8" s="87"/>
      <c r="W8" s="87"/>
      <c r="X8" s="87"/>
      <c r="Y8" s="87"/>
      <c r="Z8" s="97" t="s">
        <v>25</v>
      </c>
      <c r="AA8" s="97" t="s">
        <v>50</v>
      </c>
    </row>
    <row r="9" spans="1:27" ht="30.75" thickBot="1" x14ac:dyDescent="0.3">
      <c r="A9" s="38" t="s">
        <v>51</v>
      </c>
      <c r="B9" s="37" t="s">
        <v>52</v>
      </c>
      <c r="C9" s="37" t="s">
        <v>53</v>
      </c>
      <c r="E9" s="92" t="s">
        <v>54</v>
      </c>
      <c r="F9" s="91">
        <v>0.46641883254051208</v>
      </c>
      <c r="G9" s="93"/>
      <c r="H9" s="38" t="s">
        <v>51</v>
      </c>
      <c r="I9" s="37" t="s">
        <v>52</v>
      </c>
      <c r="J9" s="37" t="s">
        <v>53</v>
      </c>
      <c r="L9" s="92" t="s">
        <v>54</v>
      </c>
      <c r="M9" s="91">
        <v>0.45203304202341466</v>
      </c>
      <c r="N9" s="86"/>
      <c r="O9" s="38" t="s">
        <v>51</v>
      </c>
      <c r="P9" s="37" t="s">
        <v>52</v>
      </c>
      <c r="Q9" s="37" t="s">
        <v>53</v>
      </c>
      <c r="R9" s="87"/>
      <c r="S9" s="92" t="s">
        <v>54</v>
      </c>
      <c r="T9" s="91">
        <v>0.41478291168158138</v>
      </c>
      <c r="V9" s="38" t="s">
        <v>51</v>
      </c>
      <c r="W9" s="37" t="s">
        <v>52</v>
      </c>
      <c r="X9" s="37" t="s">
        <v>53</v>
      </c>
      <c r="Y9" s="87"/>
      <c r="Z9" s="92" t="s">
        <v>54</v>
      </c>
      <c r="AA9" s="91">
        <v>0.46024587750434875</v>
      </c>
    </row>
    <row r="10" spans="1:27" x14ac:dyDescent="0.25">
      <c r="A10" s="39" t="s">
        <v>55</v>
      </c>
      <c r="B10" s="96">
        <v>0.497</v>
      </c>
      <c r="C10" s="96" t="s">
        <v>165</v>
      </c>
      <c r="E10" s="92" t="s">
        <v>56</v>
      </c>
      <c r="F10" s="91">
        <v>0.44363734126091003</v>
      </c>
      <c r="G10" s="93"/>
      <c r="H10" s="39" t="s">
        <v>55</v>
      </c>
      <c r="I10" s="96">
        <v>0.623</v>
      </c>
      <c r="J10" s="96" t="s">
        <v>165</v>
      </c>
      <c r="L10" s="92" t="s">
        <v>56</v>
      </c>
      <c r="M10" s="91">
        <v>0.43911233950446971</v>
      </c>
      <c r="N10" s="86"/>
      <c r="O10" s="39" t="s">
        <v>55</v>
      </c>
      <c r="P10" s="96">
        <v>0.47699999999999998</v>
      </c>
      <c r="Q10" s="96" t="s">
        <v>165</v>
      </c>
      <c r="R10" s="87"/>
      <c r="S10" s="92" t="s">
        <v>56</v>
      </c>
      <c r="T10" s="91">
        <v>0.44087230644975617</v>
      </c>
      <c r="V10" s="39" t="s">
        <v>55</v>
      </c>
      <c r="W10" s="96">
        <v>0.58099999999999996</v>
      </c>
      <c r="X10" s="96" t="s">
        <v>165</v>
      </c>
      <c r="Y10" s="87"/>
      <c r="Z10" s="92" t="s">
        <v>56</v>
      </c>
      <c r="AA10" s="91">
        <v>0.46288329362869263</v>
      </c>
    </row>
    <row r="11" spans="1:27" x14ac:dyDescent="0.25">
      <c r="A11" s="40" t="s">
        <v>57</v>
      </c>
      <c r="B11" s="95">
        <v>0.14599999999999999</v>
      </c>
      <c r="C11" s="95" t="s">
        <v>165</v>
      </c>
      <c r="E11" s="92" t="s">
        <v>58</v>
      </c>
      <c r="F11" s="91">
        <v>0.90707892179489136</v>
      </c>
      <c r="G11" s="93"/>
      <c r="H11" s="40" t="s">
        <v>57</v>
      </c>
      <c r="I11" s="91">
        <v>0.161</v>
      </c>
      <c r="J11" s="91" t="s">
        <v>165</v>
      </c>
      <c r="L11" s="92" t="s">
        <v>58</v>
      </c>
      <c r="M11" s="91">
        <v>0.86588774805920499</v>
      </c>
      <c r="N11" s="86"/>
      <c r="O11" s="40" t="s">
        <v>57</v>
      </c>
      <c r="P11" s="91">
        <v>0.16</v>
      </c>
      <c r="Q11" s="91" t="s">
        <v>165</v>
      </c>
      <c r="R11" s="87"/>
      <c r="S11" s="92" t="s">
        <v>58</v>
      </c>
      <c r="T11" s="91">
        <v>0.82201223467818663</v>
      </c>
      <c r="V11" s="40" t="s">
        <v>57</v>
      </c>
      <c r="W11" s="91">
        <v>0.13900000000000001</v>
      </c>
      <c r="X11" s="91" t="s">
        <v>165</v>
      </c>
      <c r="Y11" s="87"/>
      <c r="Z11" s="92" t="s">
        <v>58</v>
      </c>
      <c r="AA11" s="91">
        <v>0.93001335859298706</v>
      </c>
    </row>
    <row r="12" spans="1:27" x14ac:dyDescent="0.25">
      <c r="A12" s="40" t="s">
        <v>59</v>
      </c>
      <c r="B12" s="95">
        <v>0.33400000000000002</v>
      </c>
      <c r="C12" s="95" t="s">
        <v>165</v>
      </c>
      <c r="E12" s="92" t="s">
        <v>60</v>
      </c>
      <c r="F12" s="91">
        <v>0.58889257907867432</v>
      </c>
      <c r="G12" s="93"/>
      <c r="H12" s="40" t="s">
        <v>59</v>
      </c>
      <c r="I12" s="91">
        <v>0.2</v>
      </c>
      <c r="J12" s="91" t="s">
        <v>165</v>
      </c>
      <c r="L12" s="92" t="s">
        <v>60</v>
      </c>
      <c r="M12" s="91">
        <v>0.5752215546291638</v>
      </c>
      <c r="N12" s="86"/>
      <c r="O12" s="40" t="s">
        <v>59</v>
      </c>
      <c r="P12" s="91">
        <v>0.32700000000000001</v>
      </c>
      <c r="Q12" s="91" t="s">
        <v>165</v>
      </c>
      <c r="R12" s="87"/>
      <c r="S12" s="92" t="s">
        <v>60</v>
      </c>
      <c r="T12" s="91">
        <v>0.59214721560748129</v>
      </c>
      <c r="V12" s="40" t="s">
        <v>59</v>
      </c>
      <c r="W12" s="91">
        <v>0.26</v>
      </c>
      <c r="X12" s="91" t="s">
        <v>165</v>
      </c>
      <c r="Y12" s="87"/>
      <c r="Z12" s="92" t="s">
        <v>60</v>
      </c>
      <c r="AA12" s="91">
        <v>0.57543802261352539</v>
      </c>
    </row>
    <row r="13" spans="1:27" x14ac:dyDescent="0.25">
      <c r="A13" s="40" t="s">
        <v>61</v>
      </c>
      <c r="B13" s="95">
        <v>-0.15</v>
      </c>
      <c r="C13" s="95" t="s">
        <v>165</v>
      </c>
      <c r="E13" s="92" t="s">
        <v>62</v>
      </c>
      <c r="F13" s="91">
        <v>0.60806679725646973</v>
      </c>
      <c r="G13" s="93"/>
      <c r="H13" s="40" t="s">
        <v>61</v>
      </c>
      <c r="I13" s="91">
        <v>-0.155</v>
      </c>
      <c r="J13" s="91" t="s">
        <v>165</v>
      </c>
      <c r="L13" s="92" t="s">
        <v>62</v>
      </c>
      <c r="M13" s="91">
        <v>0.6101807830906798</v>
      </c>
      <c r="N13" s="86"/>
      <c r="O13" s="40" t="s">
        <v>63</v>
      </c>
      <c r="P13" s="91">
        <v>-0.53400000000000003</v>
      </c>
      <c r="Q13" s="91" t="s">
        <v>165</v>
      </c>
      <c r="R13" s="87"/>
      <c r="S13" s="92" t="s">
        <v>62</v>
      </c>
      <c r="T13" s="91">
        <v>0.61079126906588432</v>
      </c>
      <c r="V13" s="40" t="s">
        <v>63</v>
      </c>
      <c r="W13" s="91">
        <v>0.89400000000000002</v>
      </c>
      <c r="X13" s="91" t="s">
        <v>165</v>
      </c>
      <c r="Y13" s="87"/>
      <c r="Z13" s="92" t="s">
        <v>62</v>
      </c>
      <c r="AA13" s="91">
        <v>0.6207994818687439</v>
      </c>
    </row>
    <row r="14" spans="1:27" x14ac:dyDescent="0.25">
      <c r="A14" s="40" t="s">
        <v>64</v>
      </c>
      <c r="B14" s="95">
        <v>1.6E-2</v>
      </c>
      <c r="C14" s="95" t="s">
        <v>165</v>
      </c>
      <c r="E14" s="92" t="s">
        <v>65</v>
      </c>
      <c r="F14" s="91">
        <v>0.57601326704025269</v>
      </c>
      <c r="G14" s="93"/>
      <c r="H14" s="40" t="s">
        <v>64</v>
      </c>
      <c r="I14" s="91">
        <v>1.4999999999999999E-2</v>
      </c>
      <c r="J14" s="91" t="s">
        <v>165</v>
      </c>
      <c r="L14" s="92" t="s">
        <v>65</v>
      </c>
      <c r="M14" s="91">
        <v>0.56045854497449044</v>
      </c>
      <c r="N14" s="86"/>
      <c r="O14" s="40" t="s">
        <v>66</v>
      </c>
      <c r="P14" s="91">
        <v>0.25900000000000001</v>
      </c>
      <c r="Q14" s="91" t="s">
        <v>165</v>
      </c>
      <c r="R14" s="87"/>
      <c r="S14" s="92" t="s">
        <v>65</v>
      </c>
      <c r="T14" s="91">
        <v>0.58274825237398975</v>
      </c>
      <c r="V14" s="40" t="s">
        <v>66</v>
      </c>
      <c r="W14" s="91">
        <v>-0.313</v>
      </c>
      <c r="X14" s="91" t="s">
        <v>165</v>
      </c>
      <c r="Y14" s="87"/>
      <c r="Z14" s="92" t="s">
        <v>65</v>
      </c>
      <c r="AA14" s="91">
        <v>0.62914454936981201</v>
      </c>
    </row>
    <row r="15" spans="1:27" x14ac:dyDescent="0.25">
      <c r="A15" s="40" t="s">
        <v>67</v>
      </c>
      <c r="B15" s="95">
        <v>0.14699999999999999</v>
      </c>
      <c r="C15" s="95" t="s">
        <v>165</v>
      </c>
      <c r="E15" s="92" t="s">
        <v>68</v>
      </c>
      <c r="F15" s="91">
        <v>0.61428290605545044</v>
      </c>
      <c r="G15" s="93"/>
      <c r="H15" s="40" t="s">
        <v>67</v>
      </c>
      <c r="I15" s="91">
        <v>-0.28299999999999997</v>
      </c>
      <c r="J15" s="91" t="s">
        <v>165</v>
      </c>
      <c r="L15" s="92" t="s">
        <v>68</v>
      </c>
      <c r="M15" s="91">
        <v>0.65115992918103249</v>
      </c>
      <c r="N15" s="86"/>
      <c r="O15" s="40" t="s">
        <v>69</v>
      </c>
      <c r="P15" s="91">
        <v>0.20300000000000001</v>
      </c>
      <c r="Q15" s="91" t="s">
        <v>165</v>
      </c>
      <c r="R15" s="87"/>
      <c r="S15" s="92" t="s">
        <v>68</v>
      </c>
      <c r="T15" s="91">
        <v>0.70892892804951091</v>
      </c>
      <c r="V15" s="40" t="s">
        <v>69</v>
      </c>
      <c r="W15" s="91">
        <v>-0.52400000000000002</v>
      </c>
      <c r="X15" s="91" t="s">
        <v>165</v>
      </c>
      <c r="Y15" s="87"/>
      <c r="Z15" s="92" t="s">
        <v>68</v>
      </c>
      <c r="AA15" s="91">
        <v>0.64558911323547363</v>
      </c>
    </row>
    <row r="16" spans="1:27" x14ac:dyDescent="0.25">
      <c r="A16" s="40" t="s">
        <v>70</v>
      </c>
      <c r="B16" s="95">
        <v>0.247</v>
      </c>
      <c r="C16" s="95" t="s">
        <v>165</v>
      </c>
      <c r="E16" s="92" t="s">
        <v>27</v>
      </c>
      <c r="F16" s="91">
        <v>0.6415284276008606</v>
      </c>
      <c r="G16" s="93"/>
      <c r="H16" s="40" t="s">
        <v>70</v>
      </c>
      <c r="I16" s="91">
        <v>-8.4000000000000005E-2</v>
      </c>
      <c r="J16" s="91" t="s">
        <v>165</v>
      </c>
      <c r="L16" s="92" t="s">
        <v>27</v>
      </c>
      <c r="M16" s="91">
        <v>0.62437757841141128</v>
      </c>
      <c r="N16" s="86"/>
      <c r="O16" s="40" t="s">
        <v>71</v>
      </c>
      <c r="P16" s="91">
        <v>-8.9999999999999993E-3</v>
      </c>
      <c r="Q16" s="91" t="s">
        <v>165</v>
      </c>
      <c r="R16" s="87"/>
      <c r="S16" s="92" t="s">
        <v>27</v>
      </c>
      <c r="T16" s="91">
        <v>0.51068618336618787</v>
      </c>
      <c r="V16" s="40" t="s">
        <v>71</v>
      </c>
      <c r="W16" s="91">
        <v>0.12</v>
      </c>
      <c r="X16" s="91" t="s">
        <v>165</v>
      </c>
      <c r="Y16" s="87"/>
      <c r="Z16" s="92" t="s">
        <v>27</v>
      </c>
      <c r="AA16" s="91">
        <v>0.69880276918411255</v>
      </c>
    </row>
    <row r="17" spans="1:27" ht="15.75" thickBot="1" x14ac:dyDescent="0.3">
      <c r="A17" s="41" t="s">
        <v>72</v>
      </c>
      <c r="B17" s="94">
        <v>-22.13</v>
      </c>
      <c r="C17" s="94" t="s">
        <v>165</v>
      </c>
      <c r="E17" s="92" t="s">
        <v>73</v>
      </c>
      <c r="F17" s="91">
        <v>0.97202140092849731</v>
      </c>
      <c r="G17" s="93"/>
      <c r="H17" s="40" t="s">
        <v>74</v>
      </c>
      <c r="I17" s="91">
        <v>2.9000000000000001E-2</v>
      </c>
      <c r="J17" s="91" t="s">
        <v>165</v>
      </c>
      <c r="L17" s="92" t="s">
        <v>73</v>
      </c>
      <c r="M17" s="91">
        <v>1</v>
      </c>
      <c r="N17" s="86"/>
      <c r="O17" s="40" t="s">
        <v>75</v>
      </c>
      <c r="P17" s="91">
        <v>-0.22500000000000001</v>
      </c>
      <c r="Q17" s="91" t="s">
        <v>165</v>
      </c>
      <c r="R17" s="87"/>
      <c r="S17" s="92" t="s">
        <v>73</v>
      </c>
      <c r="T17" s="91">
        <v>1</v>
      </c>
      <c r="V17" s="40" t="s">
        <v>75</v>
      </c>
      <c r="W17" s="91">
        <v>0.193</v>
      </c>
      <c r="X17" s="91" t="s">
        <v>165</v>
      </c>
      <c r="Y17" s="87"/>
      <c r="Z17" s="92" t="s">
        <v>73</v>
      </c>
      <c r="AA17" s="91">
        <v>0.96152353286743164</v>
      </c>
    </row>
    <row r="18" spans="1:27" x14ac:dyDescent="0.25">
      <c r="E18" s="92" t="s">
        <v>76</v>
      </c>
      <c r="F18" s="91">
        <v>0.79021412134170532</v>
      </c>
      <c r="G18" s="93"/>
      <c r="H18" s="40" t="s">
        <v>77</v>
      </c>
      <c r="I18" s="91">
        <v>-0.65</v>
      </c>
      <c r="J18" s="91" t="s">
        <v>165</v>
      </c>
      <c r="L18" s="92" t="s">
        <v>76</v>
      </c>
      <c r="M18" s="91">
        <v>0.79215357352431404</v>
      </c>
      <c r="N18" s="86"/>
      <c r="O18" s="40" t="s">
        <v>78</v>
      </c>
      <c r="P18" s="91">
        <v>0.11799999999999999</v>
      </c>
      <c r="Q18" s="91" t="s">
        <v>165</v>
      </c>
      <c r="R18" s="87"/>
      <c r="S18" s="92" t="s">
        <v>76</v>
      </c>
      <c r="T18" s="91">
        <v>0.82036985313783095</v>
      </c>
      <c r="V18" s="40" t="s">
        <v>78</v>
      </c>
      <c r="W18" s="91">
        <v>0.28399999999999997</v>
      </c>
      <c r="X18" s="91" t="s">
        <v>165</v>
      </c>
      <c r="Y18" s="87"/>
      <c r="Z18" s="92" t="s">
        <v>76</v>
      </c>
      <c r="AA18" s="91">
        <v>0.80270606279373169</v>
      </c>
    </row>
    <row r="19" spans="1:27" x14ac:dyDescent="0.25">
      <c r="E19" s="92" t="s">
        <v>79</v>
      </c>
      <c r="F19" s="91">
        <v>0.70241397619247437</v>
      </c>
      <c r="G19" s="93"/>
      <c r="H19" s="40" t="s">
        <v>80</v>
      </c>
      <c r="I19" s="91">
        <v>-0.24099999999999999</v>
      </c>
      <c r="J19" s="91" t="s">
        <v>165</v>
      </c>
      <c r="L19" s="92" t="s">
        <v>79</v>
      </c>
      <c r="M19" s="91">
        <v>0.74527649144328867</v>
      </c>
      <c r="N19" s="86"/>
      <c r="O19" s="40" t="s">
        <v>61</v>
      </c>
      <c r="P19" s="91">
        <v>-0.14399999999999999</v>
      </c>
      <c r="Q19" s="91" t="s">
        <v>165</v>
      </c>
      <c r="R19" s="87"/>
      <c r="S19" s="92" t="s">
        <v>79</v>
      </c>
      <c r="T19" s="91">
        <v>0.69280964504439169</v>
      </c>
      <c r="V19" s="40" t="s">
        <v>61</v>
      </c>
      <c r="W19" s="91">
        <v>-0.11799999999999999</v>
      </c>
      <c r="X19" s="91" t="s">
        <v>165</v>
      </c>
      <c r="Y19" s="87"/>
      <c r="Z19" s="92" t="s">
        <v>79</v>
      </c>
      <c r="AA19" s="91">
        <v>0.70811980962753296</v>
      </c>
    </row>
    <row r="20" spans="1:27" x14ac:dyDescent="0.25">
      <c r="E20" s="92" t="s">
        <v>81</v>
      </c>
      <c r="F20" s="91">
        <v>0.78207087516784668</v>
      </c>
      <c r="G20" s="93"/>
      <c r="H20" s="40" t="s">
        <v>82</v>
      </c>
      <c r="I20" s="91">
        <v>-0.3</v>
      </c>
      <c r="J20" s="91" t="s">
        <v>165</v>
      </c>
      <c r="L20" s="92" t="s">
        <v>81</v>
      </c>
      <c r="M20" s="91">
        <v>0.76797353965670623</v>
      </c>
      <c r="N20" s="86"/>
      <c r="O20" s="40" t="s">
        <v>64</v>
      </c>
      <c r="P20" s="91">
        <v>1.7000000000000001E-2</v>
      </c>
      <c r="Q20" s="91" t="s">
        <v>165</v>
      </c>
      <c r="R20" s="87"/>
      <c r="S20" s="92" t="s">
        <v>81</v>
      </c>
      <c r="T20" s="91">
        <v>0.72905945016762386</v>
      </c>
      <c r="V20" s="40" t="s">
        <v>64</v>
      </c>
      <c r="W20" s="91">
        <v>1.4999999999999999E-2</v>
      </c>
      <c r="X20" s="91" t="s">
        <v>165</v>
      </c>
      <c r="Y20" s="87"/>
      <c r="Z20" s="92" t="s">
        <v>81</v>
      </c>
      <c r="AA20" s="91">
        <v>0.74090999364852905</v>
      </c>
    </row>
    <row r="21" spans="1:27" x14ac:dyDescent="0.25">
      <c r="E21" s="92" t="s">
        <v>83</v>
      </c>
      <c r="F21" s="91">
        <v>0.79568386077880859</v>
      </c>
      <c r="G21" s="93"/>
      <c r="H21" s="40" t="s">
        <v>84</v>
      </c>
      <c r="I21" s="91">
        <v>-0.215</v>
      </c>
      <c r="J21" s="91" t="s">
        <v>165</v>
      </c>
      <c r="L21" s="92" t="s">
        <v>83</v>
      </c>
      <c r="M21" s="91">
        <v>0.79771810166567436</v>
      </c>
      <c r="N21" s="86"/>
      <c r="O21" s="40" t="s">
        <v>67</v>
      </c>
      <c r="P21" s="91">
        <v>-0.36399999999999999</v>
      </c>
      <c r="Q21" s="91" t="s">
        <v>165</v>
      </c>
      <c r="R21" s="87"/>
      <c r="S21" s="92" t="s">
        <v>83</v>
      </c>
      <c r="T21" s="91">
        <v>0.6636502501363194</v>
      </c>
      <c r="V21" s="40" t="s">
        <v>67</v>
      </c>
      <c r="W21" s="91">
        <v>0.14899999999999999</v>
      </c>
      <c r="X21" s="91" t="s">
        <v>165</v>
      </c>
      <c r="Y21" s="87"/>
      <c r="Z21" s="92" t="s">
        <v>83</v>
      </c>
      <c r="AA21" s="91">
        <v>0.86822748184204102</v>
      </c>
    </row>
    <row r="22" spans="1:27" x14ac:dyDescent="0.25">
      <c r="G22" s="87"/>
      <c r="H22" s="40" t="s">
        <v>85</v>
      </c>
      <c r="I22" s="91">
        <v>-0.36499999999999999</v>
      </c>
      <c r="J22" s="91" t="s">
        <v>165</v>
      </c>
      <c r="K22" s="86"/>
      <c r="L22" s="86"/>
      <c r="M22" s="86"/>
      <c r="N22" s="86"/>
      <c r="O22" s="40" t="s">
        <v>70</v>
      </c>
      <c r="P22" s="91">
        <v>-0.20300000000000001</v>
      </c>
      <c r="Q22" s="91" t="s">
        <v>165</v>
      </c>
      <c r="V22" s="40" t="s">
        <v>70</v>
      </c>
      <c r="W22" s="91">
        <v>0.28399999999999997</v>
      </c>
      <c r="X22" s="91" t="s">
        <v>165</v>
      </c>
    </row>
    <row r="23" spans="1:27" ht="15.75" thickBot="1" x14ac:dyDescent="0.3">
      <c r="G23" s="87"/>
      <c r="H23" s="40" t="s">
        <v>86</v>
      </c>
      <c r="I23" s="91">
        <v>-0.32300000000000001</v>
      </c>
      <c r="J23" s="91" t="s">
        <v>165</v>
      </c>
      <c r="K23" s="86"/>
      <c r="L23" s="86"/>
      <c r="M23" s="86"/>
      <c r="N23" s="86"/>
      <c r="O23" s="40" t="s">
        <v>74</v>
      </c>
      <c r="P23" s="91">
        <v>-6.0999999999999999E-2</v>
      </c>
      <c r="Q23" s="91" t="s">
        <v>165</v>
      </c>
      <c r="V23" s="41" t="s">
        <v>72</v>
      </c>
      <c r="W23" s="90">
        <v>-19.899000000000001</v>
      </c>
      <c r="X23" s="90" t="s">
        <v>165</v>
      </c>
    </row>
    <row r="24" spans="1:27" x14ac:dyDescent="0.25">
      <c r="G24" s="87"/>
      <c r="H24" s="40" t="s">
        <v>87</v>
      </c>
      <c r="I24" s="91">
        <v>-0.79400000000000004</v>
      </c>
      <c r="J24" s="91" t="s">
        <v>165</v>
      </c>
      <c r="K24" s="86"/>
      <c r="L24" s="86"/>
      <c r="M24" s="86"/>
      <c r="N24" s="86"/>
      <c r="O24" s="40" t="s">
        <v>77</v>
      </c>
      <c r="P24" s="91">
        <v>-0.68400000000000005</v>
      </c>
      <c r="Q24" s="91" t="s">
        <v>165</v>
      </c>
    </row>
    <row r="25" spans="1:27" x14ac:dyDescent="0.25">
      <c r="G25" s="87"/>
      <c r="H25" s="40" t="s">
        <v>88</v>
      </c>
      <c r="I25" s="91">
        <v>-0.56100000000000005</v>
      </c>
      <c r="J25" s="91" t="s">
        <v>165</v>
      </c>
      <c r="K25" s="86"/>
      <c r="L25" s="86"/>
      <c r="M25" s="86"/>
      <c r="N25" s="86"/>
      <c r="O25" s="40" t="s">
        <v>80</v>
      </c>
      <c r="P25" s="91">
        <v>-0.35599999999999998</v>
      </c>
      <c r="Q25" s="91" t="s">
        <v>165</v>
      </c>
    </row>
    <row r="26" spans="1:27" x14ac:dyDescent="0.25">
      <c r="H26" s="40" t="s">
        <v>89</v>
      </c>
      <c r="I26" s="91">
        <v>-0.5</v>
      </c>
      <c r="J26" s="91" t="s">
        <v>165</v>
      </c>
      <c r="O26" s="40" t="s">
        <v>82</v>
      </c>
      <c r="P26" s="91">
        <v>-0.38700000000000001</v>
      </c>
      <c r="Q26" s="91" t="s">
        <v>165</v>
      </c>
    </row>
    <row r="27" spans="1:27" x14ac:dyDescent="0.25">
      <c r="E27" s="89"/>
      <c r="H27" s="40" t="s">
        <v>90</v>
      </c>
      <c r="I27" s="91">
        <v>-0.53</v>
      </c>
      <c r="J27" s="91" t="s">
        <v>165</v>
      </c>
      <c r="O27" s="40" t="s">
        <v>84</v>
      </c>
      <c r="P27" s="91">
        <v>-0.34</v>
      </c>
      <c r="Q27" s="91" t="s">
        <v>165</v>
      </c>
    </row>
    <row r="28" spans="1:27" x14ac:dyDescent="0.25">
      <c r="E28" s="89"/>
      <c r="H28" s="40" t="s">
        <v>91</v>
      </c>
      <c r="I28" s="91">
        <v>-0.56799999999999995</v>
      </c>
      <c r="J28" s="91" t="s">
        <v>165</v>
      </c>
      <c r="O28" s="40" t="s">
        <v>85</v>
      </c>
      <c r="P28" s="91">
        <v>-0.53600000000000003</v>
      </c>
      <c r="Q28" s="91" t="s">
        <v>165</v>
      </c>
    </row>
    <row r="29" spans="1:27" ht="15.75" thickBot="1" x14ac:dyDescent="0.3">
      <c r="E29" s="89"/>
      <c r="H29" s="41" t="s">
        <v>72</v>
      </c>
      <c r="I29" s="90">
        <v>-20.786000000000001</v>
      </c>
      <c r="J29" s="90" t="s">
        <v>165</v>
      </c>
      <c r="O29" s="40" t="s">
        <v>86</v>
      </c>
      <c r="P29" s="91">
        <v>-0.20799999999999999</v>
      </c>
      <c r="Q29" s="91" t="s">
        <v>165</v>
      </c>
    </row>
    <row r="30" spans="1:27" x14ac:dyDescent="0.25">
      <c r="E30" s="89"/>
      <c r="O30" s="40" t="s">
        <v>87</v>
      </c>
      <c r="P30" s="91">
        <v>-0.88</v>
      </c>
      <c r="Q30" s="91" t="s">
        <v>165</v>
      </c>
    </row>
    <row r="31" spans="1:27" x14ac:dyDescent="0.25">
      <c r="E31" s="89"/>
      <c r="O31" s="40" t="s">
        <v>88</v>
      </c>
      <c r="P31" s="91">
        <v>-0.68200000000000005</v>
      </c>
      <c r="Q31" s="91" t="s">
        <v>165</v>
      </c>
    </row>
    <row r="32" spans="1:27" x14ac:dyDescent="0.25">
      <c r="E32" s="89"/>
      <c r="O32" s="40" t="s">
        <v>89</v>
      </c>
      <c r="P32" s="91">
        <v>-0.51300000000000001</v>
      </c>
      <c r="Q32" s="91" t="s">
        <v>165</v>
      </c>
    </row>
    <row r="33" spans="5:17" x14ac:dyDescent="0.25">
      <c r="E33" s="89"/>
      <c r="O33" s="40" t="s">
        <v>90</v>
      </c>
      <c r="P33" s="91">
        <v>-0.56399999999999995</v>
      </c>
      <c r="Q33" s="91" t="s">
        <v>165</v>
      </c>
    </row>
    <row r="34" spans="5:17" x14ac:dyDescent="0.25">
      <c r="E34" s="89"/>
      <c r="O34" s="40" t="s">
        <v>91</v>
      </c>
      <c r="P34" s="91">
        <v>-0.47</v>
      </c>
      <c r="Q34" s="91" t="s">
        <v>165</v>
      </c>
    </row>
    <row r="35" spans="5:17" ht="15.75" thickBot="1" x14ac:dyDescent="0.3">
      <c r="E35" s="89"/>
      <c r="O35" s="41" t="s">
        <v>72</v>
      </c>
      <c r="P35" s="90">
        <v>-23.257999999999999</v>
      </c>
      <c r="Q35" s="90" t="s">
        <v>165</v>
      </c>
    </row>
    <row r="36" spans="5:17" x14ac:dyDescent="0.25">
      <c r="E36" s="89"/>
    </row>
    <row r="37" spans="5:17" hidden="1" x14ac:dyDescent="0.25">
      <c r="E37" s="89"/>
    </row>
    <row r="38" spans="5:17" hidden="1" x14ac:dyDescent="0.25">
      <c r="E38" s="89"/>
    </row>
    <row r="39" spans="5:17" hidden="1" x14ac:dyDescent="0.25">
      <c r="E39" s="8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19" workbookViewId="0">
      <selection activeCell="O17" sqref="O17"/>
    </sheetView>
  </sheetViews>
  <sheetFormatPr defaultRowHeight="15" x14ac:dyDescent="0.25"/>
  <cols>
    <col min="2" max="2" width="9.42578125" bestFit="1" customWidth="1"/>
    <col min="9" max="9" width="17.85546875" bestFit="1" customWidth="1"/>
    <col min="10" max="10" width="9.42578125" bestFit="1" customWidth="1"/>
    <col min="11" max="11" width="23.42578125" style="178" bestFit="1" customWidth="1"/>
    <col min="15" max="15" width="10.140625" bestFit="1" customWidth="1"/>
    <col min="16" max="16" width="9.42578125" bestFit="1" customWidth="1"/>
    <col min="17" max="17" width="23" customWidth="1"/>
  </cols>
  <sheetData>
    <row r="1" spans="1:17" x14ac:dyDescent="0.25">
      <c r="A1" s="110" t="s">
        <v>21</v>
      </c>
      <c r="B1" s="136"/>
    </row>
    <row r="2" spans="1:17" x14ac:dyDescent="0.25">
      <c r="A2" s="136"/>
      <c r="B2" s="136"/>
    </row>
    <row r="3" spans="1:17" x14ac:dyDescent="0.25">
      <c r="A3" s="110" t="s">
        <v>114</v>
      </c>
      <c r="B3" s="136"/>
      <c r="E3" s="110" t="s">
        <v>115</v>
      </c>
      <c r="F3" s="136"/>
      <c r="G3" s="136"/>
      <c r="H3" s="136"/>
      <c r="I3" s="136"/>
      <c r="J3" s="136"/>
      <c r="K3" s="179"/>
    </row>
    <row r="4" spans="1:17" ht="30" x14ac:dyDescent="0.25">
      <c r="A4" s="137"/>
      <c r="B4" s="138"/>
      <c r="E4" s="137"/>
      <c r="F4" s="139"/>
      <c r="G4" s="138"/>
      <c r="H4" s="138"/>
      <c r="I4" s="139" t="s">
        <v>116</v>
      </c>
      <c r="J4" s="139" t="s">
        <v>117</v>
      </c>
      <c r="K4" s="180" t="s">
        <v>118</v>
      </c>
      <c r="N4" s="137"/>
      <c r="O4" s="138"/>
      <c r="P4" s="138"/>
      <c r="Q4" s="138"/>
    </row>
    <row r="5" spans="1:17" ht="30" x14ac:dyDescent="0.25">
      <c r="A5" s="139" t="s">
        <v>25</v>
      </c>
      <c r="B5" s="139" t="s">
        <v>120</v>
      </c>
      <c r="E5" s="139"/>
      <c r="F5" s="140"/>
      <c r="G5" s="140"/>
      <c r="H5" s="139" t="s">
        <v>25</v>
      </c>
      <c r="I5" s="141" t="s">
        <v>121</v>
      </c>
      <c r="J5" s="140"/>
      <c r="K5" s="181"/>
      <c r="N5" s="137"/>
      <c r="O5" s="139"/>
      <c r="P5" s="139"/>
      <c r="Q5" s="139"/>
    </row>
    <row r="6" spans="1:17" x14ac:dyDescent="0.25">
      <c r="A6" s="110" t="s">
        <v>73</v>
      </c>
      <c r="B6" s="142">
        <f>VLOOKUP(A6,'Opex Modelling Results'!$E$8:$F$21,2,FALSE)</f>
        <v>0.97202140092849731</v>
      </c>
      <c r="E6" s="136"/>
      <c r="F6" s="136"/>
      <c r="G6" s="136"/>
      <c r="H6" s="110" t="str">
        <f>Inputs!C3</f>
        <v>AND</v>
      </c>
      <c r="I6" s="143">
        <f>Inputs!D23</f>
        <v>1.5575968327871757E-2</v>
      </c>
      <c r="J6" s="144">
        <f>$F$19/(1+I6)</f>
        <v>0.73849719114057222</v>
      </c>
      <c r="K6" s="182">
        <f>MAX((1- (VLOOKUP(H6,A6:B18,2,FALSE))/$J6),0)</f>
        <v>4.8860327948396232E-2</v>
      </c>
      <c r="N6" s="136"/>
      <c r="O6" s="146"/>
      <c r="P6" s="147"/>
      <c r="Q6" s="147"/>
    </row>
    <row r="7" spans="1:17" x14ac:dyDescent="0.25">
      <c r="A7" s="110" t="s">
        <v>58</v>
      </c>
      <c r="B7" s="142">
        <f>VLOOKUP(A7,'Opex Modelling Results'!$E$8:$F$21,2,FALSE)</f>
        <v>0.90707892179489136</v>
      </c>
      <c r="E7" s="136"/>
      <c r="F7" s="136"/>
      <c r="G7" s="136"/>
      <c r="H7" s="110"/>
      <c r="I7" s="110"/>
      <c r="J7" s="110"/>
      <c r="K7" s="183"/>
      <c r="N7" s="136"/>
      <c r="O7" s="146"/>
      <c r="P7" s="147"/>
      <c r="Q7" s="147"/>
    </row>
    <row r="8" spans="1:17" x14ac:dyDescent="0.25">
      <c r="A8" s="110" t="s">
        <v>83</v>
      </c>
      <c r="B8" s="142">
        <f>VLOOKUP(A8,'Opex Modelling Results'!$E$8:$F$21,2,FALSE)</f>
        <v>0.79568386077880859</v>
      </c>
      <c r="E8" s="136"/>
      <c r="F8" s="136"/>
      <c r="G8" s="136"/>
      <c r="H8" s="136"/>
      <c r="I8" s="136"/>
      <c r="J8" s="136"/>
      <c r="K8" s="179"/>
      <c r="N8" s="136"/>
      <c r="O8" s="146"/>
      <c r="P8" s="147"/>
      <c r="Q8" s="147"/>
    </row>
    <row r="9" spans="1:17" x14ac:dyDescent="0.25">
      <c r="A9" s="110" t="s">
        <v>81</v>
      </c>
      <c r="B9" s="142">
        <f>VLOOKUP(A9,'Opex Modelling Results'!$E$8:$F$21,2,FALSE)</f>
        <v>0.78207087516784668</v>
      </c>
      <c r="E9" s="136"/>
      <c r="F9" s="136"/>
      <c r="G9" s="136"/>
      <c r="H9" s="136"/>
      <c r="I9" s="136"/>
      <c r="J9" s="136"/>
      <c r="K9" s="179"/>
      <c r="N9" s="136"/>
      <c r="O9" s="146"/>
      <c r="P9" s="147"/>
      <c r="Q9" s="147"/>
    </row>
    <row r="10" spans="1:17" x14ac:dyDescent="0.25">
      <c r="A10" s="110" t="s">
        <v>76</v>
      </c>
      <c r="B10" s="142">
        <f>VLOOKUP(A10,'Opex Modelling Results'!$E$8:$F$21,2,FALSE)</f>
        <v>0.79021412134170532</v>
      </c>
      <c r="E10" s="136"/>
      <c r="F10" s="136"/>
      <c r="G10" s="136"/>
      <c r="H10" s="136"/>
      <c r="I10" s="136"/>
      <c r="J10" s="136"/>
      <c r="K10" s="179"/>
      <c r="N10" s="136"/>
      <c r="O10" s="136"/>
      <c r="P10" s="136"/>
      <c r="Q10" s="146"/>
    </row>
    <row r="11" spans="1:17" x14ac:dyDescent="0.25">
      <c r="A11" s="110" t="s">
        <v>79</v>
      </c>
      <c r="B11" s="142">
        <f>VLOOKUP(A11,'Opex Modelling Results'!$E$8:$F$21,2,FALSE)</f>
        <v>0.70241397619247437</v>
      </c>
      <c r="E11" s="136"/>
      <c r="F11" s="136"/>
      <c r="G11" s="136"/>
      <c r="H11" s="136"/>
      <c r="I11" s="136"/>
      <c r="J11" s="136"/>
      <c r="K11" s="179"/>
    </row>
    <row r="12" spans="1:17" x14ac:dyDescent="0.25">
      <c r="A12" s="110" t="s">
        <v>27</v>
      </c>
      <c r="B12" s="142">
        <f>VLOOKUP(A12,'Opex Modelling Results'!$E$8:$F$21,2,FALSE)</f>
        <v>0.6415284276008606</v>
      </c>
      <c r="E12" s="136"/>
      <c r="F12" s="136"/>
      <c r="G12" s="136"/>
      <c r="H12" s="136"/>
      <c r="I12" s="136"/>
      <c r="J12" s="136"/>
      <c r="K12" s="179"/>
    </row>
    <row r="13" spans="1:17" x14ac:dyDescent="0.25">
      <c r="A13" s="110" t="s">
        <v>68</v>
      </c>
      <c r="B13" s="142">
        <f>VLOOKUP(A13,'Opex Modelling Results'!$E$8:$F$21,2,FALSE)</f>
        <v>0.61428290605545044</v>
      </c>
      <c r="E13" s="136"/>
      <c r="F13" s="136"/>
      <c r="G13" s="136"/>
      <c r="H13" s="136"/>
      <c r="I13" s="136"/>
      <c r="J13" s="136"/>
      <c r="K13" s="179"/>
    </row>
    <row r="14" spans="1:17" x14ac:dyDescent="0.25">
      <c r="A14" s="110" t="s">
        <v>62</v>
      </c>
      <c r="B14" s="142">
        <f>VLOOKUP(A14,'Opex Modelling Results'!$E$8:$F$21,2,FALSE)</f>
        <v>0.60806679725646973</v>
      </c>
      <c r="E14" s="136"/>
      <c r="F14" s="136"/>
      <c r="G14" s="136"/>
      <c r="H14" s="136"/>
      <c r="I14" s="136"/>
      <c r="J14" s="136"/>
      <c r="K14" s="179"/>
    </row>
    <row r="15" spans="1:17" x14ac:dyDescent="0.25">
      <c r="A15" s="110" t="s">
        <v>60</v>
      </c>
      <c r="B15" s="142">
        <f>VLOOKUP(A15,'Opex Modelling Results'!$E$8:$F$21,2,FALSE)</f>
        <v>0.58889257907867432</v>
      </c>
      <c r="E15" s="136"/>
      <c r="F15" s="136"/>
      <c r="G15" s="136"/>
      <c r="H15" s="136"/>
      <c r="I15" s="136"/>
      <c r="J15" s="136"/>
      <c r="K15" s="179"/>
    </row>
    <row r="16" spans="1:17" x14ac:dyDescent="0.25">
      <c r="A16" s="110" t="s">
        <v>65</v>
      </c>
      <c r="B16" s="142">
        <f>VLOOKUP(A16,'Opex Modelling Results'!$E$8:$F$21,2,FALSE)</f>
        <v>0.57601326704025269</v>
      </c>
      <c r="E16" s="136"/>
      <c r="F16" s="136"/>
      <c r="G16" s="136"/>
      <c r="H16" s="136"/>
      <c r="I16" s="136"/>
      <c r="J16" s="136"/>
      <c r="K16" s="179"/>
    </row>
    <row r="17" spans="1:11" x14ac:dyDescent="0.25">
      <c r="A17" s="110" t="s">
        <v>54</v>
      </c>
      <c r="B17" s="142">
        <f>VLOOKUP(A17,'Opex Modelling Results'!$E$8:$F$21,2,FALSE)</f>
        <v>0.46641883254051208</v>
      </c>
      <c r="E17" s="136"/>
      <c r="F17" s="136"/>
      <c r="G17" s="136"/>
      <c r="H17" s="136"/>
      <c r="I17" s="136"/>
      <c r="J17" s="136"/>
      <c r="K17" s="179"/>
    </row>
    <row r="18" spans="1:11" x14ac:dyDescent="0.25">
      <c r="A18" s="110" t="s">
        <v>56</v>
      </c>
      <c r="B18" s="142">
        <f>VLOOKUP(A18,'Opex Modelling Results'!$E$8:$F$21,2,FALSE)</f>
        <v>0.44363734126091003</v>
      </c>
      <c r="E18" s="136"/>
      <c r="F18" s="136"/>
      <c r="G18" s="136"/>
      <c r="H18" s="136"/>
      <c r="I18" s="136"/>
      <c r="J18" s="136"/>
      <c r="K18" s="179"/>
    </row>
    <row r="19" spans="1:11" x14ac:dyDescent="0.25">
      <c r="A19" s="110"/>
      <c r="B19" s="136"/>
      <c r="E19" s="148" t="s">
        <v>123</v>
      </c>
      <c r="F19" s="149">
        <v>0.75</v>
      </c>
      <c r="G19" s="150"/>
      <c r="H19" s="136"/>
      <c r="I19" s="136"/>
      <c r="J19" s="136"/>
      <c r="K19" s="179"/>
    </row>
    <row r="20" spans="1:11" x14ac:dyDescent="0.25">
      <c r="A20" s="136"/>
      <c r="B20" s="136"/>
      <c r="E20" s="136"/>
      <c r="F20" s="136"/>
      <c r="G20" s="136"/>
      <c r="H20" s="136"/>
      <c r="I20" s="136"/>
      <c r="J20" s="136"/>
      <c r="K20" s="179"/>
    </row>
    <row r="21" spans="1:11" x14ac:dyDescent="0.25">
      <c r="A21" s="136"/>
      <c r="B21" s="136"/>
      <c r="E21" s="136"/>
      <c r="F21" s="136"/>
      <c r="G21" s="136"/>
      <c r="H21" s="136"/>
      <c r="I21" s="136"/>
      <c r="J21" s="136"/>
      <c r="K21" s="179"/>
    </row>
    <row r="22" spans="1:11" x14ac:dyDescent="0.25">
      <c r="A22" s="110" t="s">
        <v>124</v>
      </c>
      <c r="B22" s="136"/>
      <c r="E22" s="110" t="s">
        <v>115</v>
      </c>
      <c r="F22" s="136"/>
      <c r="G22" s="136"/>
      <c r="H22" s="136"/>
      <c r="I22" s="136"/>
      <c r="J22" s="136"/>
      <c r="K22" s="179"/>
    </row>
    <row r="23" spans="1:11" ht="30" x14ac:dyDescent="0.25">
      <c r="A23" s="137"/>
      <c r="B23" s="138"/>
      <c r="E23" s="137"/>
      <c r="F23" s="139"/>
      <c r="G23" s="136"/>
      <c r="H23" s="138"/>
      <c r="I23" s="139" t="s">
        <v>116</v>
      </c>
      <c r="J23" s="139" t="s">
        <v>117</v>
      </c>
      <c r="K23" s="180" t="s">
        <v>118</v>
      </c>
    </row>
    <row r="24" spans="1:11" ht="30" x14ac:dyDescent="0.25">
      <c r="A24" s="139" t="s">
        <v>25</v>
      </c>
      <c r="B24" s="139" t="s">
        <v>120</v>
      </c>
      <c r="E24" s="139"/>
      <c r="F24" s="140"/>
      <c r="G24" s="136"/>
      <c r="H24" s="139" t="s">
        <v>25</v>
      </c>
      <c r="I24" s="141" t="s">
        <v>121</v>
      </c>
      <c r="J24" s="140"/>
      <c r="K24" s="181"/>
    </row>
    <row r="25" spans="1:11" x14ac:dyDescent="0.25">
      <c r="A25" s="110" t="s">
        <v>73</v>
      </c>
      <c r="B25" s="142">
        <f>VLOOKUP(A25,'Opex Modelling Results'!$L$9:$M$21,2,FALSE)</f>
        <v>1</v>
      </c>
      <c r="E25" s="136"/>
      <c r="F25" s="136"/>
      <c r="G25" s="136"/>
      <c r="H25" s="110" t="str">
        <f>H6</f>
        <v>AND</v>
      </c>
      <c r="I25" s="143">
        <f>I6</f>
        <v>1.5575968327871757E-2</v>
      </c>
      <c r="J25" s="145">
        <f>$F$38/(1+I25)</f>
        <v>0.73849719114057222</v>
      </c>
      <c r="K25" s="182">
        <f>MAX((1- (VLOOKUP(H25,A25:B37,2,FALSE))/$J25),0)</f>
        <v>0</v>
      </c>
    </row>
    <row r="26" spans="1:11" x14ac:dyDescent="0.25">
      <c r="A26" s="110" t="s">
        <v>58</v>
      </c>
      <c r="B26" s="142">
        <f>VLOOKUP(A26,'Opex Modelling Results'!$L$9:$M$21,2,FALSE)</f>
        <v>0.86588774805920499</v>
      </c>
      <c r="E26" s="136"/>
      <c r="F26" s="136"/>
      <c r="G26" s="136"/>
      <c r="H26" s="136"/>
      <c r="I26" s="136"/>
      <c r="J26" s="136"/>
      <c r="K26" s="179"/>
    </row>
    <row r="27" spans="1:11" x14ac:dyDescent="0.25">
      <c r="A27" s="110" t="s">
        <v>83</v>
      </c>
      <c r="B27" s="142">
        <f>VLOOKUP(A27,'Opex Modelling Results'!$L$9:$M$21,2,FALSE)</f>
        <v>0.79771810166567436</v>
      </c>
      <c r="E27" s="136"/>
      <c r="F27" s="136"/>
      <c r="G27" s="136"/>
      <c r="H27" s="136"/>
      <c r="I27" s="136"/>
      <c r="J27" s="136"/>
      <c r="K27" s="179"/>
    </row>
    <row r="28" spans="1:11" x14ac:dyDescent="0.25">
      <c r="A28" s="110" t="s">
        <v>81</v>
      </c>
      <c r="B28" s="142">
        <f>VLOOKUP(A28,'Opex Modelling Results'!$L$9:$M$21,2,FALSE)</f>
        <v>0.76797353965670623</v>
      </c>
      <c r="E28" s="136"/>
      <c r="F28" s="136"/>
      <c r="G28" s="136"/>
      <c r="H28" s="136"/>
      <c r="I28" s="136"/>
      <c r="J28" s="136"/>
      <c r="K28" s="179"/>
    </row>
    <row r="29" spans="1:11" x14ac:dyDescent="0.25">
      <c r="A29" s="110" t="s">
        <v>76</v>
      </c>
      <c r="B29" s="142">
        <f>VLOOKUP(A29,'Opex Modelling Results'!$L$9:$M$21,2,FALSE)</f>
        <v>0.79215357352431404</v>
      </c>
      <c r="E29" s="136"/>
      <c r="F29" s="136"/>
      <c r="G29" s="136"/>
      <c r="H29" s="136"/>
      <c r="I29" s="136"/>
      <c r="J29" s="136"/>
      <c r="K29" s="179"/>
    </row>
    <row r="30" spans="1:11" x14ac:dyDescent="0.25">
      <c r="A30" s="110" t="s">
        <v>79</v>
      </c>
      <c r="B30" s="142">
        <f>VLOOKUP(A30,'Opex Modelling Results'!$L$9:$M$21,2,FALSE)</f>
        <v>0.74527649144328867</v>
      </c>
      <c r="E30" s="136"/>
      <c r="F30" s="136"/>
      <c r="G30" s="136"/>
      <c r="H30" s="136"/>
      <c r="I30" s="136"/>
      <c r="J30" s="136"/>
      <c r="K30" s="179"/>
    </row>
    <row r="31" spans="1:11" x14ac:dyDescent="0.25">
      <c r="A31" s="110" t="s">
        <v>68</v>
      </c>
      <c r="B31" s="142">
        <f>VLOOKUP(A31,'Opex Modelling Results'!$L$9:$M$21,2,FALSE)</f>
        <v>0.65115992918103249</v>
      </c>
      <c r="E31" s="136"/>
      <c r="F31" s="136"/>
      <c r="G31" s="136"/>
      <c r="H31" s="136"/>
      <c r="I31" s="136"/>
      <c r="J31" s="136"/>
      <c r="K31" s="179"/>
    </row>
    <row r="32" spans="1:11" x14ac:dyDescent="0.25">
      <c r="A32" s="110" t="s">
        <v>27</v>
      </c>
      <c r="B32" s="142">
        <f>VLOOKUP(A32,'Opex Modelling Results'!$L$9:$M$21,2,FALSE)</f>
        <v>0.62437757841141128</v>
      </c>
      <c r="E32" s="136"/>
      <c r="F32" s="136"/>
      <c r="G32" s="136"/>
      <c r="H32" s="136"/>
      <c r="I32" s="136"/>
      <c r="J32" s="136"/>
      <c r="K32" s="179"/>
    </row>
    <row r="33" spans="1:11" x14ac:dyDescent="0.25">
      <c r="A33" s="110" t="s">
        <v>62</v>
      </c>
      <c r="B33" s="142">
        <f>VLOOKUP(A33,'Opex Modelling Results'!$L$9:$M$21,2,FALSE)</f>
        <v>0.6101807830906798</v>
      </c>
      <c r="E33" s="136"/>
      <c r="F33" s="136"/>
      <c r="G33" s="136"/>
      <c r="H33" s="136"/>
      <c r="I33" s="136"/>
      <c r="J33" s="136"/>
      <c r="K33" s="179"/>
    </row>
    <row r="34" spans="1:11" x14ac:dyDescent="0.25">
      <c r="A34" s="110" t="s">
        <v>65</v>
      </c>
      <c r="B34" s="142">
        <f>VLOOKUP(A34,'Opex Modelling Results'!$L$9:$M$21,2,FALSE)</f>
        <v>0.56045854497449044</v>
      </c>
      <c r="E34" s="136"/>
      <c r="F34" s="136"/>
      <c r="G34" s="136"/>
      <c r="H34" s="136"/>
      <c r="I34" s="136"/>
      <c r="J34" s="136"/>
      <c r="K34" s="179"/>
    </row>
    <row r="35" spans="1:11" x14ac:dyDescent="0.25">
      <c r="A35" s="110" t="s">
        <v>60</v>
      </c>
      <c r="B35" s="142">
        <f>VLOOKUP(A35,'Opex Modelling Results'!$L$9:$M$21,2,FALSE)</f>
        <v>0.5752215546291638</v>
      </c>
      <c r="E35" s="136"/>
      <c r="F35" s="136"/>
      <c r="G35" s="136"/>
      <c r="H35" s="136"/>
      <c r="I35" s="136"/>
      <c r="J35" s="136"/>
      <c r="K35" s="179"/>
    </row>
    <row r="36" spans="1:11" x14ac:dyDescent="0.25">
      <c r="A36" s="110" t="s">
        <v>56</v>
      </c>
      <c r="B36" s="142">
        <f>VLOOKUP(A36,'Opex Modelling Results'!$L$9:$M$21,2,FALSE)</f>
        <v>0.43911233950446971</v>
      </c>
      <c r="E36" s="136"/>
      <c r="F36" s="136"/>
      <c r="G36" s="136"/>
      <c r="H36" s="136"/>
      <c r="I36" s="136"/>
      <c r="J36" s="136"/>
      <c r="K36" s="179"/>
    </row>
    <row r="37" spans="1:11" x14ac:dyDescent="0.25">
      <c r="A37" s="110" t="s">
        <v>54</v>
      </c>
      <c r="B37" s="142">
        <f>VLOOKUP(A37,'Opex Modelling Results'!$L$9:$M$21,2,FALSE)</f>
        <v>0.45203304202341466</v>
      </c>
      <c r="E37" s="136"/>
      <c r="F37" s="136"/>
      <c r="G37" s="136"/>
      <c r="H37" s="136"/>
      <c r="I37" s="136"/>
      <c r="J37" s="136"/>
      <c r="K37" s="179"/>
    </row>
    <row r="38" spans="1:11" x14ac:dyDescent="0.25">
      <c r="A38" s="110"/>
      <c r="B38" s="136"/>
      <c r="E38" s="148" t="s">
        <v>123</v>
      </c>
      <c r="F38" s="149">
        <v>0.75</v>
      </c>
      <c r="G38" s="136"/>
      <c r="H38" s="136"/>
      <c r="I38" s="136"/>
      <c r="J38" s="136"/>
      <c r="K38" s="179"/>
    </row>
    <row r="39" spans="1:11" x14ac:dyDescent="0.25">
      <c r="A39" s="136"/>
      <c r="B39" s="136"/>
      <c r="E39" s="136"/>
      <c r="F39" s="136"/>
      <c r="G39" s="136"/>
      <c r="H39" s="136"/>
      <c r="I39" s="136"/>
      <c r="J39" s="136"/>
      <c r="K39" s="179"/>
    </row>
    <row r="40" spans="1:11" x14ac:dyDescent="0.25">
      <c r="A40" s="136"/>
      <c r="B40" s="136"/>
      <c r="E40" s="136"/>
      <c r="F40" s="136"/>
      <c r="G40" s="136"/>
      <c r="H40" s="136"/>
      <c r="I40" s="136"/>
      <c r="J40" s="136"/>
      <c r="K40" s="179"/>
    </row>
    <row r="41" spans="1:11" x14ac:dyDescent="0.25">
      <c r="A41" s="110" t="s">
        <v>43</v>
      </c>
      <c r="B41" s="136"/>
      <c r="E41" s="110" t="s">
        <v>115</v>
      </c>
      <c r="F41" s="136"/>
      <c r="G41" s="136"/>
      <c r="H41" s="136"/>
      <c r="I41" s="136"/>
      <c r="J41" s="136"/>
      <c r="K41" s="179"/>
    </row>
    <row r="42" spans="1:11" ht="30" x14ac:dyDescent="0.25">
      <c r="A42" s="137"/>
      <c r="B42" s="138"/>
      <c r="E42" s="137"/>
      <c r="F42" s="139"/>
      <c r="G42" s="136"/>
      <c r="H42" s="138"/>
      <c r="I42" s="139" t="s">
        <v>116</v>
      </c>
      <c r="J42" s="139" t="s">
        <v>117</v>
      </c>
      <c r="K42" s="180" t="s">
        <v>118</v>
      </c>
    </row>
    <row r="43" spans="1:11" ht="30" x14ac:dyDescent="0.25">
      <c r="A43" s="139" t="s">
        <v>25</v>
      </c>
      <c r="B43" s="139" t="s">
        <v>120</v>
      </c>
      <c r="E43" s="139"/>
      <c r="F43" s="140"/>
      <c r="G43" s="136"/>
      <c r="H43" s="139" t="s">
        <v>25</v>
      </c>
      <c r="I43" s="141" t="s">
        <v>121</v>
      </c>
      <c r="J43" s="140"/>
      <c r="K43" s="181"/>
    </row>
    <row r="44" spans="1:11" x14ac:dyDescent="0.25">
      <c r="A44" s="110" t="s">
        <v>73</v>
      </c>
      <c r="B44" s="151">
        <f>VLOOKUP(A44,'Opex Modelling Results'!$S$9:$T$21,2,FALSE)</f>
        <v>1</v>
      </c>
      <c r="E44" s="136"/>
      <c r="F44" s="136"/>
      <c r="G44" s="136"/>
      <c r="H44" s="110" t="str">
        <f>H6</f>
        <v>AND</v>
      </c>
      <c r="I44" s="143">
        <f>I6</f>
        <v>1.5575968327871757E-2</v>
      </c>
      <c r="J44" s="145">
        <f>$F$57/(1+I44)</f>
        <v>0.73849719114057222</v>
      </c>
      <c r="K44" s="182">
        <f>MAX((1- (VLOOKUP(H44,A44:B56,2,FALSE))/$J44),0)</f>
        <v>6.1865565156203783E-2</v>
      </c>
    </row>
    <row r="45" spans="1:11" x14ac:dyDescent="0.25">
      <c r="A45" s="110" t="s">
        <v>58</v>
      </c>
      <c r="B45" s="151">
        <f>VLOOKUP(A45,'Opex Modelling Results'!$S$9:$T$21,2,FALSE)</f>
        <v>0.82201223467818663</v>
      </c>
      <c r="E45" s="136"/>
      <c r="F45" s="136"/>
      <c r="G45" s="136"/>
      <c r="H45" s="136"/>
      <c r="I45" s="136"/>
      <c r="J45" s="136"/>
      <c r="K45" s="179"/>
    </row>
    <row r="46" spans="1:11" x14ac:dyDescent="0.25">
      <c r="A46" s="110" t="s">
        <v>76</v>
      </c>
      <c r="B46" s="151">
        <f>VLOOKUP(A46,'Opex Modelling Results'!$S$9:$T$21,2,FALSE)</f>
        <v>0.82036985313783095</v>
      </c>
      <c r="E46" s="136"/>
      <c r="F46" s="136"/>
      <c r="G46" s="136"/>
      <c r="H46" s="136"/>
      <c r="I46" s="136"/>
      <c r="J46" s="136"/>
      <c r="K46" s="179"/>
    </row>
    <row r="47" spans="1:11" x14ac:dyDescent="0.25">
      <c r="A47" s="110" t="s">
        <v>81</v>
      </c>
      <c r="B47" s="151">
        <f>VLOOKUP(A47,'Opex Modelling Results'!$S$9:$T$21,2,FALSE)</f>
        <v>0.72905945016762386</v>
      </c>
      <c r="E47" s="136"/>
      <c r="F47" s="136"/>
      <c r="G47" s="136"/>
      <c r="H47" s="136"/>
      <c r="I47" s="136"/>
      <c r="J47" s="136"/>
      <c r="K47" s="179"/>
    </row>
    <row r="48" spans="1:11" x14ac:dyDescent="0.25">
      <c r="A48" s="110" t="s">
        <v>68</v>
      </c>
      <c r="B48" s="151">
        <f>VLOOKUP(A48,'Opex Modelling Results'!$S$9:$T$21,2,FALSE)</f>
        <v>0.70892892804951091</v>
      </c>
      <c r="E48" s="136"/>
      <c r="F48" s="136"/>
      <c r="G48" s="136"/>
      <c r="H48" s="136"/>
      <c r="I48" s="136"/>
      <c r="J48" s="136"/>
      <c r="K48" s="179"/>
    </row>
    <row r="49" spans="1:11" x14ac:dyDescent="0.25">
      <c r="A49" s="110" t="s">
        <v>83</v>
      </c>
      <c r="B49" s="151">
        <f>VLOOKUP(A49,'Opex Modelling Results'!$S$9:$T$21,2,FALSE)</f>
        <v>0.6636502501363194</v>
      </c>
      <c r="E49" s="136"/>
      <c r="F49" s="136"/>
      <c r="G49" s="136"/>
      <c r="H49" s="136"/>
      <c r="I49" s="136"/>
      <c r="J49" s="136"/>
      <c r="K49" s="179"/>
    </row>
    <row r="50" spans="1:11" x14ac:dyDescent="0.25">
      <c r="A50" s="110" t="s">
        <v>79</v>
      </c>
      <c r="B50" s="151">
        <f>VLOOKUP(A50,'Opex Modelling Results'!$S$9:$T$21,2,FALSE)</f>
        <v>0.69280964504439169</v>
      </c>
      <c r="E50" s="136"/>
      <c r="F50" s="136"/>
      <c r="G50" s="136"/>
      <c r="H50" s="136"/>
      <c r="I50" s="136"/>
      <c r="J50" s="136"/>
      <c r="K50" s="179"/>
    </row>
    <row r="51" spans="1:11" x14ac:dyDescent="0.25">
      <c r="A51" s="110" t="s">
        <v>65</v>
      </c>
      <c r="B51" s="151">
        <f>VLOOKUP(A51,'Opex Modelling Results'!$S$9:$T$21,2,FALSE)</f>
        <v>0.58274825237398975</v>
      </c>
      <c r="E51" s="136"/>
      <c r="F51" s="136"/>
      <c r="G51" s="136"/>
      <c r="H51" s="136"/>
      <c r="I51" s="136"/>
      <c r="J51" s="136"/>
      <c r="K51" s="179"/>
    </row>
    <row r="52" spans="1:11" x14ac:dyDescent="0.25">
      <c r="A52" s="110" t="s">
        <v>62</v>
      </c>
      <c r="B52" s="151">
        <f>VLOOKUP(A52,'Opex Modelling Results'!$S$9:$T$21,2,FALSE)</f>
        <v>0.61079126906588432</v>
      </c>
      <c r="E52" s="136"/>
      <c r="F52" s="136"/>
      <c r="G52" s="136"/>
      <c r="H52" s="136"/>
      <c r="I52" s="136"/>
      <c r="J52" s="136"/>
      <c r="K52" s="179"/>
    </row>
    <row r="53" spans="1:11" x14ac:dyDescent="0.25">
      <c r="A53" s="110" t="s">
        <v>60</v>
      </c>
      <c r="B53" s="151">
        <f>VLOOKUP(A53,'Opex Modelling Results'!$S$9:$T$21,2,FALSE)</f>
        <v>0.59214721560748129</v>
      </c>
      <c r="E53" s="136"/>
      <c r="F53" s="136"/>
      <c r="G53" s="136"/>
      <c r="H53" s="136"/>
      <c r="I53" s="136"/>
      <c r="J53" s="136"/>
      <c r="K53" s="179"/>
    </row>
    <row r="54" spans="1:11" x14ac:dyDescent="0.25">
      <c r="A54" s="110" t="s">
        <v>27</v>
      </c>
      <c r="B54" s="151">
        <f>VLOOKUP(A54,'Opex Modelling Results'!$S$9:$T$21,2,FALSE)</f>
        <v>0.51068618336618787</v>
      </c>
      <c r="E54" s="136"/>
      <c r="F54" s="136"/>
      <c r="G54" s="136"/>
      <c r="H54" s="136"/>
      <c r="I54" s="136"/>
      <c r="J54" s="136"/>
      <c r="K54" s="179"/>
    </row>
    <row r="55" spans="1:11" x14ac:dyDescent="0.25">
      <c r="A55" s="110" t="s">
        <v>56</v>
      </c>
      <c r="B55" s="151">
        <f>VLOOKUP(A55,'Opex Modelling Results'!$S$9:$T$21,2,FALSE)</f>
        <v>0.44087230644975617</v>
      </c>
      <c r="E55" s="136"/>
      <c r="F55" s="136"/>
      <c r="G55" s="136"/>
      <c r="H55" s="136"/>
      <c r="I55" s="136"/>
      <c r="J55" s="136"/>
      <c r="K55" s="179"/>
    </row>
    <row r="56" spans="1:11" x14ac:dyDescent="0.25">
      <c r="A56" s="110" t="s">
        <v>54</v>
      </c>
      <c r="B56" s="151">
        <f>VLOOKUP(A56,'Opex Modelling Results'!$S$9:$T$21,2,FALSE)</f>
        <v>0.41478291168158138</v>
      </c>
      <c r="E56" s="136"/>
      <c r="F56" s="136"/>
      <c r="G56" s="136"/>
      <c r="H56" s="136"/>
      <c r="I56" s="136"/>
      <c r="J56" s="136"/>
      <c r="K56" s="179"/>
    </row>
    <row r="57" spans="1:11" x14ac:dyDescent="0.25">
      <c r="A57" s="110"/>
      <c r="B57" s="136"/>
      <c r="E57" s="148" t="s">
        <v>123</v>
      </c>
      <c r="F57" s="149">
        <v>0.75</v>
      </c>
      <c r="G57" s="136"/>
      <c r="H57" s="136"/>
      <c r="I57" s="136"/>
      <c r="J57" s="136"/>
      <c r="K57" s="179"/>
    </row>
    <row r="58" spans="1:11" x14ac:dyDescent="0.25">
      <c r="A58" s="136"/>
      <c r="B58" s="136"/>
      <c r="E58" s="136"/>
      <c r="F58" s="136"/>
      <c r="G58" s="136"/>
      <c r="H58" s="136"/>
      <c r="I58" s="136"/>
      <c r="J58" s="136"/>
      <c r="K58" s="179"/>
    </row>
    <row r="59" spans="1:11" x14ac:dyDescent="0.25">
      <c r="A59" s="136"/>
      <c r="B59" s="136"/>
      <c r="E59" s="136"/>
      <c r="F59" s="136"/>
      <c r="G59" s="136"/>
      <c r="H59" s="136"/>
      <c r="I59" s="136"/>
      <c r="J59" s="136"/>
      <c r="K59" s="179"/>
    </row>
    <row r="60" spans="1:11" x14ac:dyDescent="0.25">
      <c r="A60" s="110" t="s">
        <v>122</v>
      </c>
      <c r="B60" s="136"/>
      <c r="E60" s="110" t="s">
        <v>115</v>
      </c>
      <c r="F60" s="136"/>
      <c r="G60" s="136"/>
      <c r="H60" s="136"/>
      <c r="I60" s="136"/>
      <c r="J60" s="136"/>
      <c r="K60" s="179"/>
    </row>
    <row r="61" spans="1:11" ht="30" x14ac:dyDescent="0.25">
      <c r="A61" s="137"/>
      <c r="B61" s="138"/>
      <c r="E61" s="137"/>
      <c r="F61" s="139"/>
      <c r="G61" s="136"/>
      <c r="H61" s="138"/>
      <c r="I61" s="139" t="s">
        <v>116</v>
      </c>
      <c r="J61" s="139" t="s">
        <v>117</v>
      </c>
      <c r="K61" s="180" t="s">
        <v>118</v>
      </c>
    </row>
    <row r="62" spans="1:11" ht="30" x14ac:dyDescent="0.25">
      <c r="A62" s="139" t="s">
        <v>25</v>
      </c>
      <c r="B62" s="139" t="s">
        <v>120</v>
      </c>
      <c r="E62" s="139"/>
      <c r="F62" s="140"/>
      <c r="G62" s="136"/>
      <c r="H62" s="139" t="s">
        <v>25</v>
      </c>
      <c r="I62" s="141" t="s">
        <v>121</v>
      </c>
      <c r="J62" s="140"/>
      <c r="K62" s="181"/>
    </row>
    <row r="63" spans="1:11" x14ac:dyDescent="0.25">
      <c r="A63" s="110" t="s">
        <v>73</v>
      </c>
      <c r="B63" s="151">
        <f>VLOOKUP(A63,'Opex Modelling Results'!$Z$9:$AA$21,2,FALSE)</f>
        <v>0.96152353286743164</v>
      </c>
      <c r="E63" s="136"/>
      <c r="F63" s="136"/>
      <c r="G63" s="136"/>
      <c r="H63" s="110" t="str">
        <f>H6</f>
        <v>AND</v>
      </c>
      <c r="I63" s="143">
        <f>I25</f>
        <v>1.5575968327871757E-2</v>
      </c>
      <c r="J63" s="145">
        <f>$F$76/(1+I63)</f>
        <v>0.73849719114057222</v>
      </c>
      <c r="K63" s="182">
        <f>MAX((1- (VLOOKUP(H63,A63:B75,2,FALSE))/$J63),0)</f>
        <v>4.1134051527160098E-2</v>
      </c>
    </row>
    <row r="64" spans="1:11" x14ac:dyDescent="0.25">
      <c r="A64" s="110" t="s">
        <v>58</v>
      </c>
      <c r="B64" s="151">
        <f>VLOOKUP(A64,'Opex Modelling Results'!$Z$9:$AA$21,2,FALSE)</f>
        <v>0.93001335859298706</v>
      </c>
      <c r="E64" s="136"/>
      <c r="F64" s="136"/>
      <c r="G64" s="136"/>
      <c r="H64" s="136"/>
      <c r="I64" s="136"/>
      <c r="J64" s="136"/>
      <c r="K64" s="179"/>
    </row>
    <row r="65" spans="1:11" x14ac:dyDescent="0.25">
      <c r="A65" s="110" t="s">
        <v>83</v>
      </c>
      <c r="B65" s="151">
        <f>VLOOKUP(A65,'Opex Modelling Results'!$Z$9:$AA$21,2,FALSE)</f>
        <v>0.86822748184204102</v>
      </c>
      <c r="E65" s="136"/>
      <c r="F65" s="136"/>
      <c r="G65" s="136"/>
      <c r="H65" s="136"/>
      <c r="I65" s="136"/>
      <c r="J65" s="136"/>
      <c r="K65" s="179"/>
    </row>
    <row r="66" spans="1:11" x14ac:dyDescent="0.25">
      <c r="A66" s="110" t="s">
        <v>76</v>
      </c>
      <c r="B66" s="151">
        <f>VLOOKUP(A66,'Opex Modelling Results'!$Z$9:$AA$21,2,FALSE)</f>
        <v>0.80270606279373169</v>
      </c>
      <c r="E66" s="136"/>
      <c r="F66" s="136"/>
      <c r="G66" s="136"/>
      <c r="H66" s="136"/>
      <c r="I66" s="136"/>
      <c r="J66" s="136"/>
      <c r="K66" s="179"/>
    </row>
    <row r="67" spans="1:11" x14ac:dyDescent="0.25">
      <c r="A67" s="110" t="s">
        <v>81</v>
      </c>
      <c r="B67" s="151">
        <f>VLOOKUP(A67,'Opex Modelling Results'!$Z$9:$AA$21,2,FALSE)</f>
        <v>0.74090999364852905</v>
      </c>
      <c r="E67" s="136"/>
      <c r="F67" s="136"/>
      <c r="G67" s="136"/>
      <c r="H67" s="136"/>
      <c r="I67" s="136"/>
      <c r="J67" s="136"/>
      <c r="K67" s="179"/>
    </row>
    <row r="68" spans="1:11" x14ac:dyDescent="0.25">
      <c r="A68" s="110" t="s">
        <v>68</v>
      </c>
      <c r="B68" s="151">
        <f>VLOOKUP(A68,'Opex Modelling Results'!$Z$9:$AA$21,2,FALSE)</f>
        <v>0.64558911323547363</v>
      </c>
      <c r="E68" s="136"/>
      <c r="F68" s="136"/>
      <c r="G68" s="136"/>
      <c r="H68" s="136"/>
      <c r="I68" s="136"/>
      <c r="J68" s="136"/>
      <c r="K68" s="179"/>
    </row>
    <row r="69" spans="1:11" x14ac:dyDescent="0.25">
      <c r="A69" s="110" t="s">
        <v>79</v>
      </c>
      <c r="B69" s="151">
        <f>VLOOKUP(A69,'Opex Modelling Results'!$Z$9:$AA$21,2,FALSE)</f>
        <v>0.70811980962753296</v>
      </c>
      <c r="E69" s="136"/>
      <c r="F69" s="136"/>
      <c r="G69" s="136"/>
      <c r="H69" s="136"/>
      <c r="I69" s="136"/>
      <c r="J69" s="136"/>
      <c r="K69" s="179"/>
    </row>
    <row r="70" spans="1:11" x14ac:dyDescent="0.25">
      <c r="A70" s="110" t="s">
        <v>62</v>
      </c>
      <c r="B70" s="151">
        <f>VLOOKUP(A70,'Opex Modelling Results'!$Z$9:$AA$21,2,FALSE)</f>
        <v>0.6207994818687439</v>
      </c>
      <c r="E70" s="136"/>
      <c r="F70" s="136"/>
      <c r="G70" s="136"/>
      <c r="H70" s="136"/>
      <c r="I70" s="136"/>
      <c r="J70" s="136"/>
      <c r="K70" s="179"/>
    </row>
    <row r="71" spans="1:11" x14ac:dyDescent="0.25">
      <c r="A71" s="110" t="s">
        <v>65</v>
      </c>
      <c r="B71" s="151">
        <f>VLOOKUP(A71,'Opex Modelling Results'!$Z$9:$AA$21,2,FALSE)</f>
        <v>0.62914454936981201</v>
      </c>
      <c r="E71" s="136"/>
      <c r="F71" s="136"/>
      <c r="G71" s="136"/>
      <c r="H71" s="136"/>
      <c r="I71" s="136"/>
      <c r="J71" s="136"/>
      <c r="K71" s="179"/>
    </row>
    <row r="72" spans="1:11" x14ac:dyDescent="0.25">
      <c r="A72" s="110" t="s">
        <v>60</v>
      </c>
      <c r="B72" s="151">
        <f>VLOOKUP(A72,'Opex Modelling Results'!$Z$9:$AA$21,2,FALSE)</f>
        <v>0.57543802261352539</v>
      </c>
      <c r="E72" s="136"/>
      <c r="F72" s="136"/>
      <c r="G72" s="136"/>
      <c r="H72" s="136"/>
      <c r="I72" s="136"/>
      <c r="J72" s="136"/>
      <c r="K72" s="179"/>
    </row>
    <row r="73" spans="1:11" x14ac:dyDescent="0.25">
      <c r="A73" s="110" t="s">
        <v>27</v>
      </c>
      <c r="B73" s="151">
        <f>VLOOKUP(A73,'Opex Modelling Results'!$Z$9:$AA$21,2,FALSE)</f>
        <v>0.69880276918411255</v>
      </c>
      <c r="E73" s="136"/>
      <c r="F73" s="136"/>
      <c r="G73" s="136"/>
      <c r="H73" s="136"/>
      <c r="I73" s="136"/>
      <c r="J73" s="136"/>
      <c r="K73" s="179"/>
    </row>
    <row r="74" spans="1:11" x14ac:dyDescent="0.25">
      <c r="A74" s="110" t="s">
        <v>56</v>
      </c>
      <c r="B74" s="151">
        <f>VLOOKUP(A74,'Opex Modelling Results'!$Z$9:$AA$21,2,FALSE)</f>
        <v>0.46288329362869263</v>
      </c>
      <c r="E74" s="136"/>
      <c r="F74" s="136"/>
      <c r="G74" s="136"/>
      <c r="H74" s="136"/>
      <c r="I74" s="136"/>
      <c r="J74" s="136"/>
      <c r="K74" s="179"/>
    </row>
    <row r="75" spans="1:11" x14ac:dyDescent="0.25">
      <c r="A75" s="110" t="s">
        <v>54</v>
      </c>
      <c r="B75" s="151">
        <f>VLOOKUP(A75,'Opex Modelling Results'!$Z$9:$AA$21,2,FALSE)</f>
        <v>0.46024587750434875</v>
      </c>
      <c r="E75" s="136"/>
      <c r="F75" s="136"/>
      <c r="G75" s="136"/>
      <c r="H75" s="136"/>
      <c r="I75" s="136"/>
      <c r="J75" s="136"/>
      <c r="K75" s="179"/>
    </row>
    <row r="76" spans="1:11" x14ac:dyDescent="0.25">
      <c r="E76" s="148" t="s">
        <v>123</v>
      </c>
      <c r="F76" s="149">
        <v>0.75</v>
      </c>
      <c r="G76" s="136"/>
      <c r="H76" s="136"/>
      <c r="I76" s="136"/>
      <c r="J76" s="136"/>
      <c r="K76" s="179"/>
    </row>
    <row r="79" spans="1:11" x14ac:dyDescent="0.25">
      <c r="A79" s="172"/>
      <c r="B79" s="17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22" workbookViewId="0">
      <selection activeCell="T33" sqref="T33:T36"/>
    </sheetView>
  </sheetViews>
  <sheetFormatPr defaultRowHeight="15" x14ac:dyDescent="0.25"/>
  <cols>
    <col min="1" max="1" width="64.7109375" bestFit="1" customWidth="1"/>
    <col min="2" max="2" width="16.42578125" bestFit="1" customWidth="1"/>
    <col min="8" max="8" width="16.140625" bestFit="1" customWidth="1"/>
  </cols>
  <sheetData>
    <row r="1" spans="1:24" x14ac:dyDescent="0.25">
      <c r="A1" s="100" t="str">
        <f>Inputs!C3&amp;" Opex – Base Opex – Using RIN Data and Estimated Opex Cost Functions"</f>
        <v>AND Opex – Base Opex – Using RIN Data and Estimated Opex Cost Functions</v>
      </c>
      <c r="B1" s="101"/>
      <c r="C1" s="101"/>
      <c r="D1" s="101"/>
      <c r="E1" s="101"/>
      <c r="F1" s="101"/>
      <c r="G1" s="101"/>
      <c r="H1" s="106"/>
      <c r="I1" s="101"/>
      <c r="J1" s="101" t="s">
        <v>145</v>
      </c>
      <c r="K1" s="101"/>
      <c r="L1" s="101"/>
      <c r="M1" s="101"/>
      <c r="N1" s="106"/>
      <c r="O1" s="101"/>
      <c r="P1" s="101"/>
      <c r="Q1" s="101"/>
      <c r="R1" s="101"/>
      <c r="S1" s="101"/>
      <c r="T1" s="106"/>
      <c r="U1" s="101"/>
      <c r="V1" s="101"/>
      <c r="W1" s="101"/>
      <c r="X1" s="101"/>
    </row>
    <row r="2" spans="1:24" x14ac:dyDescent="0.25">
      <c r="A2" s="100"/>
      <c r="B2" s="101"/>
      <c r="C2" s="101"/>
      <c r="D2" s="101"/>
      <c r="E2" s="101"/>
      <c r="F2" s="101"/>
      <c r="G2" s="101"/>
      <c r="H2" s="106"/>
      <c r="I2" s="101"/>
      <c r="J2" s="101"/>
      <c r="K2" s="101"/>
      <c r="L2" s="101"/>
      <c r="M2" s="101"/>
      <c r="N2" s="106"/>
      <c r="O2" s="101"/>
      <c r="P2" s="101"/>
      <c r="Q2" s="101"/>
      <c r="R2" s="101"/>
      <c r="S2" s="101"/>
      <c r="T2" s="106"/>
      <c r="U2" s="101"/>
      <c r="V2" s="101"/>
      <c r="W2" s="101"/>
      <c r="X2" s="101"/>
    </row>
    <row r="3" spans="1:24" x14ac:dyDescent="0.25">
      <c r="A3" s="101"/>
      <c r="B3" s="110" t="str">
        <f>'Opex Modelling Results'!A4</f>
        <v xml:space="preserve">Cobb-Douglas SFA </v>
      </c>
      <c r="C3" s="101"/>
      <c r="D3" s="101"/>
      <c r="E3" s="101"/>
      <c r="F3" s="101"/>
      <c r="G3" s="101"/>
      <c r="H3" s="111" t="str">
        <f>'Opex Modelling Results'!H4</f>
        <v xml:space="preserve">Cobb-Douglas LSE </v>
      </c>
      <c r="I3" s="101"/>
      <c r="J3" s="101"/>
      <c r="K3" s="101"/>
      <c r="L3" s="101"/>
      <c r="M3" s="101"/>
      <c r="N3" s="111" t="str">
        <f>'Opex Modelling Results'!O4</f>
        <v>Translog LSE</v>
      </c>
      <c r="O3" s="101"/>
      <c r="P3" s="101"/>
      <c r="Q3" s="101"/>
      <c r="R3" s="101"/>
      <c r="S3" s="101"/>
      <c r="T3" s="111" t="str">
        <f>'Opex Modelling Results'!V4</f>
        <v xml:space="preserve">Translog SFA </v>
      </c>
      <c r="U3" s="101"/>
      <c r="V3" s="101"/>
      <c r="W3" s="101"/>
      <c r="X3" s="101"/>
    </row>
    <row r="4" spans="1:24" x14ac:dyDescent="0.25">
      <c r="A4" s="100"/>
      <c r="B4" s="101"/>
      <c r="C4" s="101"/>
      <c r="D4" s="101"/>
      <c r="E4" s="101"/>
      <c r="F4" s="101"/>
      <c r="G4" s="101"/>
      <c r="H4" s="106"/>
      <c r="I4" s="101"/>
      <c r="J4" s="101"/>
      <c r="K4" s="101"/>
      <c r="L4" s="101"/>
      <c r="M4" s="101"/>
      <c r="N4" s="106"/>
      <c r="O4" s="101"/>
      <c r="P4" s="101"/>
      <c r="Q4" s="101"/>
      <c r="R4" s="101"/>
      <c r="S4" s="101"/>
      <c r="T4" s="106"/>
      <c r="U4" s="101"/>
      <c r="V4" s="101"/>
      <c r="W4" s="101"/>
      <c r="X4" s="101"/>
    </row>
    <row r="5" spans="1:24" x14ac:dyDescent="0.25">
      <c r="A5" s="100" t="s">
        <v>125</v>
      </c>
      <c r="B5" s="112" t="s">
        <v>138</v>
      </c>
      <c r="C5" s="100" t="s">
        <v>139</v>
      </c>
      <c r="D5" s="100"/>
      <c r="E5" s="110" t="s">
        <v>142</v>
      </c>
      <c r="F5" s="101"/>
      <c r="G5" s="101"/>
      <c r="H5" s="107" t="s">
        <v>138</v>
      </c>
      <c r="I5" s="100" t="s">
        <v>139</v>
      </c>
      <c r="J5" s="100"/>
      <c r="K5" s="110" t="s">
        <v>142</v>
      </c>
      <c r="L5" s="101"/>
      <c r="M5" s="101"/>
      <c r="N5" s="107" t="s">
        <v>138</v>
      </c>
      <c r="O5" s="100" t="s">
        <v>139</v>
      </c>
      <c r="P5" s="100"/>
      <c r="Q5" s="110" t="s">
        <v>142</v>
      </c>
      <c r="R5" s="101"/>
      <c r="S5" s="101"/>
      <c r="T5" s="107" t="s">
        <v>138</v>
      </c>
      <c r="U5" s="100" t="s">
        <v>139</v>
      </c>
      <c r="V5" s="100"/>
      <c r="W5" s="110" t="s">
        <v>142</v>
      </c>
      <c r="X5" s="101"/>
    </row>
    <row r="6" spans="1:24" x14ac:dyDescent="0.25">
      <c r="A6" s="102" t="s">
        <v>99</v>
      </c>
      <c r="B6" s="113">
        <f>'Opex Modelling Results'!B10</f>
        <v>0.497</v>
      </c>
      <c r="C6" s="114">
        <f>B6/SUM(B$6:B$8)</f>
        <v>0.50870010235414531</v>
      </c>
      <c r="D6" s="115"/>
      <c r="E6" s="101" t="str">
        <f>Inputs!C3</f>
        <v>AND</v>
      </c>
      <c r="F6" s="116">
        <f>'Efficiency Target Option'!K6</f>
        <v>4.8860327948396232E-2</v>
      </c>
      <c r="G6" s="101"/>
      <c r="H6" s="117">
        <f>'Opex Modelling Results'!I10</f>
        <v>0.623</v>
      </c>
      <c r="I6" s="114">
        <f>H6/SUM(H$6:H$8)</f>
        <v>0.63313008130081305</v>
      </c>
      <c r="J6" s="115"/>
      <c r="K6" s="101" t="str">
        <f>E6</f>
        <v>AND</v>
      </c>
      <c r="L6" s="116">
        <f>'Efficiency Target Option'!K25</f>
        <v>0</v>
      </c>
      <c r="M6" s="101"/>
      <c r="N6" s="117">
        <f>'Opex Modelling Results'!P10</f>
        <v>0.47699999999999998</v>
      </c>
      <c r="O6" s="114">
        <f>N6/SUM(N$6:N$8)</f>
        <v>0.49481327800829877</v>
      </c>
      <c r="P6" s="115"/>
      <c r="Q6" s="101" t="str">
        <f>K6</f>
        <v>AND</v>
      </c>
      <c r="R6" s="116">
        <f>'Efficiency Target Option'!K44</f>
        <v>6.1865565156203783E-2</v>
      </c>
      <c r="S6" s="101"/>
      <c r="T6" s="117">
        <f>'Opex Modelling Results'!W10</f>
        <v>0.58099999999999996</v>
      </c>
      <c r="U6" s="114">
        <f>T6/SUM(T$6:T$8)</f>
        <v>0.59285714285714286</v>
      </c>
      <c r="V6" s="115"/>
      <c r="W6" s="101" t="str">
        <f>Q6</f>
        <v>AND</v>
      </c>
      <c r="X6" s="116">
        <f>'Efficiency Target Option'!K63</f>
        <v>4.1134051527160098E-2</v>
      </c>
    </row>
    <row r="7" spans="1:24" x14ac:dyDescent="0.25">
      <c r="A7" s="102" t="s">
        <v>98</v>
      </c>
      <c r="B7" s="113">
        <f>'Opex Modelling Results'!B11</f>
        <v>0.14599999999999999</v>
      </c>
      <c r="C7" s="114">
        <f>B7/SUM(B$6:B$8)</f>
        <v>0.1494370522006141</v>
      </c>
      <c r="D7" s="115"/>
      <c r="E7" s="115"/>
      <c r="F7" s="115"/>
      <c r="G7" s="115"/>
      <c r="H7" s="117">
        <f>'Opex Modelling Results'!I11</f>
        <v>0.161</v>
      </c>
      <c r="I7" s="114">
        <f>H7/SUM(H$6:H$8)</f>
        <v>0.1636178861788618</v>
      </c>
      <c r="J7" s="115"/>
      <c r="K7" s="115"/>
      <c r="L7" s="115"/>
      <c r="M7" s="115"/>
      <c r="N7" s="117">
        <f>'Opex Modelling Results'!P11</f>
        <v>0.16</v>
      </c>
      <c r="O7" s="114">
        <f>N7/SUM(N$6:N$8)</f>
        <v>0.16597510373443985</v>
      </c>
      <c r="P7" s="115"/>
      <c r="Q7" s="115"/>
      <c r="R7" s="115"/>
      <c r="S7" s="115"/>
      <c r="T7" s="117">
        <f>'Opex Modelling Results'!W11</f>
        <v>0.13900000000000001</v>
      </c>
      <c r="U7" s="114">
        <f>T7/SUM(T$6:T$8)</f>
        <v>0.14183673469387756</v>
      </c>
      <c r="V7" s="115"/>
      <c r="W7" s="115"/>
      <c r="X7" s="115"/>
    </row>
    <row r="8" spans="1:24" x14ac:dyDescent="0.25">
      <c r="A8" s="102" t="s">
        <v>97</v>
      </c>
      <c r="B8" s="113">
        <f>'Opex Modelling Results'!B12</f>
        <v>0.33400000000000002</v>
      </c>
      <c r="C8" s="114">
        <f>B8/SUM(B$6:B$8)</f>
        <v>0.34186284544524054</v>
      </c>
      <c r="D8" s="115"/>
      <c r="E8" s="115"/>
      <c r="F8" s="115"/>
      <c r="G8" s="118"/>
      <c r="H8" s="117">
        <f>'Opex Modelling Results'!I12</f>
        <v>0.2</v>
      </c>
      <c r="I8" s="114">
        <f>H8/SUM(H$6:H$8)</f>
        <v>0.20325203252032523</v>
      </c>
      <c r="J8" s="115"/>
      <c r="K8" s="115"/>
      <c r="L8" s="115"/>
      <c r="M8" s="118"/>
      <c r="N8" s="117">
        <f>'Opex Modelling Results'!P12</f>
        <v>0.32700000000000001</v>
      </c>
      <c r="O8" s="114">
        <f>N8/SUM(N$6:N$8)</f>
        <v>0.33921161825726143</v>
      </c>
      <c r="P8" s="115"/>
      <c r="Q8" s="115"/>
      <c r="R8" s="115"/>
      <c r="S8" s="118"/>
      <c r="T8" s="117">
        <f>'Opex Modelling Results'!W12</f>
        <v>0.26</v>
      </c>
      <c r="U8" s="114">
        <f>T8/SUM(T$6:T$8)</f>
        <v>0.26530612244897961</v>
      </c>
      <c r="V8" s="115"/>
      <c r="W8" s="115"/>
      <c r="X8" s="115"/>
    </row>
    <row r="9" spans="1:24" x14ac:dyDescent="0.25">
      <c r="A9" s="102" t="s">
        <v>96</v>
      </c>
      <c r="B9" s="113">
        <f>'Opex Modelling Results'!B13</f>
        <v>-0.15</v>
      </c>
      <c r="C9" s="101"/>
      <c r="D9" s="101"/>
      <c r="E9" s="101"/>
      <c r="F9" s="101"/>
      <c r="G9" s="118"/>
      <c r="H9" s="117">
        <f>'Opex Modelling Results'!I13</f>
        <v>-0.155</v>
      </c>
      <c r="I9" s="101"/>
      <c r="J9" s="101"/>
      <c r="K9" s="101"/>
      <c r="L9" s="101"/>
      <c r="M9" s="118"/>
      <c r="N9" s="117">
        <f>'Opex Modelling Results'!P19</f>
        <v>-0.14399999999999999</v>
      </c>
      <c r="O9" s="101"/>
      <c r="P9" s="101"/>
      <c r="Q9" s="101"/>
      <c r="R9" s="101"/>
      <c r="S9" s="118"/>
      <c r="T9" s="117">
        <f>'Opex Modelling Results'!W19</f>
        <v>-0.11799999999999999</v>
      </c>
      <c r="U9" s="101"/>
      <c r="V9" s="101"/>
      <c r="W9" s="101"/>
      <c r="X9" s="101"/>
    </row>
    <row r="10" spans="1:24" x14ac:dyDescent="0.25">
      <c r="A10" s="102" t="s">
        <v>126</v>
      </c>
      <c r="B10" s="113">
        <f>'Opex Modelling Results'!B14</f>
        <v>1.6E-2</v>
      </c>
      <c r="C10" s="101"/>
      <c r="D10" s="101"/>
      <c r="E10" s="101"/>
      <c r="F10" s="101"/>
      <c r="G10" s="101"/>
      <c r="H10" s="117">
        <f>'Opex Modelling Results'!I14</f>
        <v>1.4999999999999999E-2</v>
      </c>
      <c r="I10" s="101"/>
      <c r="J10" s="101"/>
      <c r="K10" s="101"/>
      <c r="L10" s="101"/>
      <c r="M10" s="101"/>
      <c r="N10" s="117">
        <f>'Opex Modelling Results'!P20</f>
        <v>1.7000000000000001E-2</v>
      </c>
      <c r="O10" s="101"/>
      <c r="P10" s="101"/>
      <c r="Q10" s="101"/>
      <c r="R10" s="101"/>
      <c r="S10" s="101"/>
      <c r="T10" s="117">
        <f>'Opex Modelling Results'!W20</f>
        <v>1.4999999999999999E-2</v>
      </c>
      <c r="U10" s="101"/>
      <c r="V10" s="101"/>
      <c r="W10" s="101"/>
      <c r="X10" s="101"/>
    </row>
    <row r="11" spans="1:24" x14ac:dyDescent="0.25">
      <c r="A11" s="101"/>
      <c r="B11" s="115"/>
      <c r="C11" s="101"/>
      <c r="D11" s="101"/>
      <c r="E11" s="101"/>
      <c r="F11" s="101"/>
      <c r="G11" s="101"/>
      <c r="H11" s="119"/>
      <c r="I11" s="101"/>
      <c r="J11" s="101"/>
      <c r="K11" s="101"/>
      <c r="L11" s="101"/>
      <c r="M11" s="101"/>
      <c r="N11" s="119"/>
      <c r="O11" s="101"/>
      <c r="P11" s="101"/>
      <c r="Q11" s="101"/>
      <c r="R11" s="101"/>
      <c r="S11" s="101"/>
      <c r="T11" s="119"/>
      <c r="U11" s="101"/>
      <c r="V11" s="101"/>
      <c r="W11" s="101"/>
      <c r="X11" s="101"/>
    </row>
    <row r="12" spans="1:24" x14ac:dyDescent="0.25">
      <c r="A12" s="100" t="s">
        <v>127</v>
      </c>
      <c r="B12" s="101"/>
      <c r="C12" s="112"/>
      <c r="D12" s="112"/>
      <c r="E12" s="112"/>
      <c r="F12" s="112"/>
      <c r="G12" s="101"/>
      <c r="H12" s="106"/>
      <c r="I12" s="112"/>
      <c r="J12" s="112"/>
      <c r="K12" s="112"/>
      <c r="L12" s="112"/>
      <c r="M12" s="101"/>
      <c r="N12" s="106"/>
      <c r="O12" s="112"/>
      <c r="P12" s="112"/>
      <c r="Q12" s="112"/>
      <c r="R12" s="112"/>
      <c r="S12" s="101"/>
      <c r="T12" s="106"/>
      <c r="U12" s="112"/>
      <c r="V12" s="112"/>
      <c r="W12" s="112"/>
      <c r="X12" s="112"/>
    </row>
    <row r="13" spans="1:24" x14ac:dyDescent="0.25">
      <c r="A13" s="101"/>
      <c r="B13" s="101"/>
      <c r="C13" s="120"/>
      <c r="D13" s="120"/>
      <c r="E13" s="120">
        <v>2018</v>
      </c>
      <c r="F13" s="112"/>
      <c r="G13" s="101"/>
      <c r="H13" s="106"/>
      <c r="I13" s="120"/>
      <c r="J13" s="120"/>
      <c r="K13" s="120">
        <v>2018</v>
      </c>
      <c r="L13" s="112"/>
      <c r="M13" s="101"/>
      <c r="N13" s="106"/>
      <c r="O13" s="120"/>
      <c r="P13" s="120"/>
      <c r="Q13" s="120">
        <v>2018</v>
      </c>
      <c r="R13" s="112"/>
      <c r="S13" s="101"/>
      <c r="T13" s="106"/>
      <c r="U13" s="120"/>
      <c r="V13" s="120"/>
      <c r="W13" s="120">
        <v>2018</v>
      </c>
      <c r="X13" s="112"/>
    </row>
    <row r="14" spans="1:24" x14ac:dyDescent="0.25">
      <c r="A14" s="102" t="s">
        <v>99</v>
      </c>
      <c r="B14" s="102"/>
      <c r="C14" s="112"/>
      <c r="D14" s="112"/>
      <c r="E14" s="121">
        <f>'Cost Drivers'!P21</f>
        <v>9.1061979520358965E-2</v>
      </c>
      <c r="F14" s="112"/>
      <c r="G14" s="101"/>
      <c r="H14" s="122"/>
      <c r="I14" s="112"/>
      <c r="J14" s="112"/>
      <c r="K14" s="121">
        <f t="shared" ref="K14:K18" si="0">E14</f>
        <v>9.1061979520358965E-2</v>
      </c>
      <c r="L14" s="112"/>
      <c r="M14" s="101"/>
      <c r="N14" s="122"/>
      <c r="O14" s="112"/>
      <c r="P14" s="112"/>
      <c r="Q14" s="121">
        <f t="shared" ref="Q14:Q16" si="1">K14</f>
        <v>9.1061979520358965E-2</v>
      </c>
      <c r="R14" s="112"/>
      <c r="S14" s="101"/>
      <c r="T14" s="122"/>
      <c r="U14" s="112"/>
      <c r="V14" s="112"/>
      <c r="W14" s="121">
        <f t="shared" ref="W14:W16" si="2">Q14</f>
        <v>9.1061979520358965E-2</v>
      </c>
      <c r="X14" s="112"/>
    </row>
    <row r="15" spans="1:24" x14ac:dyDescent="0.25">
      <c r="A15" s="102" t="s">
        <v>98</v>
      </c>
      <c r="B15" s="102"/>
      <c r="C15" s="112"/>
      <c r="D15" s="112"/>
      <c r="E15" s="121">
        <f>'Cost Drivers'!P22</f>
        <v>3.3663636709169803E-2</v>
      </c>
      <c r="F15" s="112"/>
      <c r="G15" s="101"/>
      <c r="H15" s="122"/>
      <c r="I15" s="112"/>
      <c r="J15" s="112"/>
      <c r="K15" s="121">
        <f t="shared" si="0"/>
        <v>3.3663636709169803E-2</v>
      </c>
      <c r="L15" s="112"/>
      <c r="M15" s="101"/>
      <c r="N15" s="122"/>
      <c r="O15" s="112"/>
      <c r="P15" s="112"/>
      <c r="Q15" s="121">
        <f t="shared" si="1"/>
        <v>3.3663636709169803E-2</v>
      </c>
      <c r="R15" s="112"/>
      <c r="S15" s="101"/>
      <c r="T15" s="122"/>
      <c r="U15" s="112"/>
      <c r="V15" s="112"/>
      <c r="W15" s="121">
        <f t="shared" si="2"/>
        <v>3.3663636709169803E-2</v>
      </c>
      <c r="X15" s="112"/>
    </row>
    <row r="16" spans="1:24" x14ac:dyDescent="0.25">
      <c r="A16" s="102" t="s">
        <v>97</v>
      </c>
      <c r="B16" s="102"/>
      <c r="C16" s="112"/>
      <c r="D16" s="112"/>
      <c r="E16" s="121">
        <f>'Cost Drivers'!P23</f>
        <v>2.8498516351612466E-2</v>
      </c>
      <c r="F16" s="112"/>
      <c r="G16" s="101"/>
      <c r="H16" s="122"/>
      <c r="I16" s="112"/>
      <c r="J16" s="112"/>
      <c r="K16" s="121">
        <f t="shared" si="0"/>
        <v>2.8498516351612466E-2</v>
      </c>
      <c r="L16" s="112"/>
      <c r="M16" s="101"/>
      <c r="N16" s="122"/>
      <c r="O16" s="112"/>
      <c r="P16" s="112"/>
      <c r="Q16" s="121">
        <f t="shared" si="1"/>
        <v>2.8498516351612466E-2</v>
      </c>
      <c r="R16" s="112"/>
      <c r="S16" s="101"/>
      <c r="T16" s="122"/>
      <c r="U16" s="112"/>
      <c r="V16" s="112"/>
      <c r="W16" s="121">
        <f t="shared" si="2"/>
        <v>2.8498516351612466E-2</v>
      </c>
      <c r="X16" s="112"/>
    </row>
    <row r="17" spans="1:24" x14ac:dyDescent="0.25">
      <c r="A17" s="100" t="s">
        <v>128</v>
      </c>
      <c r="B17" s="100"/>
      <c r="C17" s="112"/>
      <c r="D17" s="112"/>
      <c r="E17" s="123">
        <f>$C6*E14+$C7*E15+$C8*E16</f>
        <v>6.1096416829678361E-2</v>
      </c>
      <c r="F17" s="112"/>
      <c r="G17" s="100"/>
      <c r="H17" s="105"/>
      <c r="I17" s="112"/>
      <c r="J17" s="112"/>
      <c r="K17" s="123">
        <f>$I6*K14+$I7*K15+$I8*K16</f>
        <v>6.8954432948864303E-2</v>
      </c>
      <c r="L17" s="112"/>
      <c r="M17" s="100"/>
      <c r="N17" s="105"/>
      <c r="O17" s="112"/>
      <c r="P17" s="112"/>
      <c r="Q17" s="123">
        <f>$O6*Q14+$O7*Q15+$O8*Q16</f>
        <v>6.0313030032837833E-2</v>
      </c>
      <c r="R17" s="112"/>
      <c r="S17" s="100"/>
      <c r="T17" s="105"/>
      <c r="U17" s="112"/>
      <c r="V17" s="112"/>
      <c r="W17" s="123">
        <f>$U6*W14+$U7*W15+$U8*W16</f>
        <v>6.6322316178900415E-2</v>
      </c>
      <c r="X17" s="112"/>
    </row>
    <row r="18" spans="1:24" x14ac:dyDescent="0.25">
      <c r="A18" s="102" t="s">
        <v>96</v>
      </c>
      <c r="B18" s="102"/>
      <c r="C18" s="112"/>
      <c r="D18" s="112"/>
      <c r="E18" s="121">
        <f>'Cost Drivers'!P24</f>
        <v>0.20773462414860194</v>
      </c>
      <c r="F18" s="112"/>
      <c r="G18" s="101"/>
      <c r="H18" s="122"/>
      <c r="I18" s="112"/>
      <c r="J18" s="112"/>
      <c r="K18" s="121">
        <f t="shared" si="0"/>
        <v>0.20773462414860194</v>
      </c>
      <c r="L18" s="112"/>
      <c r="M18" s="101"/>
      <c r="N18" s="122"/>
      <c r="O18" s="112"/>
      <c r="P18" s="112"/>
      <c r="Q18" s="121">
        <f t="shared" ref="Q18" si="3">K18</f>
        <v>0.20773462414860194</v>
      </c>
      <c r="R18" s="112"/>
      <c r="S18" s="101"/>
      <c r="T18" s="122"/>
      <c r="U18" s="112"/>
      <c r="V18" s="112"/>
      <c r="W18" s="121">
        <f t="shared" ref="W18" si="4">Q18</f>
        <v>0.20773462414860194</v>
      </c>
      <c r="X18" s="112"/>
    </row>
    <row r="19" spans="1:24" x14ac:dyDescent="0.25">
      <c r="A19" s="101"/>
      <c r="B19" s="101"/>
      <c r="C19" s="101"/>
      <c r="D19" s="101"/>
      <c r="E19" s="101"/>
      <c r="F19" s="112"/>
      <c r="G19" s="101"/>
      <c r="H19" s="106"/>
      <c r="I19" s="112"/>
      <c r="J19" s="112"/>
      <c r="K19" s="112"/>
      <c r="L19" s="112"/>
      <c r="M19" s="101"/>
      <c r="N19" s="106"/>
      <c r="O19" s="112"/>
      <c r="P19" s="112"/>
      <c r="Q19" s="112"/>
      <c r="R19" s="112"/>
      <c r="S19" s="101"/>
      <c r="T19" s="106"/>
      <c r="U19" s="112"/>
      <c r="V19" s="112"/>
      <c r="W19" s="112"/>
      <c r="X19" s="112"/>
    </row>
    <row r="20" spans="1:24" x14ac:dyDescent="0.25">
      <c r="A20" s="100" t="s">
        <v>129</v>
      </c>
      <c r="B20" s="100"/>
      <c r="C20" s="100"/>
      <c r="D20" s="100"/>
      <c r="E20" s="101"/>
      <c r="F20" s="112"/>
      <c r="G20" s="101"/>
      <c r="H20" s="105"/>
      <c r="I20" s="112"/>
      <c r="J20" s="112"/>
      <c r="K20" s="112"/>
      <c r="L20" s="112"/>
      <c r="M20" s="101"/>
      <c r="N20" s="105"/>
      <c r="O20" s="112"/>
      <c r="P20" s="112"/>
      <c r="Q20" s="112"/>
      <c r="R20" s="112"/>
      <c r="S20" s="101"/>
      <c r="T20" s="105"/>
      <c r="U20" s="112"/>
      <c r="V20" s="112"/>
      <c r="W20" s="112"/>
      <c r="X20" s="112"/>
    </row>
    <row r="21" spans="1:24" x14ac:dyDescent="0.25">
      <c r="A21" s="100"/>
      <c r="B21" s="100"/>
      <c r="C21" s="100" t="s">
        <v>140</v>
      </c>
      <c r="D21" s="100" t="s">
        <v>141</v>
      </c>
      <c r="E21" s="100" t="s">
        <v>143</v>
      </c>
      <c r="F21" s="112"/>
      <c r="G21" s="101"/>
      <c r="H21" s="105"/>
      <c r="I21" s="100" t="s">
        <v>140</v>
      </c>
      <c r="J21" s="100" t="s">
        <v>141</v>
      </c>
      <c r="K21" s="100" t="s">
        <v>143</v>
      </c>
      <c r="L21" s="112"/>
      <c r="M21" s="101"/>
      <c r="N21" s="105"/>
      <c r="O21" s="100" t="s">
        <v>140</v>
      </c>
      <c r="P21" s="100" t="s">
        <v>141</v>
      </c>
      <c r="Q21" s="100" t="s">
        <v>143</v>
      </c>
      <c r="R21" s="112"/>
      <c r="S21" s="101"/>
      <c r="T21" s="105"/>
      <c r="U21" s="100" t="s">
        <v>140</v>
      </c>
      <c r="V21" s="100" t="s">
        <v>141</v>
      </c>
      <c r="W21" s="100" t="s">
        <v>143</v>
      </c>
      <c r="X21" s="112"/>
    </row>
    <row r="22" spans="1:24" x14ac:dyDescent="0.25">
      <c r="A22" s="101"/>
      <c r="B22" s="101"/>
      <c r="C22" s="124">
        <f>Inputs!$C$5</f>
        <v>2006</v>
      </c>
      <c r="D22" s="124">
        <f>Inputs!$C$6</f>
        <v>2019</v>
      </c>
      <c r="E22" s="125">
        <f>C22+(D22-C22)/2</f>
        <v>2012.5</v>
      </c>
      <c r="F22" s="112"/>
      <c r="G22" s="101"/>
      <c r="H22" s="106"/>
      <c r="I22" s="124">
        <f>Inputs!$C$5</f>
        <v>2006</v>
      </c>
      <c r="J22" s="124">
        <f>Inputs!$C$6</f>
        <v>2019</v>
      </c>
      <c r="K22" s="125">
        <f>I22+(J22-I22)/2</f>
        <v>2012.5</v>
      </c>
      <c r="L22" s="112"/>
      <c r="M22" s="101"/>
      <c r="N22" s="106"/>
      <c r="O22" s="124">
        <f>Inputs!$C$5</f>
        <v>2006</v>
      </c>
      <c r="P22" s="124">
        <f>Inputs!$C$6</f>
        <v>2019</v>
      </c>
      <c r="Q22" s="125">
        <f>O22+(P22-O22)/2</f>
        <v>2012.5</v>
      </c>
      <c r="R22" s="112"/>
      <c r="S22" s="101"/>
      <c r="T22" s="106"/>
      <c r="U22" s="124">
        <f>Inputs!$C$5</f>
        <v>2006</v>
      </c>
      <c r="V22" s="124">
        <f>Inputs!$C$6</f>
        <v>2019</v>
      </c>
      <c r="W22" s="125">
        <f>U22+(V22-U22)/2</f>
        <v>2012.5</v>
      </c>
      <c r="X22" s="112"/>
    </row>
    <row r="23" spans="1:24" x14ac:dyDescent="0.25">
      <c r="A23" s="101" t="s">
        <v>130</v>
      </c>
      <c r="B23" s="101"/>
      <c r="C23" s="112"/>
      <c r="D23" s="112"/>
      <c r="E23" s="126">
        <f>E13-E22</f>
        <v>5.5</v>
      </c>
      <c r="F23" s="112"/>
      <c r="G23" s="101"/>
      <c r="H23" s="106"/>
      <c r="I23" s="112"/>
      <c r="J23" s="112"/>
      <c r="K23" s="126">
        <f>K13-K22</f>
        <v>5.5</v>
      </c>
      <c r="L23" s="112"/>
      <c r="M23" s="101"/>
      <c r="N23" s="106"/>
      <c r="O23" s="112"/>
      <c r="P23" s="112"/>
      <c r="Q23" s="126">
        <f>Q13-Q22</f>
        <v>5.5</v>
      </c>
      <c r="R23" s="112"/>
      <c r="S23" s="101"/>
      <c r="T23" s="106"/>
      <c r="U23" s="112"/>
      <c r="V23" s="112"/>
      <c r="W23" s="126">
        <f>W13-W22</f>
        <v>5.5</v>
      </c>
      <c r="X23" s="112"/>
    </row>
    <row r="24" spans="1:24" x14ac:dyDescent="0.25">
      <c r="A24" s="101" t="s">
        <v>131</v>
      </c>
      <c r="B24" s="101"/>
      <c r="C24" s="112"/>
      <c r="D24" s="112"/>
      <c r="E24" s="127">
        <f>-B$10*E23</f>
        <v>-8.7999999999999995E-2</v>
      </c>
      <c r="F24" s="112"/>
      <c r="G24" s="101"/>
      <c r="H24" s="106"/>
      <c r="I24" s="112"/>
      <c r="J24" s="112"/>
      <c r="K24" s="127">
        <f>-H$10*K23</f>
        <v>-8.249999999999999E-2</v>
      </c>
      <c r="L24" s="112"/>
      <c r="M24" s="101"/>
      <c r="N24" s="106"/>
      <c r="O24" s="112"/>
      <c r="P24" s="112"/>
      <c r="Q24" s="127">
        <f>-N$10*Q23</f>
        <v>-9.35E-2</v>
      </c>
      <c r="R24" s="112"/>
      <c r="S24" s="101"/>
      <c r="T24" s="106"/>
      <c r="U24" s="112"/>
      <c r="V24" s="112"/>
      <c r="W24" s="127">
        <f>-T$10*W23</f>
        <v>-8.249999999999999E-2</v>
      </c>
      <c r="X24" s="112"/>
    </row>
    <row r="25" spans="1:24" x14ac:dyDescent="0.25">
      <c r="A25" s="101" t="s">
        <v>132</v>
      </c>
      <c r="B25" s="101"/>
      <c r="C25" s="112"/>
      <c r="D25" s="112"/>
      <c r="E25" s="127">
        <f>(1-B6-B7-B8)*E17</f>
        <v>1.4052175870826003E-3</v>
      </c>
      <c r="F25" s="112"/>
      <c r="G25" s="101"/>
      <c r="H25" s="106"/>
      <c r="I25" s="112"/>
      <c r="J25" s="112"/>
      <c r="K25" s="127">
        <f>(1-H6-H7-H8)*K17</f>
        <v>1.103270927181828E-3</v>
      </c>
      <c r="L25" s="112"/>
      <c r="M25" s="101"/>
      <c r="N25" s="106"/>
      <c r="O25" s="112"/>
      <c r="P25" s="112"/>
      <c r="Q25" s="127">
        <f>(1-N6-N7-N8)*Q17</f>
        <v>2.1712690811821604E-3</v>
      </c>
      <c r="R25" s="112"/>
      <c r="S25" s="101"/>
      <c r="T25" s="106"/>
      <c r="U25" s="112"/>
      <c r="V25" s="112"/>
      <c r="W25" s="127">
        <f>(1-T6-T7-T8)*W17</f>
        <v>1.3264463235780094E-3</v>
      </c>
      <c r="X25" s="112"/>
    </row>
    <row r="26" spans="1:24" x14ac:dyDescent="0.25">
      <c r="A26" s="101" t="s">
        <v>133</v>
      </c>
      <c r="B26" s="101"/>
      <c r="C26" s="112"/>
      <c r="D26" s="112"/>
      <c r="E26" s="127">
        <f>B9*E18</f>
        <v>-3.1160193622290291E-2</v>
      </c>
      <c r="F26" s="112"/>
      <c r="G26" s="101"/>
      <c r="H26" s="106"/>
      <c r="I26" s="112"/>
      <c r="J26" s="112"/>
      <c r="K26" s="127">
        <f>H9*K18</f>
        <v>-3.2198866743033301E-2</v>
      </c>
      <c r="L26" s="112"/>
      <c r="M26" s="101"/>
      <c r="N26" s="106"/>
      <c r="O26" s="112"/>
      <c r="P26" s="112"/>
      <c r="Q26" s="127">
        <f>N9*Q18</f>
        <v>-2.9913785877398676E-2</v>
      </c>
      <c r="R26" s="112"/>
      <c r="S26" s="101"/>
      <c r="T26" s="106"/>
      <c r="U26" s="112"/>
      <c r="V26" s="112"/>
      <c r="W26" s="127">
        <f>T9*W18</f>
        <v>-2.4512685649535029E-2</v>
      </c>
      <c r="X26" s="112"/>
    </row>
    <row r="27" spans="1:24" x14ac:dyDescent="0.25">
      <c r="A27" s="101"/>
      <c r="B27" s="101"/>
      <c r="C27" s="112"/>
      <c r="D27" s="112"/>
      <c r="E27" s="101"/>
      <c r="F27" s="112"/>
      <c r="G27" s="101"/>
      <c r="H27" s="106"/>
      <c r="I27" s="112"/>
      <c r="J27" s="112"/>
      <c r="K27" s="101"/>
      <c r="L27" s="112"/>
      <c r="M27" s="101"/>
      <c r="N27" s="106"/>
      <c r="O27" s="112"/>
      <c r="P27" s="112"/>
      <c r="Q27" s="101"/>
      <c r="R27" s="112"/>
      <c r="S27" s="101"/>
      <c r="T27" s="106"/>
      <c r="U27" s="112"/>
      <c r="V27" s="112"/>
      <c r="W27" s="101"/>
      <c r="X27" s="112"/>
    </row>
    <row r="28" spans="1:24" x14ac:dyDescent="0.25">
      <c r="A28" s="100" t="s">
        <v>134</v>
      </c>
      <c r="B28" s="100"/>
      <c r="C28" s="112"/>
      <c r="D28" s="112"/>
      <c r="E28" s="128">
        <f>E24+E25-E26</f>
        <v>-5.5434588790627098E-2</v>
      </c>
      <c r="F28" s="112"/>
      <c r="G28" s="101"/>
      <c r="H28" s="105"/>
      <c r="I28" s="112"/>
      <c r="J28" s="112"/>
      <c r="K28" s="128">
        <f>K24+K25-K26</f>
        <v>-4.9197862329784854E-2</v>
      </c>
      <c r="L28" s="112"/>
      <c r="M28" s="101"/>
      <c r="N28" s="105"/>
      <c r="O28" s="112"/>
      <c r="P28" s="112"/>
      <c r="Q28" s="128">
        <f>Q24+Q25-Q26</f>
        <v>-6.1414945041419158E-2</v>
      </c>
      <c r="R28" s="112"/>
      <c r="S28" s="101"/>
      <c r="T28" s="105"/>
      <c r="U28" s="112"/>
      <c r="V28" s="112"/>
      <c r="W28" s="128">
        <f>W24+W25-W26</f>
        <v>-5.6660868026886954E-2</v>
      </c>
      <c r="X28" s="112"/>
    </row>
    <row r="29" spans="1:24" x14ac:dyDescent="0.25">
      <c r="A29" s="101"/>
      <c r="B29" s="101"/>
      <c r="C29" s="112"/>
      <c r="D29" s="112"/>
      <c r="E29" s="101"/>
      <c r="F29" s="112"/>
      <c r="G29" s="101"/>
      <c r="H29" s="106"/>
      <c r="I29" s="112"/>
      <c r="J29" s="112"/>
      <c r="K29" s="101"/>
      <c r="L29" s="112"/>
      <c r="M29" s="101"/>
      <c r="N29" s="106"/>
      <c r="O29" s="112"/>
      <c r="P29" s="112"/>
      <c r="Q29" s="101"/>
      <c r="R29" s="112"/>
      <c r="S29" s="101"/>
      <c r="T29" s="106"/>
      <c r="U29" s="112"/>
      <c r="V29" s="112"/>
      <c r="W29" s="101"/>
      <c r="X29" s="112"/>
    </row>
    <row r="30" spans="1:24" x14ac:dyDescent="0.25">
      <c r="A30" s="100" t="s">
        <v>135</v>
      </c>
      <c r="B30" s="100"/>
      <c r="C30" s="112"/>
      <c r="D30" s="112"/>
      <c r="E30" s="129">
        <v>0</v>
      </c>
      <c r="F30" s="112"/>
      <c r="G30" s="100"/>
      <c r="H30" s="105"/>
      <c r="I30" s="112"/>
      <c r="J30" s="112"/>
      <c r="K30" s="129">
        <v>0</v>
      </c>
      <c r="L30" s="112"/>
      <c r="M30" s="100"/>
      <c r="N30" s="105"/>
      <c r="O30" s="112"/>
      <c r="P30" s="112"/>
      <c r="Q30" s="129">
        <v>0</v>
      </c>
      <c r="R30" s="112"/>
      <c r="S30" s="100"/>
      <c r="T30" s="105"/>
      <c r="U30" s="112"/>
      <c r="V30" s="112"/>
      <c r="W30" s="129">
        <v>0</v>
      </c>
      <c r="X30" s="112"/>
    </row>
    <row r="31" spans="1:24" x14ac:dyDescent="0.25">
      <c r="A31" s="101"/>
      <c r="B31" s="112"/>
      <c r="C31" s="112"/>
      <c r="D31" s="112"/>
      <c r="E31" s="101"/>
      <c r="F31" s="112"/>
      <c r="G31" s="101"/>
      <c r="H31" s="107"/>
      <c r="I31" s="112"/>
      <c r="J31" s="112"/>
      <c r="K31" s="112"/>
      <c r="L31" s="112"/>
      <c r="M31" s="101"/>
      <c r="N31" s="107"/>
      <c r="O31" s="112"/>
      <c r="P31" s="112"/>
      <c r="Q31" s="112"/>
      <c r="R31" s="112"/>
      <c r="S31" s="101"/>
      <c r="T31" s="107"/>
      <c r="U31" s="112"/>
      <c r="V31" s="112"/>
      <c r="W31" s="112"/>
      <c r="X31" s="112"/>
    </row>
    <row r="32" spans="1:24" x14ac:dyDescent="0.25">
      <c r="A32" s="103" t="s">
        <v>136</v>
      </c>
      <c r="B32" s="130"/>
      <c r="C32" s="112"/>
      <c r="D32" s="112"/>
      <c r="E32" s="131">
        <f>(1+E17)*(1+E30)*(1-E28)-1</f>
        <v>0.11991786036383956</v>
      </c>
      <c r="F32" s="112"/>
      <c r="G32" s="130"/>
      <c r="H32" s="108"/>
      <c r="I32" s="112"/>
      <c r="J32" s="112"/>
      <c r="K32" s="131">
        <f>(1+K17)*(1+K30)*(1-K28)-1</f>
        <v>0.1215447059778958</v>
      </c>
      <c r="L32" s="112"/>
      <c r="M32" s="130"/>
      <c r="N32" s="108"/>
      <c r="O32" s="112"/>
      <c r="P32" s="112"/>
      <c r="Q32" s="131">
        <f>(1+Q17)*(1+Q30)*(1-Q28)-1</f>
        <v>0.12543209649900522</v>
      </c>
      <c r="R32" s="112"/>
      <c r="S32" s="130"/>
      <c r="T32" s="108"/>
      <c r="U32" s="112"/>
      <c r="V32" s="112"/>
      <c r="W32" s="131">
        <f>(1+W17)*(1+W30)*(1-W28)-1</f>
        <v>0.1267410642100375</v>
      </c>
      <c r="X32" s="112"/>
    </row>
    <row r="33" spans="1:24" x14ac:dyDescent="0.25">
      <c r="A33" s="101"/>
      <c r="B33" s="101" t="s">
        <v>168</v>
      </c>
      <c r="C33" s="112"/>
      <c r="D33" s="112"/>
      <c r="E33" s="101" t="s">
        <v>144</v>
      </c>
      <c r="F33" s="112"/>
      <c r="G33" s="101"/>
      <c r="H33" s="106" t="s">
        <v>168</v>
      </c>
      <c r="I33" s="112"/>
      <c r="J33" s="112"/>
      <c r="K33" s="101" t="s">
        <v>144</v>
      </c>
      <c r="L33" s="112"/>
      <c r="M33" s="101"/>
      <c r="N33" s="106" t="s">
        <v>168</v>
      </c>
      <c r="O33" s="112"/>
      <c r="P33" s="112"/>
      <c r="Q33" s="101" t="s">
        <v>144</v>
      </c>
      <c r="R33" s="112"/>
      <c r="S33" s="101"/>
      <c r="T33" s="106" t="s">
        <v>168</v>
      </c>
      <c r="U33" s="100"/>
      <c r="V33" s="100"/>
      <c r="W33" s="100"/>
      <c r="X33" s="112"/>
    </row>
    <row r="34" spans="1:24" x14ac:dyDescent="0.25">
      <c r="A34" s="100" t="s">
        <v>167</v>
      </c>
      <c r="B34" s="132">
        <f>'Cost Drivers'!$H$25</f>
        <v>183142.54904635577</v>
      </c>
      <c r="C34" s="112"/>
      <c r="D34" s="112"/>
      <c r="E34" s="101"/>
      <c r="F34" s="112"/>
      <c r="G34" s="101"/>
      <c r="H34" s="133">
        <f>B34</f>
        <v>183142.54904635577</v>
      </c>
      <c r="I34" s="112"/>
      <c r="J34" s="112"/>
      <c r="K34" s="112"/>
      <c r="L34" s="112"/>
      <c r="M34" s="101"/>
      <c r="N34" s="133">
        <f>H34</f>
        <v>183142.54904635577</v>
      </c>
      <c r="O34" s="112"/>
      <c r="P34" s="112"/>
      <c r="Q34" s="112"/>
      <c r="R34" s="112"/>
      <c r="S34" s="101"/>
      <c r="T34" s="133">
        <f>N34</f>
        <v>183142.54904635577</v>
      </c>
      <c r="U34" s="100"/>
      <c r="V34" s="100"/>
      <c r="W34" s="100"/>
      <c r="X34" s="112"/>
    </row>
    <row r="35" spans="1:24" x14ac:dyDescent="0.25">
      <c r="A35" s="104" t="s">
        <v>137</v>
      </c>
      <c r="B35" s="132">
        <f>B34*(1-F6)</f>
        <v>174194.14403864558</v>
      </c>
      <c r="C35" s="112"/>
      <c r="D35" s="112"/>
      <c r="E35" s="134">
        <f>$B35*(1+E32)</f>
        <v>195083.13307967043</v>
      </c>
      <c r="F35" s="112"/>
      <c r="G35" s="135"/>
      <c r="H35" s="133">
        <f>H34*(1-L6)</f>
        <v>183142.54904635577</v>
      </c>
      <c r="I35" s="112"/>
      <c r="J35" s="112"/>
      <c r="K35" s="134">
        <f t="shared" ref="K35" si="5">$H35*(1+K32)</f>
        <v>205402.55632223745</v>
      </c>
      <c r="L35" s="112"/>
      <c r="M35" s="135"/>
      <c r="N35" s="133">
        <f>N34*(1-R6)</f>
        <v>171812.33174545519</v>
      </c>
      <c r="O35" s="112"/>
      <c r="P35" s="112"/>
      <c r="Q35" s="134">
        <f>$N35*(1+Q32)</f>
        <v>193363.11272067021</v>
      </c>
      <c r="R35" s="112"/>
      <c r="S35" s="135"/>
      <c r="T35" s="133">
        <f>T34*(1-X6)</f>
        <v>175609.15399706751</v>
      </c>
      <c r="U35" s="100"/>
      <c r="V35" s="100"/>
      <c r="W35" s="134">
        <f t="shared" ref="W35" si="6">$T35*(1+W32)</f>
        <v>197866.04505968021</v>
      </c>
      <c r="X35" s="112"/>
    </row>
    <row r="36" spans="1:24" x14ac:dyDescent="0.25">
      <c r="A36" s="104" t="s">
        <v>161</v>
      </c>
      <c r="B36" s="135"/>
      <c r="C36" s="135"/>
      <c r="D36" s="135"/>
      <c r="E36" s="134">
        <f>E35*Inputs!$C$8</f>
        <v>203253.1769209959</v>
      </c>
      <c r="F36" s="112"/>
      <c r="G36" s="135"/>
      <c r="H36" s="109"/>
      <c r="I36" s="135"/>
      <c r="J36" s="135"/>
      <c r="K36" s="134">
        <f>K35*Inputs!$C$8</f>
        <v>214004.77561091198</v>
      </c>
      <c r="L36" s="112"/>
      <c r="M36" s="135"/>
      <c r="N36" s="109"/>
      <c r="O36" s="135"/>
      <c r="P36" s="135"/>
      <c r="Q36" s="134">
        <f>Q35*Inputs!$C$8</f>
        <v>201461.12244239156</v>
      </c>
      <c r="R36" s="112"/>
      <c r="S36" s="135"/>
      <c r="T36" s="109"/>
      <c r="U36" s="100"/>
      <c r="V36" s="100"/>
      <c r="W36" s="134">
        <f>W35*Inputs!$C$8</f>
        <v>206152.6367159003</v>
      </c>
      <c r="X36" s="1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AI148"/>
  <sheetViews>
    <sheetView zoomScale="83" workbookViewId="0">
      <selection activeCell="C7" sqref="C7"/>
    </sheetView>
  </sheetViews>
  <sheetFormatPr defaultColWidth="8.7109375" defaultRowHeight="12.75" x14ac:dyDescent="0.2"/>
  <cols>
    <col min="1" max="1" width="8.7109375" style="16"/>
    <col min="2" max="2" width="28.7109375" style="16" bestFit="1" customWidth="1"/>
    <col min="3" max="3" width="29.140625" style="16" customWidth="1"/>
    <col min="4" max="4" width="17" style="16" bestFit="1" customWidth="1"/>
    <col min="5" max="5" width="34.85546875" style="16" customWidth="1"/>
    <col min="6" max="6" width="8.140625" style="16" customWidth="1"/>
    <col min="7" max="7" width="16.28515625" style="16" bestFit="1" customWidth="1"/>
    <col min="8" max="8" width="18.7109375" style="16" bestFit="1" customWidth="1"/>
    <col min="9" max="9" width="12" style="16" customWidth="1"/>
    <col min="10" max="11" width="15.42578125" style="16" customWidth="1"/>
    <col min="12" max="15" width="8.7109375" style="16"/>
    <col min="16" max="16" width="20.140625" style="16" bestFit="1" customWidth="1"/>
    <col min="17" max="16384" width="8.7109375" style="16"/>
  </cols>
  <sheetData>
    <row r="2" spans="2:17" x14ac:dyDescent="0.2">
      <c r="B2" s="14" t="s">
        <v>25</v>
      </c>
      <c r="C2" s="15" t="s">
        <v>173</v>
      </c>
      <c r="J2" s="42"/>
      <c r="K2" s="42"/>
      <c r="L2" s="42"/>
      <c r="O2" s="42"/>
      <c r="P2" s="42"/>
      <c r="Q2" s="42"/>
    </row>
    <row r="3" spans="2:17" x14ac:dyDescent="0.2">
      <c r="B3" s="14" t="s">
        <v>26</v>
      </c>
      <c r="C3" s="15" t="s">
        <v>79</v>
      </c>
      <c r="J3" s="42"/>
      <c r="K3" s="42"/>
      <c r="L3" s="42"/>
      <c r="O3" s="42"/>
      <c r="P3" s="42"/>
      <c r="Q3" s="42"/>
    </row>
    <row r="4" spans="2:17" x14ac:dyDescent="0.2">
      <c r="B4" s="14" t="s">
        <v>28</v>
      </c>
      <c r="C4" s="17">
        <v>2018</v>
      </c>
      <c r="J4" s="42"/>
      <c r="K4" s="42"/>
      <c r="L4" s="42"/>
      <c r="O4" s="42"/>
      <c r="P4" s="42"/>
      <c r="Q4" s="42"/>
    </row>
    <row r="5" spans="2:17" x14ac:dyDescent="0.2">
      <c r="B5" s="14" t="s">
        <v>29</v>
      </c>
      <c r="C5" s="17">
        <v>2006</v>
      </c>
      <c r="J5" s="166"/>
      <c r="K5" s="42"/>
      <c r="L5" s="42"/>
      <c r="O5" s="42"/>
      <c r="P5" s="42"/>
      <c r="Q5" s="42"/>
    </row>
    <row r="6" spans="2:17" x14ac:dyDescent="0.2">
      <c r="B6" s="14" t="s">
        <v>30</v>
      </c>
      <c r="C6" s="17">
        <v>2019</v>
      </c>
      <c r="J6" s="166"/>
      <c r="K6" s="42"/>
      <c r="L6" s="42"/>
      <c r="O6" s="42"/>
      <c r="P6" s="42"/>
      <c r="Q6" s="42"/>
    </row>
    <row r="7" spans="2:17" ht="25.5" x14ac:dyDescent="0.2">
      <c r="B7" s="14" t="s">
        <v>164</v>
      </c>
      <c r="C7" s="175" t="s">
        <v>175</v>
      </c>
      <c r="J7" s="166"/>
      <c r="K7" s="42"/>
      <c r="L7" s="42"/>
      <c r="O7" s="42"/>
      <c r="P7" s="42"/>
      <c r="Q7" s="42"/>
    </row>
    <row r="8" spans="2:17" x14ac:dyDescent="0.2">
      <c r="B8" s="14" t="s">
        <v>158</v>
      </c>
      <c r="C8" s="164">
        <v>1.0418798063797186</v>
      </c>
      <c r="J8" s="166"/>
      <c r="K8" s="42"/>
      <c r="L8" s="42"/>
      <c r="O8" s="42"/>
      <c r="P8" s="42"/>
      <c r="Q8" s="42"/>
    </row>
    <row r="9" spans="2:17" x14ac:dyDescent="0.2">
      <c r="B9" s="14" t="s">
        <v>160</v>
      </c>
      <c r="C9" s="18">
        <v>1.0418798063797186</v>
      </c>
      <c r="E9" s="167"/>
      <c r="J9" s="166"/>
      <c r="K9" s="42"/>
      <c r="L9" s="42"/>
      <c r="O9" s="42"/>
      <c r="P9" s="42"/>
      <c r="Q9" s="42"/>
    </row>
    <row r="10" spans="2:17" ht="15" x14ac:dyDescent="0.25">
      <c r="B10" s="19"/>
      <c r="C10" s="19"/>
      <c r="J10" s="166"/>
      <c r="K10" s="42"/>
      <c r="L10" s="42"/>
    </row>
    <row r="11" spans="2:17" ht="15" x14ac:dyDescent="0.25">
      <c r="B11" s="19"/>
      <c r="C11" s="19"/>
      <c r="D11" s="19"/>
      <c r="E11" s="19"/>
      <c r="J11" s="166"/>
      <c r="K11" s="42"/>
      <c r="L11" s="42"/>
    </row>
    <row r="12" spans="2:17" ht="15" x14ac:dyDescent="0.25">
      <c r="B12" s="19"/>
      <c r="C12" s="20"/>
      <c r="D12" s="21"/>
      <c r="E12" s="19"/>
      <c r="F12" s="19"/>
      <c r="J12" s="166"/>
      <c r="K12" s="42"/>
      <c r="L12" s="42"/>
    </row>
    <row r="13" spans="2:17" ht="15" x14ac:dyDescent="0.25">
      <c r="B13" s="19"/>
      <c r="C13" s="20"/>
      <c r="D13" s="21"/>
      <c r="F13" s="19"/>
      <c r="J13" s="166"/>
      <c r="K13" s="42"/>
      <c r="L13" s="42"/>
    </row>
    <row r="14" spans="2:17" ht="15" x14ac:dyDescent="0.25">
      <c r="B14" s="19"/>
      <c r="C14" s="22"/>
      <c r="D14" s="23"/>
      <c r="F14" s="22"/>
      <c r="J14" s="166"/>
      <c r="K14" s="42"/>
      <c r="L14" s="42"/>
    </row>
    <row r="15" spans="2:17" x14ac:dyDescent="0.2">
      <c r="J15" s="166"/>
      <c r="K15" s="42"/>
      <c r="L15" s="42"/>
    </row>
    <row r="16" spans="2:17" x14ac:dyDescent="0.2">
      <c r="B16" s="24" t="s">
        <v>31</v>
      </c>
      <c r="C16" s="24" t="s">
        <v>32</v>
      </c>
      <c r="D16" s="25" t="s">
        <v>33</v>
      </c>
    </row>
    <row r="17" spans="2:10" ht="15" x14ac:dyDescent="0.25">
      <c r="F17" s="29"/>
      <c r="I17" s="30"/>
    </row>
    <row r="18" spans="2:10" ht="15" x14ac:dyDescent="0.25">
      <c r="B18" s="26" t="s">
        <v>163</v>
      </c>
      <c r="C18" s="27" t="s">
        <v>34</v>
      </c>
      <c r="D18" s="28">
        <v>193.55793337553899</v>
      </c>
      <c r="F18" s="29"/>
    </row>
    <row r="19" spans="2:10" ht="15" x14ac:dyDescent="0.25">
      <c r="B19" s="26" t="s">
        <v>163</v>
      </c>
      <c r="C19" s="27" t="s">
        <v>157</v>
      </c>
      <c r="D19" s="31">
        <f>D18*C9</f>
        <v>201.66410214856504</v>
      </c>
      <c r="I19" s="32"/>
      <c r="J19" s="33"/>
    </row>
    <row r="21" spans="2:10" x14ac:dyDescent="0.2">
      <c r="G21" s="169"/>
    </row>
    <row r="22" spans="2:10" x14ac:dyDescent="0.2">
      <c r="B22" s="24" t="s">
        <v>35</v>
      </c>
      <c r="C22" s="24" t="s">
        <v>32</v>
      </c>
      <c r="D22" s="25" t="s">
        <v>36</v>
      </c>
    </row>
    <row r="23" spans="2:10" ht="15" x14ac:dyDescent="0.2">
      <c r="B23" s="26" t="s">
        <v>37</v>
      </c>
      <c r="C23" s="16" t="s">
        <v>38</v>
      </c>
      <c r="D23" s="176">
        <f>D25+D24+D26</f>
        <v>1.5575968327871757E-2</v>
      </c>
    </row>
    <row r="24" spans="2:10" ht="15" x14ac:dyDescent="0.25">
      <c r="B24" s="34" t="s">
        <v>39</v>
      </c>
      <c r="C24" s="16" t="s">
        <v>38</v>
      </c>
      <c r="D24" s="174">
        <v>-1.6263394750349307E-2</v>
      </c>
      <c r="E24" s="29"/>
    </row>
    <row r="25" spans="2:10" ht="15" x14ac:dyDescent="0.25">
      <c r="B25" s="34" t="s">
        <v>40</v>
      </c>
      <c r="C25" s="16" t="s">
        <v>38</v>
      </c>
      <c r="D25" s="174">
        <v>3.972418891359749E-2</v>
      </c>
      <c r="E25" s="19"/>
    </row>
    <row r="26" spans="2:10" ht="15" x14ac:dyDescent="0.25">
      <c r="B26" s="26" t="s">
        <v>166</v>
      </c>
      <c r="C26" s="16" t="s">
        <v>38</v>
      </c>
      <c r="D26" s="174">
        <v>-7.8848258353764258E-3</v>
      </c>
    </row>
    <row r="29" spans="2:10" ht="14.25" x14ac:dyDescent="0.2">
      <c r="E29" s="35"/>
    </row>
    <row r="64" spans="1:35" x14ac:dyDescent="0.2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</row>
    <row r="65" spans="1:35" ht="17.25" x14ac:dyDescent="0.3">
      <c r="A65" s="192"/>
      <c r="B65" s="193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</row>
    <row r="66" spans="1:35" ht="15" x14ac:dyDescent="0.25">
      <c r="A66" s="192"/>
      <c r="B66" s="187"/>
      <c r="C66" s="185"/>
      <c r="D66" s="185"/>
      <c r="E66" s="185"/>
      <c r="F66" s="185"/>
      <c r="G66" s="185"/>
      <c r="H66" s="190"/>
      <c r="I66" s="194"/>
      <c r="J66" s="185"/>
      <c r="K66" s="185"/>
      <c r="L66" s="185"/>
      <c r="M66" s="185"/>
      <c r="N66" s="185"/>
      <c r="O66" s="185"/>
      <c r="P66" s="194"/>
      <c r="Q66" s="185"/>
      <c r="R66" s="185"/>
      <c r="S66" s="185"/>
      <c r="T66" s="185"/>
      <c r="U66" s="185"/>
      <c r="V66" s="186"/>
      <c r="W66" s="187"/>
      <c r="X66" s="185"/>
      <c r="Y66" s="185"/>
      <c r="Z66" s="185"/>
      <c r="AA66" s="185"/>
      <c r="AB66" s="185"/>
      <c r="AC66" s="192"/>
      <c r="AD66" s="192"/>
      <c r="AE66" s="192"/>
      <c r="AF66" s="192"/>
      <c r="AG66" s="192"/>
      <c r="AH66" s="192"/>
      <c r="AI66" s="192"/>
    </row>
    <row r="67" spans="1:35" ht="15" x14ac:dyDescent="0.25">
      <c r="A67" s="192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6"/>
      <c r="P67" s="185"/>
      <c r="Q67" s="185"/>
      <c r="R67" s="185"/>
      <c r="S67" s="185"/>
      <c r="T67" s="185"/>
      <c r="U67" s="185"/>
      <c r="V67" s="186"/>
      <c r="W67" s="185"/>
      <c r="X67" s="185"/>
      <c r="Y67" s="185"/>
      <c r="Z67" s="185"/>
      <c r="AA67" s="185"/>
      <c r="AB67" s="185"/>
      <c r="AC67" s="192"/>
      <c r="AD67" s="192"/>
      <c r="AE67" s="192"/>
      <c r="AF67" s="192"/>
      <c r="AG67" s="192"/>
      <c r="AH67" s="192"/>
      <c r="AI67" s="192"/>
    </row>
    <row r="68" spans="1:35" ht="15" x14ac:dyDescent="0.25">
      <c r="A68" s="192"/>
      <c r="B68" s="187"/>
      <c r="C68" s="185"/>
      <c r="D68" s="185"/>
      <c r="E68" s="185"/>
      <c r="F68" s="187"/>
      <c r="G68" s="185"/>
      <c r="H68" s="185"/>
      <c r="I68" s="187"/>
      <c r="J68" s="185"/>
      <c r="K68" s="185"/>
      <c r="L68" s="185"/>
      <c r="M68" s="187"/>
      <c r="N68" s="185"/>
      <c r="O68" s="186"/>
      <c r="P68" s="187"/>
      <c r="Q68" s="185"/>
      <c r="R68" s="185"/>
      <c r="S68" s="185"/>
      <c r="T68" s="187"/>
      <c r="U68" s="185"/>
      <c r="V68" s="186"/>
      <c r="W68" s="187"/>
      <c r="X68" s="185"/>
      <c r="Y68" s="185"/>
      <c r="Z68" s="185"/>
      <c r="AA68" s="187"/>
      <c r="AB68" s="185"/>
      <c r="AC68" s="192"/>
      <c r="AD68" s="192"/>
      <c r="AE68" s="192"/>
      <c r="AF68" s="192"/>
      <c r="AG68" s="192"/>
      <c r="AH68" s="192"/>
      <c r="AI68" s="192"/>
    </row>
    <row r="69" spans="1:35" ht="15" x14ac:dyDescent="0.25">
      <c r="A69" s="192"/>
      <c r="B69" s="187"/>
      <c r="C69" s="185"/>
      <c r="D69" s="185"/>
      <c r="E69" s="185"/>
      <c r="F69" s="187"/>
      <c r="G69" s="185"/>
      <c r="H69" s="185"/>
      <c r="I69" s="187"/>
      <c r="J69" s="185"/>
      <c r="K69" s="185"/>
      <c r="L69" s="185"/>
      <c r="M69" s="187"/>
      <c r="N69" s="185"/>
      <c r="O69" s="186"/>
      <c r="P69" s="187"/>
      <c r="Q69" s="185"/>
      <c r="R69" s="185"/>
      <c r="S69" s="185"/>
      <c r="T69" s="187"/>
      <c r="U69" s="185"/>
      <c r="V69" s="186"/>
      <c r="W69" s="187"/>
      <c r="X69" s="185"/>
      <c r="Y69" s="185"/>
      <c r="Z69" s="185"/>
      <c r="AA69" s="187"/>
      <c r="AB69" s="185"/>
      <c r="AC69" s="192"/>
      <c r="AD69" s="192"/>
      <c r="AE69" s="192"/>
      <c r="AF69" s="192"/>
      <c r="AG69" s="192"/>
      <c r="AH69" s="192"/>
      <c r="AI69" s="192"/>
    </row>
    <row r="70" spans="1:35" ht="15" x14ac:dyDescent="0.25">
      <c r="A70" s="192"/>
      <c r="B70" s="185"/>
      <c r="C70" s="185"/>
      <c r="D70" s="185"/>
      <c r="E70" s="185"/>
      <c r="F70" s="188"/>
      <c r="G70" s="188"/>
      <c r="H70" s="185"/>
      <c r="I70" s="185"/>
      <c r="J70" s="185"/>
      <c r="K70" s="185"/>
      <c r="L70" s="185"/>
      <c r="M70" s="188"/>
      <c r="N70" s="188"/>
      <c r="O70" s="186"/>
      <c r="P70" s="185"/>
      <c r="Q70" s="185"/>
      <c r="R70" s="185"/>
      <c r="S70" s="185"/>
      <c r="T70" s="188"/>
      <c r="U70" s="188"/>
      <c r="V70" s="186"/>
      <c r="W70" s="185"/>
      <c r="X70" s="185"/>
      <c r="Y70" s="185"/>
      <c r="Z70" s="185"/>
      <c r="AA70" s="188"/>
      <c r="AB70" s="188"/>
      <c r="AC70" s="192"/>
      <c r="AD70" s="192"/>
      <c r="AE70" s="192"/>
      <c r="AF70" s="192"/>
      <c r="AG70" s="192"/>
      <c r="AH70" s="192"/>
      <c r="AI70" s="192"/>
    </row>
    <row r="71" spans="1:35" ht="15" x14ac:dyDescent="0.25">
      <c r="A71" s="192"/>
      <c r="B71" s="195"/>
      <c r="C71" s="196"/>
      <c r="D71" s="196"/>
      <c r="E71" s="185"/>
      <c r="F71" s="187"/>
      <c r="G71" s="192"/>
      <c r="H71" s="189"/>
      <c r="I71" s="195"/>
      <c r="J71" s="196"/>
      <c r="K71" s="196"/>
      <c r="L71" s="185"/>
      <c r="M71" s="187"/>
      <c r="N71" s="192"/>
      <c r="O71" s="186"/>
      <c r="P71" s="195"/>
      <c r="Q71" s="196"/>
      <c r="R71" s="196"/>
      <c r="S71" s="185"/>
      <c r="T71" s="187"/>
      <c r="U71" s="192"/>
      <c r="V71" s="186"/>
      <c r="W71" s="195"/>
      <c r="X71" s="196"/>
      <c r="Y71" s="196"/>
      <c r="Z71" s="185"/>
      <c r="AA71" s="187"/>
      <c r="AB71" s="192"/>
      <c r="AC71" s="192"/>
      <c r="AD71" s="192"/>
      <c r="AE71" s="192"/>
      <c r="AF71" s="192"/>
      <c r="AG71" s="192"/>
      <c r="AH71" s="192"/>
      <c r="AI71" s="192"/>
    </row>
    <row r="72" spans="1:35" ht="15" x14ac:dyDescent="0.25">
      <c r="A72" s="192"/>
      <c r="B72" s="46"/>
      <c r="C72" s="192"/>
      <c r="D72" s="192"/>
      <c r="E72" s="185"/>
      <c r="F72" s="187"/>
      <c r="G72" s="192"/>
      <c r="H72" s="189"/>
      <c r="I72" s="46"/>
      <c r="J72" s="192"/>
      <c r="K72" s="192"/>
      <c r="L72" s="185"/>
      <c r="M72" s="187"/>
      <c r="N72" s="192"/>
      <c r="O72" s="186"/>
      <c r="P72" s="46"/>
      <c r="Q72" s="192"/>
      <c r="R72" s="192"/>
      <c r="S72" s="185"/>
      <c r="T72" s="187"/>
      <c r="U72" s="192"/>
      <c r="V72" s="186"/>
      <c r="W72" s="46"/>
      <c r="X72" s="192"/>
      <c r="Y72" s="192"/>
      <c r="Z72" s="185"/>
      <c r="AA72" s="187"/>
      <c r="AB72" s="192"/>
      <c r="AC72" s="192"/>
      <c r="AD72" s="192"/>
      <c r="AE72" s="192"/>
      <c r="AF72" s="192"/>
      <c r="AG72" s="192"/>
      <c r="AH72" s="192"/>
      <c r="AI72" s="192"/>
    </row>
    <row r="73" spans="1:35" ht="15" x14ac:dyDescent="0.25">
      <c r="A73" s="192"/>
      <c r="B73" s="46"/>
      <c r="C73" s="192"/>
      <c r="D73" s="192"/>
      <c r="E73" s="185"/>
      <c r="F73" s="187"/>
      <c r="G73" s="192"/>
      <c r="H73" s="189"/>
      <c r="I73" s="46"/>
      <c r="J73" s="192"/>
      <c r="K73" s="192"/>
      <c r="L73" s="185"/>
      <c r="M73" s="187"/>
      <c r="N73" s="192"/>
      <c r="O73" s="186"/>
      <c r="P73" s="46"/>
      <c r="Q73" s="192"/>
      <c r="R73" s="192"/>
      <c r="S73" s="185"/>
      <c r="T73" s="187"/>
      <c r="U73" s="192"/>
      <c r="V73" s="186"/>
      <c r="W73" s="46"/>
      <c r="X73" s="192"/>
      <c r="Y73" s="192"/>
      <c r="Z73" s="185"/>
      <c r="AA73" s="187"/>
      <c r="AB73" s="192"/>
      <c r="AC73" s="192"/>
      <c r="AD73" s="192"/>
      <c r="AE73" s="192"/>
      <c r="AF73" s="192"/>
      <c r="AG73" s="192"/>
      <c r="AH73" s="192"/>
      <c r="AI73" s="192"/>
    </row>
    <row r="74" spans="1:35" ht="15" x14ac:dyDescent="0.25">
      <c r="A74" s="192"/>
      <c r="B74" s="46"/>
      <c r="C74" s="192"/>
      <c r="D74" s="192"/>
      <c r="E74" s="185"/>
      <c r="F74" s="187"/>
      <c r="G74" s="192"/>
      <c r="H74" s="189"/>
      <c r="I74" s="46"/>
      <c r="J74" s="192"/>
      <c r="K74" s="192"/>
      <c r="L74" s="185"/>
      <c r="M74" s="187"/>
      <c r="N74" s="192"/>
      <c r="O74" s="186"/>
      <c r="P74" s="46"/>
      <c r="Q74" s="192"/>
      <c r="R74" s="192"/>
      <c r="S74" s="185"/>
      <c r="T74" s="187"/>
      <c r="U74" s="192"/>
      <c r="V74" s="186"/>
      <c r="W74" s="46"/>
      <c r="X74" s="192"/>
      <c r="Y74" s="192"/>
      <c r="Z74" s="185"/>
      <c r="AA74" s="187"/>
      <c r="AB74" s="192"/>
      <c r="AC74" s="192"/>
      <c r="AD74" s="192"/>
      <c r="AE74" s="192"/>
      <c r="AF74" s="192"/>
      <c r="AG74" s="192"/>
      <c r="AH74" s="192"/>
      <c r="AI74" s="192"/>
    </row>
    <row r="75" spans="1:35" ht="15" x14ac:dyDescent="0.25">
      <c r="A75" s="192"/>
      <c r="B75" s="46"/>
      <c r="C75" s="192"/>
      <c r="D75" s="192"/>
      <c r="E75" s="185"/>
      <c r="F75" s="187"/>
      <c r="G75" s="192"/>
      <c r="H75" s="189"/>
      <c r="I75" s="46"/>
      <c r="J75" s="192"/>
      <c r="K75" s="192"/>
      <c r="L75" s="185"/>
      <c r="M75" s="187"/>
      <c r="N75" s="192"/>
      <c r="O75" s="186"/>
      <c r="P75" s="46"/>
      <c r="Q75" s="192"/>
      <c r="R75" s="192"/>
      <c r="S75" s="185"/>
      <c r="T75" s="187"/>
      <c r="U75" s="192"/>
      <c r="V75" s="186"/>
      <c r="W75" s="46"/>
      <c r="X75" s="192"/>
      <c r="Y75" s="192"/>
      <c r="Z75" s="185"/>
      <c r="AA75" s="187"/>
      <c r="AB75" s="192"/>
      <c r="AC75" s="192"/>
      <c r="AD75" s="192"/>
      <c r="AE75" s="192"/>
      <c r="AF75" s="192"/>
      <c r="AG75" s="192"/>
      <c r="AH75" s="192"/>
      <c r="AI75" s="192"/>
    </row>
    <row r="76" spans="1:35" ht="15" x14ac:dyDescent="0.25">
      <c r="A76" s="192"/>
      <c r="B76" s="46"/>
      <c r="C76" s="192"/>
      <c r="D76" s="192"/>
      <c r="E76" s="185"/>
      <c r="F76" s="187"/>
      <c r="G76" s="192"/>
      <c r="H76" s="189"/>
      <c r="I76" s="46"/>
      <c r="J76" s="192"/>
      <c r="K76" s="192"/>
      <c r="L76" s="185"/>
      <c r="M76" s="187"/>
      <c r="N76" s="192"/>
      <c r="O76" s="186"/>
      <c r="P76" s="46"/>
      <c r="Q76" s="192"/>
      <c r="R76" s="192"/>
      <c r="S76" s="185"/>
      <c r="T76" s="187"/>
      <c r="U76" s="192"/>
      <c r="V76" s="186"/>
      <c r="W76" s="46"/>
      <c r="X76" s="192"/>
      <c r="Y76" s="192"/>
      <c r="Z76" s="185"/>
      <c r="AA76" s="187"/>
      <c r="AB76" s="192"/>
      <c r="AC76" s="192"/>
      <c r="AD76" s="192"/>
      <c r="AE76" s="192"/>
      <c r="AF76" s="192"/>
      <c r="AG76" s="192"/>
      <c r="AH76" s="192"/>
      <c r="AI76" s="192"/>
    </row>
    <row r="77" spans="1:35" ht="15" x14ac:dyDescent="0.25">
      <c r="A77" s="192"/>
      <c r="B77" s="46"/>
      <c r="C77" s="192"/>
      <c r="D77" s="192"/>
      <c r="E77" s="185"/>
      <c r="F77" s="187"/>
      <c r="G77" s="192"/>
      <c r="H77" s="189"/>
      <c r="I77" s="46"/>
      <c r="J77" s="192"/>
      <c r="K77" s="192"/>
      <c r="L77" s="185"/>
      <c r="M77" s="187"/>
      <c r="N77" s="192"/>
      <c r="O77" s="186"/>
      <c r="P77" s="46"/>
      <c r="Q77" s="192"/>
      <c r="R77" s="192"/>
      <c r="S77" s="185"/>
      <c r="T77" s="187"/>
      <c r="U77" s="192"/>
      <c r="V77" s="186"/>
      <c r="W77" s="46"/>
      <c r="X77" s="192"/>
      <c r="Y77" s="192"/>
      <c r="Z77" s="185"/>
      <c r="AA77" s="187"/>
      <c r="AB77" s="192"/>
      <c r="AC77" s="192"/>
      <c r="AD77" s="192"/>
      <c r="AE77" s="192"/>
      <c r="AF77" s="192"/>
      <c r="AG77" s="192"/>
      <c r="AH77" s="192"/>
      <c r="AI77" s="192"/>
    </row>
    <row r="78" spans="1:35" ht="15" x14ac:dyDescent="0.25">
      <c r="A78" s="192"/>
      <c r="B78" s="46"/>
      <c r="C78" s="192"/>
      <c r="D78" s="192"/>
      <c r="E78" s="185"/>
      <c r="F78" s="187"/>
      <c r="G78" s="192"/>
      <c r="H78" s="189"/>
      <c r="I78" s="46"/>
      <c r="J78" s="192"/>
      <c r="K78" s="192"/>
      <c r="L78" s="185"/>
      <c r="M78" s="187"/>
      <c r="N78" s="192"/>
      <c r="O78" s="186"/>
      <c r="P78" s="46"/>
      <c r="Q78" s="192"/>
      <c r="R78" s="192"/>
      <c r="S78" s="185"/>
      <c r="T78" s="187"/>
      <c r="U78" s="192"/>
      <c r="V78" s="186"/>
      <c r="W78" s="46"/>
      <c r="X78" s="192"/>
      <c r="Y78" s="192"/>
      <c r="Z78" s="185"/>
      <c r="AA78" s="187"/>
      <c r="AB78" s="192"/>
      <c r="AC78" s="192"/>
      <c r="AD78" s="192"/>
      <c r="AE78" s="192"/>
      <c r="AF78" s="192"/>
      <c r="AG78" s="192"/>
      <c r="AH78" s="192"/>
      <c r="AI78" s="192"/>
    </row>
    <row r="79" spans="1:35" ht="15" x14ac:dyDescent="0.25">
      <c r="A79" s="192"/>
      <c r="B79" s="46"/>
      <c r="C79" s="192"/>
      <c r="D79" s="192"/>
      <c r="E79" s="185"/>
      <c r="F79" s="187"/>
      <c r="G79" s="192"/>
      <c r="H79" s="189"/>
      <c r="I79" s="46"/>
      <c r="J79" s="192"/>
      <c r="K79" s="192"/>
      <c r="L79" s="185"/>
      <c r="M79" s="187"/>
      <c r="N79" s="192"/>
      <c r="O79" s="186"/>
      <c r="P79" s="46"/>
      <c r="Q79" s="192"/>
      <c r="R79" s="192"/>
      <c r="S79" s="185"/>
      <c r="T79" s="187"/>
      <c r="U79" s="192"/>
      <c r="V79" s="186"/>
      <c r="W79" s="46"/>
      <c r="X79" s="192"/>
      <c r="Y79" s="192"/>
      <c r="Z79" s="185"/>
      <c r="AA79" s="187"/>
      <c r="AB79" s="192"/>
      <c r="AC79" s="192"/>
      <c r="AD79" s="192"/>
      <c r="AE79" s="192"/>
      <c r="AF79" s="192"/>
      <c r="AG79" s="192"/>
      <c r="AH79" s="192"/>
      <c r="AI79" s="192"/>
    </row>
    <row r="80" spans="1:35" ht="15" x14ac:dyDescent="0.25">
      <c r="A80" s="192"/>
      <c r="B80" s="185"/>
      <c r="C80" s="185"/>
      <c r="D80" s="185"/>
      <c r="E80" s="185"/>
      <c r="F80" s="187"/>
      <c r="G80" s="192"/>
      <c r="H80" s="189"/>
      <c r="I80" s="46"/>
      <c r="J80" s="192"/>
      <c r="K80" s="192"/>
      <c r="L80" s="185"/>
      <c r="M80" s="187"/>
      <c r="N80" s="192"/>
      <c r="O80" s="186"/>
      <c r="P80" s="46"/>
      <c r="Q80" s="192"/>
      <c r="R80" s="192"/>
      <c r="S80" s="185"/>
      <c r="T80" s="187"/>
      <c r="U80" s="192"/>
      <c r="V80" s="186"/>
      <c r="W80" s="46"/>
      <c r="X80" s="192"/>
      <c r="Y80" s="192"/>
      <c r="Z80" s="185"/>
      <c r="AA80" s="187"/>
      <c r="AB80" s="192"/>
      <c r="AC80" s="192"/>
      <c r="AD80" s="192"/>
      <c r="AE80" s="192"/>
      <c r="AF80" s="192"/>
      <c r="AG80" s="192"/>
      <c r="AH80" s="192"/>
      <c r="AI80" s="192"/>
    </row>
    <row r="81" spans="1:35" ht="15" x14ac:dyDescent="0.25">
      <c r="A81" s="192"/>
      <c r="B81" s="185"/>
      <c r="C81" s="185"/>
      <c r="D81" s="185"/>
      <c r="E81" s="185"/>
      <c r="F81" s="187"/>
      <c r="G81" s="192"/>
      <c r="H81" s="189"/>
      <c r="I81" s="46"/>
      <c r="J81" s="192"/>
      <c r="K81" s="192"/>
      <c r="L81" s="185"/>
      <c r="M81" s="187"/>
      <c r="N81" s="192"/>
      <c r="O81" s="186"/>
      <c r="P81" s="46"/>
      <c r="Q81" s="192"/>
      <c r="R81" s="192"/>
      <c r="S81" s="185"/>
      <c r="T81" s="187"/>
      <c r="U81" s="192"/>
      <c r="V81" s="186"/>
      <c r="W81" s="46"/>
      <c r="X81" s="192"/>
      <c r="Y81" s="192"/>
      <c r="Z81" s="185"/>
      <c r="AA81" s="187"/>
      <c r="AB81" s="192"/>
      <c r="AC81" s="192"/>
      <c r="AD81" s="192"/>
      <c r="AE81" s="192"/>
      <c r="AF81" s="192"/>
      <c r="AG81" s="192"/>
      <c r="AH81" s="192"/>
      <c r="AI81" s="192"/>
    </row>
    <row r="82" spans="1:35" ht="15" x14ac:dyDescent="0.25">
      <c r="A82" s="192"/>
      <c r="B82" s="185"/>
      <c r="C82" s="185"/>
      <c r="D82" s="185"/>
      <c r="E82" s="185"/>
      <c r="F82" s="187"/>
      <c r="G82" s="192"/>
      <c r="H82" s="189"/>
      <c r="I82" s="46"/>
      <c r="J82" s="192"/>
      <c r="K82" s="192"/>
      <c r="L82" s="185"/>
      <c r="M82" s="187"/>
      <c r="N82" s="192"/>
      <c r="O82" s="186"/>
      <c r="P82" s="46"/>
      <c r="Q82" s="192"/>
      <c r="R82" s="192"/>
      <c r="S82" s="185"/>
      <c r="T82" s="187"/>
      <c r="U82" s="192"/>
      <c r="V82" s="186"/>
      <c r="W82" s="46"/>
      <c r="X82" s="192"/>
      <c r="Y82" s="192"/>
      <c r="Z82" s="185"/>
      <c r="AA82" s="187"/>
      <c r="AB82" s="192"/>
      <c r="AC82" s="192"/>
      <c r="AD82" s="192"/>
      <c r="AE82" s="192"/>
      <c r="AF82" s="192"/>
      <c r="AG82" s="192"/>
      <c r="AH82" s="192"/>
      <c r="AI82" s="192"/>
    </row>
    <row r="83" spans="1:35" ht="15" x14ac:dyDescent="0.25">
      <c r="A83" s="192"/>
      <c r="B83" s="185"/>
      <c r="C83" s="185"/>
      <c r="D83" s="185"/>
      <c r="E83" s="185"/>
      <c r="F83" s="187"/>
      <c r="G83" s="192"/>
      <c r="H83" s="189"/>
      <c r="I83" s="46"/>
      <c r="J83" s="192"/>
      <c r="K83" s="192"/>
      <c r="L83" s="185"/>
      <c r="M83" s="187"/>
      <c r="N83" s="192"/>
      <c r="O83" s="186"/>
      <c r="P83" s="46"/>
      <c r="Q83" s="192"/>
      <c r="R83" s="192"/>
      <c r="S83" s="185"/>
      <c r="T83" s="187"/>
      <c r="U83" s="192"/>
      <c r="V83" s="186"/>
      <c r="W83" s="46"/>
      <c r="X83" s="192"/>
      <c r="Y83" s="192"/>
      <c r="Z83" s="185"/>
      <c r="AA83" s="187"/>
      <c r="AB83" s="192"/>
      <c r="AC83" s="192"/>
      <c r="AD83" s="192"/>
      <c r="AE83" s="192"/>
      <c r="AF83" s="192"/>
      <c r="AG83" s="192"/>
      <c r="AH83" s="192"/>
      <c r="AI83" s="192"/>
    </row>
    <row r="84" spans="1:35" ht="15" x14ac:dyDescent="0.25">
      <c r="A84" s="192"/>
      <c r="B84" s="185"/>
      <c r="C84" s="185"/>
      <c r="D84" s="185"/>
      <c r="E84" s="185"/>
      <c r="F84" s="185"/>
      <c r="G84" s="185"/>
      <c r="H84" s="185"/>
      <c r="I84" s="46"/>
      <c r="J84" s="192"/>
      <c r="K84" s="192"/>
      <c r="L84" s="186"/>
      <c r="M84" s="186"/>
      <c r="N84" s="186"/>
      <c r="O84" s="186"/>
      <c r="P84" s="46"/>
      <c r="Q84" s="192"/>
      <c r="R84" s="192"/>
      <c r="S84" s="186"/>
      <c r="T84" s="186"/>
      <c r="U84" s="186"/>
      <c r="V84" s="186"/>
      <c r="W84" s="46"/>
      <c r="X84" s="192"/>
      <c r="Y84" s="192"/>
      <c r="Z84" s="186"/>
      <c r="AA84" s="186"/>
      <c r="AB84" s="186"/>
      <c r="AC84" s="192"/>
      <c r="AD84" s="192"/>
      <c r="AE84" s="192"/>
      <c r="AF84" s="192"/>
      <c r="AG84" s="192"/>
      <c r="AH84" s="192"/>
      <c r="AI84" s="192"/>
    </row>
    <row r="85" spans="1:35" ht="15" x14ac:dyDescent="0.25">
      <c r="A85" s="192"/>
      <c r="B85" s="185"/>
      <c r="C85" s="185"/>
      <c r="D85" s="185"/>
      <c r="E85" s="185"/>
      <c r="F85" s="185"/>
      <c r="G85" s="185"/>
      <c r="H85" s="185"/>
      <c r="I85" s="46"/>
      <c r="J85" s="192"/>
      <c r="K85" s="192"/>
      <c r="L85" s="186"/>
      <c r="M85" s="186"/>
      <c r="N85" s="186"/>
      <c r="O85" s="186"/>
      <c r="P85" s="46"/>
      <c r="Q85" s="192"/>
      <c r="R85" s="192"/>
      <c r="S85" s="186"/>
      <c r="T85" s="186"/>
      <c r="U85" s="186"/>
      <c r="V85" s="186"/>
      <c r="W85" s="46"/>
      <c r="X85" s="192"/>
      <c r="Y85" s="192"/>
      <c r="Z85" s="186"/>
      <c r="AA85" s="186"/>
      <c r="AB85" s="186"/>
      <c r="AC85" s="192"/>
      <c r="AD85" s="192"/>
      <c r="AE85" s="192"/>
      <c r="AF85" s="192"/>
      <c r="AG85" s="192"/>
      <c r="AH85" s="192"/>
      <c r="AI85" s="192"/>
    </row>
    <row r="86" spans="1:35" ht="15" x14ac:dyDescent="0.25">
      <c r="A86" s="192"/>
      <c r="B86" s="185"/>
      <c r="C86" s="185"/>
      <c r="D86" s="185"/>
      <c r="E86" s="185"/>
      <c r="F86" s="185"/>
      <c r="G86" s="185"/>
      <c r="H86" s="185"/>
      <c r="I86" s="46"/>
      <c r="J86" s="192"/>
      <c r="K86" s="192"/>
      <c r="L86" s="186"/>
      <c r="M86" s="186"/>
      <c r="N86" s="186"/>
      <c r="O86" s="186"/>
      <c r="P86" s="46"/>
      <c r="Q86" s="192"/>
      <c r="R86" s="192"/>
      <c r="S86" s="186"/>
      <c r="T86" s="186"/>
      <c r="U86" s="186"/>
      <c r="V86" s="186"/>
      <c r="W86" s="186"/>
      <c r="X86" s="192"/>
      <c r="Y86" s="192"/>
      <c r="Z86" s="186"/>
      <c r="AA86" s="186"/>
      <c r="AB86" s="186"/>
      <c r="AC86" s="192"/>
      <c r="AD86" s="192"/>
      <c r="AE86" s="192"/>
      <c r="AF86" s="192"/>
      <c r="AG86" s="192"/>
      <c r="AH86" s="192"/>
      <c r="AI86" s="192"/>
    </row>
    <row r="87" spans="1:35" ht="15" x14ac:dyDescent="0.25">
      <c r="A87" s="192"/>
      <c r="B87" s="185"/>
      <c r="C87" s="185"/>
      <c r="D87" s="185"/>
      <c r="E87" s="185"/>
      <c r="F87" s="185"/>
      <c r="G87" s="185"/>
      <c r="H87" s="185"/>
      <c r="I87" s="46"/>
      <c r="J87" s="192"/>
      <c r="K87" s="192"/>
      <c r="L87" s="186"/>
      <c r="M87" s="186"/>
      <c r="N87" s="186"/>
      <c r="O87" s="186"/>
      <c r="P87" s="46"/>
      <c r="Q87" s="192"/>
      <c r="R87" s="192"/>
      <c r="S87" s="186"/>
      <c r="T87" s="186"/>
      <c r="U87" s="186"/>
      <c r="V87" s="186"/>
      <c r="W87" s="186"/>
      <c r="X87" s="192"/>
      <c r="Y87" s="192"/>
      <c r="Z87" s="186"/>
      <c r="AA87" s="186"/>
      <c r="AB87" s="186"/>
      <c r="AC87" s="192"/>
      <c r="AD87" s="192"/>
      <c r="AE87" s="192"/>
      <c r="AF87" s="192"/>
      <c r="AG87" s="192"/>
      <c r="AH87" s="192"/>
      <c r="AI87" s="192"/>
    </row>
    <row r="88" spans="1:35" ht="15" x14ac:dyDescent="0.25">
      <c r="A88" s="192"/>
      <c r="B88" s="185"/>
      <c r="C88" s="185"/>
      <c r="D88" s="185"/>
      <c r="E88" s="185"/>
      <c r="F88" s="185"/>
      <c r="G88" s="185"/>
      <c r="H88" s="190"/>
      <c r="I88" s="46"/>
      <c r="J88" s="192"/>
      <c r="K88" s="192"/>
      <c r="L88" s="185"/>
      <c r="M88" s="185"/>
      <c r="N88" s="185"/>
      <c r="O88" s="185"/>
      <c r="P88" s="46"/>
      <c r="Q88" s="192"/>
      <c r="R88" s="192"/>
      <c r="S88" s="186"/>
      <c r="T88" s="186"/>
      <c r="U88" s="186"/>
      <c r="V88" s="186"/>
      <c r="W88" s="186"/>
      <c r="X88" s="192"/>
      <c r="Y88" s="192"/>
      <c r="Z88" s="186"/>
      <c r="AA88" s="186"/>
      <c r="AB88" s="186"/>
      <c r="AC88" s="192"/>
      <c r="AD88" s="192"/>
      <c r="AE88" s="192"/>
      <c r="AF88" s="192"/>
      <c r="AG88" s="192"/>
      <c r="AH88" s="192"/>
      <c r="AI88" s="192"/>
    </row>
    <row r="89" spans="1:35" ht="15" x14ac:dyDescent="0.25">
      <c r="A89" s="192"/>
      <c r="B89" s="185"/>
      <c r="C89" s="185"/>
      <c r="D89" s="185"/>
      <c r="E89" s="185"/>
      <c r="F89" s="191"/>
      <c r="G89" s="185"/>
      <c r="H89" s="190"/>
      <c r="I89" s="46"/>
      <c r="J89" s="192"/>
      <c r="K89" s="192"/>
      <c r="L89" s="185"/>
      <c r="M89" s="185"/>
      <c r="N89" s="185"/>
      <c r="O89" s="185"/>
      <c r="P89" s="46"/>
      <c r="Q89" s="192"/>
      <c r="R89" s="192"/>
      <c r="S89" s="186"/>
      <c r="T89" s="186"/>
      <c r="U89" s="186"/>
      <c r="V89" s="186"/>
      <c r="W89" s="186"/>
      <c r="X89" s="192"/>
      <c r="Y89" s="192"/>
      <c r="Z89" s="186"/>
      <c r="AA89" s="186"/>
      <c r="AB89" s="186"/>
      <c r="AC89" s="192"/>
      <c r="AD89" s="192"/>
      <c r="AE89" s="192"/>
      <c r="AF89" s="192"/>
      <c r="AG89" s="192"/>
      <c r="AH89" s="192"/>
      <c r="AI89" s="192"/>
    </row>
    <row r="90" spans="1:35" ht="15" x14ac:dyDescent="0.25">
      <c r="A90" s="192"/>
      <c r="B90" s="185"/>
      <c r="C90" s="185"/>
      <c r="D90" s="185"/>
      <c r="E90" s="185"/>
      <c r="F90" s="191"/>
      <c r="G90" s="185"/>
      <c r="H90" s="190"/>
      <c r="I90" s="46"/>
      <c r="J90" s="192"/>
      <c r="K90" s="192"/>
      <c r="L90" s="185"/>
      <c r="M90" s="185"/>
      <c r="N90" s="185"/>
      <c r="O90" s="185"/>
      <c r="P90" s="46"/>
      <c r="Q90" s="192"/>
      <c r="R90" s="192"/>
      <c r="S90" s="186"/>
      <c r="T90" s="186"/>
      <c r="U90" s="186"/>
      <c r="V90" s="186"/>
      <c r="W90" s="186"/>
      <c r="X90" s="192"/>
      <c r="Y90" s="192"/>
      <c r="Z90" s="186"/>
      <c r="AA90" s="186"/>
      <c r="AB90" s="186"/>
      <c r="AC90" s="192"/>
      <c r="AD90" s="192"/>
      <c r="AE90" s="192"/>
      <c r="AF90" s="192"/>
      <c r="AG90" s="192"/>
      <c r="AH90" s="192"/>
      <c r="AI90" s="192"/>
    </row>
    <row r="91" spans="1:35" ht="15" x14ac:dyDescent="0.25">
      <c r="A91" s="192"/>
      <c r="B91" s="185"/>
      <c r="C91" s="185"/>
      <c r="D91" s="185"/>
      <c r="E91" s="185"/>
      <c r="F91" s="191"/>
      <c r="G91" s="185"/>
      <c r="H91" s="190"/>
      <c r="I91" s="46"/>
      <c r="J91" s="192"/>
      <c r="K91" s="192"/>
      <c r="L91" s="185"/>
      <c r="M91" s="185"/>
      <c r="N91" s="185"/>
      <c r="O91" s="185"/>
      <c r="P91" s="46"/>
      <c r="Q91" s="192"/>
      <c r="R91" s="192"/>
      <c r="S91" s="186"/>
      <c r="T91" s="186"/>
      <c r="U91" s="186"/>
      <c r="V91" s="186"/>
      <c r="W91" s="186"/>
      <c r="X91" s="192"/>
      <c r="Y91" s="192"/>
      <c r="Z91" s="186"/>
      <c r="AA91" s="186"/>
      <c r="AB91" s="186"/>
      <c r="AC91" s="192"/>
      <c r="AD91" s="192"/>
      <c r="AE91" s="192"/>
      <c r="AF91" s="192"/>
      <c r="AG91" s="192"/>
      <c r="AH91" s="192"/>
      <c r="AI91" s="192"/>
    </row>
    <row r="92" spans="1:35" ht="15" x14ac:dyDescent="0.25">
      <c r="A92" s="192"/>
      <c r="B92" s="185"/>
      <c r="C92" s="185"/>
      <c r="D92" s="185"/>
      <c r="E92" s="185"/>
      <c r="F92" s="191"/>
      <c r="G92" s="185"/>
      <c r="H92" s="190"/>
      <c r="I92" s="185"/>
      <c r="J92" s="185"/>
      <c r="K92" s="185"/>
      <c r="L92" s="185"/>
      <c r="M92" s="185"/>
      <c r="N92" s="185"/>
      <c r="O92" s="185"/>
      <c r="P92" s="46"/>
      <c r="Q92" s="192"/>
      <c r="R92" s="192"/>
      <c r="S92" s="186"/>
      <c r="T92" s="186"/>
      <c r="U92" s="186"/>
      <c r="V92" s="186"/>
      <c r="W92" s="186"/>
      <c r="X92" s="192"/>
      <c r="Y92" s="192"/>
      <c r="Z92" s="186"/>
      <c r="AA92" s="186"/>
      <c r="AB92" s="186"/>
      <c r="AC92" s="192"/>
      <c r="AD92" s="192"/>
      <c r="AE92" s="192"/>
      <c r="AF92" s="192"/>
      <c r="AG92" s="192"/>
      <c r="AH92" s="192"/>
      <c r="AI92" s="192"/>
    </row>
    <row r="93" spans="1:35" ht="15" x14ac:dyDescent="0.25">
      <c r="A93" s="192"/>
      <c r="B93" s="185"/>
      <c r="C93" s="185"/>
      <c r="D93" s="185"/>
      <c r="E93" s="185"/>
      <c r="F93" s="191"/>
      <c r="G93" s="185"/>
      <c r="H93" s="190"/>
      <c r="I93" s="185"/>
      <c r="J93" s="185"/>
      <c r="K93" s="185"/>
      <c r="L93" s="185"/>
      <c r="M93" s="185"/>
      <c r="N93" s="185"/>
      <c r="O93" s="185"/>
      <c r="P93" s="46"/>
      <c r="Q93" s="192"/>
      <c r="R93" s="192"/>
      <c r="S93" s="186"/>
      <c r="T93" s="186"/>
      <c r="U93" s="186"/>
      <c r="V93" s="186"/>
      <c r="W93" s="186"/>
      <c r="X93" s="192"/>
      <c r="Y93" s="192"/>
      <c r="Z93" s="186"/>
      <c r="AA93" s="186"/>
      <c r="AB93" s="186"/>
      <c r="AC93" s="192"/>
      <c r="AD93" s="192"/>
      <c r="AE93" s="192"/>
      <c r="AF93" s="192"/>
      <c r="AG93" s="192"/>
      <c r="AH93" s="192"/>
      <c r="AI93" s="192"/>
    </row>
    <row r="94" spans="1:35" ht="15" x14ac:dyDescent="0.25">
      <c r="A94" s="192"/>
      <c r="B94" s="185"/>
      <c r="C94" s="185"/>
      <c r="D94" s="185"/>
      <c r="E94" s="185"/>
      <c r="F94" s="191"/>
      <c r="G94" s="185"/>
      <c r="H94" s="190"/>
      <c r="I94" s="185"/>
      <c r="J94" s="185"/>
      <c r="K94" s="185"/>
      <c r="L94" s="185"/>
      <c r="M94" s="185"/>
      <c r="N94" s="185"/>
      <c r="O94" s="185"/>
      <c r="P94" s="46"/>
      <c r="Q94" s="192"/>
      <c r="R94" s="192"/>
      <c r="S94" s="186"/>
      <c r="T94" s="186"/>
      <c r="U94" s="186"/>
      <c r="V94" s="186"/>
      <c r="W94" s="186"/>
      <c r="X94" s="192"/>
      <c r="Y94" s="192"/>
      <c r="Z94" s="186"/>
      <c r="AA94" s="186"/>
      <c r="AB94" s="186"/>
      <c r="AC94" s="192"/>
      <c r="AD94" s="192"/>
      <c r="AE94" s="192"/>
      <c r="AF94" s="192"/>
      <c r="AG94" s="192"/>
      <c r="AH94" s="192"/>
      <c r="AI94" s="192"/>
    </row>
    <row r="95" spans="1:35" ht="15" x14ac:dyDescent="0.25">
      <c r="A95" s="192"/>
      <c r="B95" s="185"/>
      <c r="C95" s="185"/>
      <c r="D95" s="185"/>
      <c r="E95" s="185"/>
      <c r="F95" s="191"/>
      <c r="G95" s="185"/>
      <c r="H95" s="190"/>
      <c r="I95" s="185"/>
      <c r="J95" s="185"/>
      <c r="K95" s="185"/>
      <c r="L95" s="185"/>
      <c r="M95" s="185"/>
      <c r="N95" s="185"/>
      <c r="O95" s="185"/>
      <c r="P95" s="46"/>
      <c r="Q95" s="192"/>
      <c r="R95" s="192"/>
      <c r="S95" s="186"/>
      <c r="T95" s="186"/>
      <c r="U95" s="186"/>
      <c r="V95" s="186"/>
      <c r="W95" s="186"/>
      <c r="X95" s="192"/>
      <c r="Y95" s="192"/>
      <c r="Z95" s="186"/>
      <c r="AA95" s="186"/>
      <c r="AB95" s="186"/>
      <c r="AC95" s="192"/>
      <c r="AD95" s="192"/>
      <c r="AE95" s="192"/>
      <c r="AF95" s="192"/>
      <c r="AG95" s="192"/>
      <c r="AH95" s="192"/>
      <c r="AI95" s="192"/>
    </row>
    <row r="96" spans="1:35" ht="15" x14ac:dyDescent="0.25">
      <c r="A96" s="192"/>
      <c r="B96" s="185"/>
      <c r="C96" s="185"/>
      <c r="D96" s="185"/>
      <c r="E96" s="185"/>
      <c r="F96" s="191"/>
      <c r="G96" s="185"/>
      <c r="H96" s="190"/>
      <c r="I96" s="185"/>
      <c r="J96" s="185"/>
      <c r="K96" s="185"/>
      <c r="L96" s="185"/>
      <c r="M96" s="185"/>
      <c r="N96" s="185"/>
      <c r="O96" s="185"/>
      <c r="P96" s="46"/>
      <c r="Q96" s="192"/>
      <c r="R96" s="192"/>
      <c r="S96" s="186"/>
      <c r="T96" s="186"/>
      <c r="U96" s="186"/>
      <c r="V96" s="186"/>
      <c r="W96" s="186"/>
      <c r="X96" s="192"/>
      <c r="Y96" s="192"/>
      <c r="Z96" s="186"/>
      <c r="AA96" s="186"/>
      <c r="AB96" s="186"/>
      <c r="AC96" s="192"/>
      <c r="AD96" s="192"/>
      <c r="AE96" s="192"/>
      <c r="AF96" s="192"/>
      <c r="AG96" s="192"/>
      <c r="AH96" s="192"/>
      <c r="AI96" s="192"/>
    </row>
    <row r="97" spans="1:35" ht="15" x14ac:dyDescent="0.25">
      <c r="A97" s="192"/>
      <c r="B97" s="185"/>
      <c r="C97" s="185"/>
      <c r="D97" s="185"/>
      <c r="E97" s="185"/>
      <c r="F97" s="191"/>
      <c r="G97" s="185"/>
      <c r="H97" s="190"/>
      <c r="I97" s="185"/>
      <c r="J97" s="185"/>
      <c r="K97" s="185"/>
      <c r="L97" s="185"/>
      <c r="M97" s="185"/>
      <c r="N97" s="185"/>
      <c r="O97" s="185"/>
      <c r="P97" s="46"/>
      <c r="Q97" s="192"/>
      <c r="R97" s="192"/>
      <c r="S97" s="186"/>
      <c r="T97" s="186"/>
      <c r="U97" s="186"/>
      <c r="V97" s="186"/>
      <c r="W97" s="186"/>
      <c r="X97" s="192"/>
      <c r="Y97" s="192"/>
      <c r="Z97" s="186"/>
      <c r="AA97" s="186"/>
      <c r="AB97" s="186"/>
      <c r="AC97" s="192"/>
      <c r="AD97" s="192"/>
      <c r="AE97" s="192"/>
      <c r="AF97" s="192"/>
      <c r="AG97" s="192"/>
      <c r="AH97" s="192"/>
      <c r="AI97" s="192"/>
    </row>
    <row r="98" spans="1:35" x14ac:dyDescent="0.2">
      <c r="A98" s="192"/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</row>
    <row r="99" spans="1:35" ht="15" x14ac:dyDescent="0.25">
      <c r="A99" s="192"/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85"/>
      <c r="AF99" s="185"/>
      <c r="AG99" s="192"/>
      <c r="AH99" s="192"/>
      <c r="AI99" s="192"/>
    </row>
    <row r="100" spans="1:35" ht="15" x14ac:dyDescent="0.25">
      <c r="A100" s="192"/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85"/>
      <c r="AF100" s="185"/>
      <c r="AG100" s="192"/>
      <c r="AH100" s="192"/>
      <c r="AI100" s="192"/>
    </row>
    <row r="101" spans="1:35" ht="15" x14ac:dyDescent="0.25">
      <c r="A101" s="192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92"/>
      <c r="AH101" s="192"/>
      <c r="AI101" s="192"/>
    </row>
    <row r="102" spans="1:35" ht="15" x14ac:dyDescent="0.25">
      <c r="A102" s="192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92"/>
      <c r="AH102" s="192"/>
      <c r="AI102" s="192"/>
    </row>
    <row r="103" spans="1:35" ht="15" x14ac:dyDescent="0.25">
      <c r="A103" s="192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92"/>
      <c r="AH103" s="192"/>
      <c r="AI103" s="192"/>
    </row>
    <row r="104" spans="1:35" ht="15" x14ac:dyDescent="0.25">
      <c r="A104" s="192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92"/>
      <c r="AH104" s="192"/>
      <c r="AI104" s="192"/>
    </row>
    <row r="105" spans="1:35" ht="15" x14ac:dyDescent="0.25">
      <c r="A105" s="192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92"/>
      <c r="AH105" s="192"/>
      <c r="AI105" s="192"/>
    </row>
    <row r="106" spans="1:35" ht="15" x14ac:dyDescent="0.25">
      <c r="A106" s="192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5"/>
      <c r="AE106" s="185"/>
      <c r="AF106" s="185"/>
      <c r="AG106" s="192"/>
      <c r="AH106" s="192"/>
      <c r="AI106" s="192"/>
    </row>
    <row r="107" spans="1:35" ht="15" x14ac:dyDescent="0.25">
      <c r="A107" s="192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  <c r="W107" s="185"/>
      <c r="X107" s="185"/>
      <c r="Y107" s="185"/>
      <c r="Z107" s="185"/>
      <c r="AA107" s="185"/>
      <c r="AB107" s="185"/>
      <c r="AC107" s="185"/>
      <c r="AD107" s="185"/>
      <c r="AE107" s="185"/>
      <c r="AF107" s="185"/>
      <c r="AG107" s="192"/>
      <c r="AH107" s="192"/>
      <c r="AI107" s="192"/>
    </row>
    <row r="108" spans="1:35" ht="15" x14ac:dyDescent="0.25">
      <c r="A108" s="192"/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92"/>
      <c r="AH108" s="192"/>
      <c r="AI108" s="192"/>
    </row>
    <row r="109" spans="1:35" ht="15" x14ac:dyDescent="0.25">
      <c r="A109" s="192"/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5"/>
      <c r="AA109" s="185"/>
      <c r="AB109" s="185"/>
      <c r="AC109" s="185"/>
      <c r="AD109" s="185"/>
      <c r="AE109" s="185"/>
      <c r="AF109" s="185"/>
      <c r="AG109" s="192"/>
      <c r="AH109" s="192"/>
      <c r="AI109" s="192"/>
    </row>
    <row r="110" spans="1:35" ht="15" x14ac:dyDescent="0.25">
      <c r="A110" s="192"/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92"/>
      <c r="AH110" s="192"/>
      <c r="AI110" s="192"/>
    </row>
    <row r="111" spans="1:35" ht="15" x14ac:dyDescent="0.25">
      <c r="A111" s="192"/>
      <c r="B111" s="185"/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92"/>
      <c r="AH111" s="192"/>
      <c r="AI111" s="192"/>
    </row>
    <row r="112" spans="1:35" ht="15" x14ac:dyDescent="0.25">
      <c r="A112" s="192"/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92"/>
      <c r="AH112" s="192"/>
      <c r="AI112" s="192"/>
    </row>
    <row r="113" spans="1:35" ht="15" x14ac:dyDescent="0.25">
      <c r="A113" s="192"/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92"/>
      <c r="AH113" s="192"/>
      <c r="AI113" s="192"/>
    </row>
    <row r="114" spans="1:35" ht="15" x14ac:dyDescent="0.25">
      <c r="A114" s="192"/>
      <c r="B114" s="185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92"/>
      <c r="AH114" s="192"/>
      <c r="AI114" s="192"/>
    </row>
    <row r="115" spans="1:35" ht="15" x14ac:dyDescent="0.25">
      <c r="A115" s="192"/>
      <c r="B115" s="185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92"/>
      <c r="AH115" s="192"/>
      <c r="AI115" s="192"/>
    </row>
    <row r="116" spans="1:35" ht="15" x14ac:dyDescent="0.25">
      <c r="A116" s="192"/>
      <c r="B116" s="185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92"/>
      <c r="AH116" s="192"/>
      <c r="AI116" s="192"/>
    </row>
    <row r="117" spans="1:35" ht="15" x14ac:dyDescent="0.25">
      <c r="A117" s="192"/>
      <c r="B117" s="185"/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92"/>
      <c r="AH117" s="192"/>
      <c r="AI117" s="192"/>
    </row>
    <row r="118" spans="1:35" ht="15" x14ac:dyDescent="0.25">
      <c r="A118" s="192"/>
      <c r="B118" s="185"/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92"/>
      <c r="AH118" s="192"/>
      <c r="AI118" s="192"/>
    </row>
    <row r="119" spans="1:35" ht="15" x14ac:dyDescent="0.25">
      <c r="A119" s="192"/>
      <c r="B119" s="185"/>
      <c r="C119" s="185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 s="185"/>
      <c r="Q119" s="185"/>
      <c r="R119" s="185"/>
      <c r="S119" s="185"/>
      <c r="T119" s="185"/>
      <c r="U119" s="185"/>
      <c r="V119" s="185"/>
      <c r="W119" s="185"/>
      <c r="X119" s="185"/>
      <c r="Y119" s="185"/>
      <c r="Z119" s="185"/>
      <c r="AA119" s="185"/>
      <c r="AB119" s="185"/>
      <c r="AC119" s="185"/>
      <c r="AD119" s="185"/>
      <c r="AE119" s="185"/>
      <c r="AF119" s="185"/>
      <c r="AG119" s="192"/>
      <c r="AH119" s="192"/>
      <c r="AI119" s="192"/>
    </row>
    <row r="120" spans="1:35" ht="15" x14ac:dyDescent="0.25">
      <c r="A120" s="192"/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92"/>
      <c r="AH120" s="192"/>
      <c r="AI120" s="192"/>
    </row>
    <row r="121" spans="1:35" ht="15" x14ac:dyDescent="0.25">
      <c r="A121" s="192"/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92"/>
      <c r="AH121" s="192"/>
      <c r="AI121" s="192"/>
    </row>
    <row r="122" spans="1:35" ht="15" x14ac:dyDescent="0.25">
      <c r="A122" s="192"/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92"/>
      <c r="AH122" s="192"/>
      <c r="AI122" s="192"/>
    </row>
    <row r="123" spans="1:35" ht="15" x14ac:dyDescent="0.25">
      <c r="A123" s="192"/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92"/>
      <c r="AH123" s="192"/>
      <c r="AI123" s="192"/>
    </row>
    <row r="124" spans="1:35" ht="15" x14ac:dyDescent="0.25">
      <c r="A124" s="192"/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92"/>
      <c r="AH124" s="192"/>
      <c r="AI124" s="192"/>
    </row>
    <row r="125" spans="1:35" ht="15" x14ac:dyDescent="0.25">
      <c r="A125" s="192"/>
      <c r="B125" s="185"/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185"/>
      <c r="V125" s="185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92"/>
      <c r="AH125" s="192"/>
      <c r="AI125" s="192"/>
    </row>
    <row r="126" spans="1:35" ht="15" x14ac:dyDescent="0.25">
      <c r="A126" s="192"/>
      <c r="B126" s="185"/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5"/>
      <c r="AE126" s="185"/>
      <c r="AF126" s="185"/>
      <c r="AG126" s="192"/>
      <c r="AH126" s="192"/>
      <c r="AI126" s="192"/>
    </row>
    <row r="127" spans="1:35" ht="15" x14ac:dyDescent="0.25">
      <c r="A127" s="192"/>
      <c r="B127" s="185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92"/>
      <c r="AH127" s="192"/>
      <c r="AI127" s="192"/>
    </row>
    <row r="128" spans="1:35" ht="15" x14ac:dyDescent="0.25">
      <c r="A128" s="192"/>
      <c r="B128" s="185"/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92"/>
      <c r="AH128" s="192"/>
      <c r="AI128" s="192"/>
    </row>
    <row r="129" spans="1:35" ht="15" x14ac:dyDescent="0.25">
      <c r="A129" s="192"/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5"/>
      <c r="S129" s="185"/>
      <c r="T129" s="185"/>
      <c r="U129" s="185"/>
      <c r="V129" s="185"/>
      <c r="W129" s="185"/>
      <c r="X129" s="185"/>
      <c r="Y129" s="185"/>
      <c r="Z129" s="185"/>
      <c r="AA129" s="185"/>
      <c r="AB129" s="185"/>
      <c r="AC129" s="185"/>
      <c r="AD129" s="185"/>
      <c r="AE129" s="185"/>
      <c r="AF129" s="185"/>
      <c r="AG129" s="192"/>
      <c r="AH129" s="192"/>
      <c r="AI129" s="192"/>
    </row>
    <row r="130" spans="1:35" ht="15" x14ac:dyDescent="0.25">
      <c r="A130" s="192"/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92"/>
      <c r="AH130" s="192"/>
      <c r="AI130" s="192"/>
    </row>
    <row r="131" spans="1:35" ht="15" x14ac:dyDescent="0.25">
      <c r="A131" s="192"/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92"/>
      <c r="AH131" s="192"/>
      <c r="AI131" s="192"/>
    </row>
    <row r="132" spans="1:35" ht="15" x14ac:dyDescent="0.25">
      <c r="A132" s="192"/>
      <c r="B132" s="185"/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92"/>
      <c r="AH132" s="192"/>
      <c r="AI132" s="192"/>
    </row>
    <row r="133" spans="1:35" ht="15" x14ac:dyDescent="0.25">
      <c r="A133" s="192"/>
      <c r="B133" s="185"/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92"/>
      <c r="AH133" s="192"/>
      <c r="AI133" s="192"/>
    </row>
    <row r="134" spans="1:35" ht="15" x14ac:dyDescent="0.2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</row>
    <row r="135" spans="1:35" ht="15" x14ac:dyDescent="0.25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</row>
    <row r="136" spans="1:35" ht="15" x14ac:dyDescent="0.25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</row>
    <row r="137" spans="1:35" ht="15" x14ac:dyDescent="0.25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</row>
    <row r="138" spans="1:35" ht="15" x14ac:dyDescent="0.2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</row>
    <row r="139" spans="1:35" ht="15" x14ac:dyDescent="0.25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</row>
    <row r="140" spans="1:35" ht="15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</row>
    <row r="141" spans="1:35" ht="15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</row>
    <row r="142" spans="1:35" ht="15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</row>
    <row r="143" spans="1:35" ht="15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</row>
    <row r="144" spans="1:35" ht="15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</row>
    <row r="145" spans="2:32" ht="15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</row>
    <row r="146" spans="2:32" ht="15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</row>
    <row r="147" spans="2:32" ht="15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</row>
    <row r="148" spans="2:32" ht="15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</row>
  </sheetData>
  <dataConsolidate/>
  <dataValidations count="2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A5" sqref="A5"/>
    </sheetView>
  </sheetViews>
  <sheetFormatPr defaultColWidth="0" defaultRowHeight="12.6" customHeight="1" zeroHeight="1" x14ac:dyDescent="0.2"/>
  <cols>
    <col min="1" max="1" width="45.42578125" style="153" customWidth="1"/>
    <col min="2" max="14" width="9.140625" style="153" customWidth="1"/>
    <col min="15" max="16384" width="9.140625" style="153" hidden="1"/>
  </cols>
  <sheetData>
    <row r="1" spans="1:11" ht="12.75" x14ac:dyDescent="0.2">
      <c r="A1" s="152" t="str">
        <f>"Assessment of "&amp;Inputs!C2&amp;"'s estimated opex "&amp;Inputs!C4</f>
        <v>Assessment of AusNet Services's estimated opex 2018</v>
      </c>
    </row>
    <row r="2" spans="1:11" ht="12.75" x14ac:dyDescent="0.2">
      <c r="A2" s="152"/>
    </row>
    <row r="3" spans="1:11" ht="12.75" x14ac:dyDescent="0.2">
      <c r="A3" s="152" t="str">
        <f>"Assessment made by comparing to rolled forward average target opex for "&amp;Inputs!C5&amp;"-"&amp;RIGHT(Inputs!C6,2)&amp;" from four models"</f>
        <v>Assessment made by comparing to rolled forward average target opex for 2006-19 from four models</v>
      </c>
    </row>
    <row r="4" spans="1:11" ht="12.75" x14ac:dyDescent="0.2">
      <c r="A4" s="152"/>
    </row>
    <row r="5" spans="1:11" ht="12.75" x14ac:dyDescent="0.2">
      <c r="A5" s="152" t="s">
        <v>177</v>
      </c>
    </row>
    <row r="6" spans="1:11" ht="12.75" x14ac:dyDescent="0.2">
      <c r="A6" s="152" t="s">
        <v>146</v>
      </c>
    </row>
    <row r="7" spans="1:11" ht="12.75" x14ac:dyDescent="0.2">
      <c r="H7" s="171" t="s">
        <v>176</v>
      </c>
    </row>
    <row r="8" spans="1:11" ht="12.75" x14ac:dyDescent="0.2">
      <c r="A8" s="154" t="str">
        <f>'Opex Forecasts'!A36</f>
        <v>Target opex ($'000Jun2021)</v>
      </c>
      <c r="B8" s="152">
        <f>'Opex Forecasts'!E13</f>
        <v>2018</v>
      </c>
      <c r="C8" s="152"/>
      <c r="D8" s="152"/>
      <c r="E8" s="152" t="s">
        <v>156</v>
      </c>
    </row>
    <row r="9" spans="1:11" ht="15" x14ac:dyDescent="0.25">
      <c r="A9" s="153" t="str">
        <f>'Opex Modelling Results'!A4</f>
        <v xml:space="preserve">Cobb-Douglas SFA </v>
      </c>
      <c r="B9" s="156">
        <f>'Opex Forecasts'!E36/1000</f>
        <v>203.25317692099591</v>
      </c>
      <c r="C9" s="156"/>
      <c r="D9" s="156"/>
      <c r="E9" s="156">
        <f>INDEX($B$8:$C$17,MATCH($A9,$A$8:$A$17,0),MATCH(Inputs!$C$4,Summary!$B$8:$C$8,0))*H9</f>
        <v>203.25317692099591</v>
      </c>
      <c r="G9" s="157">
        <f>AVERAGEIF($E$9:$E$12,"&gt;0")</f>
        <v>206.21792792254993</v>
      </c>
      <c r="H9" s="153">
        <v>1</v>
      </c>
      <c r="K9" s="168"/>
    </row>
    <row r="10" spans="1:11" ht="15" x14ac:dyDescent="0.25">
      <c r="A10" s="153" t="str">
        <f>'Opex Modelling Results'!H4</f>
        <v xml:space="preserve">Cobb-Douglas LSE </v>
      </c>
      <c r="B10" s="156">
        <f>'Opex Forecasts'!K36/1000</f>
        <v>214.00477561091199</v>
      </c>
      <c r="C10" s="156"/>
      <c r="D10" s="156"/>
      <c r="E10" s="156">
        <f>INDEX($B$8:$C$17,MATCH($A10,$A$8:$A$17,0),MATCH(Inputs!$C$4,Summary!$B$8:$C$8,0))*H10</f>
        <v>214.00477561091199</v>
      </c>
      <c r="G10" s="157">
        <f t="shared" ref="G10:G13" si="0">AVERAGEIF($E$9:$E$12,"&gt;0")</f>
        <v>206.21792792254993</v>
      </c>
      <c r="H10" s="153">
        <v>1</v>
      </c>
      <c r="K10" s="168"/>
    </row>
    <row r="11" spans="1:11" ht="15" x14ac:dyDescent="0.25">
      <c r="A11" s="153" t="str">
        <f>'Opex Modelling Results'!O4</f>
        <v>Translog LSE</v>
      </c>
      <c r="B11" s="156">
        <f>'Opex Forecasts'!Q36/1000</f>
        <v>201.46112244239154</v>
      </c>
      <c r="C11" s="156"/>
      <c r="D11" s="156"/>
      <c r="E11" s="156">
        <f>INDEX($B$8:$C$17,MATCH($A11,$A$8:$A$17,0),MATCH(Inputs!$C$4,Summary!$B$8:$C$8,0))*H11</f>
        <v>201.46112244239154</v>
      </c>
      <c r="G11" s="157">
        <f t="shared" si="0"/>
        <v>206.21792792254993</v>
      </c>
      <c r="H11" s="153">
        <v>1</v>
      </c>
      <c r="K11" s="168"/>
    </row>
    <row r="12" spans="1:11" ht="15" x14ac:dyDescent="0.25">
      <c r="A12" s="153" t="s">
        <v>122</v>
      </c>
      <c r="B12" s="156">
        <f>'Opex Forecasts'!W36/1000</f>
        <v>206.15263671590029</v>
      </c>
      <c r="C12" s="156"/>
      <c r="D12" s="156"/>
      <c r="E12" s="156">
        <f>INDEX($B$8:$C$17,MATCH($A12,$A$8:$A$17,0),MATCH(Inputs!$C$4,Summary!$B$8:$C$8,0))*H12</f>
        <v>206.15263671590029</v>
      </c>
      <c r="G12" s="157">
        <f t="shared" si="0"/>
        <v>206.21792792254993</v>
      </c>
      <c r="H12" s="153">
        <v>1</v>
      </c>
      <c r="K12" s="168"/>
    </row>
    <row r="13" spans="1:11" ht="15" x14ac:dyDescent="0.25">
      <c r="A13" s="152" t="str">
        <f>Inputs!C2&amp;" actual opex"</f>
        <v>AusNet Services actual opex</v>
      </c>
      <c r="B13" s="161">
        <f>Inputs!$D$19</f>
        <v>201.66410214856504</v>
      </c>
      <c r="C13" s="161"/>
      <c r="D13" s="161"/>
      <c r="E13" s="156">
        <f>INDEX($B$8:$C$17,MATCH($A13,$A$8:$A$17,0),MATCH(Inputs!$C$4,Summary!$B$8:$C$8,0))</f>
        <v>201.66410214856504</v>
      </c>
      <c r="G13" s="157">
        <f t="shared" si="0"/>
        <v>206.21792792254993</v>
      </c>
      <c r="K13" s="168"/>
    </row>
    <row r="14" spans="1:11" ht="12.75" x14ac:dyDescent="0.2">
      <c r="A14" s="152"/>
      <c r="B14" s="161"/>
      <c r="C14" s="161"/>
      <c r="D14" s="161"/>
      <c r="E14" s="161"/>
    </row>
    <row r="15" spans="1:11" ht="12.75" x14ac:dyDescent="0.2">
      <c r="A15" s="152" t="s">
        <v>147</v>
      </c>
      <c r="B15" s="161">
        <f>AVERAGE(B9:B12)</f>
        <v>206.21792792254993</v>
      </c>
      <c r="C15" s="161"/>
      <c r="D15" s="161"/>
      <c r="E15" s="161">
        <f>AVERAGEIF(E9:E12,"&gt;0")</f>
        <v>206.21792792254993</v>
      </c>
      <c r="G15" s="161"/>
    </row>
    <row r="16" spans="1:11" ht="12.75" x14ac:dyDescent="0.2">
      <c r="A16" s="152" t="s">
        <v>154</v>
      </c>
      <c r="B16" s="162">
        <f t="shared" ref="B16" si="1">B15-B13</f>
        <v>4.5538257739848973</v>
      </c>
      <c r="C16" s="162"/>
      <c r="D16" s="162"/>
      <c r="E16" s="162">
        <f>E15-E13</f>
        <v>4.5538257739848973</v>
      </c>
    </row>
    <row r="17" spans="1:8" ht="12.75" x14ac:dyDescent="0.2">
      <c r="A17" s="153" t="s">
        <v>155</v>
      </c>
      <c r="B17" s="163">
        <f t="shared" ref="B17" si="2">B16/B13</f>
        <v>2.2581241408201218E-2</v>
      </c>
      <c r="C17" s="163"/>
      <c r="D17" s="163"/>
      <c r="E17" s="163">
        <f>E16/E13</f>
        <v>2.2581241408201218E-2</v>
      </c>
      <c r="G17" s="170"/>
      <c r="H17" s="177"/>
    </row>
    <row r="18" spans="1:8" ht="12.75" x14ac:dyDescent="0.2">
      <c r="A18" s="152"/>
      <c r="B18" s="155"/>
      <c r="C18" s="155"/>
      <c r="D18" s="155"/>
      <c r="E18" s="155"/>
      <c r="G18" s="158"/>
    </row>
    <row r="19" spans="1:8" ht="12.75" x14ac:dyDescent="0.2">
      <c r="A19" s="152"/>
      <c r="B19" s="155"/>
      <c r="C19" s="155"/>
      <c r="D19" s="155"/>
      <c r="E19" s="155"/>
    </row>
    <row r="20" spans="1:8" ht="12.75" x14ac:dyDescent="0.2">
      <c r="A20" s="152"/>
      <c r="B20" s="155"/>
      <c r="C20" s="155"/>
      <c r="D20" s="155"/>
      <c r="E20" s="155"/>
    </row>
    <row r="21" spans="1:8" ht="12.75" x14ac:dyDescent="0.2">
      <c r="A21" s="152"/>
      <c r="B21" s="159"/>
      <c r="C21" s="159"/>
      <c r="D21" s="159"/>
      <c r="E21" s="159"/>
    </row>
    <row r="22" spans="1:8" ht="12.75" x14ac:dyDescent="0.2">
      <c r="A22" s="152"/>
    </row>
    <row r="23" spans="1:8" ht="12.75" x14ac:dyDescent="0.2">
      <c r="A23" s="152"/>
    </row>
    <row r="24" spans="1:8" ht="12.75" x14ac:dyDescent="0.2">
      <c r="A24" s="152"/>
      <c r="B24" s="155"/>
      <c r="C24" s="155"/>
      <c r="D24" s="155"/>
      <c r="E24" s="155"/>
    </row>
    <row r="25" spans="1:8" ht="12.75" x14ac:dyDescent="0.2">
      <c r="A25" s="152"/>
      <c r="B25" s="155"/>
      <c r="C25" s="155"/>
      <c r="D25" s="155"/>
      <c r="E25" s="155"/>
    </row>
    <row r="26" spans="1:8" ht="12.75" x14ac:dyDescent="0.2">
      <c r="A26" s="152"/>
      <c r="B26" s="159"/>
      <c r="C26" s="159"/>
      <c r="D26" s="159"/>
      <c r="E26" s="159"/>
    </row>
    <row r="27" spans="1:8" ht="12.75" x14ac:dyDescent="0.2"/>
    <row r="28" spans="1:8" ht="12.75" x14ac:dyDescent="0.2"/>
    <row r="29" spans="1:8" ht="12.75" x14ac:dyDescent="0.2"/>
    <row r="30" spans="1:8" ht="12.75" x14ac:dyDescent="0.2"/>
    <row r="31" spans="1:8" ht="12.75" x14ac:dyDescent="0.2"/>
    <row r="32" spans="1:8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2021-04-25T06:52:39Z</dcterms:created>
  <dcterms:modified xsi:type="dcterms:W3CDTF">2021-04-25T06:52:43Z</dcterms:modified>
</cp:coreProperties>
</file>