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45" yWindow="1560" windowWidth="8685" windowHeight="4785" tabRatio="910" firstSheet="1" activeTab="1"/>
  </bookViews>
  <sheets>
    <sheet name="Version history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>'Input|General'!$G$6:$G$16</definedName>
    <definedName name="_xlnm._FilterDatabase" localSheetId="4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68" i="55" l="1"/>
  <c r="F66" i="55" l="1"/>
  <c r="F63" i="55" l="1"/>
  <c r="F65" i="55" l="1"/>
  <c r="F67" i="55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 l="1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L16" i="42"/>
  <c r="M16" i="42"/>
  <c r="N16" i="42"/>
  <c r="P16" i="42"/>
  <c r="Q16" i="42"/>
  <c r="R16" i="42"/>
  <c r="S16" i="42"/>
  <c r="T16" i="42"/>
  <c r="J16" i="42"/>
  <c r="F16" i="42"/>
  <c r="E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S38" i="58"/>
  <c r="R38" i="58"/>
  <c r="Q38" i="58"/>
  <c r="P38" i="58"/>
  <c r="O38" i="58"/>
  <c r="O16" i="42" s="1"/>
  <c r="N38" i="58"/>
  <c r="M38" i="58"/>
  <c r="L38" i="58"/>
  <c r="K38" i="58"/>
  <c r="J38" i="58"/>
  <c r="F38" i="58"/>
  <c r="E38" i="58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6" i="53"/>
  <c r="T40" i="53" s="1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8" i="42"/>
  <c r="O51" i="42"/>
  <c r="O42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G66" i="55"/>
  <c r="P12" i="2" s="1"/>
  <c r="C22" i="2" l="1"/>
  <c r="D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P22" i="2"/>
  <c r="O22" i="2" s="1"/>
  <c r="C31" i="2"/>
  <c r="C32" i="2"/>
  <c r="E32" i="2" s="1"/>
  <c r="C27" i="2"/>
  <c r="C28" i="2"/>
  <c r="C29" i="2"/>
  <c r="D32" i="2"/>
  <c r="C30" i="2"/>
  <c r="U80" i="2"/>
  <c r="P32" i="2" l="1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6" i="44"/>
  <c r="N13" i="44"/>
  <c r="N15" i="44"/>
  <c r="N14" i="44"/>
  <c r="K15" i="44"/>
  <c r="K14" i="44"/>
  <c r="K16" i="44"/>
  <c r="K13" i="44"/>
  <c r="O15" i="44"/>
  <c r="O14" i="44"/>
  <c r="O16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G57" i="55"/>
  <c r="G58" i="55"/>
  <c r="G59" i="55"/>
  <c r="G60" i="55"/>
  <c r="N12" i="2" s="1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N22" i="2" l="1"/>
  <c r="O32" i="2"/>
  <c r="J70" i="42" a="1"/>
  <c r="J70" i="42" s="1"/>
  <c r="L70" i="42" a="1"/>
  <c r="L70" i="42" s="1"/>
  <c r="K70" i="42" a="1"/>
  <c r="K70" i="42" s="1"/>
  <c r="X40" i="53"/>
  <c r="N21" i="42" l="1"/>
  <c r="M22" i="2"/>
  <c r="N32" i="2"/>
  <c r="P47" i="2"/>
  <c r="L22" i="2" l="1"/>
  <c r="M32" i="2"/>
  <c r="M21" i="42"/>
  <c r="L21" i="42" l="1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K32" i="2"/>
  <c r="K21" i="42"/>
  <c r="E86" i="42"/>
  <c r="O39" i="42" l="1"/>
  <c r="J21" i="42"/>
  <c r="E104" i="42" l="1"/>
  <c r="F15" i="42" l="1"/>
  <c r="F56" i="42"/>
  <c r="F54" i="42"/>
  <c r="C77" i="42" l="1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P21" i="2" l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M46" i="42"/>
  <c r="M52" i="42"/>
  <c r="P49" i="42"/>
  <c r="J46" i="42"/>
  <c r="N46" i="42"/>
  <c r="N93" i="42"/>
  <c r="O93" i="42"/>
  <c r="M93" i="42"/>
  <c r="N78" i="42"/>
  <c r="J78" i="42"/>
  <c r="T78" i="42"/>
  <c r="N92" i="42"/>
  <c r="L92" i="42"/>
  <c r="K77" i="42"/>
  <c r="S77" i="42"/>
  <c r="N77" i="42"/>
  <c r="K84" i="42"/>
  <c r="O84" i="42"/>
  <c r="T84" i="42"/>
  <c r="M80" i="42"/>
  <c r="J80" i="42"/>
  <c r="J76" i="42"/>
  <c r="K76" i="42"/>
  <c r="L82" i="42"/>
  <c r="K82" i="42"/>
  <c r="Q82" i="42"/>
  <c r="K81" i="42"/>
  <c r="N81" i="42"/>
  <c r="J94" i="42"/>
  <c r="T94" i="42"/>
  <c r="T16" i="44" s="1"/>
  <c r="S83" i="42"/>
  <c r="K83" i="42"/>
  <c r="L83" i="42"/>
  <c r="K79" i="42"/>
  <c r="J79" i="42"/>
  <c r="S78" i="42"/>
  <c r="J92" i="42"/>
  <c r="L77" i="42"/>
  <c r="Q84" i="42"/>
  <c r="R84" i="42"/>
  <c r="L80" i="42"/>
  <c r="P82" i="42"/>
  <c r="O81" i="42"/>
  <c r="R94" i="42"/>
  <c r="R16" i="44" s="1"/>
  <c r="Q83" i="42"/>
  <c r="N79" i="42"/>
  <c r="J93" i="42"/>
  <c r="P93" i="42"/>
  <c r="P15" i="44" s="1"/>
  <c r="R93" i="42"/>
  <c r="R15" i="44" s="1"/>
  <c r="P78" i="42"/>
  <c r="K78" i="42"/>
  <c r="R78" i="42"/>
  <c r="O92" i="42"/>
  <c r="J77" i="42"/>
  <c r="Q77" i="42"/>
  <c r="T77" i="42"/>
  <c r="M84" i="42"/>
  <c r="J84" i="42"/>
  <c r="K80" i="42"/>
  <c r="Q80" i="42"/>
  <c r="T80" i="42"/>
  <c r="T82" i="42"/>
  <c r="J82" i="42"/>
  <c r="S82" i="42"/>
  <c r="N94" i="42"/>
  <c r="O94" i="42"/>
  <c r="K94" i="42"/>
  <c r="N83" i="42"/>
  <c r="P83" i="42"/>
  <c r="R83" i="42"/>
  <c r="M79" i="42"/>
  <c r="Q93" i="42"/>
  <c r="Q15" i="44" s="1"/>
  <c r="K93" i="42"/>
  <c r="Q78" i="42"/>
  <c r="L78" i="42"/>
  <c r="O77" i="42"/>
  <c r="P77" i="42"/>
  <c r="L84" i="42"/>
  <c r="N80" i="42"/>
  <c r="R82" i="42"/>
  <c r="M81" i="42"/>
  <c r="P94" i="42"/>
  <c r="P16" i="44" s="1"/>
  <c r="L79" i="42"/>
  <c r="T93" i="42"/>
  <c r="T15" i="44" s="1"/>
  <c r="L93" i="42"/>
  <c r="S93" i="42"/>
  <c r="S15" i="44" s="1"/>
  <c r="O78" i="42"/>
  <c r="M78" i="42"/>
  <c r="K92" i="42"/>
  <c r="M92" i="42"/>
  <c r="M77" i="42"/>
  <c r="R77" i="42"/>
  <c r="P84" i="42"/>
  <c r="N84" i="42"/>
  <c r="S84" i="42"/>
  <c r="R80" i="42"/>
  <c r="S80" i="42"/>
  <c r="O80" i="42"/>
  <c r="M76" i="42"/>
  <c r="N76" i="42"/>
  <c r="O76" i="42"/>
  <c r="N82" i="42"/>
  <c r="M82" i="42"/>
  <c r="L81" i="42"/>
  <c r="M94" i="42"/>
  <c r="L94" i="42"/>
  <c r="S94" i="42"/>
  <c r="S16" i="44" s="1"/>
  <c r="O83" i="42"/>
  <c r="T83" i="42"/>
  <c r="J83" i="42"/>
  <c r="O79" i="42"/>
  <c r="P80" i="42"/>
  <c r="L76" i="42"/>
  <c r="O82" i="42"/>
  <c r="J81" i="42"/>
  <c r="Q94" i="42"/>
  <c r="Q16" i="44" s="1"/>
  <c r="M83" i="42"/>
  <c r="S25" i="42"/>
  <c r="S26" i="42" s="1"/>
  <c r="R25" i="42"/>
  <c r="R26" i="42" s="1"/>
  <c r="Q25" i="42"/>
  <c r="Q26" i="42" s="1"/>
  <c r="K17" i="42"/>
  <c r="K18" i="42" s="1"/>
  <c r="J17" i="42"/>
  <c r="J18" i="42" s="1"/>
  <c r="P17" i="42"/>
  <c r="P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 l="1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L86" i="42"/>
  <c r="S54" i="42"/>
  <c r="S56" i="42" s="1"/>
  <c r="J86" i="42"/>
  <c r="P54" i="42"/>
  <c r="P56" i="42" s="1"/>
  <c r="K86" i="42"/>
  <c r="L96" i="42"/>
  <c r="Q54" i="42"/>
  <c r="Q56" i="42" s="1"/>
  <c r="N86" i="42"/>
  <c r="K96" i="42"/>
  <c r="R54" i="42"/>
  <c r="R56" i="42" s="1"/>
  <c r="O86" i="42"/>
  <c r="N96" i="42"/>
  <c r="M86" i="42"/>
  <c r="J54" i="42"/>
  <c r="O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N54" i="42" l="1"/>
  <c r="N56" i="42" s="1"/>
  <c r="O45" i="42" l="1"/>
  <c r="O46" i="42" s="1"/>
  <c r="O54" i="42" l="1"/>
  <c r="O56" i="42" s="1"/>
  <c r="P76" i="42" l="1"/>
  <c r="Q76" i="42" l="1"/>
  <c r="R76" i="42" l="1"/>
  <c r="T76" i="42" l="1"/>
  <c r="S76" i="42"/>
  <c r="Q67" i="42" l="1"/>
  <c r="R109" i="2"/>
  <c r="S109" i="2"/>
  <c r="R67" i="42"/>
  <c r="S67" i="42"/>
  <c r="T109" i="2"/>
  <c r="R60" i="2"/>
  <c r="Q109" i="2"/>
  <c r="W109" i="2" s="1"/>
  <c r="P67" i="42"/>
  <c r="U109" i="2"/>
  <c r="T67" i="42"/>
  <c r="S60" i="2" l="1"/>
  <c r="U60" i="2"/>
  <c r="Q60" i="2"/>
  <c r="T60" i="2"/>
  <c r="W60" i="2" l="1"/>
  <c r="T65" i="42" l="1"/>
  <c r="U47" i="2"/>
  <c r="R65" i="42"/>
  <c r="S47" i="2"/>
  <c r="Q65" i="42"/>
  <c r="R47" i="2"/>
  <c r="S65" i="42"/>
  <c r="T47" i="2"/>
  <c r="Q47" i="2"/>
  <c r="P65" i="42"/>
  <c r="Q81" i="42" l="1"/>
  <c r="W47" i="2"/>
  <c r="R81" i="42"/>
  <c r="S81" i="42"/>
  <c r="T81" i="42"/>
  <c r="R22" i="53" l="1"/>
  <c r="R79" i="42"/>
  <c r="R86" i="42" s="1"/>
  <c r="S22" i="53"/>
  <c r="S79" i="42"/>
  <c r="S86" i="42" s="1"/>
  <c r="T22" i="53"/>
  <c r="T79" i="42"/>
  <c r="T86" i="42" s="1"/>
  <c r="Q22" i="53"/>
  <c r="Q79" i="42"/>
  <c r="Q86" i="42" s="1"/>
  <c r="P79" i="42" l="1"/>
  <c r="P22" i="53"/>
  <c r="X22" i="53" s="1"/>
  <c r="P81" i="42"/>
  <c r="P86" i="42" l="1"/>
  <c r="R78" i="2" l="1"/>
  <c r="S79" i="2"/>
  <c r="U79" i="2"/>
  <c r="Q78" i="2"/>
  <c r="Q77" i="2"/>
  <c r="P73" i="2"/>
  <c r="R77" i="2"/>
  <c r="Q73" i="2"/>
  <c r="T78" i="2"/>
  <c r="T73" i="2"/>
  <c r="U77" i="2"/>
  <c r="S73" i="2"/>
  <c r="T77" i="2"/>
  <c r="U78" i="2"/>
  <c r="U73" i="2"/>
  <c r="R79" i="2"/>
  <c r="S77" i="2"/>
  <c r="R73" i="2"/>
  <c r="T79" i="2"/>
  <c r="Q79" i="2"/>
  <c r="S78" i="2"/>
  <c r="W73" i="2" l="1"/>
  <c r="T1" i="2" s="1"/>
  <c r="G13" i="16" s="1"/>
  <c r="T100" i="2"/>
  <c r="T101" i="2"/>
  <c r="T98" i="2"/>
  <c r="T97" i="2"/>
  <c r="T99" i="2"/>
  <c r="Q100" i="2"/>
  <c r="Q101" i="2"/>
  <c r="Q99" i="2"/>
  <c r="Q98" i="2"/>
  <c r="Q97" i="2"/>
  <c r="U99" i="2"/>
  <c r="U100" i="2"/>
  <c r="U101" i="2"/>
  <c r="U98" i="2"/>
  <c r="U97" i="2"/>
  <c r="S99" i="2"/>
  <c r="S101" i="2"/>
  <c r="S97" i="2"/>
  <c r="S100" i="2"/>
  <c r="S98" i="2"/>
  <c r="R97" i="2"/>
  <c r="R99" i="2"/>
  <c r="R100" i="2"/>
  <c r="R101" i="2"/>
  <c r="R98" i="2"/>
  <c r="S63" i="42" l="1"/>
  <c r="S69" i="42" s="1"/>
  <c r="Q63" i="42"/>
  <c r="Q69" i="42" s="1"/>
  <c r="R63" i="42"/>
  <c r="R69" i="42" s="1"/>
  <c r="P63" i="42"/>
  <c r="T63" i="42"/>
  <c r="T69" i="42" s="1"/>
  <c r="P69" i="42" l="1"/>
  <c r="Q70" i="42" l="1" a="1"/>
  <c r="Q70" i="42" s="1"/>
  <c r="T70" i="42" a="1"/>
  <c r="T70" i="42" s="1"/>
  <c r="R70" i="42" a="1"/>
  <c r="R70" i="42" s="1"/>
  <c r="P70" i="42" a="1"/>
  <c r="P70" i="42" s="1"/>
  <c r="S70" i="42" a="1"/>
  <c r="S70" i="42" s="1"/>
  <c r="R102" i="42" l="1"/>
  <c r="R13" i="44" s="1"/>
  <c r="S102" i="42"/>
  <c r="S13" i="44" s="1"/>
  <c r="Q102" i="42"/>
  <c r="Q13" i="44" s="1"/>
  <c r="P102" i="42"/>
  <c r="P13" i="44" s="1"/>
  <c r="T102" i="42"/>
  <c r="T13" i="44" s="1"/>
  <c r="T32" i="53" l="1"/>
  <c r="T92" i="42"/>
  <c r="S32" i="53"/>
  <c r="S92" i="42"/>
  <c r="R32" i="53"/>
  <c r="R92" i="42"/>
  <c r="Q92" i="42"/>
  <c r="Q32" i="53"/>
  <c r="T14" i="44" l="1"/>
  <c r="T96" i="42"/>
  <c r="R14" i="44"/>
  <c r="R96" i="42"/>
  <c r="Q96" i="42"/>
  <c r="Q14" i="44"/>
  <c r="S14" i="44"/>
  <c r="S96" i="42"/>
  <c r="P32" i="53"/>
  <c r="X32" i="53" s="1"/>
  <c r="S1" i="53" s="1"/>
  <c r="G14" i="16" s="1"/>
  <c r="S1" i="16" s="1"/>
  <c r="P92" i="42"/>
  <c r="W1" i="53" l="1"/>
  <c r="W1" i="2"/>
  <c r="V1" i="4"/>
  <c r="W1" i="42"/>
  <c r="W1" i="55"/>
  <c r="V1" i="54"/>
  <c r="W1" i="58"/>
  <c r="W1" i="44"/>
  <c r="Q103" i="42"/>
  <c r="R103" i="42"/>
  <c r="P14" i="44"/>
  <c r="P96" i="42"/>
  <c r="T103" i="42"/>
  <c r="S103" i="42"/>
  <c r="T104" i="42" l="1"/>
  <c r="R104" i="42"/>
  <c r="P103" i="42"/>
  <c r="S104" i="42"/>
  <c r="Q104" i="42"/>
  <c r="P104" i="42" l="1"/>
</calcChain>
</file>

<file path=xl/sharedStrings.xml><?xml version="1.0" encoding="utf-8"?>
<sst xmlns="http://schemas.openxmlformats.org/spreadsheetml/2006/main" count="769" uniqueCount="240">
  <si>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</si>
  <si>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</si>
  <si>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</si>
  <si>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</si>
  <si>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</si>
  <si>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</si>
  <si>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</si>
  <si>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</si>
  <si>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</si>
  <si>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</si>
  <si>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</si>
  <si>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</si>
  <si>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</si>
  <si>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</si>
  <si>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</si>
  <si>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</si>
  <si>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</si>
  <si>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</si>
  <si>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</si>
  <si>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</si>
  <si>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</si>
  <si>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</si>
  <si>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</si>
  <si>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</si>
  <si>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</si>
  <si>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</si>
  <si>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</si>
  <si>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</si>
  <si>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</si>
  <si>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</si>
  <si>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</si>
  <si>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</si>
  <si>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</si>
  <si>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</si>
  <si>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</si>
  <si>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</si>
  <si>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</si>
  <si>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</si>
  <si>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</si>
  <si>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</si>
  <si>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</si>
  <si>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</si>
  <si>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</si>
  <si>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</si>
  <si>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</si>
  <si>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</si>
  <si>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</si>
  <si>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</si>
  <si>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</si>
  <si>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</si>
  <si>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</si>
  <si>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</si>
  <si>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</si>
  <si>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</si>
  <si>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</si>
  <si>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</si>
  <si>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</si>
  <si>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</si>
  <si>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</si>
  <si>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</si>
  <si>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</si>
  <si>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</si>
  <si>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</si>
  <si>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</si>
  <si>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</si>
  <si>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</si>
  <si>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</si>
  <si>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</si>
  <si>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</si>
  <si>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</si>
  <si>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</si>
  <si>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</si>
  <si>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</si>
  <si>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</si>
  <si>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</si>
  <si>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</si>
  <si>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</si>
  <si>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</si>
  <si>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</si>
  <si>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</si>
  <si>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</si>
  <si>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</si>
  <si>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</si>
  <si>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</si>
  <si>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</si>
  <si>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</si>
  <si>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</si>
  <si>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</si>
  <si>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</si>
  <si>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</si>
  <si>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</si>
  <si>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</si>
  <si>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</si>
  <si>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</si>
  <si>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</si>
  <si>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</si>
  <si>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</si>
  <si>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</si>
  <si>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</si>
  <si>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</si>
  <si>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</si>
  <si>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</si>
  <si>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</si>
  <si>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</si>
  <si>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</si>
  <si>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</si>
  <si>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</si>
  <si>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</si>
  <si>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</si>
  <si>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</si>
  <si>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</si>
  <si>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</si>
  <si>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</si>
  <si>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</si>
  <si>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</si>
  <si>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</si>
  <si>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</si>
  <si>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</si>
  <si>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</si>
  <si>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</si>
  <si>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</si>
  <si>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</si>
  <si>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</si>
  <si>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</si>
  <si>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</si>
  <si>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</si>
  <si>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</si>
  <si>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</si>
  <si>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</si>
  <si>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</si>
  <si>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</si>
  <si>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</si>
  <si>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</si>
  <si>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</si>
  <si>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</si>
  <si>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</si>
  <si>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</si>
  <si>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</si>
  <si>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</si>
  <si>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</si>
  <si>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</si>
  <si>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</si>
  <si>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</si>
  <si>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</si>
  <si>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</si>
  <si>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</si>
  <si>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</si>
  <si>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</si>
  <si>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</si>
  <si>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</si>
  <si>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</si>
  <si>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</si>
  <si>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</si>
  <si>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</si>
  <si>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</si>
  <si>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</si>
  <si>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</si>
  <si>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</si>
  <si>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</si>
  <si>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</si>
  <si>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</si>
  <si>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</si>
  <si>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</si>
  <si>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</si>
  <si>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Version</t>
  </si>
  <si>
    <t>Version history</t>
  </si>
  <si>
    <t>AER opex model version history</t>
  </si>
  <si>
    <t>Description of changes</t>
  </si>
  <si>
    <t>Dollar basis automatically set to last month of previous control period on opex forecast sheet ('Calc|Opex forecast'!F8)</t>
  </si>
  <si>
    <t>CPI values updated with the latest ABS values</t>
  </si>
  <si>
    <t>CPI index corrected on the rate of change sheet ('Input|Rate of change'!21:21)</t>
  </si>
  <si>
    <t>Row label corrected. Change from 'Total opex' to 'Total opex, categories forecast specifically' ('Input|Reported opex'!C29)</t>
  </si>
  <si>
    <t>Conditional formatting corrected ('Input|Rate of change'!T36:T43,'Input|Rate of change'!T49:T56)</t>
  </si>
  <si>
    <t>Formula corrected to pick up correct cells with the output weights ('Calc|Opex forecast'!J61:S61)</t>
  </si>
  <si>
    <t>Minor bug fixes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</si>
  <si>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</si>
  <si>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</si>
  <si>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</si>
  <si>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</si>
  <si>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</si>
  <si>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</si>
  <si>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</si>
  <si>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</si>
  <si>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</si>
  <si>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</si>
  <si>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</si>
  <si>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</si>
  <si>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</si>
  <si>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</si>
  <si>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</si>
  <si>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</si>
  <si>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</si>
  <si>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</si>
  <si>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</si>
  <si>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</si>
  <si>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</si>
  <si>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</si>
  <si>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</si>
  <si>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</si>
  <si>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Minor bug fixes and tidying up</t>
  </si>
  <si>
    <t>Allows applying the rate of change from the base year of final year</t>
  </si>
  <si>
    <t>DMIA expenditure</t>
  </si>
  <si>
    <t>GSL payments</t>
  </si>
  <si>
    <t>Scrapping of assets</t>
  </si>
  <si>
    <t>Previous period year 5.5</t>
  </si>
  <si>
    <t>HY 2021</t>
  </si>
  <si>
    <t>For VIC 2021-26 period. Adjusted to account for 6 month extension of 2016-20 period.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</si>
  <si>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</si>
  <si>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</si>
  <si>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</si>
  <si>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</si>
  <si>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</si>
  <si>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</si>
  <si>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</si>
  <si>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</si>
  <si>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</si>
  <si>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</si>
  <si>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</si>
  <si>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</si>
  <si>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</si>
  <si>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</si>
  <si>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</si>
  <si>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Communications network</t>
  </si>
  <si>
    <t>Wasted truck visits</t>
  </si>
  <si>
    <t>Replacement expenditure on faults and minor repairs</t>
  </si>
  <si>
    <t>Security of critical infrastructure</t>
  </si>
  <si>
    <t>EPA regulations change</t>
  </si>
  <si>
    <t>IT cloud solutions</t>
  </si>
  <si>
    <t>5 minute settlement</t>
  </si>
  <si>
    <t>Financial year RIN</t>
  </si>
  <si>
    <t>ESV levy</t>
  </si>
  <si>
    <t>Solar enablement</t>
  </si>
  <si>
    <t>GSLs</t>
  </si>
  <si>
    <t>United Energy</t>
  </si>
  <si>
    <t>Demand management programs</t>
  </si>
  <si>
    <t>Increasing insurance premiums</t>
  </si>
  <si>
    <t>final</t>
  </si>
  <si>
    <t>WPI - BIS Oxford</t>
  </si>
  <si>
    <t>WPI - average</t>
  </si>
  <si>
    <t>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</si>
</sst>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.0_ ;\-#,##0.0\ "/>
    <numFmt numFmtId="207" formatCode="#,##0_);\(#,##0\);\-\-_)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74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4" fontId="12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/>
    <xf numFmtId="177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6" fontId="21" fillId="4" borderId="0" applyNumberFormat="0" applyFont="0" applyBorder="0" applyAlignment="0">
      <alignment horizontal="right"/>
    </xf>
    <xf numFmtId="166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6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1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6" fontId="21" fillId="36" borderId="0" applyFont="0" applyBorder="0" applyAlignment="0">
      <alignment horizontal="right"/>
      <protection locked="0"/>
    </xf>
    <xf numFmtId="166" fontId="21" fillId="36" borderId="0" applyFont="0" applyBorder="0" applyAlignment="0">
      <alignment horizontal="right"/>
      <protection locked="0"/>
    </xf>
    <xf numFmtId="182" fontId="21" fillId="6" borderId="0" applyFont="0" applyBorder="0">
      <alignment horizontal="right"/>
      <protection locked="0"/>
    </xf>
    <xf numFmtId="182" fontId="21" fillId="6" borderId="0" applyFont="0" applyBorder="0">
      <alignment horizontal="right"/>
      <protection locked="0"/>
    </xf>
    <xf numFmtId="166" fontId="21" fillId="10" borderId="0" applyFont="0" applyBorder="0">
      <alignment horizontal="right"/>
      <protection locked="0"/>
    </xf>
    <xf numFmtId="166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3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4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5" fontId="21" fillId="0" borderId="0" applyFill="0" applyBorder="0"/>
    <xf numFmtId="185" fontId="21" fillId="0" borderId="0" applyFill="0" applyBorder="0"/>
    <xf numFmtId="185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6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7" fontId="21" fillId="0" borderId="0"/>
    <xf numFmtId="187" fontId="21" fillId="0" borderId="0"/>
    <xf numFmtId="187" fontId="21" fillId="0" borderId="0"/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3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75" fillId="42" borderId="0"/>
    <xf numFmtId="201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91" fillId="0" borderId="0"/>
    <xf numFmtId="167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2" fillId="0" borderId="0"/>
    <xf numFmtId="164" fontId="91" fillId="0" borderId="0" applyFont="0" applyFill="0" applyBorder="0" applyAlignment="0" applyProtection="0"/>
    <xf numFmtId="0" fontId="91" fillId="0" borderId="0"/>
    <xf numFmtId="207" fontId="21" fillId="0" borderId="0" applyFill="0" applyBorder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4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2" fontId="14" fillId="0" borderId="0" xfId="5" applyNumberFormat="1" applyFont="1" applyFill="1" applyBorder="1" applyAlignment="1" applyProtection="1">
      <alignment horizontal="center" vertical="center"/>
    </xf>
    <xf numFmtId="173" fontId="11" fillId="0" borderId="0" xfId="5" applyNumberFormat="1" applyFont="1" applyFill="1" applyBorder="1" applyAlignment="1" applyProtection="1">
      <alignment horizontal="center" vertical="center"/>
    </xf>
    <xf numFmtId="173" fontId="19" fillId="0" borderId="0" xfId="5" applyNumberFormat="1" applyFont="1" applyFill="1" applyBorder="1" applyAlignment="1" applyProtection="1">
      <alignment horizontal="center" vertical="center"/>
    </xf>
    <xf numFmtId="174" fontId="5" fillId="0" borderId="0" xfId="0" applyNumberFormat="1" applyFont="1"/>
    <xf numFmtId="176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2" fontId="5" fillId="41" borderId="3" xfId="0" applyNumberFormat="1" applyFont="1" applyFill="1" applyBorder="1" applyAlignment="1" applyProtection="1">
      <alignment horizontal="center"/>
      <protection locked="0"/>
    </xf>
    <xf numFmtId="196" fontId="5" fillId="0" borderId="0" xfId="0" applyNumberFormat="1" applyFont="1" applyAlignment="1" applyProtection="1">
      <alignment horizontal="left"/>
    </xf>
    <xf numFmtId="194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4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7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7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5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4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200" fontId="7" fillId="0" borderId="0" xfId="0" applyNumberFormat="1" applyFont="1" applyAlignment="1" applyProtection="1">
      <alignment horizontal="center"/>
    </xf>
    <xf numFmtId="198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4" fontId="11" fillId="0" borderId="3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4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5" fontId="5" fillId="0" borderId="0" xfId="0" applyNumberFormat="1" applyFont="1" applyProtection="1"/>
    <xf numFmtId="193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5" fontId="6" fillId="41" borderId="3" xfId="2" applyNumberFormat="1" applyFont="1" applyFill="1" applyBorder="1" applyAlignment="1" applyProtection="1">
      <alignment horizontal="center"/>
      <protection locked="0"/>
    </xf>
    <xf numFmtId="199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0" fontId="5" fillId="41" borderId="26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5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7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200" fontId="7" fillId="0" borderId="0" xfId="0" applyNumberFormat="1" applyFont="1" applyBorder="1" applyAlignment="1" applyProtection="1">
      <alignment horizontal="center"/>
    </xf>
    <xf numFmtId="197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4" fontId="5" fillId="0" borderId="0" xfId="0" applyNumberFormat="1" applyFont="1" applyProtection="1">
      <protection locked="0"/>
    </xf>
    <xf numFmtId="194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1" fontId="5" fillId="0" borderId="0" xfId="2" applyNumberFormat="1" applyFont="1" applyAlignment="1" applyProtection="1">
      <alignment horizontal="center"/>
      <protection locked="0"/>
    </xf>
    <xf numFmtId="173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1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6" fontId="6" fillId="0" borderId="0" xfId="0" applyNumberFormat="1" applyFont="1" applyAlignment="1">
      <alignment horizontal="left"/>
    </xf>
    <xf numFmtId="168" fontId="5" fillId="0" borderId="0" xfId="0" quotePrefix="1" applyNumberFormat="1" applyFont="1"/>
    <xf numFmtId="10" fontId="5" fillId="0" borderId="0" xfId="2" applyNumberFormat="1" applyFont="1" applyProtection="1">
      <protection locked="0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93" fontId="7" fillId="8" borderId="28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Border="1" applyAlignment="1">
      <alignment horizontal="center"/>
    </xf>
    <xf numFmtId="168" fontId="6" fillId="41" borderId="3" xfId="0" applyNumberFormat="1" applyFont="1" applyFill="1" applyBorder="1" applyAlignment="1" applyProtection="1">
      <alignment horizontal="center"/>
    </xf>
    <xf numFmtId="203" fontId="6" fillId="41" borderId="3" xfId="0" applyNumberFormat="1" applyFont="1" applyFill="1" applyBorder="1" applyAlignment="1" applyProtection="1">
      <alignment horizontal="center"/>
    </xf>
    <xf numFmtId="0" fontId="71" fillId="38" borderId="0" xfId="3" applyFont="1" applyFill="1" applyBorder="1" applyAlignment="1" applyProtection="1"/>
    <xf numFmtId="10" fontId="5" fillId="41" borderId="3" xfId="2" applyNumberFormat="1" applyFont="1" applyFill="1" applyBorder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  <xf numFmtId="203" fontId="73" fillId="39" borderId="4" xfId="0" applyNumberFormat="1" applyFont="1" applyFill="1" applyBorder="1" applyAlignment="1" applyProtection="1">
      <alignment horizontal="center" vertical="center" wrapText="1"/>
    </xf>
    <xf numFmtId="193" fontId="5" fillId="8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Protection="1">
      <protection locked="0"/>
    </xf>
    <xf numFmtId="0" fontId="73" fillId="38" borderId="2" xfId="0" applyNumberFormat="1" applyFont="1" applyFill="1" applyBorder="1" applyAlignment="1" applyProtection="1">
      <alignment horizontal="center"/>
    </xf>
  </cellXfs>
  <cellStyles count="27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69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7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6" xfId="265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1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2" xfId="268"/>
    <cellStyle name="Normal 13" xfId="137"/>
    <cellStyle name="Normal 13 2" xfId="7"/>
    <cellStyle name="Normal 13_29(d) - Gas extensions -tariffs" xfId="138"/>
    <cellStyle name="Normal 14" xfId="272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70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6"/>
    <cellStyle name="Percent 7" xfId="179"/>
    <cellStyle name="Percent 8" xfId="273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DBE5F1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U34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165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166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164</v>
      </c>
      <c r="D6" s="9" t="s">
        <v>167</v>
      </c>
    </row>
    <row r="7" spans="1:47">
      <c r="C7" s="207">
        <v>1.4</v>
      </c>
      <c r="D7" s="208" t="s">
        <v>168</v>
      </c>
    </row>
    <row r="8" spans="1:47">
      <c r="C8" s="19"/>
      <c r="D8" s="8" t="s">
        <v>169</v>
      </c>
    </row>
    <row r="9" spans="1:47">
      <c r="C9" s="19"/>
      <c r="D9" s="8" t="s">
        <v>170</v>
      </c>
    </row>
    <row r="10" spans="1:47">
      <c r="C10" s="207">
        <v>1.5</v>
      </c>
      <c r="D10" s="8" t="s">
        <v>171</v>
      </c>
    </row>
    <row r="11" spans="1:47">
      <c r="C11" s="19"/>
      <c r="D11" s="8" t="s">
        <v>172</v>
      </c>
    </row>
    <row r="12" spans="1:47">
      <c r="C12" s="19"/>
      <c r="D12" s="8" t="s">
        <v>173</v>
      </c>
    </row>
    <row r="13" spans="1:47">
      <c r="C13" s="207">
        <v>1.6</v>
      </c>
      <c r="D13" s="8" t="s">
        <v>174</v>
      </c>
    </row>
    <row r="14" spans="1:47">
      <c r="C14" s="207">
        <v>1.7</v>
      </c>
      <c r="D14" s="8" t="s">
        <v>200</v>
      </c>
    </row>
    <row r="15" spans="1:47">
      <c r="C15" s="207">
        <v>1.8</v>
      </c>
      <c r="D15" s="8" t="s">
        <v>199</v>
      </c>
    </row>
    <row r="16" spans="1:47">
      <c r="C16" s="207">
        <v>1.9</v>
      </c>
      <c r="D16" s="8" t="s">
        <v>206</v>
      </c>
    </row>
    <row r="17" spans="1:47">
      <c r="C17" s="19"/>
      <c r="D17" s="7"/>
    </row>
    <row r="18" spans="1:47" ht="12.75">
      <c r="C18" s="10"/>
      <c r="D18" s="7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  <c r="F26" s="25"/>
    </row>
    <row r="27" spans="1:47" hidden="1">
      <c r="C27" s="7"/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idden="1">
      <c r="D32" s="7"/>
    </row>
    <row r="33" spans="3:4" ht="12.75" hidden="1">
      <c r="C33" s="10"/>
      <c r="D33" s="7"/>
    </row>
    <row r="34" spans="3:4" hidden="1"/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221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96</v>
      </c>
    </row>
    <row r="9" spans="1:47">
      <c r="C9" s="19" t="s">
        <v>56</v>
      </c>
      <c r="D9" s="7" t="s">
        <v>57</v>
      </c>
    </row>
    <row r="10" spans="1:47">
      <c r="C10" s="19" t="s">
        <v>211</v>
      </c>
      <c r="D10" s="7" t="s">
        <v>194</v>
      </c>
    </row>
    <row r="11" spans="1:47">
      <c r="C11" s="19" t="s">
        <v>59</v>
      </c>
      <c r="D11" s="7" t="s">
        <v>50</v>
      </c>
    </row>
    <row r="12" spans="1:47">
      <c r="C12" s="19" t="s">
        <v>212</v>
      </c>
      <c r="D12" s="7" t="s">
        <v>195</v>
      </c>
    </row>
    <row r="13" spans="1:47">
      <c r="C13" s="19" t="s">
        <v>213</v>
      </c>
      <c r="D13" s="7" t="s">
        <v>196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233</v>
      </c>
      <c r="H7" s="29"/>
      <c r="I7" s="29"/>
      <c r="S7" s="131" t="str">
        <f>IF(COUNTBLANK($G7),"Check","Ok")</f>
        <v>Ok</v>
      </c>
    </row>
    <row r="8" spans="1:47">
      <c r="C8" s="29" t="s">
        <v>134</v>
      </c>
      <c r="D8" s="30" t="s">
        <v>68</v>
      </c>
      <c r="E8" s="29"/>
      <c r="F8" s="29"/>
      <c r="G8" s="52" t="s">
        <v>236</v>
      </c>
      <c r="H8" s="29"/>
      <c r="I8" s="29"/>
      <c r="S8" s="131" t="str">
        <f>IF(COUNTBLANK($G8),"Check","Ok")</f>
        <v>Ok</v>
      </c>
    </row>
    <row r="9" spans="1:47">
      <c r="C9" s="29" t="s">
        <v>207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208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209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148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210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7" priority="13" operator="equal">
      <formula>"Check"</formula>
    </cfRule>
    <cfRule type="cellIs" dxfId="256" priority="14" operator="equal">
      <formula>"Ok"</formula>
    </cfRule>
  </conditionalFormatting>
  <conditionalFormatting sqref="V1">
    <cfRule type="cellIs" dxfId="255" priority="3" operator="equal">
      <formula>"Check"</formula>
    </cfRule>
    <cfRule type="cellIs" dxfId="254" priority="4" operator="equal">
      <formula>"Ok"</formula>
    </cfRule>
  </conditionalFormatting>
  <conditionalFormatting sqref="S7:S16">
    <cfRule type="cellIs" dxfId="253" priority="5" operator="equal">
      <formula>"Check"</formula>
    </cfRule>
    <cfRule type="cellIs" dxfId="252" priority="6" operator="equal">
      <formula>"Ok"</formula>
    </cfRule>
  </conditionalFormatting>
  <conditionalFormatting sqref="S1">
    <cfRule type="cellIs" dxfId="251" priority="1" operator="equal">
      <formula>"Check"</formula>
    </cfRule>
    <cfRule type="cellIs" dxfId="250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K1" sqref="K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132</v>
      </c>
      <c r="F6" s="62" t="s">
        <v>97</v>
      </c>
      <c r="G6" s="62" t="s">
        <v>132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116.2</f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>
      <c r="C66" s="64">
        <v>44377</v>
      </c>
      <c r="D66" s="29"/>
      <c r="E66" s="29"/>
      <c r="F66" s="63">
        <f>F62*(1+3%)</f>
        <v>117.83200000000001</v>
      </c>
      <c r="G66" s="117">
        <f>IF(ISBLANK(F66),"",F66/F64-1)</f>
        <v>5.3924914675769209E-3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118.39500000000001</v>
      </c>
      <c r="G67" s="117">
        <f t="shared" si="1"/>
        <v>1.8889845094664404E-2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F64*(1+1.5%)</f>
        <v>118.958</v>
      </c>
      <c r="G68" s="117">
        <f t="shared" si="1"/>
        <v>1.4999999999999902E-2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9" priority="11" operator="equal">
      <formula>"Check"</formula>
    </cfRule>
    <cfRule type="cellIs" dxfId="248" priority="12" operator="equal">
      <formula>"Ok"</formula>
    </cfRule>
  </conditionalFormatting>
  <conditionalFormatting sqref="W1">
    <cfRule type="cellIs" dxfId="247" priority="7" operator="equal">
      <formula>"Check"</formula>
    </cfRule>
    <cfRule type="cellIs" dxfId="246" priority="8" operator="equal">
      <formula>"Ok"</formula>
    </cfRule>
  </conditionalFormatting>
  <conditionalFormatting sqref="T1">
    <cfRule type="cellIs" dxfId="245" priority="5" operator="equal">
      <formula>"Check"</formula>
    </cfRule>
    <cfRule type="cellIs" dxfId="244" priority="6" operator="equal">
      <formula>"Ok"</formula>
    </cfRule>
  </conditionalFormatting>
  <conditionalFormatting sqref="X51:X57">
    <cfRule type="cellIs" dxfId="243" priority="3" operator="equal">
      <formula>"Check"</formula>
    </cfRule>
    <cfRule type="cellIs" dxfId="242" priority="4" operator="equal">
      <formula>"Ok"</formula>
    </cfRule>
  </conditionalFormatting>
  <conditionalFormatting sqref="X58:X62 T9:T84">
    <cfRule type="cellIs" dxfId="241" priority="1" operator="equal">
      <formula>"Check"</formula>
    </cfRule>
    <cfRule type="cellIs" dxfId="240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zoomScaleNormal="100" workbookViewId="0">
      <selection activeCell="J1" sqref="J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118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217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140.25047591075102</v>
      </c>
      <c r="K13" s="161">
        <v>143.25458920826628</v>
      </c>
      <c r="L13" s="161">
        <v>146.36585607001172</v>
      </c>
      <c r="M13" s="161">
        <v>147.27756687031641</v>
      </c>
      <c r="N13" s="161">
        <v>149.19873019776318</v>
      </c>
      <c r="O13" s="150"/>
      <c r="P13" s="150"/>
      <c r="Q13" s="150"/>
      <c r="R13" s="150"/>
      <c r="S13" s="150"/>
      <c r="T13" s="150"/>
      <c r="U13" s="29" t="s">
        <v>175</v>
      </c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140.25047591075102</v>
      </c>
      <c r="K15" s="129">
        <f t="shared" ref="K15:T15" si="1">K13</f>
        <v>143.25458920826628</v>
      </c>
      <c r="L15" s="129">
        <f t="shared" si="1"/>
        <v>146.36585607001172</v>
      </c>
      <c r="M15" s="129">
        <f t="shared" si="1"/>
        <v>147.27756687031641</v>
      </c>
      <c r="N15" s="129">
        <f t="shared" si="1"/>
        <v>149.19873019776318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1.0661805740472128</v>
      </c>
      <c r="K19" s="161">
        <v>1.1089262448318917</v>
      </c>
      <c r="L19" s="161">
        <v>1.1553256470376421</v>
      </c>
      <c r="M19" s="161">
        <v>1.1831147888265721</v>
      </c>
      <c r="N19" s="161">
        <v>1.2024526319004227</v>
      </c>
      <c r="O19" s="150"/>
      <c r="P19" s="150"/>
      <c r="Q19" s="150"/>
      <c r="R19" s="150"/>
      <c r="S19" s="150"/>
      <c r="T19" s="150"/>
      <c r="U19" s="29" t="s">
        <v>185</v>
      </c>
      <c r="V19" s="29"/>
      <c r="W19" s="29"/>
      <c r="X19" s="29"/>
    </row>
    <row r="20" spans="1:24">
      <c r="A20" s="29"/>
      <c r="B20" s="29"/>
      <c r="C20" s="61" t="s">
        <v>202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0.60413753969717277</v>
      </c>
      <c r="K20" s="161">
        <v>0.60413753969717277</v>
      </c>
      <c r="L20" s="161">
        <v>0.60413753969717277</v>
      </c>
      <c r="M20" s="161">
        <v>0.60413753969717277</v>
      </c>
      <c r="N20" s="161">
        <v>0.60413753969717277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155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1.6703181137443854</v>
      </c>
      <c r="K29" s="129">
        <f t="shared" ref="K29:S29" si="4">SUM(K19:K27)</f>
        <v>1.7130637845290644</v>
      </c>
      <c r="L29" s="129">
        <f t="shared" si="4"/>
        <v>1.7594631867348149</v>
      </c>
      <c r="M29" s="129">
        <f t="shared" si="4"/>
        <v>1.7872523285237447</v>
      </c>
      <c r="N29" s="129">
        <f t="shared" si="4"/>
        <v>1.8065901715975956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218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81.71514635035328</v>
      </c>
      <c r="P36" s="161"/>
      <c r="Q36" s="161"/>
      <c r="R36" s="161"/>
      <c r="S36" s="161"/>
      <c r="T36" s="161"/>
      <c r="U36" s="29" t="s">
        <v>175</v>
      </c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81.71514635035328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157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0.60714455901382425</v>
      </c>
      <c r="P42" s="150"/>
      <c r="Q42" s="150"/>
      <c r="R42" s="150"/>
      <c r="S42" s="150"/>
      <c r="T42" s="150"/>
      <c r="U42" s="29" t="s">
        <v>185</v>
      </c>
      <c r="V42" s="29"/>
      <c r="W42" s="29"/>
      <c r="X42" s="29"/>
    </row>
    <row r="43" spans="1:24">
      <c r="A43" s="29"/>
      <c r="B43" s="29"/>
      <c r="C43" s="61" t="s">
        <v>202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0.32785189985803337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155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0.93499645887185756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5" t="str">
        <f>$E$79</f>
        <v>$millions</v>
      </c>
      <c r="F60" s="216" t="s">
        <v>100</v>
      </c>
      <c r="G60" s="32"/>
      <c r="H60" s="32"/>
      <c r="I60" s="30"/>
      <c r="J60" s="161">
        <v>138.42794329502553</v>
      </c>
      <c r="K60" s="161">
        <v>133.02997606209951</v>
      </c>
      <c r="L60" s="161">
        <v>109.98414999868766</v>
      </c>
      <c r="M60" s="161">
        <v>112.27959799999999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 t="s">
        <v>176</v>
      </c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190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186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1.888996125025</v>
      </c>
      <c r="K64" s="161">
        <v>-3.0536307299999996</v>
      </c>
      <c r="L64" s="161">
        <v>-2.9963570350878399</v>
      </c>
      <c r="M64" s="161">
        <v>-5.2018579999999996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 t="s">
        <v>189</v>
      </c>
      <c r="V64" s="29"/>
      <c r="W64" s="29"/>
      <c r="X64" s="29"/>
    </row>
    <row r="65" spans="1:24">
      <c r="A65" s="29"/>
      <c r="B65" s="29"/>
      <c r="C65" s="61" t="s">
        <v>201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0.50545342999999998</v>
      </c>
      <c r="K65" s="161">
        <v>0.35026671999999998</v>
      </c>
      <c r="L65" s="161">
        <v>0.21057397</v>
      </c>
      <c r="M65" s="161">
        <v>0.452822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203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187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136.03349374000052</v>
      </c>
      <c r="K70" s="129">
        <f t="shared" ref="K70:S70" si="12">K60-SUM(K64:K68)</f>
        <v>135.73334007209951</v>
      </c>
      <c r="L70" s="129">
        <f t="shared" si="12"/>
        <v>112.7699330637755</v>
      </c>
      <c r="M70" s="129">
        <f t="shared" si="12"/>
        <v>117.028634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111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 t="s">
        <v>185</v>
      </c>
      <c r="V74" s="29"/>
      <c r="W74" s="29"/>
      <c r="X74" s="29"/>
    </row>
    <row r="75" spans="1:24">
      <c r="A75" s="29"/>
      <c r="B75" s="29"/>
      <c r="C75" s="61" t="s">
        <v>202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0.71394000000000002</v>
      </c>
      <c r="K75" s="161">
        <v>0.79210000000000003</v>
      </c>
      <c r="L75" s="161">
        <v>0.65620934930009922</v>
      </c>
      <c r="M75" s="161">
        <v>8.0000000000000002E-3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155</v>
      </c>
      <c r="D79" s="140" t="s">
        <v>30</v>
      </c>
      <c r="E79" s="130" t="s">
        <v>15</v>
      </c>
      <c r="F79" s="159" t="s">
        <v>100</v>
      </c>
      <c r="G79" s="32"/>
      <c r="H79" s="32"/>
      <c r="I79" s="30"/>
      <c r="J79" s="184">
        <f>SUM(J74:J77)</f>
        <v>0.71394000000000002</v>
      </c>
      <c r="K79" s="184">
        <f t="shared" ref="K79:S79" si="14">SUM(K74:K77)</f>
        <v>0.79210000000000003</v>
      </c>
      <c r="L79" s="184">
        <f t="shared" si="14"/>
        <v>0.65620934930009922</v>
      </c>
      <c r="M79" s="184">
        <f t="shared" si="14"/>
        <v>8.0000000000000002E-3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112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113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222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0.27007112059521377</v>
      </c>
      <c r="P85" s="161"/>
      <c r="Q85" s="161"/>
      <c r="R85" s="161"/>
      <c r="S85" s="161"/>
      <c r="T85" s="161"/>
      <c r="U85" s="29" t="s">
        <v>198</v>
      </c>
      <c r="V85" s="142"/>
      <c r="W85" s="142"/>
      <c r="X85" s="29"/>
    </row>
    <row r="86" spans="1:24">
      <c r="A86" s="29"/>
      <c r="B86" s="29"/>
      <c r="C86" s="61" t="s">
        <v>223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0.21792843031231496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224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>
        <v>3.5</v>
      </c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230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-2.389369540677257</v>
      </c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/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188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9" priority="55" operator="equal">
      <formula>"Check"</formula>
    </cfRule>
    <cfRule type="cellIs" dxfId="238" priority="56" operator="equal">
      <formula>"Ok"</formula>
    </cfRule>
  </conditionalFormatting>
  <conditionalFormatting sqref="X79">
    <cfRule type="cellIs" dxfId="237" priority="53" operator="equal">
      <formula>"Check"</formula>
    </cfRule>
    <cfRule type="cellIs" dxfId="236" priority="54" operator="equal">
      <formula>"Ok"</formula>
    </cfRule>
  </conditionalFormatting>
  <conditionalFormatting sqref="X15">
    <cfRule type="cellIs" dxfId="235" priority="51" operator="equal">
      <formula>"Check"</formula>
    </cfRule>
    <cfRule type="cellIs" dxfId="234" priority="52" operator="equal">
      <formula>"Ok"</formula>
    </cfRule>
  </conditionalFormatting>
  <conditionalFormatting sqref="W1">
    <cfRule type="cellIs" dxfId="233" priority="49" operator="equal">
      <formula>"Check"</formula>
    </cfRule>
    <cfRule type="cellIs" dxfId="232" priority="50" operator="equal">
      <formula>"Ok"</formula>
    </cfRule>
  </conditionalFormatting>
  <conditionalFormatting sqref="S1:T1">
    <cfRule type="cellIs" dxfId="231" priority="47" operator="equal">
      <formula>"Check"</formula>
    </cfRule>
    <cfRule type="cellIs" dxfId="230" priority="48" operator="equal">
      <formula>"Ok"</formula>
    </cfRule>
  </conditionalFormatting>
  <conditionalFormatting sqref="J15:T15">
    <cfRule type="cellIs" dxfId="229" priority="46" operator="equal">
      <formula>0</formula>
    </cfRule>
  </conditionalFormatting>
  <conditionalFormatting sqref="J79:S79">
    <cfRule type="cellIs" dxfId="228" priority="45" operator="equal">
      <formula>0</formula>
    </cfRule>
  </conditionalFormatting>
  <conditionalFormatting sqref="X71:X73">
    <cfRule type="cellIs" dxfId="227" priority="43" operator="equal">
      <formula>"Check"</formula>
    </cfRule>
    <cfRule type="cellIs" dxfId="226" priority="44" operator="equal">
      <formula>"Ok"</formula>
    </cfRule>
  </conditionalFormatting>
  <conditionalFormatting sqref="J56:T56 N60:T60 J64:T68 J74:S77">
    <cfRule type="expression" dxfId="225" priority="41">
      <formula>J$57=J$4</formula>
    </cfRule>
  </conditionalFormatting>
  <conditionalFormatting sqref="P13:T13 J21:T27 O19:T20">
    <cfRule type="expression" dxfId="224" priority="40">
      <formula>J$10=J$4</formula>
    </cfRule>
  </conditionalFormatting>
  <conditionalFormatting sqref="J60:O60">
    <cfRule type="expression" dxfId="223" priority="37">
      <formula>J$10=J$4</formula>
    </cfRule>
  </conditionalFormatting>
  <conditionalFormatting sqref="X70">
    <cfRule type="cellIs" dxfId="222" priority="35" operator="equal">
      <formula>"Check"</formula>
    </cfRule>
    <cfRule type="cellIs" dxfId="221" priority="36" operator="equal">
      <formula>"Ok"</formula>
    </cfRule>
  </conditionalFormatting>
  <conditionalFormatting sqref="J70:S70">
    <cfRule type="cellIs" dxfId="220" priority="33" operator="equal">
      <formula>0</formula>
    </cfRule>
  </conditionalFormatting>
  <conditionalFormatting sqref="J88:T89 J91:T91 J93:T93 J85:N87 P85:T87">
    <cfRule type="expression" dxfId="219" priority="32">
      <formula>J$83=J$4</formula>
    </cfRule>
  </conditionalFormatting>
  <conditionalFormatting sqref="X29">
    <cfRule type="cellIs" dxfId="218" priority="28" operator="equal">
      <formula>"Check"</formula>
    </cfRule>
    <cfRule type="cellIs" dxfId="217" priority="29" operator="equal">
      <formula>"Ok"</formula>
    </cfRule>
  </conditionalFormatting>
  <conditionalFormatting sqref="J29:T29">
    <cfRule type="cellIs" dxfId="216" priority="27" operator="equal">
      <formula>0</formula>
    </cfRule>
  </conditionalFormatting>
  <conditionalFormatting sqref="N13">
    <cfRule type="expression" dxfId="215" priority="24">
      <formula>N$57=N$4</formula>
    </cfRule>
  </conditionalFormatting>
  <conditionalFormatting sqref="J13:N13">
    <cfRule type="expression" dxfId="214" priority="23">
      <formula>J$10=J$4</formula>
    </cfRule>
  </conditionalFormatting>
  <conditionalFormatting sqref="O60">
    <cfRule type="expression" dxfId="213" priority="21">
      <formula>O$10=O$4</formula>
    </cfRule>
  </conditionalFormatting>
  <conditionalFormatting sqref="T79">
    <cfRule type="cellIs" dxfId="212" priority="20" operator="equal">
      <formula>0</formula>
    </cfRule>
  </conditionalFormatting>
  <conditionalFormatting sqref="T74:T77">
    <cfRule type="expression" dxfId="211" priority="19">
      <formula>T$57=T$4</formula>
    </cfRule>
  </conditionalFormatting>
  <conditionalFormatting sqref="T70">
    <cfRule type="cellIs" dxfId="210" priority="18" operator="equal">
      <formula>0</formula>
    </cfRule>
  </conditionalFormatting>
  <conditionalFormatting sqref="O12:O13">
    <cfRule type="expression" dxfId="209" priority="16">
      <formula>O$10=O$4</formula>
    </cfRule>
  </conditionalFormatting>
  <conditionalFormatting sqref="X38">
    <cfRule type="cellIs" dxfId="208" priority="14" operator="equal">
      <formula>"Check"</formula>
    </cfRule>
    <cfRule type="cellIs" dxfId="207" priority="15" operator="equal">
      <formula>"Ok"</formula>
    </cfRule>
  </conditionalFormatting>
  <conditionalFormatting sqref="J38:T38">
    <cfRule type="cellIs" dxfId="206" priority="13" operator="equal">
      <formula>0</formula>
    </cfRule>
  </conditionalFormatting>
  <conditionalFormatting sqref="J42:N50 P42:T50">
    <cfRule type="expression" dxfId="205" priority="12">
      <formula>J$33=J$4</formula>
    </cfRule>
  </conditionalFormatting>
  <conditionalFormatting sqref="X52">
    <cfRule type="cellIs" dxfId="204" priority="10" operator="equal">
      <formula>"Check"</formula>
    </cfRule>
    <cfRule type="cellIs" dxfId="203" priority="11" operator="equal">
      <formula>"Ok"</formula>
    </cfRule>
  </conditionalFormatting>
  <conditionalFormatting sqref="J52:T52">
    <cfRule type="cellIs" dxfId="202" priority="9" operator="equal">
      <formula>0</formula>
    </cfRule>
  </conditionalFormatting>
  <conditionalFormatting sqref="J36">
    <cfRule type="expression" dxfId="201" priority="7">
      <formula>J$33=J$4</formula>
    </cfRule>
  </conditionalFormatting>
  <conditionalFormatting sqref="O35">
    <cfRule type="expression" dxfId="200" priority="6">
      <formula>O$10=O$4</formula>
    </cfRule>
  </conditionalFormatting>
  <conditionalFormatting sqref="K36:T36">
    <cfRule type="expression" dxfId="199" priority="4">
      <formula>K$33=K$4</formula>
    </cfRule>
  </conditionalFormatting>
  <conditionalFormatting sqref="O42:O50">
    <cfRule type="expression" dxfId="198" priority="3">
      <formula>O$33=O$4</formula>
    </cfRule>
  </conditionalFormatting>
  <conditionalFormatting sqref="J19:N20">
    <cfRule type="expression" dxfId="197" priority="2">
      <formula>J$10=J$4</formula>
    </cfRule>
  </conditionalFormatting>
  <conditionalFormatting sqref="O85:O87">
    <cfRule type="expression" dxfId="196" priority="1">
      <formula>O$83=O$4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opLeftCell="E1" workbookViewId="0">
      <selection activeCell="K1" sqref="K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118</v>
      </c>
      <c r="K3" s="223"/>
      <c r="L3" s="223"/>
      <c r="M3" s="223"/>
      <c r="N3" s="180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20">
        <f>DATE(PPFirstYear,MONTH('Input|General'!$G$9),1)</f>
        <v>42705</v>
      </c>
      <c r="L4" s="220">
        <f>DATE(PPFirstYear+1,MONTH('Input|General'!$G$9),1)</f>
        <v>43070</v>
      </c>
      <c r="M4" s="220">
        <f>DATE(PPFirstYear+2,MONTH('Input|General'!$G$9),1)</f>
        <v>43435</v>
      </c>
      <c r="N4" s="220">
        <f>DATE(PPFirstYear+3,MONTH('Input|General'!$G$9),1)</f>
        <v>43800</v>
      </c>
      <c r="O4" s="220">
        <f>DATE(PPFirstYear+4,MONTH('Input|General'!$G$9),1)</f>
        <v>44166</v>
      </c>
      <c r="P4" s="220">
        <f>DATE(PPFirstYear+5,MONTH('Input|General'!$G$10),1)</f>
        <v>44348</v>
      </c>
      <c r="Q4" s="220">
        <f>DATE(PPFirstYear+6,MONTH('Input|General'!$G$10),1)</f>
        <v>44713</v>
      </c>
      <c r="R4" s="220">
        <f>DATE(PPFirstYear+7,MONTH('Input|General'!$G$10),1)</f>
        <v>45078</v>
      </c>
      <c r="S4" s="220">
        <f>DATE(PPFirstYear+8,MONTH('Input|General'!$G$10),1)</f>
        <v>45444</v>
      </c>
      <c r="T4" s="220">
        <f>DATE(PPFirstYear+9,MONTH('Input|General'!$G$10),1)</f>
        <v>45809</v>
      </c>
      <c r="U4" s="220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8.6058519793459354E-3</v>
      </c>
      <c r="P12" s="143">
        <f>IF(P10=P4,LOOKUP(EOMONTH(P4,0),'Input|Inflation'!$C$9:$C$84,'Input|Inflation'!$G$9:$G$84),"")</f>
        <v>5.3924914675769209E-3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1.0811808118081183</v>
      </c>
      <c r="P16" s="22">
        <f t="shared" ref="P16" si="4">IF(AND($C16&gt;P$14,ISNONTEXT($C16)),Q16/(1+P$12),IF(AND($C16=P$14,P$14=P$4),1,IF(AND($C16&lt;P$14,P$14=P$4),O16*(1+P$12),0)))</f>
        <v>1.0870110701107014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1.0654545454545457</v>
      </c>
      <c r="P17" s="22">
        <f t="shared" ref="P17" si="7">IF(AND($C17&gt;P$14,ISNONTEXT($C17)),Q17/(1+P$12),IF(AND($C17=P$14,P$14=P$4),1,IF(AND($C17&lt;P$14,P$14=P$4),O17*(1+P$12),0)))</f>
        <v>1.0712000000000004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1.0454950936663694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1.0271691498685365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1.0086058519793459</v>
      </c>
      <c r="P20" s="22">
        <f t="shared" ref="P20" si="13">IF(AND($C20&gt;P$14,ISNONTEXT($C20)),Q20/(1+P$12),IF(AND($C20=P$14,P$14=P$4),1,IF(AND($C20&lt;P$14,P$14=P$4),O20*(1+P$12),0)))</f>
        <v>1.0140447504302927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0.92491467576791786</v>
      </c>
      <c r="K21" s="22">
        <f t="shared" ref="K21" si="14">IF(AND($C21&gt;K$14,ISNONTEXT($C21)),L21/(1+L$12),IF(AND($C21=K$14,K$14=K$4),1,IF(AND($C21&lt;K$14,K$14=K$4),J21*(1+K$12),0)))</f>
        <v>0.93856655290102364</v>
      </c>
      <c r="L21" s="22">
        <f t="shared" ref="L21" si="15">IF(AND($C21&gt;L$14,ISNONTEXT($C21)),M21/(1+M$12),IF(AND($C21=L$14,L$14=L$4),1,IF(AND($C21&lt;L$14,L$14=L$4),K21*(1+L$12),0)))</f>
        <v>0.956484641638225</v>
      </c>
      <c r="M21" s="22">
        <f t="shared" ref="M21" si="16">IF(AND($C21&gt;M$14,ISNONTEXT($C21)),N21/(1+N$12),IF(AND($C21=M$14,M$14=M$4),1,IF(AND($C21&lt;M$14,M$14=M$4),L21*(1+M$12),0)))</f>
        <v>0.97354948805460739</v>
      </c>
      <c r="N21" s="22">
        <f t="shared" ref="N21:O21" si="17">IF(AND($C21&gt;N$14,ISNONTEXT($C21)),O21/(1+O$12),IF(AND($C21=N$14,N$14=N$4),1,IF(AND($C21&lt;N$14,N$14=N$4),M21*(1+N$12),0)))</f>
        <v>0.99146757679180886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1.0053924914675769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0.91995383257519137</v>
      </c>
      <c r="K22" s="22">
        <f t="shared" ref="K22" si="19">IF(AND($C22&gt;K$14,ISNONTEXT($C22)),L22/(1+L$12),IF(AND($C22=K$14,K$14=K$4),1,IF(AND($C22&lt;K$14,K$14=K$4),J22*(1+K$12),0)))</f>
        <v>0.9335324869305448</v>
      </c>
      <c r="L22" s="22">
        <f t="shared" ref="L22" si="20">IF(AND($C22&gt;L$14,ISNONTEXT($C22)),M22/(1+M$12),IF(AND($C22=L$14,L$14=L$4),1,IF(AND($C22&lt;L$14,L$14=L$4),K22*(1+L$12),0)))</f>
        <v>0.95135447077194613</v>
      </c>
      <c r="M22" s="22">
        <f t="shared" ref="M22" si="21">IF(AND($C22&gt;M$14,ISNONTEXT($C22)),N22/(1+N$12),IF(AND($C22=M$14,M$14=M$4),1,IF(AND($C22&lt;M$14,M$14=M$4),L22*(1+M$12),0)))</f>
        <v>0.968327788716138</v>
      </c>
      <c r="N22" s="22">
        <f t="shared" ref="N22:O22" si="22">IF(AND($C22&gt;N$14,ISNONTEXT($C22)),O22/(1+O$12),IF(AND($C22=N$14,N$14=N$4),1,IF(AND($C22&lt;N$14,N$14=N$4),M22*(1+N$12),0)))</f>
        <v>0.98614977255753944</v>
      </c>
      <c r="O22" s="22">
        <f t="shared" si="22"/>
        <v>0.99463643152963532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0.92888598933404443</v>
      </c>
      <c r="P26" s="22">
        <f t="shared" si="26"/>
        <v>0.92243091924421994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0.94259648364155812</v>
      </c>
      <c r="P27" s="22">
        <f t="shared" si="28"/>
        <v>0.93604613576442974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0.96059150742016974</v>
      </c>
      <c r="P28" s="22">
        <f t="shared" si="29"/>
        <v>0.95391610744720545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0.97772962530456164</v>
      </c>
      <c r="P29" s="22">
        <f t="shared" si="30"/>
        <v>0.97093512809746785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0.99572464908317337</v>
      </c>
      <c r="P30" s="22">
        <f t="shared" si="31"/>
        <v>0.98880509978024334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1.0902707684066131</v>
      </c>
      <c r="K31" s="22">
        <f t="shared" si="32"/>
        <v>1.0732888755592296</v>
      </c>
      <c r="L31" s="22">
        <f t="shared" si="32"/>
        <v>1.0554276383519903</v>
      </c>
      <c r="M31" s="22">
        <f t="shared" si="32"/>
        <v>1.0362916127003108</v>
      </c>
      <c r="N31" s="22">
        <f t="shared" si="32"/>
        <v>1.0178451824958725</v>
      </c>
      <c r="O31" s="22">
        <f t="shared" si="32"/>
        <v>1.0042937080253693</v>
      </c>
      <c r="P31" s="22">
        <f t="shared" si="32"/>
        <v>0.99731461010537448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1.0961500442225944</v>
      </c>
      <c r="K32" s="22">
        <f t="shared" si="32"/>
        <v>1.079076576662928</v>
      </c>
      <c r="L32" s="22">
        <f t="shared" si="32"/>
        <v>1.0611190228864482</v>
      </c>
      <c r="M32" s="22">
        <f t="shared" si="32"/>
        <v>1.0418798063797186</v>
      </c>
      <c r="N32" s="22">
        <f t="shared" si="32"/>
        <v>1.0233339039577958</v>
      </c>
      <c r="O32" s="22">
        <f t="shared" si="32"/>
        <v>1.0097093532768373</v>
      </c>
      <c r="P32" s="22">
        <f t="shared" si="32"/>
        <v>1.0026926206308575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237</v>
      </c>
      <c r="D38" s="30" t="s">
        <v>101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9.8370311036397595E-3</v>
      </c>
      <c r="R38" s="165">
        <v>1.2419523308236181E-2</v>
      </c>
      <c r="S38" s="165">
        <v>1.3751461961990695E-2</v>
      </c>
      <c r="T38" s="165">
        <v>1.6196532715190247E-2</v>
      </c>
      <c r="U38" s="165">
        <v>1.6184913955027823E-2</v>
      </c>
    </row>
    <row r="39" spans="1:50" ht="11.25" customHeight="1" outlineLevel="1">
      <c r="C39" s="61" t="s">
        <v>117</v>
      </c>
      <c r="D39" s="30" t="s">
        <v>101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>
        <v>6.4497697426096857E-3</v>
      </c>
      <c r="R39" s="165">
        <v>8.3420163328395535E-4</v>
      </c>
      <c r="S39" s="165">
        <v>-1.568922575407865E-3</v>
      </c>
      <c r="T39" s="165">
        <v>-1.5410768712433897E-3</v>
      </c>
      <c r="U39" s="165">
        <v>2.8340225190333036E-3</v>
      </c>
    </row>
    <row r="40" spans="1:50" ht="11.25" customHeight="1" outlineLevel="1">
      <c r="C40" s="61" t="s">
        <v>238</v>
      </c>
      <c r="D40" s="30" t="s">
        <v>101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165">
        <v>8.1434004231247231E-3</v>
      </c>
      <c r="R40" s="165">
        <v>6.6268624707600688E-3</v>
      </c>
      <c r="S40" s="165">
        <v>6.0912696932914154E-3</v>
      </c>
      <c r="T40" s="165">
        <v>7.3277279219734291E-3</v>
      </c>
      <c r="U40" s="165">
        <v>9.5094682370305637E-3</v>
      </c>
    </row>
    <row r="41" spans="1:50" ht="11.25" customHeight="1" outlineLevel="1">
      <c r="C41" s="61" t="s">
        <v>80</v>
      </c>
      <c r="D41" s="30" t="s">
        <v>101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>
        <v>0</v>
      </c>
      <c r="R41" s="60">
        <v>0</v>
      </c>
      <c r="S41" s="60">
        <v>0</v>
      </c>
      <c r="T41" s="209">
        <v>0</v>
      </c>
      <c r="U41" s="60">
        <v>0</v>
      </c>
    </row>
    <row r="42" spans="1:50" ht="11.25" customHeight="1" outlineLevel="1">
      <c r="C42" s="61"/>
      <c r="D42" s="30" t="s">
        <v>101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9"/>
      <c r="U42" s="60"/>
    </row>
    <row r="43" spans="1:50" ht="11.25" customHeight="1" outlineLevel="1">
      <c r="C43" s="61"/>
      <c r="D43" s="30" t="s">
        <v>101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9"/>
      <c r="U43" s="60"/>
    </row>
    <row r="44" spans="1:50" ht="11.25" customHeight="1" outlineLevel="1">
      <c r="C44" s="61"/>
      <c r="D44" s="30" t="s">
        <v>101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9"/>
      <c r="U44" s="60"/>
    </row>
    <row r="45" spans="1:50" ht="11.25" customHeight="1" outlineLevel="1">
      <c r="C45" s="61"/>
      <c r="D45" s="30" t="s">
        <v>101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/>
      <c r="R45" s="60"/>
      <c r="S45" s="60"/>
      <c r="T45" s="209"/>
      <c r="U45" s="60"/>
    </row>
    <row r="46" spans="1:50" ht="11.25" customHeight="1" outlineLevel="1"/>
    <row r="47" spans="1:50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BIS Oxford</v>
      </c>
      <c r="D51" s="30" t="s">
        <v>101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0" ht="11.25" customHeight="1" outlineLevel="1">
      <c r="C52" s="146" t="str">
        <f t="shared" si="37"/>
        <v>WPI - DAE</v>
      </c>
      <c r="D52" s="30" t="s">
        <v>101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0" ht="11.25" customHeight="1" outlineLevel="1">
      <c r="C53" s="146" t="str">
        <f t="shared" si="37"/>
        <v>WPI - average</v>
      </c>
      <c r="D53" s="30" t="s">
        <v>101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>
        <v>0.59199999999999997</v>
      </c>
      <c r="R53" s="60">
        <v>0.59199999999999997</v>
      </c>
      <c r="S53" s="60">
        <v>0.59199999999999997</v>
      </c>
      <c r="T53" s="60">
        <v>0.59199999999999997</v>
      </c>
      <c r="U53" s="60">
        <v>0.59199999999999997</v>
      </c>
    </row>
    <row r="54" spans="1:50" ht="11.25" customHeight="1" outlineLevel="1">
      <c r="C54" s="146" t="str">
        <f t="shared" si="37"/>
        <v>CPI</v>
      </c>
      <c r="D54" s="30" t="s">
        <v>101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>
        <v>0.40800000000000003</v>
      </c>
      <c r="R54" s="60">
        <v>0.40800000000000003</v>
      </c>
      <c r="S54" s="60">
        <v>0.40800000000000003</v>
      </c>
      <c r="T54" s="60">
        <v>0.40800000000000003</v>
      </c>
      <c r="U54" s="60">
        <v>0.40800000000000003</v>
      </c>
    </row>
    <row r="55" spans="1:50" ht="11.25" customHeight="1" outlineLevel="1">
      <c r="C55" s="146">
        <f t="shared" si="37"/>
        <v>0</v>
      </c>
      <c r="D55" s="30" t="s">
        <v>101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101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101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>
        <f t="shared" si="37"/>
        <v>0</v>
      </c>
      <c r="D58" s="30" t="s">
        <v>101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/>
      <c r="R58" s="60"/>
      <c r="S58" s="60"/>
      <c r="T58" s="60"/>
      <c r="U58" s="60"/>
    </row>
    <row r="59" spans="1:50" ht="11.25" customHeight="1" outlineLevel="1"/>
    <row r="60" spans="1:50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177</v>
      </c>
      <c r="D66" s="30" t="s">
        <v>101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712714.99480020721</v>
      </c>
      <c r="Q66" s="194">
        <v>717327.26569700858</v>
      </c>
      <c r="R66" s="194">
        <v>725223.34797198593</v>
      </c>
      <c r="S66" s="194">
        <v>735084.40265797009</v>
      </c>
      <c r="T66" s="194">
        <v>744656.80725510838</v>
      </c>
      <c r="U66" s="194">
        <v>753895.68290386663</v>
      </c>
    </row>
    <row r="67" spans="3:23" outlineLevel="1">
      <c r="C67" s="61" t="s">
        <v>178</v>
      </c>
      <c r="D67" s="30" t="s">
        <v>101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13900.552391049379</v>
      </c>
      <c r="Q67" s="194">
        <v>14038.185392768206</v>
      </c>
      <c r="R67" s="194">
        <v>14232.182891433542</v>
      </c>
      <c r="S67" s="194">
        <v>14437.211149350105</v>
      </c>
      <c r="T67" s="194">
        <v>14653.842396663396</v>
      </c>
      <c r="U67" s="194">
        <v>14882.678636442997</v>
      </c>
    </row>
    <row r="68" spans="3:23" outlineLevel="1">
      <c r="C68" s="61" t="s">
        <v>179</v>
      </c>
      <c r="D68" s="30" t="s">
        <v>101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2152.2415340000002</v>
      </c>
      <c r="Q68" s="194">
        <v>2152.2415340000002</v>
      </c>
      <c r="R68" s="194">
        <v>2152.2415340000002</v>
      </c>
      <c r="S68" s="194">
        <v>2152.2415340000002</v>
      </c>
      <c r="T68" s="194">
        <v>2152.2415340000002</v>
      </c>
      <c r="U68" s="194">
        <v>2152.2415340000002</v>
      </c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194"/>
      <c r="S69" s="194"/>
      <c r="T69" s="194"/>
      <c r="U69" s="194"/>
    </row>
    <row r="70" spans="3:23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6.4505602626478975E-3</v>
      </c>
      <c r="R77" s="117">
        <f t="shared" si="44"/>
        <v>1.0947499603325639E-2</v>
      </c>
      <c r="S77" s="117">
        <f t="shared" si="44"/>
        <v>1.3505652587936012E-2</v>
      </c>
      <c r="T77" s="117">
        <f t="shared" si="44"/>
        <v>1.2938124671730833E-2</v>
      </c>
      <c r="U77" s="117">
        <f t="shared" si="44"/>
        <v>1.2330556010150318E-2</v>
      </c>
    </row>
    <row r="78" spans="3:23" outlineLevel="1">
      <c r="C78" s="146" t="str">
        <f t="shared" ref="C78:C82" si="45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9.8525650051293212E-3</v>
      </c>
      <c r="R78" s="117">
        <f t="shared" si="46"/>
        <v>1.3724656284603398E-2</v>
      </c>
      <c r="S78" s="117">
        <f t="shared" si="46"/>
        <v>1.4303180110433189E-2</v>
      </c>
      <c r="T78" s="117">
        <f t="shared" si="46"/>
        <v>1.4893599599062668E-2</v>
      </c>
      <c r="U78" s="117">
        <f t="shared" si="46"/>
        <v>1.5495448384504229E-2</v>
      </c>
    </row>
    <row r="79" spans="3:23" outlineLevel="1">
      <c r="C79" s="146" t="str">
        <f t="shared" si="45"/>
        <v>Ratcheted Maximum Demand (MW)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>
        <f t="shared" si="45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  <c r="U80" s="117" t="str">
        <f t="shared" si="48"/>
        <v/>
      </c>
    </row>
    <row r="81" spans="3:23" outlineLevel="1">
      <c r="C81" s="146">
        <f t="shared" si="45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180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1" t="s">
        <v>181</v>
      </c>
      <c r="K84" s="211" t="s">
        <v>182</v>
      </c>
      <c r="L84" s="211" t="s">
        <v>183</v>
      </c>
      <c r="M84" s="211" t="s">
        <v>214</v>
      </c>
      <c r="N84" s="211"/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18">
        <v>0.50870010235414531</v>
      </c>
      <c r="K86" s="218">
        <v>0.63313008130081305</v>
      </c>
      <c r="L86" s="218">
        <v>0.49481327800829877</v>
      </c>
      <c r="M86" s="218">
        <v>0.59285714285714286</v>
      </c>
      <c r="N86" s="218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18">
        <v>0.1494370522006141</v>
      </c>
      <c r="K87" s="218">
        <v>0.1636178861788618</v>
      </c>
      <c r="L87" s="218">
        <v>0.16597510373443985</v>
      </c>
      <c r="M87" s="218">
        <v>0.14183673469387756</v>
      </c>
      <c r="N87" s="218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101</v>
      </c>
      <c r="E88" s="30" t="s">
        <v>18</v>
      </c>
      <c r="F88" s="30" t="s">
        <v>36</v>
      </c>
      <c r="G88" s="32"/>
      <c r="H88" s="32"/>
      <c r="J88" s="218">
        <v>0.34186284544524054</v>
      </c>
      <c r="K88" s="218">
        <v>0.20325203252032523</v>
      </c>
      <c r="L88" s="218">
        <v>0.33921161825726143</v>
      </c>
      <c r="M88" s="218">
        <v>0.26530612244897961</v>
      </c>
      <c r="N88" s="218"/>
      <c r="O88" s="191"/>
      <c r="P88" s="191"/>
      <c r="Q88" s="191"/>
      <c r="R88" s="191"/>
      <c r="S88" s="191"/>
      <c r="T88" s="191"/>
    </row>
    <row r="89" spans="3:23" outlineLevel="1">
      <c r="C89" s="146">
        <f t="shared" si="51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18"/>
      <c r="K89" s="218"/>
      <c r="L89" s="218"/>
      <c r="M89" s="218"/>
      <c r="N89" s="218"/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184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98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4.7537389368320221E-3</v>
      </c>
      <c r="R97" s="117">
        <f t="shared" si="53"/>
        <v>7.6199663463714824E-3</v>
      </c>
      <c r="S97" s="117">
        <f t="shared" si="53"/>
        <v>9.007751926640167E-3</v>
      </c>
      <c r="T97" s="117">
        <f>IF(T$95=T$4,SUMPRODUCT(T$77:T$82,$J$86:$J$91),"")</f>
        <v>8.8072809655203414E-3</v>
      </c>
      <c r="U97" s="117">
        <f>IF(U$95=U$4,SUMPRODUCT(U$77:U$82,$J$86:$J$91),"")</f>
        <v>8.5881492335540682E-3</v>
      </c>
      <c r="W97" s="132"/>
    </row>
    <row r="98" spans="1:50" outlineLevel="1">
      <c r="C98" s="146" t="str">
        <v>LSE CD</v>
      </c>
      <c r="D98" s="30" t="s">
        <v>98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5.6960996031051436E-3</v>
      </c>
      <c r="R98" s="117">
        <f t="shared" si="54"/>
        <v>9.1767905637124194E-3</v>
      </c>
      <c r="S98" s="117">
        <f t="shared" si="54"/>
        <v>1.089109101632508E-2</v>
      </c>
      <c r="T98" s="117">
        <f>IF(T$95=T$4,SUMPRODUCT(T$77:T$82,$K$86:$K$91),"")</f>
        <v>1.0628375209285975E-2</v>
      </c>
      <c r="U98" s="117">
        <f>IF(U$95=U$4,SUMPRODUCT(U$77:U$82,$K$86:$K$91),"")</f>
        <v>1.034217843925694E-2</v>
      </c>
      <c r="W98" s="132"/>
    </row>
    <row r="99" spans="1:50" outlineLevel="1">
      <c r="C99" s="146" t="str">
        <v>LSE TLG</v>
      </c>
      <c r="D99" s="30" t="s">
        <v>98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4.8271033673275296E-3</v>
      </c>
      <c r="R99" s="117">
        <f t="shared" si="55"/>
        <v>7.694919415272691E-3</v>
      </c>
      <c r="S99" s="117">
        <f t="shared" si="55"/>
        <v>9.0567480312394068E-3</v>
      </c>
      <c r="T99" s="117">
        <f>IF(T$95=T$4,SUMPRODUCT(T$77:T$82,$L$86:$L$91),"")</f>
        <v>8.8739226185328146E-3</v>
      </c>
      <c r="U99" s="117">
        <f>IF(U$95=U$4,SUMPRODUCT(U$77:U$82,$L$86:$L$91),"")</f>
        <v>8.6731814920771554E-3</v>
      </c>
      <c r="W99" s="132"/>
    </row>
    <row r="100" spans="1:50" outlineLevel="1">
      <c r="C100" s="146" t="str">
        <v>SFA TLG</v>
      </c>
      <c r="D100" s="30" t="s">
        <v>98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5.2217163758279637E-3</v>
      </c>
      <c r="R100" s="117">
        <f t="shared" si="56"/>
        <v>8.436963768461295E-3</v>
      </c>
      <c r="S100" s="117">
        <f t="shared" si="56"/>
        <v>1.003563896830718E-2</v>
      </c>
      <c r="T100" s="117">
        <f>IF(T$95=T$4,SUMPRODUCT(T$77:T$82,$M$86:$M$91),"")</f>
        <v>9.7829191617809438E-3</v>
      </c>
      <c r="U100" s="117">
        <f>IF(U$95=U$4,SUMPRODUCT(U$77:U$82,$M$86:$M$91),"")</f>
        <v>9.5080820074932883E-3</v>
      </c>
      <c r="W100" s="132"/>
    </row>
    <row r="101" spans="1:50" outlineLevel="1">
      <c r="C101" s="221">
        <v>0</v>
      </c>
      <c r="D101" s="30" t="s">
        <v>98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0</v>
      </c>
      <c r="R101" s="117">
        <f t="shared" ref="R101:U101" si="57">IF(R$95=R$4,SUMPRODUCT(R$77:R$82,$N$86:$N$91),"")</f>
        <v>0</v>
      </c>
      <c r="S101" s="117">
        <f t="shared" si="57"/>
        <v>0</v>
      </c>
      <c r="T101" s="117">
        <f t="shared" si="57"/>
        <v>0</v>
      </c>
      <c r="U101" s="117">
        <f t="shared" si="57"/>
        <v>0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101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3.7476611191240572E-3</v>
      </c>
      <c r="R107" s="167" t="s">
        <v>239</v>
      </c>
      <c r="S107" s="167" t="s">
        <v>239</v>
      </c>
      <c r="T107" s="167" t="s">
        <v>239</v>
      </c>
      <c r="U107" s="167" t="s">
        <v>239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98</v>
      </c>
      <c r="E109" s="30" t="s">
        <v>28</v>
      </c>
      <c r="F109" s="30" t="s">
        <v>36</v>
      </c>
      <c r="J109" s="132" t="str">
        <f t="shared" ref="J109:S109" si="59">IF(J105=J$4,IF(ISBLANK(J107),"Check","Ok"),"")</f>
        <v/>
      </c>
      <c r="K109" s="132" t="str">
        <f t="shared" si="59"/>
        <v/>
      </c>
      <c r="L109" s="132" t="str">
        <f t="shared" si="59"/>
        <v/>
      </c>
      <c r="M109" s="132" t="str">
        <f t="shared" si="59"/>
        <v/>
      </c>
      <c r="N109" s="132" t="str">
        <f t="shared" si="59"/>
        <v/>
      </c>
      <c r="O109" s="132" t="str">
        <f t="shared" si="59"/>
        <v/>
      </c>
      <c r="P109" s="132" t="str">
        <f t="shared" si="59"/>
        <v/>
      </c>
      <c r="Q109" s="132" t="str">
        <f t="shared" si="59"/>
        <v>Ok</v>
      </c>
      <c r="R109" s="132" t="str">
        <f t="shared" si="59"/>
        <v>Ok</v>
      </c>
      <c r="S109" s="132" t="str">
        <f t="shared" si="59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5" priority="133" operator="equal">
      <formula>"Check"</formula>
    </cfRule>
    <cfRule type="cellIs" dxfId="194" priority="134" operator="equal">
      <formula>"Ok"</formula>
    </cfRule>
  </conditionalFormatting>
  <conditionalFormatting sqref="T1">
    <cfRule type="cellIs" dxfId="193" priority="97" operator="equal">
      <formula>"Check"</formula>
    </cfRule>
    <cfRule type="cellIs" dxfId="192" priority="98" operator="equal">
      <formula>"Ok"</formula>
    </cfRule>
  </conditionalFormatting>
  <conditionalFormatting sqref="W60">
    <cfRule type="cellIs" dxfId="191" priority="85" operator="equal">
      <formula>"Check"</formula>
    </cfRule>
    <cfRule type="cellIs" dxfId="190" priority="86" operator="equal">
      <formula>"Ok"</formula>
    </cfRule>
  </conditionalFormatting>
  <conditionalFormatting sqref="J60:T60">
    <cfRule type="cellIs" dxfId="189" priority="77" operator="equal">
      <formula>"Check"</formula>
    </cfRule>
    <cfRule type="cellIs" dxfId="188" priority="78" operator="equal">
      <formula>"Ok"</formula>
    </cfRule>
  </conditionalFormatting>
  <conditionalFormatting sqref="J36:U36">
    <cfRule type="expression" dxfId="187" priority="68">
      <formula>J$36=J$4</formula>
    </cfRule>
  </conditionalFormatting>
  <conditionalFormatting sqref="J42:T45 J41:P41 J38:U40">
    <cfRule type="expression" dxfId="186" priority="66">
      <formula>J$36=J$4</formula>
    </cfRule>
  </conditionalFormatting>
  <conditionalFormatting sqref="J51:U58">
    <cfRule type="expression" dxfId="185" priority="65">
      <formula>J$49=J$4</formula>
    </cfRule>
  </conditionalFormatting>
  <conditionalFormatting sqref="W109">
    <cfRule type="cellIs" dxfId="184" priority="59" operator="equal">
      <formula>"Check"</formula>
    </cfRule>
    <cfRule type="cellIs" dxfId="183" priority="60" operator="equal">
      <formula>"Ok"</formula>
    </cfRule>
  </conditionalFormatting>
  <conditionalFormatting sqref="J109:T109">
    <cfRule type="cellIs" dxfId="182" priority="57" operator="equal">
      <formula>"Check"</formula>
    </cfRule>
    <cfRule type="cellIs" dxfId="181" priority="58" operator="equal">
      <formula>"Ok"</formula>
    </cfRule>
  </conditionalFormatting>
  <conditionalFormatting sqref="W47">
    <cfRule type="cellIs" dxfId="180" priority="55" operator="equal">
      <formula>"Check"</formula>
    </cfRule>
    <cfRule type="cellIs" dxfId="179" priority="56" operator="equal">
      <formula>"Ok"</formula>
    </cfRule>
  </conditionalFormatting>
  <conditionalFormatting sqref="J47:T47">
    <cfRule type="cellIs" dxfId="178" priority="53" operator="equal">
      <formula>"Check"</formula>
    </cfRule>
    <cfRule type="cellIs" dxfId="177" priority="54" operator="equal">
      <formula>"Ok"</formula>
    </cfRule>
  </conditionalFormatting>
  <conditionalFormatting sqref="W73">
    <cfRule type="cellIs" dxfId="176" priority="51" operator="equal">
      <formula>"Check"</formula>
    </cfRule>
    <cfRule type="cellIs" dxfId="175" priority="52" operator="equal">
      <formula>"Ok"</formula>
    </cfRule>
  </conditionalFormatting>
  <conditionalFormatting sqref="J73:T73">
    <cfRule type="cellIs" dxfId="174" priority="49" operator="equal">
      <formula>"Check"</formula>
    </cfRule>
    <cfRule type="cellIs" dxfId="173" priority="50" operator="equal">
      <formula>"Ok"</formula>
    </cfRule>
  </conditionalFormatting>
  <conditionalFormatting sqref="J64:U64">
    <cfRule type="expression" dxfId="172" priority="43">
      <formula>J$64=J$4</formula>
    </cfRule>
  </conditionalFormatting>
  <conditionalFormatting sqref="J70:T71 J66:U69">
    <cfRule type="expression" dxfId="171" priority="41">
      <formula>J$64=J$4</formula>
    </cfRule>
  </conditionalFormatting>
  <conditionalFormatting sqref="J49:U49">
    <cfRule type="expression" dxfId="170" priority="38">
      <formula>J$36=J$4</formula>
    </cfRule>
  </conditionalFormatting>
  <conditionalFormatting sqref="J75:U75">
    <cfRule type="expression" dxfId="169" priority="37">
      <formula>J$36=J$4</formula>
    </cfRule>
  </conditionalFormatting>
  <conditionalFormatting sqref="J105:U105">
    <cfRule type="expression" dxfId="168" priority="36">
      <formula>J$36=J$4</formula>
    </cfRule>
  </conditionalFormatting>
  <conditionalFormatting sqref="J26:T32">
    <cfRule type="cellIs" dxfId="167" priority="34" operator="equal">
      <formula>0</formula>
    </cfRule>
  </conditionalFormatting>
  <conditionalFormatting sqref="J16:T22">
    <cfRule type="cellIs" dxfId="166" priority="33" operator="equal">
      <formula>0</formula>
    </cfRule>
  </conditionalFormatting>
  <conditionalFormatting sqref="W93:W101">
    <cfRule type="cellIs" dxfId="165" priority="29" operator="equal">
      <formula>"Check"</formula>
    </cfRule>
    <cfRule type="cellIs" dxfId="164" priority="30" operator="equal">
      <formula>"Ok"</formula>
    </cfRule>
  </conditionalFormatting>
  <conditionalFormatting sqref="K90:M91">
    <cfRule type="expression" dxfId="163" priority="28">
      <formula>K$84=K$4</formula>
    </cfRule>
  </conditionalFormatting>
  <conditionalFormatting sqref="J96:T96 J93:T94">
    <cfRule type="cellIs" dxfId="162" priority="26" operator="equal">
      <formula>"Check"</formula>
    </cfRule>
    <cfRule type="cellIs" dxfId="161" priority="27" operator="equal">
      <formula>"Ok"</formula>
    </cfRule>
  </conditionalFormatting>
  <conditionalFormatting sqref="J95:U95">
    <cfRule type="expression" dxfId="160" priority="25">
      <formula>J$95=J$4</formula>
    </cfRule>
  </conditionalFormatting>
  <conditionalFormatting sqref="J107:U107">
    <cfRule type="expression" dxfId="159" priority="138">
      <formula>J$105=J$4</formula>
    </cfRule>
  </conditionalFormatting>
  <conditionalFormatting sqref="K89:M89">
    <cfRule type="expression" dxfId="158" priority="24">
      <formula>K$84=K$4</formula>
    </cfRule>
  </conditionalFormatting>
  <conditionalFormatting sqref="U26:U32">
    <cfRule type="cellIs" dxfId="157" priority="23" operator="equal">
      <formula>0</formula>
    </cfRule>
  </conditionalFormatting>
  <conditionalFormatting sqref="U16:U22">
    <cfRule type="cellIs" dxfId="156" priority="22" operator="equal">
      <formula>0</formula>
    </cfRule>
  </conditionalFormatting>
  <conditionalFormatting sqref="U109">
    <cfRule type="cellIs" dxfId="155" priority="4" operator="equal">
      <formula>"Check"</formula>
    </cfRule>
    <cfRule type="cellIs" dxfId="154" priority="5" operator="equal">
      <formula>"Ok"</formula>
    </cfRule>
  </conditionalFormatting>
  <conditionalFormatting sqref="U47">
    <cfRule type="cellIs" dxfId="153" priority="17" operator="equal">
      <formula>"Check"</formula>
    </cfRule>
    <cfRule type="cellIs" dxfId="152" priority="18" operator="equal">
      <formula>"Ok"</formula>
    </cfRule>
  </conditionalFormatting>
  <conditionalFormatting sqref="U38:U40 U42:U45">
    <cfRule type="expression" dxfId="151" priority="16">
      <formula>U$36=U$4</formula>
    </cfRule>
  </conditionalFormatting>
  <conditionalFormatting sqref="U51:U58">
    <cfRule type="expression" dxfId="150" priority="13">
      <formula>U$49=U$4</formula>
    </cfRule>
  </conditionalFormatting>
  <conditionalFormatting sqref="U60">
    <cfRule type="cellIs" dxfId="149" priority="11" operator="equal">
      <formula>"Check"</formula>
    </cfRule>
    <cfRule type="cellIs" dxfId="148" priority="12" operator="equal">
      <formula>"Ok"</formula>
    </cfRule>
  </conditionalFormatting>
  <conditionalFormatting sqref="U73">
    <cfRule type="cellIs" dxfId="147" priority="8" operator="equal">
      <formula>"Check"</formula>
    </cfRule>
    <cfRule type="cellIs" dxfId="146" priority="9" operator="equal">
      <formula>"Ok"</formula>
    </cfRule>
  </conditionalFormatting>
  <conditionalFormatting sqref="U70:U71">
    <cfRule type="expression" dxfId="145" priority="7">
      <formula>U$64=U$4</formula>
    </cfRule>
  </conditionalFormatting>
  <conditionalFormatting sqref="U107">
    <cfRule type="expression" dxfId="144" priority="6">
      <formula>U$105=U$4</formula>
    </cfRule>
  </conditionalFormatting>
  <conditionalFormatting sqref="K86:M88">
    <cfRule type="expression" dxfId="143" priority="3">
      <formula>K$84=K$4</formula>
    </cfRule>
  </conditionalFormatting>
  <conditionalFormatting sqref="Q41:T41">
    <cfRule type="expression" dxfId="142" priority="2">
      <formula>Q$36=Q$4</formula>
    </cfRule>
  </conditionalFormatting>
  <conditionalFormatting sqref="U41">
    <cfRule type="expression" dxfId="141" priority="1">
      <formula>U$36=U$4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topLeftCell="E1" zoomScaleNormal="10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118</v>
      </c>
      <c r="K3" s="170"/>
      <c r="L3" s="170"/>
      <c r="M3" s="180"/>
      <c r="N3" s="223"/>
      <c r="O3" s="223"/>
      <c r="P3" s="223"/>
      <c r="Q3" s="223"/>
      <c r="R3" s="223"/>
      <c r="S3" s="223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225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2">
        <v>8.5470699634009044</v>
      </c>
      <c r="Q12" s="222">
        <v>5.7693229068432537</v>
      </c>
      <c r="R12" s="222">
        <v>5.7067525996434831</v>
      </c>
      <c r="S12" s="222">
        <v>5.5689884563491017</v>
      </c>
      <c r="T12" s="222">
        <v>5.6120960517392522</v>
      </c>
    </row>
    <row r="13" spans="1:48" outlineLevel="1">
      <c r="C13" s="61" t="s">
        <v>226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2">
        <v>0</v>
      </c>
      <c r="Q13" s="222">
        <v>0</v>
      </c>
      <c r="R13" s="222">
        <v>0</v>
      </c>
      <c r="S13" s="222">
        <v>0</v>
      </c>
      <c r="T13" s="222">
        <v>0</v>
      </c>
    </row>
    <row r="14" spans="1:48" outlineLevel="1">
      <c r="C14" s="61" t="s">
        <v>234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2">
        <v>0</v>
      </c>
      <c r="Q14" s="222">
        <v>0</v>
      </c>
      <c r="R14" s="222">
        <v>0</v>
      </c>
      <c r="S14" s="222">
        <v>0</v>
      </c>
      <c r="T14" s="222">
        <v>0</v>
      </c>
    </row>
    <row r="15" spans="1:48" outlineLevel="1">
      <c r="C15" s="61" t="s">
        <v>227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22">
        <v>0.68854674299667029</v>
      </c>
      <c r="Q15" s="222">
        <v>0.67809635698816728</v>
      </c>
      <c r="R15" s="222">
        <v>0.96055840252640445</v>
      </c>
      <c r="S15" s="222">
        <v>1.0921517706729804</v>
      </c>
      <c r="T15" s="222">
        <v>1.0788084538508627</v>
      </c>
    </row>
    <row r="16" spans="1:48" outlineLevel="1">
      <c r="C16" s="61" t="s">
        <v>231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22">
        <v>0.43</v>
      </c>
      <c r="Q16" s="222">
        <v>0.41799999999999998</v>
      </c>
      <c r="R16" s="222">
        <v>0.435</v>
      </c>
      <c r="S16" s="222">
        <v>0.40500000000000003</v>
      </c>
      <c r="T16" s="222">
        <v>0.42299999999999999</v>
      </c>
    </row>
    <row r="17" spans="1:48" outlineLevel="1">
      <c r="C17" s="61" t="s">
        <v>228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22">
        <v>0.54726971135561486</v>
      </c>
      <c r="Q17" s="222">
        <v>0.58332655792333299</v>
      </c>
      <c r="R17" s="222">
        <v>0.72346212605485827</v>
      </c>
      <c r="S17" s="222">
        <v>0.84075423859398435</v>
      </c>
      <c r="T17" s="222">
        <v>0.96523862089220025</v>
      </c>
    </row>
    <row r="18" spans="1:48" outlineLevel="1">
      <c r="C18" s="61" t="s">
        <v>230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2">
        <v>0</v>
      </c>
      <c r="Q18" s="222">
        <v>0</v>
      </c>
      <c r="R18" s="222">
        <v>0</v>
      </c>
      <c r="S18" s="222">
        <v>0</v>
      </c>
      <c r="T18" s="222">
        <v>0</v>
      </c>
    </row>
    <row r="19" spans="1:48" outlineLevel="1">
      <c r="C19" s="61" t="s">
        <v>235</v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2">
        <v>3.2789344821161626</v>
      </c>
      <c r="Q19" s="222">
        <v>5.1638487721161619</v>
      </c>
      <c r="R19" s="222">
        <v>6.2924810371161621</v>
      </c>
      <c r="S19" s="222">
        <v>6.7875615371161624</v>
      </c>
      <c r="T19" s="222">
        <v>7.3321500371161639</v>
      </c>
    </row>
    <row r="20" spans="1:48" outlineLevel="1">
      <c r="C20" s="61" t="s">
        <v>229</v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>
        <v>0</v>
      </c>
      <c r="Q20" s="168">
        <v>0</v>
      </c>
      <c r="R20" s="168">
        <v>0</v>
      </c>
      <c r="S20" s="168">
        <v>0</v>
      </c>
      <c r="T20" s="168">
        <v>0</v>
      </c>
    </row>
    <row r="21" spans="1:48" outlineLevel="1">
      <c r="G21" s="32"/>
      <c r="H21" s="32"/>
    </row>
    <row r="22" spans="1:48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114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232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168">
        <v>0.81501189500464466</v>
      </c>
      <c r="Q28" s="168">
        <v>0.81501189500464466</v>
      </c>
      <c r="R28" s="168">
        <v>0.81501189500464466</v>
      </c>
      <c r="S28" s="168">
        <v>0.81501189500464466</v>
      </c>
      <c r="T28" s="168">
        <v>0.81501189500464466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10">
        <v>44348</v>
      </c>
      <c r="G38" s="32"/>
      <c r="H38" s="32"/>
      <c r="J38" s="168"/>
      <c r="K38" s="168"/>
      <c r="L38" s="168"/>
      <c r="M38" s="168"/>
      <c r="N38" s="168"/>
      <c r="O38" s="168"/>
      <c r="P38" s="168">
        <v>1.1629519055049453</v>
      </c>
      <c r="Q38" s="168">
        <v>1.2070104161046609</v>
      </c>
      <c r="R38" s="168">
        <v>1.2223210381020835</v>
      </c>
      <c r="S38" s="168">
        <v>1.2257073551452273</v>
      </c>
      <c r="T38" s="168">
        <v>1.226544020445449</v>
      </c>
    </row>
    <row r="39" spans="1:48" outlineLevel="1">
      <c r="G39" s="32"/>
      <c r="H39" s="32"/>
    </row>
    <row r="40" spans="1:48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0" priority="32" operator="equal">
      <formula>"Check"</formula>
    </cfRule>
    <cfRule type="cellIs" dxfId="139" priority="33" operator="equal">
      <formula>"Ok"</formula>
    </cfRule>
  </conditionalFormatting>
  <conditionalFormatting sqref="W1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J10:T10">
    <cfRule type="expression" dxfId="136" priority="30">
      <formula>J$10=J$4</formula>
    </cfRule>
  </conditionalFormatting>
  <conditionalFormatting sqref="J20:T20 J12:O19">
    <cfRule type="expression" dxfId="135" priority="29">
      <formula>J$10=J$4</formula>
    </cfRule>
  </conditionalFormatting>
  <conditionalFormatting sqref="X22">
    <cfRule type="cellIs" dxfId="134" priority="25" operator="equal">
      <formula>"Check"</formula>
    </cfRule>
    <cfRule type="cellIs" dxfId="133" priority="26" operator="equal">
      <formula>"Ok"</formula>
    </cfRule>
  </conditionalFormatting>
  <conditionalFormatting sqref="J22:U22">
    <cfRule type="cellIs" dxfId="132" priority="23" operator="equal">
      <formula>"Check"</formula>
    </cfRule>
    <cfRule type="cellIs" dxfId="131" priority="24" operator="equal">
      <formula>"Ok"</formula>
    </cfRule>
  </conditionalFormatting>
  <conditionalFormatting sqref="X32">
    <cfRule type="cellIs" dxfId="130" priority="21" operator="equal">
      <formula>"Check"</formula>
    </cfRule>
    <cfRule type="cellIs" dxfId="129" priority="22" operator="equal">
      <formula>"Ok"</formula>
    </cfRule>
  </conditionalFormatting>
  <conditionalFormatting sqref="J32:U32">
    <cfRule type="cellIs" dxfId="128" priority="19" operator="equal">
      <formula>"Check"</formula>
    </cfRule>
    <cfRule type="cellIs" dxfId="127" priority="20" operator="equal">
      <formula>"Ok"</formula>
    </cfRule>
  </conditionalFormatting>
  <conditionalFormatting sqref="J28:M30 O29:T30">
    <cfRule type="expression" dxfId="126" priority="18">
      <formula>J$26=J$4</formula>
    </cfRule>
  </conditionalFormatting>
  <conditionalFormatting sqref="X40">
    <cfRule type="cellIs" dxfId="125" priority="16" operator="equal">
      <formula>"Check"</formula>
    </cfRule>
    <cfRule type="cellIs" dxfId="124" priority="17" operator="equal">
      <formula>"Ok"</formula>
    </cfRule>
  </conditionalFormatting>
  <conditionalFormatting sqref="J40:U40">
    <cfRule type="cellIs" dxfId="123" priority="14" operator="equal">
      <formula>"Check"</formula>
    </cfRule>
    <cfRule type="cellIs" dxfId="122" priority="15" operator="equal">
      <formula>"Ok"</formula>
    </cfRule>
  </conditionalFormatting>
  <conditionalFormatting sqref="O28">
    <cfRule type="expression" dxfId="121" priority="13">
      <formula>O$10=O$4</formula>
    </cfRule>
  </conditionalFormatting>
  <conditionalFormatting sqref="N28:N30">
    <cfRule type="expression" dxfId="120" priority="12">
      <formula>N$10=N$4</formula>
    </cfRule>
  </conditionalFormatting>
  <conditionalFormatting sqref="J38:T38">
    <cfRule type="expression" dxfId="119" priority="9">
      <formula>J$36=J$4</formula>
    </cfRule>
  </conditionalFormatting>
  <conditionalFormatting sqref="J26:N26">
    <cfRule type="expression" dxfId="118" priority="8">
      <formula>J$10=J$4</formula>
    </cfRule>
  </conditionalFormatting>
  <conditionalFormatting sqref="J36:N36">
    <cfRule type="expression" dxfId="117" priority="7">
      <formula>J$10=J$4</formula>
    </cfRule>
  </conditionalFormatting>
  <conditionalFormatting sqref="O26">
    <cfRule type="expression" dxfId="116" priority="6">
      <formula>O$10=O$4</formula>
    </cfRule>
  </conditionalFormatting>
  <conditionalFormatting sqref="O36">
    <cfRule type="expression" dxfId="115" priority="5">
      <formula>O$10=O$4</formula>
    </cfRule>
  </conditionalFormatting>
  <conditionalFormatting sqref="P26:T26">
    <cfRule type="expression" dxfId="114" priority="4">
      <formula>P$10=P$4</formula>
    </cfRule>
  </conditionalFormatting>
  <conditionalFormatting sqref="P36:T36">
    <cfRule type="expression" dxfId="113" priority="3">
      <formula>P$10=P$4</formula>
    </cfRule>
  </conditionalFormatting>
  <conditionalFormatting sqref="P12:T19">
    <cfRule type="expression" dxfId="112" priority="2">
      <formula>P$10=P$4</formula>
    </cfRule>
  </conditionalFormatting>
  <conditionalFormatting sqref="P28:T28">
    <cfRule type="expression" dxfId="111" priority="1">
      <formula>P$10=P$4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V12:V21 I28:I31 V33 I33 V41 I4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4"/>
  <sheetViews>
    <sheetView showGridLines="0" zoomScaleNormal="10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118</v>
      </c>
      <c r="K3" s="170"/>
      <c r="L3" s="170"/>
      <c r="M3" s="180"/>
      <c r="N3" s="223"/>
      <c r="O3" s="223"/>
      <c r="P3" s="223"/>
      <c r="Q3" s="223"/>
      <c r="R3" s="223"/>
      <c r="S3" s="223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158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117.028634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158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119.75936890606803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159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147.27756687031641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159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160.09234556700304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215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81.71514635035328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215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82.155794579819357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216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164.31158915963871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160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8.0000000000000002E-3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160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8.1866712316623659E-3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161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1.7872523285237447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161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1.9427630661864386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219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0.93499645887185756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219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0.94003841929853871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220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1.8800768385970774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135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119.75936890606803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156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154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4.2192435926356779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105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123.97861249870371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162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5.4499556357698875E-2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Communications network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0.27007112059521377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Communications network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0.27007112059521377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Wasted truck visits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0.21792843031231496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Wasted truck visits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0.21792843031231493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Replacement expenditure on faults and minor repairs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3.5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Replacement expenditure on faults and minor repairs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3.5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ESV levy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-2.389369540677257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ESV levy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-2.389369540677257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opex'!$C$89</f>
        <v>0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98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163</v>
      </c>
      <c r="D56" s="112" t="s">
        <v>98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125.63174206529169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106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5.124664570773165E-3</v>
      </c>
      <c r="Q63" s="117">
        <f ca="1">IF(Q60=Q4,AVERAGE(OFFSET('Input|Rate of change'!R97,0,0,COUNTA('Input|Rate of change'!$J$84:$N$84),1)),0)</f>
        <v>8.2321600234544715E-3</v>
      </c>
      <c r="R63" s="117">
        <f ca="1">IF(R60=R4,AVERAGE(OFFSET('Input|Rate of change'!S97,0,0,COUNTA('Input|Rate of change'!$J$84:$N$84),1)),0)</f>
        <v>9.7478074856279587E-3</v>
      </c>
      <c r="S63" s="117">
        <f ca="1">IF(S60=S4,AVERAGE(OFFSET('Input|Rate of change'!T97,0,0,COUNTA('Input|Rate of change'!$J$84:$N$84),1)),0)</f>
        <v>9.5231244887800191E-3</v>
      </c>
      <c r="T63" s="117">
        <f ca="1">IF(T60=T4,AVERAGE(OFFSET('Input|Rate of change'!U97,0,0,COUNTA('Input|Rate of change'!$J$84:$N$84),1)),0)</f>
        <v>9.2778977930953639E-3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4.820893050489836E-3</v>
      </c>
      <c r="Q65" s="117">
        <f>SUMPRODUCT('Input|Rate of change'!R38:R45,'Input|Rate of change'!R51:R58)</f>
        <v>3.9231025826899609E-3</v>
      </c>
      <c r="R65" s="117">
        <f>SUMPRODUCT('Input|Rate of change'!S38:S45,'Input|Rate of change'!S51:S58)</f>
        <v>3.6060316584285179E-3</v>
      </c>
      <c r="S65" s="117">
        <f>SUMPRODUCT('Input|Rate of change'!T38:T45,'Input|Rate of change'!T51:T58)</f>
        <v>4.3380149298082697E-3</v>
      </c>
      <c r="T65" s="117">
        <f>SUMPRODUCT('Input|Rate of change'!U38:U45,'Input|Rate of change'!U51:U58)</f>
        <v>5.6296051963220933E-3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102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 t="str">
        <f>'Input|Rate of change'!R107</f>
        <v>0.5%</v>
      </c>
      <c r="R67" s="117" t="str">
        <f>'Input|Rate of change'!S107</f>
        <v>0.5%</v>
      </c>
      <c r="S67" s="117" t="str">
        <f>'Input|Rate of change'!T107</f>
        <v>0.5%</v>
      </c>
      <c r="T67" s="117" t="str">
        <f>'Input|Rate of change'!U107</f>
        <v>0.5%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136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6.1852367946577669E-3</v>
      </c>
      <c r="Q69" s="143">
        <f t="shared" ca="1" si="9"/>
        <v>7.1266204233215724E-3</v>
      </c>
      <c r="R69" s="143">
        <f t="shared" ca="1" si="9"/>
        <v>8.3220450962175896E-3</v>
      </c>
      <c r="S69" s="143">
        <f t="shared" ca="1" si="9"/>
        <v>8.8329386204251126E-3</v>
      </c>
      <c r="T69" s="143">
        <f t="shared" ref="T69" ca="1" si="10">(1+T63)*(1+T65)*(1-T67)-1</f>
        <v>9.884935221589064E-3</v>
      </c>
    </row>
    <row r="70" spans="1:48" outlineLevel="1">
      <c r="C70" s="124" t="s">
        <v>137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6.1852367946577669E-3</v>
      </c>
      <c r="Q70" s="117">
        <f t="array" aca="1" ref="Q70" ca="1">IF(Q$60=Q$4,PRODUCT(1+$J69:Q69)-1,"")</f>
        <v>1.3355937052843325E-2</v>
      </c>
      <c r="R70" s="117">
        <f t="array" aca="1" ref="R70" ca="1">IF(R$60=R$4,PRODUCT(1+$J69:R69)-1,"")</f>
        <v>2.1789130859516836E-2</v>
      </c>
      <c r="S70" s="117">
        <f t="array" aca="1" ref="S70" ca="1">IF(S$60=S$4,PRODUCT(1+$J69:S69)-1,"")</f>
        <v>3.0814531535416467E-2</v>
      </c>
      <c r="T70" s="117">
        <f t="array" aca="1" ref="T70" ca="1">IF(T$60=T$4,PRODUCT(1+$J69:T69)-1,"")</f>
        <v>4.1004066405116779E-2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103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Security of critical infrastructure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8.5470699634009044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5.7693229068432537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5.7067525996434831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5.5689884563491017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5.6120960517392522</v>
      </c>
    </row>
    <row r="77" spans="1:48" outlineLevel="1">
      <c r="C77" s="121" t="str">
        <f>'Input|Step changes'!C13</f>
        <v>EPA regulations change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48" outlineLevel="1">
      <c r="C78" s="121" t="str">
        <f>'Input|Step changes'!C14</f>
        <v>Demand management programs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 t="str">
        <f>'Input|Step changes'!C15</f>
        <v>IT cloud solutions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0.68854674299667029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0.67809635698816728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0.96055840252640445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1.0921517706729804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1.0788084538508627</v>
      </c>
    </row>
    <row r="80" spans="1:48" outlineLevel="1">
      <c r="C80" s="121" t="str">
        <f>'Input|Step changes'!C16</f>
        <v>Solar enablement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0.43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0.41799999999999998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0.435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0.40500000000000003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0.42299999999999999</v>
      </c>
    </row>
    <row r="81" spans="1:48" outlineLevel="1">
      <c r="C81" s="121" t="str">
        <f>'Input|Step changes'!C17</f>
        <v>5 minute settlement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0.54726971135561486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0.58332655792333299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0.72346212605485827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0.84075423859398435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0.96523862089220025</v>
      </c>
    </row>
    <row r="82" spans="1:48" outlineLevel="1">
      <c r="C82" s="121" t="str">
        <f>'Input|Step changes'!C18</f>
        <v>ESV levy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>Increasing insurance premiums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3.2789344821161626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5.1638487721161619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6.2924810371161621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6.7875615371161624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7.332150037116163</v>
      </c>
    </row>
    <row r="84" spans="1:48" outlineLevel="1">
      <c r="C84" s="121" t="str">
        <f>'Input|Step changes'!C20</f>
        <v>Financial year RIN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13.491820899869353</v>
      </c>
      <c r="Q86" s="174">
        <f t="shared" si="14"/>
        <v>12.612594593870917</v>
      </c>
      <c r="R86" s="174">
        <f t="shared" si="14"/>
        <v>14.118254165340907</v>
      </c>
      <c r="S86" s="174">
        <f t="shared" si="14"/>
        <v>14.694456002732229</v>
      </c>
      <c r="T86" s="174">
        <f t="shared" ref="T86" si="15">SUM(T75:T85)</f>
        <v>15.411293163598479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115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110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0.81501189500464466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116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0.81501189500464466</v>
      </c>
      <c r="Q96" s="128">
        <f t="shared" si="19"/>
        <v>0.81501189500464466</v>
      </c>
      <c r="R96" s="128">
        <f t="shared" si="19"/>
        <v>0.81501189500464466</v>
      </c>
      <c r="S96" s="128">
        <f t="shared" si="19"/>
        <v>0.81501189500464466</v>
      </c>
      <c r="T96" s="128">
        <f t="shared" ref="T96" si="20">SUM(T91:T95)</f>
        <v>0.81501189500464466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133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139.90062503876024</v>
      </c>
      <c r="Q102" s="149">
        <f t="shared" ref="Q102:T102" ca="1" si="23">(1+Q70)*SUM($J56:$S56)+Q86</f>
        <v>139.9222662980257</v>
      </c>
      <c r="R102" s="149">
        <f t="shared" ca="1" si="23"/>
        <v>142.48740269860232</v>
      </c>
      <c r="S102" s="149">
        <f t="shared" ca="1" si="23"/>
        <v>144.19748134574417</v>
      </c>
      <c r="T102" s="149">
        <f t="shared" ca="1" si="23"/>
        <v>146.19444752312589</v>
      </c>
    </row>
    <row r="103" spans="1:48" outlineLevel="1">
      <c r="C103" s="123" t="s">
        <v>108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140.71563693376487</v>
      </c>
      <c r="Q103" s="149">
        <f t="shared" ref="Q103:T103" ca="1" si="24">(1+Q70)*SUM($J56:$S56)+Q86+Q96</f>
        <v>140.73727819303033</v>
      </c>
      <c r="R103" s="149">
        <f t="shared" ca="1" si="24"/>
        <v>143.30241459360695</v>
      </c>
      <c r="S103" s="149">
        <f t="shared" ca="1" si="24"/>
        <v>145.0124932407488</v>
      </c>
      <c r="T103" s="149">
        <f t="shared" ca="1" si="24"/>
        <v>147.00945941813052</v>
      </c>
    </row>
    <row r="104" spans="1:48" outlineLevel="1">
      <c r="C104" s="123" t="s">
        <v>109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141.87858883926981</v>
      </c>
      <c r="Q104" s="149">
        <f ca="1">Q103+'Input|Step changes'!Q38</f>
        <v>141.94428860913499</v>
      </c>
      <c r="R104" s="149">
        <f ca="1">R103+'Input|Step changes'!R38</f>
        <v>144.52473563170904</v>
      </c>
      <c r="S104" s="149">
        <f ca="1">S103+'Input|Step changes'!S38</f>
        <v>146.23820059589403</v>
      </c>
      <c r="T104" s="149">
        <f ca="1">T103+'Input|Step changes'!T38</f>
        <v>148.23600343857598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118</v>
      </c>
      <c r="K3" s="170"/>
      <c r="L3" s="170"/>
      <c r="M3" s="180"/>
      <c r="N3" s="223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139.90062503876024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139.9222662980257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142.48740269860232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144.19748134574417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146.19444752312589</v>
      </c>
      <c r="U13" s="111"/>
      <c r="V13" s="150"/>
    </row>
    <row r="14" spans="1:27">
      <c r="C14" s="111" t="str">
        <f>'Input|Step changes'!C28</f>
        <v>GSLs</v>
      </c>
      <c r="D14" s="34" t="s">
        <v>104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0.81501189500464466</v>
      </c>
      <c r="U14" s="111"/>
      <c r="V14" s="150"/>
    </row>
    <row r="15" spans="1:27">
      <c r="C15" s="111">
        <f>'Input|Step changes'!C29</f>
        <v>0</v>
      </c>
      <c r="D15" s="34" t="s">
        <v>104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120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121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122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123</v>
      </c>
      <c r="D28" s="16" t="s">
        <v>68</v>
      </c>
      <c r="E28" s="16"/>
      <c r="F28" s="16"/>
      <c r="G28" s="151">
        <v>36617</v>
      </c>
    </row>
    <row r="29" spans="1:47">
      <c r="C29" s="15" t="s">
        <v>124</v>
      </c>
      <c r="D29" s="16" t="s">
        <v>68</v>
      </c>
      <c r="E29" s="16"/>
      <c r="F29" s="16"/>
      <c r="G29" s="151">
        <v>36647</v>
      </c>
    </row>
    <row r="30" spans="1:47">
      <c r="C30" s="15" t="s">
        <v>125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126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127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128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129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130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131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118</v>
      </c>
    </row>
    <row r="65" spans="1:47">
      <c r="C65" s="15" t="s">
        <v>197</v>
      </c>
      <c r="D65" s="16" t="s">
        <v>98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138</v>
      </c>
      <c r="D66" s="16" t="s">
        <v>98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139</v>
      </c>
      <c r="D67" s="16" t="s">
        <v>98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140</v>
      </c>
      <c r="D68" s="16" t="s">
        <v>98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141</v>
      </c>
      <c r="D69" s="16" t="s">
        <v>98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142</v>
      </c>
      <c r="D70" s="16" t="s">
        <v>98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204</v>
      </c>
      <c r="D71" s="16" t="s">
        <v>98</v>
      </c>
      <c r="E71" s="16"/>
      <c r="F71" s="16"/>
      <c r="G71" s="181" t="s">
        <v>205</v>
      </c>
      <c r="H71" s="183">
        <f>DATE(YEAR(H70)+1,6,1)</f>
        <v>44348</v>
      </c>
    </row>
    <row r="72" spans="1:47">
      <c r="C72" s="15" t="s">
        <v>143</v>
      </c>
      <c r="D72" s="16" t="s">
        <v>98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144</v>
      </c>
      <c r="D73" s="16" t="s">
        <v>98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145</v>
      </c>
      <c r="D74" s="16" t="s">
        <v>98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146</v>
      </c>
      <c r="D75" s="16" t="s">
        <v>98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147</v>
      </c>
      <c r="D76" s="16" t="s">
        <v>98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2"/>
      <c r="H77" s="213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214"/>
    </row>
    <row r="81" spans="1:47">
      <c r="C81" s="15" t="s">
        <v>191</v>
      </c>
      <c r="D81" s="16" t="s">
        <v>68</v>
      </c>
      <c r="E81" s="16"/>
      <c r="F81" s="16"/>
      <c r="G81" s="181" t="s">
        <v>107</v>
      </c>
      <c r="H81" s="213"/>
    </row>
    <row r="82" spans="1:47">
      <c r="C82" s="15" t="s">
        <v>192</v>
      </c>
      <c r="D82" s="16" t="s">
        <v>68</v>
      </c>
      <c r="E82" s="16"/>
      <c r="F82" s="16"/>
      <c r="G82" s="182" t="s">
        <v>193</v>
      </c>
      <c r="H82" s="213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IF(COUNTIF(G10:G17,"Check")=0,"Ok","Check")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D17" s="8"/>
      <c r="E17" s="8"/>
      <c r="F17" s="8"/>
      <c r="G17" s="8"/>
    </row>
    <row r="18" spans="1:47">
      <c r="C18" s="15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  <row r="26" spans="1:47" hidden="1"/>
    <row r="27" spans="1:47" hidden="1"/>
    <row r="28" spans="1:47" hidden="1"/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7" location="'Output|Decision tables'!A1" display="'Output|Decision tables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Version history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'Input|General'!_FilterDatabase</vt:lpstr>
      <vt:lpstr>'Input|Reported opex'!_FilterDatabase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2021-04-21T01:11:41Z</dcterms:created>
  <dcterms:modified xsi:type="dcterms:W3CDTF">2021-04-21T01:11:49Z</dcterms:modified>
</cp:coreProperties>
</file>